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defaultThemeVersion="124226"/>
  <mc:AlternateContent xmlns:mc="http://schemas.openxmlformats.org/markup-compatibility/2006">
    <mc:Choice Requires="x15">
      <x15ac:absPath xmlns:x15ac="http://schemas.microsoft.com/office/spreadsheetml/2010/11/ac" url="C:\Users\User\Desktop\ВАЖНОЕ\Планы ФХД\2024\"/>
    </mc:Choice>
  </mc:AlternateContent>
  <xr:revisionPtr revIDLastSave="0" documentId="13_ncr:1_{807EDAEA-1F00-45CA-B543-941BFA7995F0}" xr6:coauthVersionLast="47" xr6:coauthVersionMax="47" xr10:uidLastSave="{00000000-0000-0000-0000-000000000000}"/>
  <bookViews>
    <workbookView xWindow="-120" yWindow="-120" windowWidth="29040" windowHeight="15840" tabRatio="930" firstSheet="4" activeTab="13" xr2:uid="{00000000-000D-0000-FFFF-FFFF00000000}"/>
  </bookViews>
  <sheets>
    <sheet name="Приложение 1" sheetId="13" r:id="rId1"/>
    <sheet name="раздел 2 прил. 1" sheetId="14" r:id="rId2"/>
    <sheet name="Прил2 Доходы" sheetId="63" r:id="rId3"/>
    <sheet name="Прилож 4 24 (11)" sheetId="122" r:id="rId4"/>
    <sheet name="0701 211, 266" sheetId="8" r:id="rId5"/>
    <sheet name="расч  ФОТ обл до с 01.01.-30.06" sheetId="80" r:id="rId6"/>
    <sheet name="расч ФОТ обл с 01.07-31.08" sheetId="102" r:id="rId7"/>
    <sheet name="рас ФОТ обл до с 01.09-31.12" sheetId="101" r:id="rId8"/>
    <sheet name="расч ФОТмест с 01.01-30.06" sheetId="104" r:id="rId9"/>
    <sheet name="расч ФОТ мест с 01.07-31.12 " sheetId="106" r:id="rId10"/>
    <sheet name="0701 213 нов" sheetId="58" r:id="rId11"/>
    <sheet name="0701 264" sheetId="92" r:id="rId12"/>
    <sheet name="0701 221,223" sheetId="10" r:id="rId13"/>
    <sheet name="0701 225,226,310,341-346" sheetId="11" r:id="rId14"/>
    <sheet name="расчет по питанию 11 месяцев." sheetId="120" r:id="rId15"/>
    <sheet name="расчет по питанию (3)" sheetId="79" r:id="rId16"/>
    <sheet name="0702 211,266" sheetId="41" r:id="rId17"/>
    <sheet name="0702 213 (2)" sheetId="77" r:id="rId18"/>
    <sheet name="0702 265" sheetId="111" r:id="rId19"/>
    <sheet name="0702 214" sheetId="116" r:id="rId20"/>
    <sheet name="расчет ФОТ обл ш с 01.01-30.06." sheetId="100" r:id="rId21"/>
    <sheet name="расчет ФОТ обл ш с 01.07-31.08." sheetId="98" r:id="rId22"/>
    <sheet name="расчет ФОТ обл ш с 01.09-31.12." sheetId="99" r:id="rId23"/>
    <sheet name="советник" sheetId="42" r:id="rId24"/>
    <sheet name="советник 213 нов" sheetId="60" r:id="rId25"/>
    <sheet name="0702 221, 223" sheetId="18" r:id="rId26"/>
    <sheet name="0702 225,226,227,310,346" sheetId="19" r:id="rId27"/>
    <sheet name="0702 225,226,227,310,346 (25г)" sheetId="87" r:id="rId28"/>
    <sheet name="0707 211" sheetId="3" r:id="rId29"/>
    <sheet name="0707 213 нов" sheetId="61" r:id="rId30"/>
    <sheet name="0707 346" sheetId="7" r:id="rId31"/>
    <sheet name="0709 211 (2)" sheetId="26" r:id="rId32"/>
    <sheet name="0709 213 нов " sheetId="62" r:id="rId33"/>
    <sheet name="0709 222 225 226 227 346 (2)" sheetId="25" r:id="rId34"/>
    <sheet name="Глажевс.шк.  (3)" sheetId="84" r:id="rId35"/>
    <sheet name="0701 225,226,310,341-346 (2 (4)" sheetId="83" r:id="rId36"/>
    <sheet name="расчет ФОТ шк" sheetId="76" r:id="rId37"/>
    <sheet name="0702 213 нов (2)" sheetId="71" r:id="rId38"/>
    <sheet name="0702 213 нов" sheetId="59" r:id="rId39"/>
    <sheet name="0702 211 (3)" sheetId="75" r:id="rId40"/>
    <sheet name="питание " sheetId="69" r:id="rId41"/>
    <sheet name="0702 213 (24,25)" sheetId="49" r:id="rId42"/>
    <sheet name="советник (2)" sheetId="86" r:id="rId43"/>
    <sheet name="советник 213 нов (2)" sheetId="85" r:id="rId44"/>
    <sheet name="Глажевс.шк.  (2)" sheetId="22" r:id="rId45"/>
    <sheet name="Глажевс.шк. " sheetId="20" r:id="rId46"/>
    <sheet name="0709 222 225 226 227 346" sheetId="24" r:id="rId47"/>
    <sheet name="0701 225,226,310,341-346 (2)" sheetId="52" r:id="rId48"/>
    <sheet name="0709 211 (3)" sheetId="55" r:id="rId49"/>
    <sheet name="0701 225,226,310,341-346 (2 (3)" sheetId="78" r:id="rId50"/>
    <sheet name="Прилож 4 24" sheetId="81" r:id="rId51"/>
    <sheet name="Прилож 4 24 (2)" sheetId="82" r:id="rId52"/>
    <sheet name="Прилож 4 24 (3)" sheetId="90" r:id="rId53"/>
    <sheet name="расчет ФОТ шк обл" sheetId="40" r:id="rId54"/>
    <sheet name="Прилож 4 24 (4)" sheetId="93" r:id="rId55"/>
    <sheet name="Прилож 4 24 (5)" sheetId="107" r:id="rId56"/>
    <sheet name="Прилож 4 24 (6)" sheetId="108" r:id="rId57"/>
    <sheet name="Прилож 4 24 (7)" sheetId="112" r:id="rId58"/>
    <sheet name="Прилож 4 24 (8)" sheetId="113" r:id="rId59"/>
    <sheet name="Прилож 4 24 (9)" sheetId="117" r:id="rId60"/>
    <sheet name="Прилож 4 24 (10)" sheetId="121" r:id="rId61"/>
  </sheets>
  <externalReferences>
    <externalReference r:id="rId62"/>
    <externalReference r:id="rId63"/>
    <externalReference r:id="rId64"/>
    <externalReference r:id="rId65"/>
    <externalReference r:id="rId66"/>
    <externalReference r:id="rId67"/>
    <externalReference r:id="rId68"/>
    <externalReference r:id="rId69"/>
  </externalReferences>
  <definedNames>
    <definedName name="_xlnm.Print_Area" localSheetId="4">'0701 211, 266'!$A$1:$DY$104</definedName>
    <definedName name="_xlnm.Print_Area" localSheetId="10">'0701 213 нов'!$A$1:$J$27</definedName>
    <definedName name="_xlnm.Print_Area" localSheetId="12">'0701 221,223'!$A$1:$CH$60</definedName>
    <definedName name="_xlnm.Print_Area" localSheetId="13">'0701 225,226,310,341-346'!$A$1:$CH$101</definedName>
    <definedName name="_xlnm.Print_Area" localSheetId="49">'0701 225,226,310,341-346 (2 (3)'!$A$1:$CH$98</definedName>
    <definedName name="_xlnm.Print_Area" localSheetId="35">'0701 225,226,310,341-346 (2 (4)'!$A$1:$CH$97</definedName>
    <definedName name="_xlnm.Print_Area" localSheetId="47">'0701 225,226,310,341-346 (2)'!$A$1:$CH$103</definedName>
    <definedName name="_xlnm.Print_Area" localSheetId="39">'0702 211 (3)'!$A$1:$O$18</definedName>
    <definedName name="_xlnm.Print_Area" localSheetId="16">'0702 211,266'!$A$1:$O$113</definedName>
    <definedName name="_xlnm.Print_Area" localSheetId="17">'0702 213 (2)'!$A$1:$K$25</definedName>
    <definedName name="_xlnm.Print_Area" localSheetId="25">'0702 221, 223'!$A$1:$CH$66</definedName>
    <definedName name="_xlnm.Print_Area" localSheetId="26">'0702 225,226,227,310,346'!$A$1:$CH$129</definedName>
    <definedName name="_xlnm.Print_Area" localSheetId="27">'0702 225,226,227,310,346 (25г)'!$A$12:$CH$100</definedName>
    <definedName name="_xlnm.Print_Area" localSheetId="18">'0702 265'!$A$1:$K$9</definedName>
    <definedName name="_xlnm.Print_Area" localSheetId="30">'0707 346'!$A$1:$CH$9</definedName>
    <definedName name="_xlnm.Print_Area" localSheetId="33">'0709 222 225 226 227 346 (2)'!$A$1:$CH$126</definedName>
    <definedName name="_xlnm.Print_Area" localSheetId="2">'Прил2 Доходы'!$A$1:$K$215</definedName>
    <definedName name="_xlnm.Print_Area" localSheetId="60">'Прилож 4 24 (10)'!$A$1:$AC$281</definedName>
    <definedName name="_xlnm.Print_Area" localSheetId="3">'Прилож 4 24 (11)'!$A$1:$AC$281</definedName>
    <definedName name="_xlnm.Print_Area" localSheetId="51">'Прилож 4 24 (2)'!$A$1:$AC$211</definedName>
    <definedName name="_xlnm.Print_Area" localSheetId="52">'Прилож 4 24 (3)'!$A$1:$AC$225</definedName>
    <definedName name="_xlnm.Print_Area" localSheetId="54">'Прилож 4 24 (4)'!$A$1:$AC$245</definedName>
    <definedName name="_xlnm.Print_Area" localSheetId="55">'Прилож 4 24 (5)'!$A$1:$AC$252</definedName>
    <definedName name="_xlnm.Print_Area" localSheetId="56">'Прилож 4 24 (6)'!$A$1:$AC$255</definedName>
    <definedName name="_xlnm.Print_Area" localSheetId="57">'Прилож 4 24 (7)'!$A$1:$AC$257</definedName>
    <definedName name="_xlnm.Print_Area" localSheetId="58">'Прилож 4 24 (8)'!$A$1:$AC$252</definedName>
    <definedName name="_xlnm.Print_Area" localSheetId="59">'Прилож 4 24 (9)'!$A$1:$AC$277</definedName>
    <definedName name="_xlnm.Print_Area" localSheetId="0">'Приложение 1'!$A$1:$CY$184</definedName>
    <definedName name="_xlnm.Print_Area" localSheetId="1">'раздел 2 прил. 1'!$A$1:$FZ$68</definedName>
    <definedName name="_xlnm.Print_Area" localSheetId="7">'рас ФОТ обл до с 01.09-31.12'!$A$1:$X$19</definedName>
    <definedName name="_xlnm.Print_Area" localSheetId="5">'расч  ФОТ обл до с 01.01.-30.06'!$A$1:$Z$19</definedName>
    <definedName name="_xlnm.Print_Area" localSheetId="9">'расч ФОТ мест с 01.07-31.12 '!$A$1:$X$17</definedName>
    <definedName name="_xlnm.Print_Area" localSheetId="6">'расч ФОТ обл с 01.07-31.08'!$A$1:$X$19</definedName>
    <definedName name="_xlnm.Print_Area" localSheetId="8">'расч ФОТмест с 01.01-30.06'!$A$1:$W$17</definedName>
    <definedName name="_xlnm.Print_Area" localSheetId="15">'расчет по питанию (3)'!$A$1:$G$30</definedName>
    <definedName name="_xlnm.Print_Area" localSheetId="14">'расчет по питанию 11 месяцев.'!$A$1:$O$50</definedName>
    <definedName name="_xlnm.Print_Area" localSheetId="20">'расчет ФОТ обл ш с 01.01-30.06.'!$A$1:$W$28</definedName>
    <definedName name="_xlnm.Print_Area" localSheetId="21">'расчет ФОТ обл ш с 01.07-31.08.'!$A$1:$W$29</definedName>
    <definedName name="_xlnm.Print_Area" localSheetId="22">'расчет ФОТ обл ш с 01.09-31.12.'!$A$1:$W$29</definedName>
    <definedName name="_xlnm.Print_Area" localSheetId="36">'расчет ФОТ шк'!$A$1:$V$9</definedName>
    <definedName name="_xlnm.Print_Area" localSheetId="53">'расчет ФОТ шк обл'!$A$1:$V$33</definedName>
    <definedName name="_xlnm.Print_Area" localSheetId="23">советник!$A$1:$O$16</definedName>
    <definedName name="_xlnm.Print_Area" localSheetId="42">'советник (2)'!$A$1:$O$17</definedName>
    <definedName name="_xlnm.Print_Area" localSheetId="24">'советник 213 нов'!$A$1:$K$27</definedName>
  </definedNames>
  <calcPr calcId="191029"/>
</workbook>
</file>

<file path=xl/calcChain.xml><?xml version="1.0" encoding="utf-8"?>
<calcChain xmlns="http://schemas.openxmlformats.org/spreadsheetml/2006/main">
  <c r="BY146" i="13" l="1"/>
  <c r="BY85" i="13"/>
  <c r="BZ71" i="13"/>
  <c r="BY32" i="13"/>
  <c r="J104" i="41"/>
  <c r="BZ49" i="13"/>
  <c r="CG44" i="19"/>
  <c r="BZ50" i="13" l="1"/>
  <c r="CG31" i="11"/>
  <c r="L32" i="122" l="1"/>
  <c r="L39" i="122"/>
  <c r="L52" i="122"/>
  <c r="L130" i="122"/>
  <c r="L131" i="122"/>
  <c r="L132" i="122"/>
  <c r="L143" i="122"/>
  <c r="L157" i="122"/>
  <c r="L158" i="122"/>
  <c r="L159" i="122"/>
  <c r="L160" i="122"/>
  <c r="L163" i="122"/>
  <c r="L210" i="122"/>
  <c r="L211" i="122"/>
  <c r="L212" i="122"/>
  <c r="L224" i="122"/>
  <c r="L225" i="122"/>
  <c r="L226" i="122"/>
  <c r="L227" i="122"/>
  <c r="L255" i="122"/>
  <c r="K32" i="122"/>
  <c r="K33" i="122"/>
  <c r="K39" i="122"/>
  <c r="K160" i="122"/>
  <c r="K172" i="122"/>
  <c r="K210" i="122"/>
  <c r="K211" i="122"/>
  <c r="K212" i="122"/>
  <c r="K224" i="122"/>
  <c r="K225" i="122"/>
  <c r="K226" i="122"/>
  <c r="K227" i="122"/>
  <c r="K255" i="122"/>
  <c r="K257" i="122"/>
  <c r="J28" i="122"/>
  <c r="J32" i="122"/>
  <c r="J33" i="122"/>
  <c r="J39" i="122"/>
  <c r="J52" i="122"/>
  <c r="J128" i="122"/>
  <c r="J129" i="122"/>
  <c r="J130" i="122"/>
  <c r="J131" i="122"/>
  <c r="J132" i="122"/>
  <c r="J160" i="122"/>
  <c r="J163" i="122"/>
  <c r="J164" i="122"/>
  <c r="J172" i="122"/>
  <c r="J198" i="122"/>
  <c r="J210" i="122"/>
  <c r="J211" i="122"/>
  <c r="J212" i="122"/>
  <c r="J223" i="122"/>
  <c r="J224" i="122"/>
  <c r="J225" i="122"/>
  <c r="J226" i="122"/>
  <c r="J227" i="122"/>
  <c r="J228" i="122"/>
  <c r="J255" i="122"/>
  <c r="H32" i="122"/>
  <c r="H33" i="122"/>
  <c r="H52" i="122"/>
  <c r="H163" i="122"/>
  <c r="H198" i="122"/>
  <c r="H210" i="122"/>
  <c r="H211" i="122"/>
  <c r="H212" i="122"/>
  <c r="H223" i="122"/>
  <c r="H224" i="122"/>
  <c r="H225" i="122"/>
  <c r="H226" i="122"/>
  <c r="H227" i="122"/>
  <c r="H228" i="122"/>
  <c r="H255" i="122"/>
  <c r="G32" i="122"/>
  <c r="G33" i="122"/>
  <c r="G52" i="122"/>
  <c r="G160" i="122"/>
  <c r="G163" i="122"/>
  <c r="G164" i="122"/>
  <c r="G210" i="122"/>
  <c r="G211" i="122"/>
  <c r="G212" i="122"/>
  <c r="G223" i="122"/>
  <c r="G224" i="122"/>
  <c r="G225" i="122"/>
  <c r="G226" i="122"/>
  <c r="G227" i="122"/>
  <c r="G228" i="122"/>
  <c r="G255" i="122"/>
  <c r="G257" i="122"/>
  <c r="F32" i="122"/>
  <c r="F33" i="122"/>
  <c r="F52" i="122"/>
  <c r="F160" i="122"/>
  <c r="F163" i="122"/>
  <c r="F164" i="122"/>
  <c r="H281" i="122"/>
  <c r="AB276" i="122"/>
  <c r="H276" i="122"/>
  <c r="AB275" i="122"/>
  <c r="AB274" i="122"/>
  <c r="AB273" i="122"/>
  <c r="AB272" i="122"/>
  <c r="Q271" i="122"/>
  <c r="S270" i="122"/>
  <c r="G270" i="122"/>
  <c r="Y269" i="122"/>
  <c r="Y270" i="122" s="1"/>
  <c r="T269" i="122"/>
  <c r="R269" i="122"/>
  <c r="P269" i="122"/>
  <c r="O269" i="122"/>
  <c r="O270" i="122" s="1"/>
  <c r="W270" i="122" s="1"/>
  <c r="N269" i="122"/>
  <c r="N270" i="122" s="1"/>
  <c r="M269" i="122"/>
  <c r="G269" i="122"/>
  <c r="M268" i="122"/>
  <c r="G268" i="122"/>
  <c r="W268" i="122" s="1"/>
  <c r="S266" i="122"/>
  <c r="R266" i="122"/>
  <c r="O266" i="122"/>
  <c r="M265" i="122"/>
  <c r="T263" i="122"/>
  <c r="P263" i="122"/>
  <c r="M262" i="122"/>
  <c r="M261" i="122"/>
  <c r="M260" i="122"/>
  <c r="M259" i="122"/>
  <c r="Y258" i="122"/>
  <c r="I258" i="122"/>
  <c r="M257" i="122"/>
  <c r="M256" i="122"/>
  <c r="M255" i="122"/>
  <c r="M254" i="122"/>
  <c r="M253" i="122"/>
  <c r="M252" i="122"/>
  <c r="T258" i="122"/>
  <c r="P258" i="122"/>
  <c r="M250" i="122"/>
  <c r="Y249" i="122"/>
  <c r="T249" i="122"/>
  <c r="I249" i="122"/>
  <c r="M248" i="122"/>
  <c r="M247" i="122"/>
  <c r="N249" i="122"/>
  <c r="M246" i="122"/>
  <c r="P249" i="122"/>
  <c r="M245" i="122"/>
  <c r="T244" i="122"/>
  <c r="M244" i="122" s="1"/>
  <c r="M243" i="122"/>
  <c r="M242" i="122"/>
  <c r="M241" i="122"/>
  <c r="P240" i="122"/>
  <c r="N240" i="122"/>
  <c r="M239" i="122"/>
  <c r="M238" i="122"/>
  <c r="N237" i="122"/>
  <c r="M237" i="122" s="1"/>
  <c r="M236" i="122"/>
  <c r="T235" i="122"/>
  <c r="P235" i="122"/>
  <c r="M234" i="122"/>
  <c r="P233" i="122"/>
  <c r="M232" i="122"/>
  <c r="M231" i="122"/>
  <c r="Y229" i="122"/>
  <c r="T229" i="122"/>
  <c r="S229" i="122"/>
  <c r="Q229" i="122"/>
  <c r="P229" i="122"/>
  <c r="P230" i="122" s="1"/>
  <c r="I229" i="122"/>
  <c r="M228" i="122"/>
  <c r="M227" i="122"/>
  <c r="U227" i="122" s="1"/>
  <c r="M226" i="122"/>
  <c r="U226" i="122" s="1"/>
  <c r="M225" i="122"/>
  <c r="U225" i="122" s="1"/>
  <c r="M224" i="122"/>
  <c r="U224" i="122" s="1"/>
  <c r="M223" i="122"/>
  <c r="M222" i="122"/>
  <c r="M221" i="122"/>
  <c r="M220" i="122"/>
  <c r="M219" i="122"/>
  <c r="M218" i="122"/>
  <c r="M217" i="122"/>
  <c r="M216" i="122"/>
  <c r="N229" i="122"/>
  <c r="M215" i="122"/>
  <c r="M214" i="122"/>
  <c r="Y213" i="122"/>
  <c r="N213" i="122"/>
  <c r="N230" i="122" s="1"/>
  <c r="I213" i="122"/>
  <c r="I230" i="122" s="1"/>
  <c r="M212" i="122"/>
  <c r="U212" i="122" s="1"/>
  <c r="M211" i="122"/>
  <c r="M210" i="122"/>
  <c r="M209" i="122"/>
  <c r="M208" i="122"/>
  <c r="M207" i="122"/>
  <c r="M206" i="122"/>
  <c r="M205" i="122"/>
  <c r="M204" i="122"/>
  <c r="P203" i="122"/>
  <c r="M202" i="122"/>
  <c r="M201" i="122"/>
  <c r="R200" i="122"/>
  <c r="R267" i="122" s="1"/>
  <c r="T199" i="122"/>
  <c r="S199" i="122"/>
  <c r="P199" i="122"/>
  <c r="N199" i="122"/>
  <c r="M198" i="122"/>
  <c r="M197" i="122"/>
  <c r="M196" i="122"/>
  <c r="M195" i="122"/>
  <c r="M194" i="122"/>
  <c r="M193" i="122"/>
  <c r="M192" i="122"/>
  <c r="S191" i="122"/>
  <c r="N191" i="122"/>
  <c r="M190" i="122"/>
  <c r="M189" i="122"/>
  <c r="M188" i="122"/>
  <c r="M187" i="122"/>
  <c r="M186" i="122"/>
  <c r="M185" i="122"/>
  <c r="M184" i="122"/>
  <c r="M183" i="122"/>
  <c r="M182" i="122"/>
  <c r="M181" i="122"/>
  <c r="M180" i="122"/>
  <c r="M179" i="122"/>
  <c r="M178" i="122"/>
  <c r="P191" i="122"/>
  <c r="M177" i="122"/>
  <c r="M176" i="122"/>
  <c r="M175" i="122"/>
  <c r="T174" i="122"/>
  <c r="P174" i="122"/>
  <c r="M173" i="122"/>
  <c r="M172" i="122"/>
  <c r="M171" i="122"/>
  <c r="M170" i="122"/>
  <c r="M169" i="122"/>
  <c r="M168" i="122"/>
  <c r="M167" i="122"/>
  <c r="M166" i="122"/>
  <c r="S164" i="122"/>
  <c r="M164" i="122" s="1"/>
  <c r="M163" i="122"/>
  <c r="M162" i="122"/>
  <c r="T161" i="122"/>
  <c r="T165" i="122" s="1"/>
  <c r="S161" i="122"/>
  <c r="R161" i="122"/>
  <c r="M160" i="122"/>
  <c r="M159" i="122"/>
  <c r="M158" i="122"/>
  <c r="M157" i="122"/>
  <c r="M156" i="122"/>
  <c r="M155" i="122"/>
  <c r="M154" i="122"/>
  <c r="M153" i="122"/>
  <c r="M152" i="122"/>
  <c r="M151" i="122"/>
  <c r="M150" i="122"/>
  <c r="M149" i="122"/>
  <c r="M148" i="122"/>
  <c r="P161" i="122"/>
  <c r="M146" i="122"/>
  <c r="M145" i="122"/>
  <c r="M144" i="122"/>
  <c r="M143" i="122"/>
  <c r="M142" i="122"/>
  <c r="M141" i="122"/>
  <c r="M140" i="122"/>
  <c r="M139" i="122"/>
  <c r="M138" i="122"/>
  <c r="M137" i="122"/>
  <c r="M136" i="122"/>
  <c r="M135" i="122"/>
  <c r="M134" i="122"/>
  <c r="S133" i="122"/>
  <c r="N133" i="122"/>
  <c r="M132" i="122"/>
  <c r="M131" i="122"/>
  <c r="M130" i="122"/>
  <c r="M129" i="122"/>
  <c r="M128" i="122"/>
  <c r="M127" i="122"/>
  <c r="M126" i="122"/>
  <c r="M125" i="122"/>
  <c r="M124" i="122"/>
  <c r="M123" i="122"/>
  <c r="M122" i="122"/>
  <c r="M121" i="122"/>
  <c r="M120" i="122"/>
  <c r="M119" i="122"/>
  <c r="M118" i="122"/>
  <c r="M117" i="122"/>
  <c r="M116" i="122"/>
  <c r="M115" i="122"/>
  <c r="M113" i="122"/>
  <c r="M112" i="122"/>
  <c r="M111" i="122"/>
  <c r="M110" i="122"/>
  <c r="M109" i="122"/>
  <c r="M108" i="122"/>
  <c r="M107" i="122"/>
  <c r="M106" i="122"/>
  <c r="T104" i="122"/>
  <c r="T105" i="122" s="1"/>
  <c r="M103" i="122"/>
  <c r="M102" i="122"/>
  <c r="M101" i="122"/>
  <c r="M100" i="122"/>
  <c r="M99" i="122"/>
  <c r="M98" i="122"/>
  <c r="P104" i="122"/>
  <c r="M97" i="122"/>
  <c r="M95" i="122"/>
  <c r="M94" i="122"/>
  <c r="M93" i="122"/>
  <c r="M92" i="122"/>
  <c r="M91" i="122"/>
  <c r="T88" i="122"/>
  <c r="T87" i="122"/>
  <c r="M84" i="122"/>
  <c r="M83" i="122"/>
  <c r="M82" i="122"/>
  <c r="P87" i="122"/>
  <c r="P80" i="122"/>
  <c r="M79" i="122"/>
  <c r="M78" i="122"/>
  <c r="M77" i="122"/>
  <c r="M76" i="122"/>
  <c r="M75" i="122"/>
  <c r="M74" i="122"/>
  <c r="M73" i="122"/>
  <c r="M72" i="122"/>
  <c r="M71" i="122"/>
  <c r="P69" i="122"/>
  <c r="M68" i="122"/>
  <c r="M67" i="122"/>
  <c r="M66" i="122"/>
  <c r="M65" i="122"/>
  <c r="M64" i="122"/>
  <c r="M63" i="122"/>
  <c r="M62" i="122"/>
  <c r="S61" i="122"/>
  <c r="P61" i="122"/>
  <c r="O61" i="122"/>
  <c r="N61" i="122"/>
  <c r="M61" i="122" s="1"/>
  <c r="M60" i="122"/>
  <c r="M59" i="122"/>
  <c r="M58" i="122"/>
  <c r="M57" i="122"/>
  <c r="M56" i="122"/>
  <c r="M55" i="122"/>
  <c r="M54" i="122"/>
  <c r="M53" i="122"/>
  <c r="S52" i="122"/>
  <c r="M52" i="122" s="1"/>
  <c r="M51" i="122"/>
  <c r="T50" i="122"/>
  <c r="S50" i="122"/>
  <c r="P50" i="122"/>
  <c r="N48" i="122"/>
  <c r="M48" i="122" s="1"/>
  <c r="M47" i="122"/>
  <c r="M46" i="122"/>
  <c r="M45" i="122"/>
  <c r="M44" i="122"/>
  <c r="P43" i="122"/>
  <c r="O43" i="122"/>
  <c r="N43" i="122"/>
  <c r="M42" i="122"/>
  <c r="M41" i="122"/>
  <c r="M40" i="122"/>
  <c r="M39" i="122"/>
  <c r="M38" i="122"/>
  <c r="M37" i="122"/>
  <c r="M36" i="122"/>
  <c r="Y35" i="122"/>
  <c r="T35" i="122"/>
  <c r="S35" i="122"/>
  <c r="R35" i="122"/>
  <c r="P35" i="122"/>
  <c r="O35" i="122"/>
  <c r="N35" i="122"/>
  <c r="I35" i="122"/>
  <c r="I271" i="122" s="1"/>
  <c r="B35" i="122"/>
  <c r="M33" i="122"/>
  <c r="U32" i="122"/>
  <c r="M32" i="122"/>
  <c r="E32" i="122"/>
  <c r="M31" i="122"/>
  <c r="M30" i="122"/>
  <c r="M29" i="122"/>
  <c r="M28" i="122"/>
  <c r="M27" i="122"/>
  <c r="M26" i="122"/>
  <c r="M25" i="122"/>
  <c r="M24" i="122"/>
  <c r="M23" i="122"/>
  <c r="M22" i="122"/>
  <c r="M21" i="122"/>
  <c r="M20" i="122"/>
  <c r="M19" i="122"/>
  <c r="M18" i="122"/>
  <c r="M17" i="122"/>
  <c r="M16" i="122"/>
  <c r="M15" i="122"/>
  <c r="M14" i="122"/>
  <c r="M13" i="122"/>
  <c r="M12" i="122"/>
  <c r="M11" i="122"/>
  <c r="M50" i="122" l="1"/>
  <c r="M43" i="122"/>
  <c r="N200" i="122"/>
  <c r="M229" i="122"/>
  <c r="S230" i="122"/>
  <c r="Y230" i="122"/>
  <c r="Y267" i="122" s="1"/>
  <c r="Y271" i="122" s="1"/>
  <c r="M263" i="122"/>
  <c r="M266" i="122"/>
  <c r="W269" i="122"/>
  <c r="T264" i="122"/>
  <c r="M240" i="122"/>
  <c r="M213" i="122"/>
  <c r="M35" i="122"/>
  <c r="M70" i="122"/>
  <c r="M104" i="122"/>
  <c r="M87" i="122"/>
  <c r="P88" i="122"/>
  <c r="O267" i="122"/>
  <c r="M89" i="122"/>
  <c r="M90" i="122"/>
  <c r="P96" i="122"/>
  <c r="P105" i="122" s="1"/>
  <c r="M80" i="122"/>
  <c r="M81" i="122"/>
  <c r="M69" i="122"/>
  <c r="M85" i="122"/>
  <c r="M86" i="122"/>
  <c r="M161" i="122"/>
  <c r="M114" i="122"/>
  <c r="P133" i="122"/>
  <c r="N165" i="122"/>
  <c r="M147" i="122"/>
  <c r="S165" i="122"/>
  <c r="P200" i="122"/>
  <c r="T200" i="122"/>
  <c r="M191" i="122"/>
  <c r="T230" i="122"/>
  <c r="P264" i="122"/>
  <c r="T267" i="122"/>
  <c r="M199" i="122"/>
  <c r="M203" i="122"/>
  <c r="M233" i="122"/>
  <c r="M235" i="122"/>
  <c r="M249" i="122"/>
  <c r="N258" i="122"/>
  <c r="R270" i="122"/>
  <c r="M251" i="122"/>
  <c r="CC100" i="11"/>
  <c r="M105" i="122" l="1"/>
  <c r="P165" i="122"/>
  <c r="M133" i="122"/>
  <c r="O271" i="122"/>
  <c r="M88" i="122"/>
  <c r="M258" i="122"/>
  <c r="N264" i="122"/>
  <c r="M230" i="122"/>
  <c r="M270" i="122"/>
  <c r="M96" i="122"/>
  <c r="T271" i="122"/>
  <c r="E33" i="121"/>
  <c r="AB33" i="121"/>
  <c r="L33" i="122" s="1"/>
  <c r="M33" i="121"/>
  <c r="AB33" i="122" l="1"/>
  <c r="E33" i="122"/>
  <c r="U33" i="122" s="1"/>
  <c r="U33" i="121"/>
  <c r="N267" i="122"/>
  <c r="M264" i="122"/>
  <c r="M174" i="122"/>
  <c r="S200" i="122"/>
  <c r="M165" i="122"/>
  <c r="P267" i="122"/>
  <c r="S267" i="122" l="1"/>
  <c r="M200" i="122"/>
  <c r="M267" i="122"/>
  <c r="M271" i="122" s="1"/>
  <c r="P271" i="122"/>
  <c r="N271" i="122"/>
  <c r="L118" i="63"/>
  <c r="L109" i="63"/>
  <c r="S271" i="122" l="1"/>
  <c r="DT103" i="8" l="1"/>
  <c r="N246" i="121" l="1"/>
  <c r="BY72" i="13"/>
  <c r="E18" i="58"/>
  <c r="E9" i="58"/>
  <c r="CC87" i="11"/>
  <c r="DT98" i="8"/>
  <c r="H281" i="121" l="1"/>
  <c r="AB276" i="121"/>
  <c r="H276" i="121"/>
  <c r="AB275" i="121"/>
  <c r="AB274" i="121"/>
  <c r="AB273" i="121"/>
  <c r="AB272" i="121"/>
  <c r="Q271" i="121"/>
  <c r="S270" i="121"/>
  <c r="G270" i="121"/>
  <c r="Y269" i="121"/>
  <c r="Y270" i="121" s="1"/>
  <c r="T269" i="121"/>
  <c r="R269" i="121"/>
  <c r="P269" i="121"/>
  <c r="O269" i="121"/>
  <c r="O270" i="121" s="1"/>
  <c r="N269" i="121"/>
  <c r="N270" i="121" s="1"/>
  <c r="G269" i="121"/>
  <c r="W269" i="121" s="1"/>
  <c r="M268" i="121"/>
  <c r="G268" i="121"/>
  <c r="W268" i="121" s="1"/>
  <c r="S266" i="121"/>
  <c r="R266" i="121"/>
  <c r="O266" i="121"/>
  <c r="M265" i="121"/>
  <c r="T263" i="121"/>
  <c r="P263" i="121"/>
  <c r="M262" i="121"/>
  <c r="M261" i="121"/>
  <c r="M260" i="121"/>
  <c r="M259" i="121"/>
  <c r="Y258" i="121"/>
  <c r="I258" i="121"/>
  <c r="M257" i="121"/>
  <c r="K257" i="121"/>
  <c r="G257" i="121"/>
  <c r="N256" i="121"/>
  <c r="M256" i="121" s="1"/>
  <c r="M255" i="121"/>
  <c r="L255" i="121"/>
  <c r="K255" i="121"/>
  <c r="J255" i="121"/>
  <c r="H255" i="121"/>
  <c r="G255" i="121"/>
  <c r="N254" i="121"/>
  <c r="M254" i="121" s="1"/>
  <c r="M253" i="121"/>
  <c r="M252" i="121"/>
  <c r="P251" i="121"/>
  <c r="T250" i="121"/>
  <c r="T258" i="121" s="1"/>
  <c r="P250" i="121"/>
  <c r="P258" i="121" s="1"/>
  <c r="Y249" i="121"/>
  <c r="T249" i="121"/>
  <c r="T264" i="121" s="1"/>
  <c r="I249" i="121"/>
  <c r="M248" i="121"/>
  <c r="M247" i="121"/>
  <c r="N249" i="121"/>
  <c r="M246" i="121"/>
  <c r="P245" i="121"/>
  <c r="P249" i="121" s="1"/>
  <c r="T244" i="121"/>
  <c r="M244" i="121" s="1"/>
  <c r="M243" i="121"/>
  <c r="M242" i="121"/>
  <c r="M241" i="121"/>
  <c r="P240" i="121"/>
  <c r="N240" i="121"/>
  <c r="M240" i="121" s="1"/>
  <c r="M239" i="121"/>
  <c r="M238" i="121"/>
  <c r="N237" i="121"/>
  <c r="M237" i="121" s="1"/>
  <c r="M236" i="121"/>
  <c r="T235" i="121"/>
  <c r="P235" i="121"/>
  <c r="M234" i="121"/>
  <c r="P233" i="121"/>
  <c r="M233" i="121" s="1"/>
  <c r="M232" i="121"/>
  <c r="M231" i="121"/>
  <c r="Y229" i="121"/>
  <c r="T229" i="121"/>
  <c r="S229" i="121"/>
  <c r="S230" i="121" s="1"/>
  <c r="Q229" i="121"/>
  <c r="P229" i="121"/>
  <c r="I229" i="121"/>
  <c r="V228" i="121"/>
  <c r="F228" i="122" s="1"/>
  <c r="V228" i="122" s="1"/>
  <c r="M228" i="121"/>
  <c r="L228" i="121"/>
  <c r="J228" i="121"/>
  <c r="H228" i="121"/>
  <c r="G228" i="121"/>
  <c r="V227" i="121"/>
  <c r="F227" i="122" s="1"/>
  <c r="V227" i="122" s="1"/>
  <c r="M227" i="121"/>
  <c r="U227" i="121" s="1"/>
  <c r="V226" i="121"/>
  <c r="F226" i="122" s="1"/>
  <c r="V226" i="122" s="1"/>
  <c r="N226" i="121"/>
  <c r="M226" i="121"/>
  <c r="U226" i="121" s="1"/>
  <c r="V225" i="121"/>
  <c r="F225" i="122" s="1"/>
  <c r="V225" i="122" s="1"/>
  <c r="U225" i="121"/>
  <c r="M225" i="121"/>
  <c r="V224" i="121"/>
  <c r="F224" i="122" s="1"/>
  <c r="V224" i="122" s="1"/>
  <c r="M224" i="121"/>
  <c r="U224" i="121" s="1"/>
  <c r="M223" i="121"/>
  <c r="M222" i="121"/>
  <c r="M221" i="121"/>
  <c r="M220" i="121"/>
  <c r="M219" i="121"/>
  <c r="M218" i="121"/>
  <c r="M217" i="121"/>
  <c r="M216" i="121"/>
  <c r="N215" i="121"/>
  <c r="N229" i="121" s="1"/>
  <c r="M214" i="121"/>
  <c r="Y213" i="121"/>
  <c r="N213" i="121"/>
  <c r="M213" i="121"/>
  <c r="I213" i="121"/>
  <c r="V212" i="121"/>
  <c r="F212" i="122" s="1"/>
  <c r="V212" i="122" s="1"/>
  <c r="M212" i="121"/>
  <c r="U212" i="121" s="1"/>
  <c r="M211" i="121"/>
  <c r="L211" i="121"/>
  <c r="K211" i="121"/>
  <c r="J211" i="121"/>
  <c r="H211" i="121"/>
  <c r="G211" i="121"/>
  <c r="M210" i="121"/>
  <c r="L210" i="121"/>
  <c r="K210" i="121"/>
  <c r="J210" i="121"/>
  <c r="H210" i="121"/>
  <c r="G210" i="121"/>
  <c r="M209" i="121"/>
  <c r="M208" i="121"/>
  <c r="M207" i="121"/>
  <c r="M206" i="121"/>
  <c r="M205" i="121"/>
  <c r="M204" i="121"/>
  <c r="P203" i="121"/>
  <c r="M203" i="121" s="1"/>
  <c r="M202" i="121"/>
  <c r="M201" i="121"/>
  <c r="R200" i="121"/>
  <c r="R267" i="121" s="1"/>
  <c r="T199" i="121"/>
  <c r="S199" i="121"/>
  <c r="P199" i="121"/>
  <c r="N199" i="121"/>
  <c r="M198" i="121"/>
  <c r="J198" i="121"/>
  <c r="H198" i="121"/>
  <c r="M197" i="121"/>
  <c r="M196" i="121"/>
  <c r="M195" i="121"/>
  <c r="M194" i="121"/>
  <c r="M193" i="121"/>
  <c r="M192" i="121"/>
  <c r="S191" i="121"/>
  <c r="N191" i="121"/>
  <c r="M190" i="121"/>
  <c r="M189" i="121"/>
  <c r="M188" i="121"/>
  <c r="M187" i="121"/>
  <c r="M186" i="121"/>
  <c r="M185" i="121"/>
  <c r="M184" i="121"/>
  <c r="M183" i="121"/>
  <c r="M182" i="121"/>
  <c r="M181" i="121"/>
  <c r="M180" i="121"/>
  <c r="M179" i="121"/>
  <c r="M178" i="121"/>
  <c r="P177" i="121"/>
  <c r="P191" i="121" s="1"/>
  <c r="M176" i="121"/>
  <c r="M175" i="121"/>
  <c r="T174" i="121"/>
  <c r="P174" i="121"/>
  <c r="M173" i="121"/>
  <c r="M172" i="121"/>
  <c r="K172" i="121"/>
  <c r="J172" i="121"/>
  <c r="M171" i="121"/>
  <c r="M170" i="121"/>
  <c r="M169" i="121"/>
  <c r="M168" i="121"/>
  <c r="M167" i="121"/>
  <c r="M166" i="121"/>
  <c r="S164" i="121"/>
  <c r="M164" i="121" s="1"/>
  <c r="J164" i="121"/>
  <c r="G164" i="121"/>
  <c r="F164" i="121"/>
  <c r="M163" i="121"/>
  <c r="L163" i="121"/>
  <c r="J163" i="121"/>
  <c r="H163" i="121"/>
  <c r="G163" i="121"/>
  <c r="F163" i="121"/>
  <c r="M162" i="121"/>
  <c r="T161" i="121"/>
  <c r="T165" i="121" s="1"/>
  <c r="S161" i="121"/>
  <c r="R161" i="121"/>
  <c r="M160" i="121"/>
  <c r="L160" i="121"/>
  <c r="K160" i="121"/>
  <c r="J160" i="121"/>
  <c r="G160" i="121"/>
  <c r="F160" i="121"/>
  <c r="M159" i="121"/>
  <c r="L159" i="121"/>
  <c r="M158" i="121"/>
  <c r="L158" i="121"/>
  <c r="M157" i="121"/>
  <c r="L157" i="121"/>
  <c r="M156" i="121"/>
  <c r="M155" i="121"/>
  <c r="M154" i="121"/>
  <c r="M153" i="121"/>
  <c r="M152" i="121"/>
  <c r="M151" i="121"/>
  <c r="M150" i="121"/>
  <c r="M149" i="121"/>
  <c r="M148" i="121"/>
  <c r="P147" i="121"/>
  <c r="P161" i="121" s="1"/>
  <c r="M146" i="121"/>
  <c r="M145" i="121"/>
  <c r="M144" i="121"/>
  <c r="M143" i="121"/>
  <c r="M142" i="121"/>
  <c r="M141" i="121"/>
  <c r="M140" i="121"/>
  <c r="M139" i="121"/>
  <c r="M138" i="121"/>
  <c r="M137" i="121"/>
  <c r="M136" i="121"/>
  <c r="M135" i="121"/>
  <c r="M134" i="121"/>
  <c r="S133" i="121"/>
  <c r="S165" i="121" s="1"/>
  <c r="N133" i="121"/>
  <c r="N165" i="121" s="1"/>
  <c r="M132" i="121"/>
  <c r="L132" i="121"/>
  <c r="J132" i="121"/>
  <c r="M131" i="121"/>
  <c r="L131" i="121"/>
  <c r="J131" i="121"/>
  <c r="M130" i="121"/>
  <c r="L130" i="121"/>
  <c r="J130" i="121"/>
  <c r="M129" i="121"/>
  <c r="J129" i="121"/>
  <c r="M128" i="121"/>
  <c r="J128" i="121"/>
  <c r="M127" i="121"/>
  <c r="M126" i="121"/>
  <c r="M125" i="121"/>
  <c r="M124" i="121"/>
  <c r="M123" i="121"/>
  <c r="M122" i="121"/>
  <c r="M121" i="121"/>
  <c r="M120" i="121"/>
  <c r="M119" i="121"/>
  <c r="M118" i="121"/>
  <c r="M117" i="121"/>
  <c r="M116" i="121"/>
  <c r="M115" i="121"/>
  <c r="P114" i="121"/>
  <c r="P133" i="121" s="1"/>
  <c r="M113" i="121"/>
  <c r="M112" i="121"/>
  <c r="M111" i="121"/>
  <c r="M110" i="121"/>
  <c r="M109" i="121"/>
  <c r="M108" i="121"/>
  <c r="M107" i="121"/>
  <c r="M106" i="121"/>
  <c r="T104" i="121"/>
  <c r="T105" i="121" s="1"/>
  <c r="P103" i="121"/>
  <c r="M103" i="121" s="1"/>
  <c r="M102" i="121"/>
  <c r="M101" i="121"/>
  <c r="M100" i="121"/>
  <c r="M99" i="121"/>
  <c r="P98" i="121"/>
  <c r="M98" i="121" s="1"/>
  <c r="P97" i="121"/>
  <c r="P104" i="121" s="1"/>
  <c r="M95" i="121"/>
  <c r="M94" i="121"/>
  <c r="M93" i="121"/>
  <c r="M92" i="121"/>
  <c r="M91" i="121"/>
  <c r="P90" i="121"/>
  <c r="P89" i="121"/>
  <c r="T87" i="121"/>
  <c r="T88" i="121" s="1"/>
  <c r="P86" i="121"/>
  <c r="M86" i="121" s="1"/>
  <c r="P85" i="121"/>
  <c r="M85" i="121" s="1"/>
  <c r="M84" i="121"/>
  <c r="M83" i="121"/>
  <c r="M82" i="121"/>
  <c r="P81" i="121"/>
  <c r="P80" i="121"/>
  <c r="M79" i="121"/>
  <c r="M78" i="121"/>
  <c r="M77" i="121"/>
  <c r="M76" i="121"/>
  <c r="M75" i="121"/>
  <c r="M74" i="121"/>
  <c r="M73" i="121"/>
  <c r="M72" i="121"/>
  <c r="M71" i="121"/>
  <c r="P69" i="121"/>
  <c r="P70" i="121" s="1"/>
  <c r="M68" i="121"/>
  <c r="M67" i="121"/>
  <c r="M66" i="121"/>
  <c r="M65" i="121"/>
  <c r="M64" i="121"/>
  <c r="M63" i="121"/>
  <c r="M62" i="121"/>
  <c r="S61" i="121"/>
  <c r="P61" i="121"/>
  <c r="O61" i="121"/>
  <c r="N61" i="121"/>
  <c r="M61" i="121" s="1"/>
  <c r="M60" i="121"/>
  <c r="M59" i="121"/>
  <c r="M58" i="121"/>
  <c r="M57" i="121"/>
  <c r="M56" i="121"/>
  <c r="M55" i="121"/>
  <c r="M54" i="121"/>
  <c r="M53" i="121"/>
  <c r="S52" i="121"/>
  <c r="M52" i="121" s="1"/>
  <c r="L52" i="121"/>
  <c r="J52" i="121"/>
  <c r="H52" i="121"/>
  <c r="G52" i="121"/>
  <c r="F52" i="121"/>
  <c r="M51" i="121"/>
  <c r="T50" i="121"/>
  <c r="S50" i="121"/>
  <c r="P50" i="121"/>
  <c r="N48" i="121"/>
  <c r="M48" i="121" s="1"/>
  <c r="M47" i="121"/>
  <c r="M46" i="121"/>
  <c r="M45" i="121"/>
  <c r="M44" i="121"/>
  <c r="P43" i="121"/>
  <c r="O43" i="121"/>
  <c r="N43" i="121"/>
  <c r="M42" i="121"/>
  <c r="M41" i="121"/>
  <c r="M40" i="121"/>
  <c r="M39" i="121"/>
  <c r="L39" i="121"/>
  <c r="K39" i="121"/>
  <c r="J39" i="121"/>
  <c r="M38" i="121"/>
  <c r="M37" i="121"/>
  <c r="M36" i="121"/>
  <c r="Y35" i="121"/>
  <c r="T35" i="121"/>
  <c r="S35" i="121"/>
  <c r="R35" i="121"/>
  <c r="P35" i="121"/>
  <c r="O35" i="121"/>
  <c r="N35" i="121"/>
  <c r="I35" i="121"/>
  <c r="I271" i="121" s="1"/>
  <c r="B35" i="121"/>
  <c r="U32" i="121"/>
  <c r="M32" i="121"/>
  <c r="L32" i="121"/>
  <c r="K32" i="121"/>
  <c r="J32" i="121"/>
  <c r="H32" i="121"/>
  <c r="G32" i="121"/>
  <c r="F32" i="121"/>
  <c r="M31" i="121"/>
  <c r="M30" i="121"/>
  <c r="M29" i="121"/>
  <c r="M28" i="121"/>
  <c r="J28" i="121"/>
  <c r="M27" i="121"/>
  <c r="M26" i="121"/>
  <c r="M25" i="121"/>
  <c r="M24" i="121"/>
  <c r="M23" i="121"/>
  <c r="M22" i="121"/>
  <c r="M21" i="121"/>
  <c r="M20" i="121"/>
  <c r="M19" i="121"/>
  <c r="M18" i="121"/>
  <c r="M17" i="121"/>
  <c r="M16" i="121"/>
  <c r="M15" i="121"/>
  <c r="M14" i="121"/>
  <c r="M13" i="121"/>
  <c r="M12" i="121"/>
  <c r="M11" i="121"/>
  <c r="M97" i="121" l="1"/>
  <c r="M266" i="121"/>
  <c r="N230" i="121"/>
  <c r="M177" i="121"/>
  <c r="I230" i="121"/>
  <c r="Y230" i="121"/>
  <c r="Y267" i="121" s="1"/>
  <c r="E32" i="121"/>
  <c r="M35" i="121"/>
  <c r="Y271" i="121"/>
  <c r="N200" i="121"/>
  <c r="M215" i="121"/>
  <c r="M245" i="121"/>
  <c r="M269" i="121"/>
  <c r="M69" i="121"/>
  <c r="M229" i="121"/>
  <c r="M250" i="121"/>
  <c r="M263" i="121"/>
  <c r="W270" i="121"/>
  <c r="M50" i="121"/>
  <c r="M43" i="121"/>
  <c r="M70" i="121"/>
  <c r="M104" i="121"/>
  <c r="P87" i="121"/>
  <c r="O267" i="121"/>
  <c r="M89" i="121"/>
  <c r="M90" i="121"/>
  <c r="P96" i="121"/>
  <c r="P105" i="121" s="1"/>
  <c r="M80" i="121"/>
  <c r="M81" i="121"/>
  <c r="M114" i="121"/>
  <c r="P165" i="121"/>
  <c r="M165" i="121" s="1"/>
  <c r="M161" i="121"/>
  <c r="M133" i="121"/>
  <c r="M147" i="121"/>
  <c r="S174" i="121"/>
  <c r="P200" i="121"/>
  <c r="M191" i="121"/>
  <c r="T200" i="121"/>
  <c r="S200" i="121"/>
  <c r="S267" i="121" s="1"/>
  <c r="T230" i="121"/>
  <c r="P264" i="121"/>
  <c r="M199" i="121"/>
  <c r="AB228" i="121"/>
  <c r="L228" i="122" s="1"/>
  <c r="P230" i="121"/>
  <c r="M235" i="121"/>
  <c r="M249" i="121"/>
  <c r="N258" i="121"/>
  <c r="R270" i="121"/>
  <c r="M251" i="121"/>
  <c r="AB228" i="122" l="1"/>
  <c r="M105" i="121"/>
  <c r="M230" i="121"/>
  <c r="M258" i="121"/>
  <c r="N264" i="121"/>
  <c r="M270" i="121"/>
  <c r="T267" i="121"/>
  <c r="M200" i="121"/>
  <c r="M174" i="121"/>
  <c r="M87" i="121"/>
  <c r="P88" i="121"/>
  <c r="M96" i="121"/>
  <c r="O271" i="121"/>
  <c r="S271" i="121"/>
  <c r="T271" i="121" l="1"/>
  <c r="M88" i="121"/>
  <c r="N267" i="121"/>
  <c r="M264" i="121"/>
  <c r="P267" i="121"/>
  <c r="P271" i="121" l="1"/>
  <c r="M267" i="121"/>
  <c r="M271" i="121" s="1"/>
  <c r="N271" i="121"/>
  <c r="CH86" i="11" l="1"/>
  <c r="CD86" i="11" l="1"/>
  <c r="CH79" i="11"/>
  <c r="CH81" i="11" s="1"/>
  <c r="CD79" i="11"/>
  <c r="CC101" i="11"/>
  <c r="B34" i="120"/>
  <c r="D34" i="120" s="1"/>
  <c r="J38" i="120"/>
  <c r="E37" i="120"/>
  <c r="F36" i="120"/>
  <c r="H36" i="120" s="1"/>
  <c r="D36" i="120"/>
  <c r="J36" i="120" s="1"/>
  <c r="B36" i="120"/>
  <c r="I35" i="120"/>
  <c r="I36" i="120" s="1"/>
  <c r="G35" i="120"/>
  <c r="G37" i="120" s="1"/>
  <c r="F35" i="120"/>
  <c r="C35" i="120"/>
  <c r="C37" i="120" s="1"/>
  <c r="B35" i="120"/>
  <c r="H34" i="120"/>
  <c r="F34" i="120"/>
  <c r="B37" i="120"/>
  <c r="C29" i="120"/>
  <c r="I28" i="120"/>
  <c r="E28" i="120"/>
  <c r="J28" i="120" s="1"/>
  <c r="I27" i="120"/>
  <c r="E27" i="120"/>
  <c r="J27" i="120" s="1"/>
  <c r="I26" i="120"/>
  <c r="E26" i="120"/>
  <c r="J26" i="120" s="1"/>
  <c r="G25" i="120"/>
  <c r="G30" i="120" s="1"/>
  <c r="F25" i="120"/>
  <c r="C25" i="120"/>
  <c r="B25" i="120"/>
  <c r="E24" i="120"/>
  <c r="G12" i="120"/>
  <c r="F12" i="120"/>
  <c r="C12" i="120"/>
  <c r="G14" i="120" s="1"/>
  <c r="B12" i="120"/>
  <c r="I11" i="120"/>
  <c r="E11" i="120"/>
  <c r="D37" i="120" l="1"/>
  <c r="C30" i="120"/>
  <c r="H35" i="120"/>
  <c r="H37" i="120" s="1"/>
  <c r="I29" i="120"/>
  <c r="F37" i="120"/>
  <c r="BY140" i="13"/>
  <c r="BN101" i="11"/>
  <c r="E29" i="120"/>
  <c r="D35" i="120"/>
  <c r="J35" i="120" s="1"/>
  <c r="H41" i="120" l="1"/>
  <c r="N30" i="120" s="1"/>
  <c r="H39" i="120"/>
  <c r="K30" i="120"/>
  <c r="J34" i="120"/>
  <c r="J29" i="120"/>
  <c r="H44" i="120" l="1"/>
  <c r="H45" i="120" s="1"/>
  <c r="H22" i="120" s="1"/>
  <c r="I22" i="120" s="1"/>
  <c r="H40" i="120"/>
  <c r="H42" i="120" s="1"/>
  <c r="J41" i="120"/>
  <c r="D39" i="120"/>
  <c r="D44" i="120"/>
  <c r="D45" i="120" s="1"/>
  <c r="D22" i="120" s="1"/>
  <c r="J37" i="120"/>
  <c r="H23" i="120"/>
  <c r="I23" i="120" s="1"/>
  <c r="H9" i="120"/>
  <c r="I9" i="120" l="1"/>
  <c r="H10" i="120"/>
  <c r="I10" i="120" s="1"/>
  <c r="O30" i="120"/>
  <c r="CB139" i="13" s="1"/>
  <c r="M30" i="120"/>
  <c r="E22" i="120"/>
  <c r="D9" i="120"/>
  <c r="E9" i="120" s="1"/>
  <c r="D23" i="120"/>
  <c r="I25" i="120"/>
  <c r="I30" i="120" s="1"/>
  <c r="D40" i="120"/>
  <c r="J40" i="120" s="1"/>
  <c r="J39" i="120"/>
  <c r="CB41" i="13" s="1"/>
  <c r="C63" i="63" s="1"/>
  <c r="G31" i="120" l="1"/>
  <c r="E23" i="120"/>
  <c r="D10" i="120"/>
  <c r="E10" i="120" s="1"/>
  <c r="E12" i="120" s="1"/>
  <c r="J12" i="120" s="1"/>
  <c r="BY139" i="13" s="1"/>
  <c r="D42" i="120"/>
  <c r="E25" i="120"/>
  <c r="I12" i="120"/>
  <c r="L12" i="120" l="1"/>
  <c r="J14" i="120"/>
  <c r="N12" i="120"/>
  <c r="J25" i="120"/>
  <c r="E30" i="120"/>
  <c r="J30" i="120" s="1"/>
  <c r="N31" i="120"/>
  <c r="N32" i="120" s="1"/>
  <c r="J42" i="120"/>
  <c r="I31" i="120" l="1"/>
  <c r="CC123" i="19" l="1"/>
  <c r="CC91" i="19"/>
  <c r="CD119" i="19" l="1"/>
  <c r="AO58" i="19"/>
  <c r="CD32" i="19"/>
  <c r="CD37" i="19"/>
  <c r="CC121" i="19"/>
  <c r="CD15" i="11" l="1"/>
  <c r="CC125" i="19"/>
  <c r="BN104" i="19"/>
  <c r="BC104" i="19" s="1"/>
  <c r="CD34" i="10" l="1"/>
  <c r="CD120" i="19" l="1"/>
  <c r="CD28" i="19"/>
  <c r="CM28" i="19" l="1"/>
  <c r="CC103" i="19" l="1"/>
  <c r="CD81" i="11" l="1"/>
  <c r="BN103" i="19" l="1"/>
  <c r="BC103" i="19" s="1"/>
  <c r="BN102" i="19"/>
  <c r="BC102" i="19" l="1"/>
  <c r="CB43" i="13" l="1"/>
  <c r="CD14" i="11" l="1"/>
  <c r="CD19" i="11" l="1"/>
  <c r="BN101" i="19" l="1"/>
  <c r="BC101" i="19" s="1"/>
  <c r="CH119" i="19" l="1"/>
  <c r="CH100" i="19"/>
  <c r="CH105" i="19" s="1"/>
  <c r="CB135" i="13" s="1"/>
  <c r="BN100" i="19" l="1"/>
  <c r="BC100" i="19" s="1"/>
  <c r="CD58" i="19"/>
  <c r="AO81" i="19"/>
  <c r="CD64" i="19"/>
  <c r="CC90" i="11" l="1"/>
  <c r="BN31" i="11"/>
  <c r="BY36" i="13"/>
  <c r="E224" i="117" l="1"/>
  <c r="E212" i="117"/>
  <c r="E213" i="117"/>
  <c r="E134" i="117"/>
  <c r="CD115" i="19" l="1"/>
  <c r="CC115" i="19"/>
  <c r="BN66" i="11"/>
  <c r="CC97" i="19"/>
  <c r="CH90" i="11" l="1"/>
  <c r="CJ86" i="11"/>
  <c r="CD37" i="18"/>
  <c r="CI25" i="10"/>
  <c r="F11" i="79" l="1"/>
  <c r="BP34" i="10" l="1"/>
  <c r="CD48" i="18" l="1"/>
  <c r="CD47" i="18"/>
  <c r="BP29" i="18" l="1"/>
  <c r="BP64" i="18"/>
  <c r="CD46" i="10"/>
  <c r="BP45" i="10"/>
  <c r="CD24" i="10"/>
  <c r="BP24" i="10" s="1"/>
  <c r="BP48" i="10"/>
  <c r="BP60" i="18"/>
  <c r="BP46" i="10" l="1"/>
  <c r="CD22" i="10"/>
  <c r="BP23" i="10"/>
  <c r="CH47" i="11" l="1"/>
  <c r="CI71" i="18" l="1"/>
  <c r="AJ56" i="18"/>
  <c r="AJ54" i="18"/>
  <c r="AJ53" i="18"/>
  <c r="AJ50" i="18"/>
  <c r="AJ49" i="18"/>
  <c r="CE35" i="18" l="1"/>
  <c r="CE36" i="18"/>
  <c r="CJ91" i="19" l="1"/>
  <c r="CJ114" i="19" l="1"/>
  <c r="AJ26" i="10" l="1"/>
  <c r="AJ25" i="10"/>
  <c r="CD52" i="10" l="1"/>
  <c r="BP52" i="10" s="1"/>
  <c r="CD53" i="10"/>
  <c r="BP53" i="10" s="1"/>
  <c r="CD54" i="10"/>
  <c r="BP54" i="10" s="1"/>
  <c r="CD55" i="10"/>
  <c r="BP55" i="10" s="1"/>
  <c r="BP59" i="10"/>
  <c r="CH58" i="18"/>
  <c r="CH57" i="18"/>
  <c r="BP57" i="18" s="1"/>
  <c r="AJ57" i="18"/>
  <c r="AJ58" i="18"/>
  <c r="AJ55" i="18"/>
  <c r="BP56" i="18"/>
  <c r="AJ57" i="10"/>
  <c r="BP57" i="10" s="1"/>
  <c r="AJ56" i="10"/>
  <c r="BP56" i="10" s="1"/>
  <c r="AJ51" i="10"/>
  <c r="BP51" i="10" s="1"/>
  <c r="AJ50" i="10"/>
  <c r="CD31" i="10"/>
  <c r="BP31" i="10" s="1"/>
  <c r="AJ28" i="10"/>
  <c r="AJ27" i="10"/>
  <c r="BP50" i="10" l="1"/>
  <c r="CD49" i="10"/>
  <c r="AJ29" i="10"/>
  <c r="BP58" i="10"/>
  <c r="BP49" i="10" l="1"/>
  <c r="CD47" i="10"/>
  <c r="CD60" i="10" s="1"/>
  <c r="BY157" i="13" s="1"/>
  <c r="CH63" i="18"/>
  <c r="BP63" i="18" s="1"/>
  <c r="CH62" i="18"/>
  <c r="CD62" i="18" s="1"/>
  <c r="CD65" i="18" s="1"/>
  <c r="CH54" i="18"/>
  <c r="CH53" i="18"/>
  <c r="AJ52" i="18"/>
  <c r="AJ51" i="18"/>
  <c r="BP48" i="18"/>
  <c r="CH50" i="18"/>
  <c r="BP50" i="18" s="1"/>
  <c r="CH49" i="18"/>
  <c r="AJ47" i="18"/>
  <c r="BP54" i="18"/>
  <c r="BP47" i="10" l="1"/>
  <c r="BP60" i="10" s="1"/>
  <c r="CH65" i="18"/>
  <c r="BP52" i="18"/>
  <c r="CH26" i="18" l="1"/>
  <c r="BP26" i="18" s="1"/>
  <c r="CH25" i="18"/>
  <c r="CD25" i="18" s="1"/>
  <c r="CH23" i="18"/>
  <c r="CH22" i="18"/>
  <c r="AJ22" i="18"/>
  <c r="CH20" i="18"/>
  <c r="BP20" i="18" s="1"/>
  <c r="CH19" i="18"/>
  <c r="AJ19" i="18"/>
  <c r="CH21" i="18" l="1"/>
  <c r="AJ25" i="18"/>
  <c r="AJ24" i="18"/>
  <c r="AT20" i="18"/>
  <c r="H277" i="117" l="1"/>
  <c r="AB272" i="117"/>
  <c r="H272" i="117"/>
  <c r="AB271" i="117"/>
  <c r="AB270" i="117"/>
  <c r="AB269" i="117"/>
  <c r="AB268" i="117"/>
  <c r="Q267" i="117"/>
  <c r="S266" i="117"/>
  <c r="G266" i="117"/>
  <c r="Y265" i="117"/>
  <c r="Y266" i="117" s="1"/>
  <c r="T265" i="117"/>
  <c r="R265" i="117"/>
  <c r="P265" i="117"/>
  <c r="O265" i="117"/>
  <c r="O266" i="117" s="1"/>
  <c r="N265" i="117"/>
  <c r="N266" i="117" s="1"/>
  <c r="G265" i="117"/>
  <c r="M264" i="117"/>
  <c r="G264" i="117"/>
  <c r="W264" i="117" s="1"/>
  <c r="S262" i="117"/>
  <c r="R262" i="117"/>
  <c r="O262" i="117"/>
  <c r="M261" i="117"/>
  <c r="T259" i="117"/>
  <c r="P259" i="117"/>
  <c r="M258" i="117"/>
  <c r="M257" i="117"/>
  <c r="M256" i="117"/>
  <c r="M255" i="117"/>
  <c r="Y254" i="117"/>
  <c r="P254" i="117"/>
  <c r="N254" i="117"/>
  <c r="I254" i="117"/>
  <c r="M253" i="117"/>
  <c r="K253" i="117"/>
  <c r="G253" i="117"/>
  <c r="M252" i="117"/>
  <c r="M251" i="117"/>
  <c r="L251" i="117"/>
  <c r="K251" i="117"/>
  <c r="J251" i="117"/>
  <c r="H251" i="117"/>
  <c r="G251" i="117"/>
  <c r="M250" i="117"/>
  <c r="M249" i="117"/>
  <c r="M248" i="117"/>
  <c r="M247" i="117"/>
  <c r="T246" i="117"/>
  <c r="T254" i="117" s="1"/>
  <c r="Y245" i="117"/>
  <c r="T245" i="117"/>
  <c r="P245" i="117"/>
  <c r="N245" i="117"/>
  <c r="I245" i="117"/>
  <c r="M244" i="117"/>
  <c r="M243" i="117"/>
  <c r="M242" i="117"/>
  <c r="M241" i="117"/>
  <c r="T240" i="117"/>
  <c r="M239" i="117"/>
  <c r="M238" i="117"/>
  <c r="M237" i="117"/>
  <c r="P236" i="117"/>
  <c r="N236" i="117"/>
  <c r="M235" i="117"/>
  <c r="M234" i="117"/>
  <c r="M233" i="117"/>
  <c r="M232" i="117"/>
  <c r="M231" i="117"/>
  <c r="M230" i="117"/>
  <c r="P229" i="117"/>
  <c r="M229" i="117" s="1"/>
  <c r="M228" i="117"/>
  <c r="M227" i="117"/>
  <c r="Y225" i="117"/>
  <c r="T225" i="117"/>
  <c r="T226" i="117" s="1"/>
  <c r="S225" i="117"/>
  <c r="S226" i="117" s="1"/>
  <c r="Q225" i="117"/>
  <c r="P225" i="117"/>
  <c r="N225" i="117"/>
  <c r="I225" i="117"/>
  <c r="AA224" i="117"/>
  <c r="K228" i="121" s="1"/>
  <c r="V224" i="117"/>
  <c r="F223" i="121" s="1"/>
  <c r="V223" i="121" s="1"/>
  <c r="F223" i="122" s="1"/>
  <c r="V223" i="122" s="1"/>
  <c r="M224" i="117"/>
  <c r="U224" i="117" s="1"/>
  <c r="M223" i="117"/>
  <c r="M222" i="117"/>
  <c r="M221" i="117"/>
  <c r="M220" i="117"/>
  <c r="M219" i="117"/>
  <c r="M218" i="117"/>
  <c r="M217" i="117"/>
  <c r="M216" i="117"/>
  <c r="M215" i="117"/>
  <c r="Y214" i="117"/>
  <c r="N214" i="117"/>
  <c r="I214" i="117"/>
  <c r="I226" i="117" s="1"/>
  <c r="V213" i="117"/>
  <c r="F211" i="121" s="1"/>
  <c r="M213" i="117"/>
  <c r="U213" i="117" s="1"/>
  <c r="V212" i="117"/>
  <c r="F210" i="121" s="1"/>
  <c r="M212" i="117"/>
  <c r="U212" i="117" s="1"/>
  <c r="M211" i="117"/>
  <c r="M210" i="117"/>
  <c r="M209" i="117"/>
  <c r="M208" i="117"/>
  <c r="M207" i="117"/>
  <c r="M206" i="117"/>
  <c r="M205" i="117"/>
  <c r="M204" i="117"/>
  <c r="M203" i="117"/>
  <c r="R202" i="117"/>
  <c r="T201" i="117"/>
  <c r="S201" i="117"/>
  <c r="P201" i="117"/>
  <c r="N201" i="117"/>
  <c r="M200" i="117"/>
  <c r="J200" i="117"/>
  <c r="H200" i="117"/>
  <c r="M199" i="117"/>
  <c r="M198" i="117"/>
  <c r="M197" i="117"/>
  <c r="M196" i="117"/>
  <c r="M195" i="117"/>
  <c r="M194" i="117"/>
  <c r="S193" i="117"/>
  <c r="N193" i="117"/>
  <c r="M192" i="117"/>
  <c r="M191" i="117"/>
  <c r="M190" i="117"/>
  <c r="M189" i="117"/>
  <c r="M188" i="117"/>
  <c r="M187" i="117"/>
  <c r="M186" i="117"/>
  <c r="M185" i="117"/>
  <c r="M184" i="117"/>
  <c r="M183" i="117"/>
  <c r="M182" i="117"/>
  <c r="P181" i="117"/>
  <c r="M181" i="117" s="1"/>
  <c r="M180" i="117"/>
  <c r="M179" i="117"/>
  <c r="M178" i="117"/>
  <c r="M177" i="117"/>
  <c r="T176" i="117"/>
  <c r="S176" i="117"/>
  <c r="M175" i="117"/>
  <c r="AB174" i="117"/>
  <c r="L172" i="121" s="1"/>
  <c r="X174" i="117"/>
  <c r="H172" i="121" s="1"/>
  <c r="X172" i="121" s="1"/>
  <c r="H172" i="122" s="1"/>
  <c r="X172" i="122" s="1"/>
  <c r="W174" i="117"/>
  <c r="G172" i="121" s="1"/>
  <c r="W172" i="121" s="1"/>
  <c r="G172" i="122" s="1"/>
  <c r="W172" i="122" s="1"/>
  <c r="V174" i="117"/>
  <c r="F172" i="121" s="1"/>
  <c r="V172" i="121" s="1"/>
  <c r="F172" i="122" s="1"/>
  <c r="V172" i="122" s="1"/>
  <c r="M174" i="117"/>
  <c r="U174" i="117" s="1"/>
  <c r="M173" i="117"/>
  <c r="P172" i="117"/>
  <c r="P171" i="117"/>
  <c r="M171" i="117" s="1"/>
  <c r="M170" i="117"/>
  <c r="M169" i="117"/>
  <c r="M168" i="117"/>
  <c r="S166" i="117"/>
  <c r="M166" i="117" s="1"/>
  <c r="J166" i="117"/>
  <c r="G166" i="117"/>
  <c r="F166" i="117"/>
  <c r="M165" i="117"/>
  <c r="L165" i="117"/>
  <c r="J165" i="117"/>
  <c r="H165" i="117"/>
  <c r="G165" i="117"/>
  <c r="F165" i="117"/>
  <c r="M164" i="117"/>
  <c r="T163" i="117"/>
  <c r="T167" i="117" s="1"/>
  <c r="S163" i="117"/>
  <c r="R163" i="117"/>
  <c r="M162" i="117"/>
  <c r="L162" i="117"/>
  <c r="K162" i="117"/>
  <c r="J162" i="117"/>
  <c r="G162" i="117"/>
  <c r="F162" i="117"/>
  <c r="M161" i="117"/>
  <c r="L161" i="117"/>
  <c r="M160" i="117"/>
  <c r="L160" i="117"/>
  <c r="M159" i="117"/>
  <c r="L159" i="117"/>
  <c r="M158" i="117"/>
  <c r="M157" i="117"/>
  <c r="M156" i="117"/>
  <c r="M155" i="117"/>
  <c r="M154" i="117"/>
  <c r="M153" i="117"/>
  <c r="M152" i="117"/>
  <c r="M151" i="117"/>
  <c r="M150" i="117"/>
  <c r="P149" i="117"/>
  <c r="M149" i="117" s="1"/>
  <c r="P148" i="117"/>
  <c r="M147" i="117"/>
  <c r="M146" i="117"/>
  <c r="M145" i="117"/>
  <c r="M144" i="117"/>
  <c r="M143" i="117"/>
  <c r="M142" i="117"/>
  <c r="M141" i="117"/>
  <c r="M140" i="117"/>
  <c r="M139" i="117"/>
  <c r="M138" i="117"/>
  <c r="M137" i="117"/>
  <c r="M136" i="117"/>
  <c r="N135" i="117"/>
  <c r="N167" i="117" s="1"/>
  <c r="AA134" i="117"/>
  <c r="K132" i="121" s="1"/>
  <c r="X134" i="117"/>
  <c r="H132" i="121" s="1"/>
  <c r="X132" i="121" s="1"/>
  <c r="H132" i="122" s="1"/>
  <c r="X132" i="122" s="1"/>
  <c r="W134" i="117"/>
  <c r="G132" i="121" s="1"/>
  <c r="W132" i="121" s="1"/>
  <c r="G132" i="122" s="1"/>
  <c r="W132" i="122" s="1"/>
  <c r="V134" i="117"/>
  <c r="F132" i="121" s="1"/>
  <c r="V132" i="121" s="1"/>
  <c r="F132" i="122" s="1"/>
  <c r="V132" i="122" s="1"/>
  <c r="M134" i="117"/>
  <c r="U134" i="117" s="1"/>
  <c r="M133" i="117"/>
  <c r="L133" i="117"/>
  <c r="J133" i="117"/>
  <c r="H133" i="117"/>
  <c r="X133" i="117" s="1"/>
  <c r="H131" i="121" s="1"/>
  <c r="X131" i="121" s="1"/>
  <c r="H131" i="122" s="1"/>
  <c r="X131" i="122" s="1"/>
  <c r="G133" i="117"/>
  <c r="W133" i="117" s="1"/>
  <c r="G131" i="121" s="1"/>
  <c r="W131" i="121" s="1"/>
  <c r="G131" i="122" s="1"/>
  <c r="W131" i="122" s="1"/>
  <c r="F133" i="117"/>
  <c r="V133" i="117" s="1"/>
  <c r="F131" i="121" s="1"/>
  <c r="V131" i="121" s="1"/>
  <c r="F131" i="122" s="1"/>
  <c r="V131" i="122" s="1"/>
  <c r="S132" i="117"/>
  <c r="L132" i="117"/>
  <c r="J132" i="117"/>
  <c r="G132" i="117"/>
  <c r="W132" i="117" s="1"/>
  <c r="G130" i="121" s="1"/>
  <c r="W130" i="121" s="1"/>
  <c r="G130" i="122" s="1"/>
  <c r="W130" i="122" s="1"/>
  <c r="F132" i="117"/>
  <c r="V132" i="117" s="1"/>
  <c r="F130" i="121" s="1"/>
  <c r="V130" i="121" s="1"/>
  <c r="F130" i="122" s="1"/>
  <c r="V130" i="122" s="1"/>
  <c r="M131" i="117"/>
  <c r="J131" i="117"/>
  <c r="M130" i="117"/>
  <c r="J130" i="117"/>
  <c r="M129" i="117"/>
  <c r="M128" i="117"/>
  <c r="M127" i="117"/>
  <c r="M126" i="117"/>
  <c r="M125" i="117"/>
  <c r="P124" i="117"/>
  <c r="M124" i="117" s="1"/>
  <c r="M123" i="117"/>
  <c r="M122" i="117"/>
  <c r="P121" i="117"/>
  <c r="M120" i="117"/>
  <c r="M119" i="117"/>
  <c r="M118" i="117"/>
  <c r="P117" i="117"/>
  <c r="M117" i="117" s="1"/>
  <c r="M116" i="117"/>
  <c r="M115" i="117"/>
  <c r="M114" i="117"/>
  <c r="M113" i="117"/>
  <c r="M112" i="117"/>
  <c r="M111" i="117"/>
  <c r="M110" i="117"/>
  <c r="M109" i="117"/>
  <c r="M108" i="117"/>
  <c r="T106" i="117"/>
  <c r="T107" i="117" s="1"/>
  <c r="M105" i="117"/>
  <c r="M104" i="117"/>
  <c r="M103" i="117"/>
  <c r="M102" i="117"/>
  <c r="M101" i="117"/>
  <c r="M100" i="117"/>
  <c r="M99" i="117"/>
  <c r="M98" i="117"/>
  <c r="M97" i="117"/>
  <c r="M96" i="117"/>
  <c r="M95" i="117"/>
  <c r="M94" i="117"/>
  <c r="M93" i="117"/>
  <c r="M92" i="117"/>
  <c r="M91" i="117"/>
  <c r="M88" i="117"/>
  <c r="M87" i="117"/>
  <c r="M86" i="117"/>
  <c r="M85" i="117"/>
  <c r="M84" i="117"/>
  <c r="T83" i="117"/>
  <c r="M83" i="117" s="1"/>
  <c r="M82" i="117"/>
  <c r="T81" i="117"/>
  <c r="M80" i="117"/>
  <c r="M79" i="117"/>
  <c r="M78" i="117"/>
  <c r="M77" i="117"/>
  <c r="M76" i="117"/>
  <c r="M75" i="117"/>
  <c r="M74" i="117"/>
  <c r="M73" i="117"/>
  <c r="M72" i="117"/>
  <c r="M71" i="117"/>
  <c r="M70" i="117"/>
  <c r="P68" i="117"/>
  <c r="P69" i="117" s="1"/>
  <c r="M67" i="117"/>
  <c r="M66" i="117"/>
  <c r="M65" i="117"/>
  <c r="M64" i="117"/>
  <c r="M63" i="117"/>
  <c r="M62" i="117"/>
  <c r="M61" i="117"/>
  <c r="S60" i="117"/>
  <c r="P60" i="117"/>
  <c r="O60" i="117"/>
  <c r="N60" i="117"/>
  <c r="M59" i="117"/>
  <c r="M58" i="117"/>
  <c r="M57" i="117"/>
  <c r="AB56" i="117"/>
  <c r="L57" i="121" s="1"/>
  <c r="AA56" i="117"/>
  <c r="K57" i="121" s="1"/>
  <c r="AA57" i="121" s="1"/>
  <c r="K57" i="122" s="1"/>
  <c r="AA57" i="122" s="1"/>
  <c r="Z56" i="117"/>
  <c r="J57" i="121" s="1"/>
  <c r="Z57" i="121" s="1"/>
  <c r="J57" i="122" s="1"/>
  <c r="Z57" i="122" s="1"/>
  <c r="X56" i="117"/>
  <c r="H57" i="121" s="1"/>
  <c r="X57" i="121" s="1"/>
  <c r="H57" i="122" s="1"/>
  <c r="X57" i="122" s="1"/>
  <c r="W56" i="117"/>
  <c r="G57" i="121" s="1"/>
  <c r="W57" i="121" s="1"/>
  <c r="G57" i="122" s="1"/>
  <c r="W57" i="122" s="1"/>
  <c r="V56" i="117"/>
  <c r="F57" i="121" s="1"/>
  <c r="V57" i="121" s="1"/>
  <c r="F57" i="122" s="1"/>
  <c r="V57" i="122" s="1"/>
  <c r="M56" i="117"/>
  <c r="U56" i="117" s="1"/>
  <c r="M55" i="117"/>
  <c r="AB54" i="117"/>
  <c r="L55" i="121" s="1"/>
  <c r="AA54" i="117"/>
  <c r="K55" i="121" s="1"/>
  <c r="AA55" i="121" s="1"/>
  <c r="K55" i="122" s="1"/>
  <c r="AA55" i="122" s="1"/>
  <c r="Z54" i="117"/>
  <c r="J55" i="121" s="1"/>
  <c r="Z55" i="121" s="1"/>
  <c r="J55" i="122" s="1"/>
  <c r="Z55" i="122" s="1"/>
  <c r="X54" i="117"/>
  <c r="H55" i="121" s="1"/>
  <c r="X55" i="121" s="1"/>
  <c r="H55" i="122" s="1"/>
  <c r="X55" i="122" s="1"/>
  <c r="W54" i="117"/>
  <c r="G55" i="121" s="1"/>
  <c r="W55" i="121" s="1"/>
  <c r="G55" i="122" s="1"/>
  <c r="W55" i="122" s="1"/>
  <c r="V54" i="117"/>
  <c r="F55" i="121" s="1"/>
  <c r="V55" i="121" s="1"/>
  <c r="F55" i="122" s="1"/>
  <c r="V55" i="122" s="1"/>
  <c r="M54" i="117"/>
  <c r="U54" i="117" s="1"/>
  <c r="M53" i="117"/>
  <c r="M52" i="117"/>
  <c r="S51" i="117"/>
  <c r="M51" i="117" s="1"/>
  <c r="U51" i="117" s="1"/>
  <c r="AB50" i="117"/>
  <c r="L51" i="121" s="1"/>
  <c r="AA50" i="117"/>
  <c r="K51" i="121" s="1"/>
  <c r="AA51" i="121" s="1"/>
  <c r="Z50" i="117"/>
  <c r="J51" i="121" s="1"/>
  <c r="Z51" i="121" s="1"/>
  <c r="J51" i="122" s="1"/>
  <c r="Z51" i="122" s="1"/>
  <c r="X50" i="117"/>
  <c r="H51" i="121" s="1"/>
  <c r="X51" i="121" s="1"/>
  <c r="H51" i="122" s="1"/>
  <c r="X51" i="122" s="1"/>
  <c r="W50" i="117"/>
  <c r="G51" i="121" s="1"/>
  <c r="W51" i="121" s="1"/>
  <c r="G51" i="122" s="1"/>
  <c r="W51" i="122" s="1"/>
  <c r="V50" i="117"/>
  <c r="F51" i="121" s="1"/>
  <c r="V51" i="121" s="1"/>
  <c r="F51" i="122" s="1"/>
  <c r="V51" i="122" s="1"/>
  <c r="M50" i="117"/>
  <c r="U50" i="117" s="1"/>
  <c r="T49" i="117"/>
  <c r="S49" i="117"/>
  <c r="P49" i="117"/>
  <c r="M47" i="117"/>
  <c r="M46" i="117"/>
  <c r="M45" i="117"/>
  <c r="M44" i="117"/>
  <c r="M43" i="117"/>
  <c r="P42" i="117"/>
  <c r="O42" i="117"/>
  <c r="N42" i="117"/>
  <c r="M41" i="117"/>
  <c r="M40" i="117"/>
  <c r="M39" i="117"/>
  <c r="X38" i="117"/>
  <c r="H39" i="121" s="1"/>
  <c r="W38" i="117"/>
  <c r="G39" i="121" s="1"/>
  <c r="W39" i="121" s="1"/>
  <c r="G39" i="122" s="1"/>
  <c r="W39" i="122" s="1"/>
  <c r="V38" i="117"/>
  <c r="F39" i="121" s="1"/>
  <c r="V39" i="121" s="1"/>
  <c r="F39" i="122" s="1"/>
  <c r="V39" i="122" s="1"/>
  <c r="M38" i="117"/>
  <c r="U38" i="117" s="1"/>
  <c r="AB37" i="117"/>
  <c r="L38" i="121" s="1"/>
  <c r="AA37" i="117"/>
  <c r="K38" i="121" s="1"/>
  <c r="AA38" i="121" s="1"/>
  <c r="K38" i="122" s="1"/>
  <c r="AA38" i="122" s="1"/>
  <c r="Z37" i="117"/>
  <c r="J38" i="121" s="1"/>
  <c r="Z38" i="121" s="1"/>
  <c r="J38" i="122" s="1"/>
  <c r="Z38" i="122" s="1"/>
  <c r="X37" i="117"/>
  <c r="H38" i="121" s="1"/>
  <c r="X38" i="121" s="1"/>
  <c r="H38" i="122" s="1"/>
  <c r="X38" i="122" s="1"/>
  <c r="W37" i="117"/>
  <c r="G38" i="121" s="1"/>
  <c r="W38" i="121" s="1"/>
  <c r="G38" i="122" s="1"/>
  <c r="W38" i="122" s="1"/>
  <c r="V37" i="117"/>
  <c r="F38" i="121" s="1"/>
  <c r="V38" i="121" s="1"/>
  <c r="F38" i="122" s="1"/>
  <c r="V38" i="122" s="1"/>
  <c r="M37" i="117"/>
  <c r="U37" i="117" s="1"/>
  <c r="W36" i="117"/>
  <c r="G37" i="121" s="1"/>
  <c r="W37" i="121" s="1"/>
  <c r="G37" i="122" s="1"/>
  <c r="W37" i="122" s="1"/>
  <c r="M36" i="117"/>
  <c r="M35" i="117"/>
  <c r="Y34" i="117"/>
  <c r="T34" i="117"/>
  <c r="R34" i="117"/>
  <c r="P34" i="117"/>
  <c r="O34" i="117"/>
  <c r="N34" i="117"/>
  <c r="I34" i="117"/>
  <c r="I267" i="117" s="1"/>
  <c r="B34" i="117"/>
  <c r="U32" i="117"/>
  <c r="M32" i="117"/>
  <c r="L32" i="117"/>
  <c r="K32" i="117"/>
  <c r="J32" i="117"/>
  <c r="H32" i="117"/>
  <c r="G32" i="117"/>
  <c r="F32" i="117"/>
  <c r="M31" i="117"/>
  <c r="M30" i="117"/>
  <c r="M29" i="117"/>
  <c r="S28" i="117"/>
  <c r="M28" i="117" s="1"/>
  <c r="J28" i="117"/>
  <c r="AB27" i="117"/>
  <c r="L27" i="121" s="1"/>
  <c r="AB27" i="121" s="1"/>
  <c r="L27" i="122" s="1"/>
  <c r="AB27" i="122" s="1"/>
  <c r="AA27" i="117"/>
  <c r="K27" i="121" s="1"/>
  <c r="AA27" i="121" s="1"/>
  <c r="K27" i="122" s="1"/>
  <c r="AA27" i="122" s="1"/>
  <c r="Z27" i="117"/>
  <c r="J27" i="121" s="1"/>
  <c r="Z27" i="121" s="1"/>
  <c r="J27" i="122" s="1"/>
  <c r="Z27" i="122" s="1"/>
  <c r="X27" i="117"/>
  <c r="H27" i="121" s="1"/>
  <c r="X27" i="121" s="1"/>
  <c r="H27" i="122" s="1"/>
  <c r="X27" i="122" s="1"/>
  <c r="W27" i="117"/>
  <c r="G27" i="121" s="1"/>
  <c r="W27" i="121" s="1"/>
  <c r="G27" i="122" s="1"/>
  <c r="W27" i="122" s="1"/>
  <c r="V27" i="117"/>
  <c r="F27" i="121" s="1"/>
  <c r="V27" i="121" s="1"/>
  <c r="M27" i="117"/>
  <c r="M26" i="117"/>
  <c r="M25" i="117"/>
  <c r="M24" i="117"/>
  <c r="AB23" i="117"/>
  <c r="L23" i="121" s="1"/>
  <c r="AB23" i="121" s="1"/>
  <c r="L23" i="122" s="1"/>
  <c r="AB23" i="122" s="1"/>
  <c r="AA23" i="117"/>
  <c r="K23" i="121" s="1"/>
  <c r="AA23" i="121" s="1"/>
  <c r="K23" i="122" s="1"/>
  <c r="AA23" i="122" s="1"/>
  <c r="Z23" i="117"/>
  <c r="J23" i="121" s="1"/>
  <c r="Z23" i="121" s="1"/>
  <c r="J23" i="122" s="1"/>
  <c r="Z23" i="122" s="1"/>
  <c r="X23" i="117"/>
  <c r="H23" i="121" s="1"/>
  <c r="X23" i="121" s="1"/>
  <c r="H23" i="122" s="1"/>
  <c r="X23" i="122" s="1"/>
  <c r="W23" i="117"/>
  <c r="G23" i="121" s="1"/>
  <c r="W23" i="121" s="1"/>
  <c r="G23" i="122" s="1"/>
  <c r="W23" i="122" s="1"/>
  <c r="V23" i="117"/>
  <c r="F23" i="121" s="1"/>
  <c r="V23" i="121" s="1"/>
  <c r="M23" i="117"/>
  <c r="M22" i="117"/>
  <c r="M21" i="117"/>
  <c r="M20" i="117"/>
  <c r="M19" i="117"/>
  <c r="M18" i="117"/>
  <c r="AB17" i="117"/>
  <c r="L17" i="121" s="1"/>
  <c r="AB17" i="121" s="1"/>
  <c r="L17" i="122" s="1"/>
  <c r="AB17" i="122" s="1"/>
  <c r="AA17" i="117"/>
  <c r="K17" i="121" s="1"/>
  <c r="AA17" i="121" s="1"/>
  <c r="K17" i="122" s="1"/>
  <c r="AA17" i="122" s="1"/>
  <c r="Z17" i="117"/>
  <c r="J17" i="121" s="1"/>
  <c r="Z17" i="121" s="1"/>
  <c r="J17" i="122" s="1"/>
  <c r="Z17" i="122" s="1"/>
  <c r="X17" i="117"/>
  <c r="H17" i="121" s="1"/>
  <c r="X17" i="121" s="1"/>
  <c r="H17" i="122" s="1"/>
  <c r="X17" i="122" s="1"/>
  <c r="W17" i="117"/>
  <c r="G17" i="121" s="1"/>
  <c r="W17" i="121" s="1"/>
  <c r="G17" i="122" s="1"/>
  <c r="W17" i="122" s="1"/>
  <c r="V17" i="117"/>
  <c r="F17" i="121" s="1"/>
  <c r="V17" i="121" s="1"/>
  <c r="M17" i="117"/>
  <c r="M16" i="117"/>
  <c r="AB15" i="117"/>
  <c r="L15" i="121" s="1"/>
  <c r="AB15" i="121" s="1"/>
  <c r="L15" i="122" s="1"/>
  <c r="AB15" i="122" s="1"/>
  <c r="AA15" i="117"/>
  <c r="K15" i="121" s="1"/>
  <c r="AA15" i="121" s="1"/>
  <c r="K15" i="122" s="1"/>
  <c r="AA15" i="122" s="1"/>
  <c r="Z15" i="117"/>
  <c r="J15" i="121" s="1"/>
  <c r="Z15" i="121" s="1"/>
  <c r="J15" i="122" s="1"/>
  <c r="Z15" i="122" s="1"/>
  <c r="X15" i="117"/>
  <c r="H15" i="121" s="1"/>
  <c r="X15" i="121" s="1"/>
  <c r="H15" i="122" s="1"/>
  <c r="X15" i="122" s="1"/>
  <c r="W15" i="117"/>
  <c r="G15" i="121" s="1"/>
  <c r="W15" i="121" s="1"/>
  <c r="G15" i="122" s="1"/>
  <c r="W15" i="122" s="1"/>
  <c r="V15" i="117"/>
  <c r="F15" i="121" s="1"/>
  <c r="V15" i="121" s="1"/>
  <c r="M15" i="117"/>
  <c r="W14" i="117"/>
  <c r="G14" i="121" s="1"/>
  <c r="W14" i="121" s="1"/>
  <c r="G14" i="122" s="1"/>
  <c r="W14" i="122" s="1"/>
  <c r="M14" i="117"/>
  <c r="M13" i="117"/>
  <c r="M12" i="117"/>
  <c r="M11" i="117"/>
  <c r="AB55" i="121" l="1"/>
  <c r="L55" i="122" s="1"/>
  <c r="E55" i="121"/>
  <c r="U55" i="121" s="1"/>
  <c r="AB57" i="121"/>
  <c r="L57" i="122" s="1"/>
  <c r="E57" i="121"/>
  <c r="U57" i="121" s="1"/>
  <c r="AA132" i="121"/>
  <c r="K132" i="122" s="1"/>
  <c r="E132" i="121"/>
  <c r="U132" i="121" s="1"/>
  <c r="AA228" i="121"/>
  <c r="K228" i="122" s="1"/>
  <c r="E228" i="121"/>
  <c r="U228" i="121" s="1"/>
  <c r="F27" i="122"/>
  <c r="V27" i="122" s="1"/>
  <c r="U27" i="122" s="1"/>
  <c r="U27" i="121"/>
  <c r="AB38" i="121"/>
  <c r="L38" i="122" s="1"/>
  <c r="E38" i="121"/>
  <c r="U38" i="121" s="1"/>
  <c r="X39" i="121"/>
  <c r="H39" i="122" s="1"/>
  <c r="E39" i="121"/>
  <c r="U39" i="121" s="1"/>
  <c r="AA52" i="121"/>
  <c r="K52" i="122" s="1"/>
  <c r="E52" i="122" s="1"/>
  <c r="U52" i="122" s="1"/>
  <c r="K51" i="122"/>
  <c r="AA51" i="122" s="1"/>
  <c r="AA52" i="122" s="1"/>
  <c r="AB172" i="121"/>
  <c r="L172" i="122" s="1"/>
  <c r="E172" i="121"/>
  <c r="U172" i="121" s="1"/>
  <c r="V211" i="121"/>
  <c r="F211" i="122" s="1"/>
  <c r="E211" i="121"/>
  <c r="U211" i="121" s="1"/>
  <c r="AB51" i="121"/>
  <c r="L51" i="122" s="1"/>
  <c r="E51" i="121"/>
  <c r="U51" i="121" s="1"/>
  <c r="F15" i="122"/>
  <c r="V15" i="122" s="1"/>
  <c r="U15" i="122" s="1"/>
  <c r="U15" i="121"/>
  <c r="F17" i="122"/>
  <c r="V17" i="122" s="1"/>
  <c r="U17" i="122" s="1"/>
  <c r="U17" i="121"/>
  <c r="F23" i="122"/>
  <c r="V23" i="122" s="1"/>
  <c r="U23" i="122" s="1"/>
  <c r="U23" i="121"/>
  <c r="V210" i="121"/>
  <c r="F210" i="122" s="1"/>
  <c r="E210" i="121"/>
  <c r="U210" i="121" s="1"/>
  <c r="N226" i="117"/>
  <c r="M262" i="117"/>
  <c r="P260" i="117"/>
  <c r="T202" i="117"/>
  <c r="P163" i="117"/>
  <c r="T89" i="117"/>
  <c r="U23" i="117"/>
  <c r="W266" i="117"/>
  <c r="M106" i="117"/>
  <c r="E32" i="117"/>
  <c r="M42" i="117"/>
  <c r="AA51" i="117"/>
  <c r="K52" i="121" s="1"/>
  <c r="E52" i="121" s="1"/>
  <c r="U52" i="121" s="1"/>
  <c r="M214" i="117"/>
  <c r="M121" i="117"/>
  <c r="M240" i="117"/>
  <c r="M34" i="117"/>
  <c r="U15" i="117"/>
  <c r="U17" i="117"/>
  <c r="U27" i="117"/>
  <c r="M49" i="117"/>
  <c r="T90" i="117"/>
  <c r="M90" i="117" s="1"/>
  <c r="M89" i="117"/>
  <c r="O263" i="117"/>
  <c r="O267" i="117" s="1"/>
  <c r="M68" i="117"/>
  <c r="P135" i="117"/>
  <c r="P167" i="117" s="1"/>
  <c r="M60" i="117"/>
  <c r="M132" i="117"/>
  <c r="S135" i="117"/>
  <c r="W265" i="117"/>
  <c r="Y226" i="117"/>
  <c r="Y263" i="117" s="1"/>
  <c r="Y267" i="117" s="1"/>
  <c r="R263" i="117"/>
  <c r="M236" i="117"/>
  <c r="M245" i="117"/>
  <c r="M246" i="117"/>
  <c r="M254" i="117"/>
  <c r="M265" i="117"/>
  <c r="M225" i="117"/>
  <c r="S34" i="117"/>
  <c r="M69" i="117"/>
  <c r="M172" i="117"/>
  <c r="M81" i="117"/>
  <c r="M148" i="117"/>
  <c r="P176" i="117"/>
  <c r="M107" i="117"/>
  <c r="M163" i="117"/>
  <c r="M201" i="117"/>
  <c r="N202" i="117"/>
  <c r="P193" i="117"/>
  <c r="M193" i="117" s="1"/>
  <c r="S202" i="117"/>
  <c r="P226" i="117"/>
  <c r="M259" i="117"/>
  <c r="N260" i="117"/>
  <c r="R266" i="117"/>
  <c r="T260" i="117"/>
  <c r="V211" i="122" l="1"/>
  <c r="E211" i="122"/>
  <c r="U211" i="122" s="1"/>
  <c r="AB38" i="122"/>
  <c r="E38" i="122"/>
  <c r="U38" i="122" s="1"/>
  <c r="AA228" i="122"/>
  <c r="E228" i="122"/>
  <c r="U228" i="122" s="1"/>
  <c r="AB57" i="122"/>
  <c r="E57" i="122"/>
  <c r="U57" i="122" s="1"/>
  <c r="E210" i="122"/>
  <c r="U210" i="122" s="1"/>
  <c r="V210" i="122"/>
  <c r="AB51" i="122"/>
  <c r="E51" i="122"/>
  <c r="U51" i="122" s="1"/>
  <c r="AB172" i="122"/>
  <c r="E172" i="122"/>
  <c r="U172" i="122" s="1"/>
  <c r="X39" i="122"/>
  <c r="E39" i="122"/>
  <c r="U39" i="122" s="1"/>
  <c r="AA132" i="122"/>
  <c r="E132" i="122"/>
  <c r="U132" i="122" s="1"/>
  <c r="AB55" i="122"/>
  <c r="E55" i="122"/>
  <c r="U55" i="122" s="1"/>
  <c r="M135" i="117"/>
  <c r="S167" i="117"/>
  <c r="T263" i="117"/>
  <c r="N263" i="117"/>
  <c r="M260" i="117"/>
  <c r="M226" i="117"/>
  <c r="M176" i="117"/>
  <c r="M266" i="117"/>
  <c r="P202" i="117"/>
  <c r="M202" i="117" l="1"/>
  <c r="S263" i="117"/>
  <c r="M167" i="117"/>
  <c r="N267" i="117"/>
  <c r="T267" i="117"/>
  <c r="P263" i="117"/>
  <c r="S267" i="117" l="1"/>
  <c r="M263" i="117"/>
  <c r="M267" i="117" s="1"/>
  <c r="P267" i="117"/>
  <c r="CD55" i="25" l="1"/>
  <c r="CC55" i="25"/>
  <c r="J98" i="41"/>
  <c r="F9" i="77" l="1"/>
  <c r="BY73" i="13"/>
  <c r="H99" i="41" l="1"/>
  <c r="F9" i="60" l="1"/>
  <c r="F18" i="60"/>
  <c r="F18" i="77"/>
  <c r="J100" i="41"/>
  <c r="K100" i="41"/>
  <c r="BN65" i="11" l="1"/>
  <c r="BN64" i="11"/>
  <c r="F23" i="60" l="1"/>
  <c r="CH49" i="11" l="1"/>
  <c r="BN47" i="11"/>
  <c r="CB129" i="13" l="1"/>
  <c r="BN37" i="19" l="1"/>
  <c r="AN37" i="19" s="1"/>
  <c r="CD46" i="19"/>
  <c r="C157" i="63" l="1"/>
  <c r="I144" i="63" l="1"/>
  <c r="CB34" i="13"/>
  <c r="C16" i="63"/>
  <c r="BC91" i="19" l="1"/>
  <c r="BC99" i="19"/>
  <c r="BN99" i="19" l="1"/>
  <c r="J8" i="116" l="1"/>
  <c r="H8" i="116"/>
  <c r="G8" i="116"/>
  <c r="E7" i="116"/>
  <c r="F8" i="116" l="1"/>
  <c r="CD44" i="11"/>
  <c r="CD22" i="11" l="1"/>
  <c r="CD31" i="19" l="1"/>
  <c r="CD45" i="11" l="1"/>
  <c r="BP32" i="10" l="1"/>
  <c r="BP33" i="10"/>
  <c r="BX80" i="13" l="1"/>
  <c r="BX55" i="13" l="1"/>
  <c r="BY97" i="13"/>
  <c r="CD21" i="11" l="1"/>
  <c r="BN32" i="11" l="1"/>
  <c r="CD42" i="11"/>
  <c r="BN32" i="19" l="1"/>
  <c r="CD60" i="19"/>
  <c r="CD59" i="19"/>
  <c r="BN59" i="19" s="1"/>
  <c r="BN31" i="19"/>
  <c r="AN27" i="19"/>
  <c r="BN28" i="19"/>
  <c r="AN28" i="19" s="1"/>
  <c r="CG30" i="11"/>
  <c r="AN30" i="11" l="1"/>
  <c r="CG33" i="11"/>
  <c r="CJ88" i="11"/>
  <c r="H262" i="113" l="1"/>
  <c r="AB257" i="113"/>
  <c r="H257" i="113"/>
  <c r="AB256" i="113"/>
  <c r="AB255" i="113"/>
  <c r="AB254" i="113"/>
  <c r="AB253" i="113"/>
  <c r="Q252" i="113"/>
  <c r="S251" i="113"/>
  <c r="G251" i="113"/>
  <c r="Y250" i="113"/>
  <c r="Y251" i="113" s="1"/>
  <c r="T250" i="113"/>
  <c r="R250" i="113"/>
  <c r="P250" i="113"/>
  <c r="O250" i="113"/>
  <c r="O251" i="113" s="1"/>
  <c r="W251" i="113" s="1"/>
  <c r="N250" i="113"/>
  <c r="N251" i="113" s="1"/>
  <c r="G250" i="113"/>
  <c r="M249" i="113"/>
  <c r="G249" i="113"/>
  <c r="W249" i="113" s="1"/>
  <c r="S247" i="113"/>
  <c r="R247" i="113"/>
  <c r="O247" i="113"/>
  <c r="M246" i="113"/>
  <c r="T244" i="113"/>
  <c r="P244" i="113"/>
  <c r="M243" i="113"/>
  <c r="M242" i="113"/>
  <c r="M241" i="113"/>
  <c r="M240" i="113"/>
  <c r="Y239" i="113"/>
  <c r="T239" i="113"/>
  <c r="P239" i="113"/>
  <c r="I239" i="113"/>
  <c r="AB238" i="113"/>
  <c r="L253" i="117" s="1"/>
  <c r="Z238" i="113"/>
  <c r="J253" i="117" s="1"/>
  <c r="Z253" i="117" s="1"/>
  <c r="J257" i="121" s="1"/>
  <c r="Z257" i="121" s="1"/>
  <c r="J257" i="122" s="1"/>
  <c r="Z257" i="122" s="1"/>
  <c r="X238" i="113"/>
  <c r="H253" i="117" s="1"/>
  <c r="X253" i="117" s="1"/>
  <c r="H257" i="121" s="1"/>
  <c r="X257" i="121" s="1"/>
  <c r="H257" i="122" s="1"/>
  <c r="X257" i="122" s="1"/>
  <c r="N238" i="113"/>
  <c r="M238" i="113" s="1"/>
  <c r="U238" i="113" s="1"/>
  <c r="M237" i="113"/>
  <c r="M236" i="113"/>
  <c r="L236" i="113"/>
  <c r="K236" i="113"/>
  <c r="J236" i="113"/>
  <c r="H236" i="113"/>
  <c r="G236" i="113"/>
  <c r="M235" i="113"/>
  <c r="M234" i="113"/>
  <c r="M232" i="113"/>
  <c r="M231" i="113"/>
  <c r="Y230" i="113"/>
  <c r="T230" i="113"/>
  <c r="P230" i="113"/>
  <c r="N230" i="113"/>
  <c r="I230" i="113"/>
  <c r="M229" i="113"/>
  <c r="M228" i="113"/>
  <c r="M227" i="113"/>
  <c r="M226" i="113"/>
  <c r="T225" i="113"/>
  <c r="M225" i="113"/>
  <c r="M224" i="113"/>
  <c r="P223" i="113"/>
  <c r="M222" i="113"/>
  <c r="P221" i="113"/>
  <c r="N221" i="113"/>
  <c r="M220" i="113"/>
  <c r="M219" i="113"/>
  <c r="M218" i="113"/>
  <c r="M217" i="113"/>
  <c r="M216" i="113"/>
  <c r="M215" i="113"/>
  <c r="P214" i="113"/>
  <c r="M213" i="113"/>
  <c r="M212" i="113"/>
  <c r="Y210" i="113"/>
  <c r="T210" i="113"/>
  <c r="T211" i="113" s="1"/>
  <c r="S210" i="113"/>
  <c r="P210" i="113"/>
  <c r="P211" i="113" s="1"/>
  <c r="N210" i="113"/>
  <c r="I210" i="113"/>
  <c r="M209" i="113"/>
  <c r="M208" i="113"/>
  <c r="M207" i="113"/>
  <c r="M206" i="113"/>
  <c r="M205" i="113"/>
  <c r="M204" i="113"/>
  <c r="M203" i="113"/>
  <c r="M202" i="113"/>
  <c r="M201" i="113"/>
  <c r="Y200" i="113"/>
  <c r="N200" i="113"/>
  <c r="M200" i="113" s="1"/>
  <c r="I200" i="113"/>
  <c r="M199" i="113"/>
  <c r="M198" i="113"/>
  <c r="M197" i="113"/>
  <c r="M196" i="113"/>
  <c r="M195" i="113"/>
  <c r="M194" i="113"/>
  <c r="M193" i="113"/>
  <c r="M192" i="113"/>
  <c r="M191" i="113"/>
  <c r="R190" i="113"/>
  <c r="R248" i="113" s="1"/>
  <c r="T189" i="113"/>
  <c r="T190" i="113" s="1"/>
  <c r="S189" i="113"/>
  <c r="P189" i="113"/>
  <c r="M188" i="113"/>
  <c r="J188" i="113"/>
  <c r="H188" i="113"/>
  <c r="M187" i="113"/>
  <c r="M186" i="113"/>
  <c r="M185" i="113"/>
  <c r="M184" i="113"/>
  <c r="M183" i="113"/>
  <c r="M182" i="113"/>
  <c r="S181" i="113"/>
  <c r="N181" i="113"/>
  <c r="M180" i="113"/>
  <c r="M179" i="113"/>
  <c r="M178" i="113"/>
  <c r="M177" i="113"/>
  <c r="M176" i="113"/>
  <c r="M175" i="113"/>
  <c r="M174" i="113"/>
  <c r="M173" i="113"/>
  <c r="M172" i="113"/>
  <c r="M171" i="113"/>
  <c r="M170" i="113"/>
  <c r="P169" i="113"/>
  <c r="P181" i="113" s="1"/>
  <c r="M168" i="113"/>
  <c r="M167" i="113"/>
  <c r="M166" i="113"/>
  <c r="M165" i="113"/>
  <c r="S164" i="113"/>
  <c r="M163" i="113"/>
  <c r="M162" i="113"/>
  <c r="P161" i="113"/>
  <c r="M160" i="113"/>
  <c r="M159" i="113"/>
  <c r="M158" i="113"/>
  <c r="M157" i="113"/>
  <c r="S155" i="113"/>
  <c r="M155" i="113" s="1"/>
  <c r="J155" i="113"/>
  <c r="G155" i="113"/>
  <c r="F155" i="113"/>
  <c r="M154" i="113"/>
  <c r="L154" i="113"/>
  <c r="J154" i="113"/>
  <c r="H154" i="113"/>
  <c r="G154" i="113"/>
  <c r="F154" i="113"/>
  <c r="M153" i="113"/>
  <c r="S152" i="113"/>
  <c r="R152" i="113"/>
  <c r="X151" i="113"/>
  <c r="H162" i="117" s="1"/>
  <c r="M151" i="113"/>
  <c r="U151" i="113" s="1"/>
  <c r="AA150" i="113"/>
  <c r="K161" i="117" s="1"/>
  <c r="Z150" i="113"/>
  <c r="J161" i="117" s="1"/>
  <c r="Z161" i="117" s="1"/>
  <c r="J159" i="121" s="1"/>
  <c r="Z159" i="121" s="1"/>
  <c r="J159" i="122" s="1"/>
  <c r="Z159" i="122" s="1"/>
  <c r="X150" i="113"/>
  <c r="H161" i="117" s="1"/>
  <c r="X161" i="117" s="1"/>
  <c r="H159" i="121" s="1"/>
  <c r="X159" i="121" s="1"/>
  <c r="H159" i="122" s="1"/>
  <c r="X159" i="122" s="1"/>
  <c r="W150" i="113"/>
  <c r="G161" i="117" s="1"/>
  <c r="W161" i="117" s="1"/>
  <c r="G159" i="121" s="1"/>
  <c r="W159" i="121" s="1"/>
  <c r="G159" i="122" s="1"/>
  <c r="W159" i="122" s="1"/>
  <c r="V150" i="113"/>
  <c r="F161" i="117" s="1"/>
  <c r="V161" i="117" s="1"/>
  <c r="F159" i="121" s="1"/>
  <c r="V159" i="121" s="1"/>
  <c r="F159" i="122" s="1"/>
  <c r="V159" i="122" s="1"/>
  <c r="M150" i="113"/>
  <c r="U150" i="113" s="1"/>
  <c r="M149" i="113"/>
  <c r="U149" i="113" s="1"/>
  <c r="L149" i="113"/>
  <c r="M148" i="113"/>
  <c r="U148" i="113" s="1"/>
  <c r="L148" i="113"/>
  <c r="M147" i="113"/>
  <c r="U147" i="113" s="1"/>
  <c r="M146" i="113"/>
  <c r="M145" i="113"/>
  <c r="M144" i="113"/>
  <c r="M143" i="113"/>
  <c r="M142" i="113"/>
  <c r="M141" i="113"/>
  <c r="M140" i="113"/>
  <c r="M139" i="113"/>
  <c r="M138" i="113"/>
  <c r="M137" i="113"/>
  <c r="M136" i="113"/>
  <c r="M135" i="113"/>
  <c r="M134" i="113"/>
  <c r="P133" i="113"/>
  <c r="M132" i="113"/>
  <c r="M131" i="113"/>
  <c r="M130" i="113"/>
  <c r="M129" i="113"/>
  <c r="M128" i="113"/>
  <c r="M127" i="113"/>
  <c r="M126" i="113"/>
  <c r="M125" i="113"/>
  <c r="S124" i="113"/>
  <c r="P124" i="113"/>
  <c r="N124" i="113"/>
  <c r="N156" i="113" s="1"/>
  <c r="AA123" i="113"/>
  <c r="K133" i="117" s="1"/>
  <c r="M123" i="113"/>
  <c r="U123" i="113" s="1"/>
  <c r="AA122" i="113"/>
  <c r="K132" i="117" s="1"/>
  <c r="X122" i="113"/>
  <c r="H132" i="117" s="1"/>
  <c r="X132" i="117" s="1"/>
  <c r="H130" i="121" s="1"/>
  <c r="X130" i="121" s="1"/>
  <c r="H130" i="122" s="1"/>
  <c r="X130" i="122" s="1"/>
  <c r="M122" i="113"/>
  <c r="U122" i="113" s="1"/>
  <c r="M121" i="113"/>
  <c r="M120" i="113"/>
  <c r="M119" i="113"/>
  <c r="M118" i="113"/>
  <c r="M117" i="113"/>
  <c r="M116" i="113"/>
  <c r="M115" i="113"/>
  <c r="M114" i="113"/>
  <c r="M113" i="113"/>
  <c r="M112" i="113"/>
  <c r="M111" i="113"/>
  <c r="M110" i="113"/>
  <c r="M109" i="113"/>
  <c r="M108" i="113"/>
  <c r="M107" i="113"/>
  <c r="M106" i="113"/>
  <c r="M105" i="113"/>
  <c r="M104" i="113"/>
  <c r="M103" i="113"/>
  <c r="M102" i="113"/>
  <c r="M101" i="113"/>
  <c r="M100" i="113"/>
  <c r="M99" i="113"/>
  <c r="M98" i="113"/>
  <c r="T96" i="113"/>
  <c r="T97" i="113" s="1"/>
  <c r="M95" i="113"/>
  <c r="M94" i="113"/>
  <c r="M93" i="113"/>
  <c r="M92" i="113"/>
  <c r="M91" i="113"/>
  <c r="M90" i="113"/>
  <c r="M89" i="113"/>
  <c r="M88" i="113"/>
  <c r="M87" i="113"/>
  <c r="M86" i="113"/>
  <c r="M85" i="113"/>
  <c r="M84" i="113"/>
  <c r="M83" i="113"/>
  <c r="M82" i="113"/>
  <c r="M81" i="113"/>
  <c r="T79" i="113"/>
  <c r="T80" i="113" s="1"/>
  <c r="P79" i="113"/>
  <c r="M78" i="113"/>
  <c r="M77" i="113"/>
  <c r="M76" i="113"/>
  <c r="M75" i="113"/>
  <c r="M74" i="113"/>
  <c r="M73" i="113"/>
  <c r="M72" i="113"/>
  <c r="M71" i="113"/>
  <c r="M70" i="113"/>
  <c r="M69" i="113"/>
  <c r="M68" i="113"/>
  <c r="M67" i="113"/>
  <c r="M66" i="113"/>
  <c r="M65" i="113"/>
  <c r="M64" i="113"/>
  <c r="M63" i="113"/>
  <c r="M62" i="113"/>
  <c r="M61" i="113"/>
  <c r="M60" i="113"/>
  <c r="P58" i="113"/>
  <c r="P59" i="113" s="1"/>
  <c r="M57" i="113"/>
  <c r="M56" i="113"/>
  <c r="M55" i="113"/>
  <c r="M54" i="113"/>
  <c r="M53" i="113"/>
  <c r="M52" i="113"/>
  <c r="M51" i="113"/>
  <c r="P50" i="113"/>
  <c r="O50" i="113"/>
  <c r="N50" i="113"/>
  <c r="M49" i="113"/>
  <c r="M48" i="113"/>
  <c r="M47" i="113"/>
  <c r="M46" i="113"/>
  <c r="M45" i="113"/>
  <c r="M44" i="113"/>
  <c r="T43" i="113"/>
  <c r="S43" i="113"/>
  <c r="P43" i="113"/>
  <c r="Y41" i="113"/>
  <c r="Y43" i="113" s="1"/>
  <c r="M41" i="113"/>
  <c r="I41" i="113"/>
  <c r="I43" i="113" s="1"/>
  <c r="M40" i="113"/>
  <c r="M39" i="113"/>
  <c r="M38" i="113"/>
  <c r="M37" i="113"/>
  <c r="P36" i="113"/>
  <c r="O36" i="113"/>
  <c r="N36" i="113"/>
  <c r="M35" i="113"/>
  <c r="M34" i="113"/>
  <c r="M33" i="113"/>
  <c r="M32" i="113"/>
  <c r="M31" i="113"/>
  <c r="Y30" i="113"/>
  <c r="T30" i="113"/>
  <c r="R30" i="113"/>
  <c r="P30" i="113"/>
  <c r="O30" i="113"/>
  <c r="N30" i="113"/>
  <c r="I30" i="113"/>
  <c r="I252" i="113" s="1"/>
  <c r="B30" i="113"/>
  <c r="U28" i="113"/>
  <c r="M28" i="113"/>
  <c r="L28" i="113"/>
  <c r="K28" i="113"/>
  <c r="J28" i="113"/>
  <c r="H28" i="113"/>
  <c r="G28" i="113"/>
  <c r="F28" i="113"/>
  <c r="M27" i="113"/>
  <c r="M26" i="113"/>
  <c r="M25" i="113"/>
  <c r="S24" i="113"/>
  <c r="M24" i="113" s="1"/>
  <c r="M23" i="113"/>
  <c r="M22" i="113"/>
  <c r="M21" i="113"/>
  <c r="M20" i="113"/>
  <c r="M17" i="113"/>
  <c r="M16" i="113"/>
  <c r="M15" i="113"/>
  <c r="M14" i="113"/>
  <c r="M13" i="113"/>
  <c r="M12" i="113"/>
  <c r="M11" i="113"/>
  <c r="M189" i="113" l="1"/>
  <c r="M221" i="113"/>
  <c r="M247" i="113"/>
  <c r="AA133" i="117"/>
  <c r="K131" i="121" s="1"/>
  <c r="E133" i="117"/>
  <c r="U133" i="117" s="1"/>
  <c r="AA161" i="117"/>
  <c r="K159" i="121" s="1"/>
  <c r="E161" i="117"/>
  <c r="U161" i="117" s="1"/>
  <c r="M79" i="113"/>
  <c r="AA132" i="117"/>
  <c r="K130" i="121" s="1"/>
  <c r="E132" i="117"/>
  <c r="U132" i="117" s="1"/>
  <c r="M124" i="113"/>
  <c r="X162" i="117"/>
  <c r="H160" i="121" s="1"/>
  <c r="E162" i="117"/>
  <c r="U162" i="117" s="1"/>
  <c r="W250" i="113"/>
  <c r="P245" i="113"/>
  <c r="M96" i="113"/>
  <c r="Y211" i="113"/>
  <c r="Y248" i="113" s="1"/>
  <c r="Y252" i="113" s="1"/>
  <c r="T245" i="113"/>
  <c r="T248" i="113" s="1"/>
  <c r="M250" i="113"/>
  <c r="M43" i="113"/>
  <c r="M50" i="113"/>
  <c r="M169" i="113"/>
  <c r="M244" i="113"/>
  <c r="AB253" i="117"/>
  <c r="L257" i="121" s="1"/>
  <c r="V238" i="113"/>
  <c r="F253" i="117" s="1"/>
  <c r="V253" i="117" s="1"/>
  <c r="F257" i="121" s="1"/>
  <c r="V257" i="121" s="1"/>
  <c r="F257" i="122" s="1"/>
  <c r="V257" i="122" s="1"/>
  <c r="M30" i="113"/>
  <c r="M230" i="113"/>
  <c r="N239" i="113"/>
  <c r="M239" i="113" s="1"/>
  <c r="E28" i="113"/>
  <c r="M161" i="113"/>
  <c r="P164" i="113"/>
  <c r="M164" i="113" s="1"/>
  <c r="I211" i="113"/>
  <c r="M210" i="113"/>
  <c r="S211" i="113"/>
  <c r="M97" i="113"/>
  <c r="M36" i="113"/>
  <c r="M59" i="113"/>
  <c r="S30" i="113"/>
  <c r="O248" i="113"/>
  <c r="P80" i="113"/>
  <c r="M58" i="113"/>
  <c r="P152" i="113"/>
  <c r="M133" i="113"/>
  <c r="S156" i="113"/>
  <c r="S190" i="113"/>
  <c r="N190" i="113"/>
  <c r="M181" i="113"/>
  <c r="N211" i="113"/>
  <c r="M214" i="113"/>
  <c r="R251" i="113"/>
  <c r="M223" i="113"/>
  <c r="AB257" i="121" l="1"/>
  <c r="L257" i="122" s="1"/>
  <c r="E257" i="121"/>
  <c r="U257" i="121" s="1"/>
  <c r="X160" i="121"/>
  <c r="H160" i="122" s="1"/>
  <c r="E160" i="121"/>
  <c r="U160" i="121" s="1"/>
  <c r="AA131" i="121"/>
  <c r="K131" i="122" s="1"/>
  <c r="E131" i="121"/>
  <c r="U131" i="121" s="1"/>
  <c r="AA159" i="121"/>
  <c r="K159" i="122" s="1"/>
  <c r="E159" i="121"/>
  <c r="U159" i="121" s="1"/>
  <c r="AA130" i="121"/>
  <c r="K130" i="122" s="1"/>
  <c r="E130" i="121"/>
  <c r="U130" i="121" s="1"/>
  <c r="M211" i="113"/>
  <c r="S248" i="113"/>
  <c r="S252" i="113" s="1"/>
  <c r="P190" i="113"/>
  <c r="M190" i="113" s="1"/>
  <c r="N245" i="113"/>
  <c r="N248" i="113" s="1"/>
  <c r="E253" i="117"/>
  <c r="U253" i="117" s="1"/>
  <c r="M245" i="113"/>
  <c r="M251" i="113"/>
  <c r="T252" i="113"/>
  <c r="O252" i="113"/>
  <c r="M152" i="113"/>
  <c r="P156" i="113"/>
  <c r="M80" i="113"/>
  <c r="AA159" i="122" l="1"/>
  <c r="E159" i="122"/>
  <c r="U159" i="122" s="1"/>
  <c r="X160" i="122"/>
  <c r="E160" i="122"/>
  <c r="U160" i="122" s="1"/>
  <c r="E130" i="122"/>
  <c r="U130" i="122" s="1"/>
  <c r="AA130" i="122"/>
  <c r="E131" i="122"/>
  <c r="U131" i="122" s="1"/>
  <c r="AA131" i="122"/>
  <c r="AB257" i="122"/>
  <c r="E257" i="122"/>
  <c r="U257" i="122" s="1"/>
  <c r="P248" i="113"/>
  <c r="M156" i="113"/>
  <c r="N252" i="113"/>
  <c r="P252" i="113" l="1"/>
  <c r="M248" i="113"/>
  <c r="M252" i="113" s="1"/>
  <c r="CC128" i="19" l="1"/>
  <c r="BY150" i="13" s="1"/>
  <c r="CC126" i="19"/>
  <c r="BN30" i="11" l="1"/>
  <c r="AN29" i="11" l="1"/>
  <c r="AN28" i="11"/>
  <c r="BZ126" i="13"/>
  <c r="J18" i="99" l="1"/>
  <c r="BN46" i="19" l="1"/>
  <c r="BN45" i="19" l="1"/>
  <c r="CD45" i="19" s="1"/>
  <c r="CD117" i="19"/>
  <c r="CD35" i="19"/>
  <c r="CH84" i="11" l="1"/>
  <c r="CD46" i="11" l="1"/>
  <c r="BN46" i="11" s="1"/>
  <c r="S23" i="112" l="1"/>
  <c r="S148" i="112"/>
  <c r="Z146" i="112"/>
  <c r="J148" i="113" s="1"/>
  <c r="Z148" i="113" s="1"/>
  <c r="J159" i="117" s="1"/>
  <c r="Z159" i="117" s="1"/>
  <c r="J157" i="121" s="1"/>
  <c r="Z157" i="121" s="1"/>
  <c r="J157" i="122" s="1"/>
  <c r="Z157" i="122" s="1"/>
  <c r="Z147" i="112"/>
  <c r="J149" i="113" s="1"/>
  <c r="Z149" i="113" s="1"/>
  <c r="J160" i="117" s="1"/>
  <c r="Z160" i="117" s="1"/>
  <c r="J158" i="121" s="1"/>
  <c r="Z158" i="121" s="1"/>
  <c r="J158" i="122" s="1"/>
  <c r="Z158" i="122" s="1"/>
  <c r="AA146" i="112"/>
  <c r="K148" i="113" s="1"/>
  <c r="AA148" i="113" s="1"/>
  <c r="K159" i="117" s="1"/>
  <c r="AA147" i="112"/>
  <c r="K149" i="113" s="1"/>
  <c r="AA149" i="113" s="1"/>
  <c r="K160" i="117" s="1"/>
  <c r="X146" i="112"/>
  <c r="H148" i="113" s="1"/>
  <c r="X148" i="113" s="1"/>
  <c r="H159" i="117" s="1"/>
  <c r="X159" i="117" s="1"/>
  <c r="H157" i="121" s="1"/>
  <c r="X157" i="121" s="1"/>
  <c r="H157" i="122" s="1"/>
  <c r="X157" i="122" s="1"/>
  <c r="X147" i="112"/>
  <c r="H149" i="113" s="1"/>
  <c r="X149" i="113" s="1"/>
  <c r="H160" i="117" s="1"/>
  <c r="X160" i="117" s="1"/>
  <c r="H158" i="121" s="1"/>
  <c r="X158" i="121" s="1"/>
  <c r="H158" i="122" s="1"/>
  <c r="X158" i="122" s="1"/>
  <c r="W146" i="112"/>
  <c r="G148" i="113" s="1"/>
  <c r="W148" i="113" s="1"/>
  <c r="G159" i="117" s="1"/>
  <c r="W159" i="117" s="1"/>
  <c r="G157" i="121" s="1"/>
  <c r="W157" i="121" s="1"/>
  <c r="G157" i="122" s="1"/>
  <c r="W157" i="122" s="1"/>
  <c r="W147" i="112"/>
  <c r="G149" i="113" s="1"/>
  <c r="W149" i="113" s="1"/>
  <c r="G160" i="117" s="1"/>
  <c r="W160" i="117" s="1"/>
  <c r="G158" i="121" s="1"/>
  <c r="W158" i="121" s="1"/>
  <c r="G158" i="122" s="1"/>
  <c r="W158" i="122" s="1"/>
  <c r="V146" i="112"/>
  <c r="F148" i="113" s="1"/>
  <c r="V148" i="113" s="1"/>
  <c r="F159" i="117" s="1"/>
  <c r="V159" i="117" s="1"/>
  <c r="F157" i="121" s="1"/>
  <c r="V157" i="121" s="1"/>
  <c r="F157" i="122" s="1"/>
  <c r="V157" i="122" s="1"/>
  <c r="V147" i="112"/>
  <c r="F149" i="113" s="1"/>
  <c r="V149" i="113" s="1"/>
  <c r="F160" i="117" s="1"/>
  <c r="V160" i="117" s="1"/>
  <c r="F158" i="121" s="1"/>
  <c r="V158" i="121" s="1"/>
  <c r="F158" i="122" s="1"/>
  <c r="V158" i="122" s="1"/>
  <c r="R148" i="112"/>
  <c r="M146" i="112"/>
  <c r="U146" i="112" s="1"/>
  <c r="M147" i="112"/>
  <c r="U147" i="112" s="1"/>
  <c r="AA160" i="117" l="1"/>
  <c r="K158" i="121" s="1"/>
  <c r="E160" i="117"/>
  <c r="U160" i="117" s="1"/>
  <c r="AA159" i="117"/>
  <c r="K157" i="121" s="1"/>
  <c r="E159" i="117"/>
  <c r="U159" i="117" s="1"/>
  <c r="BZ47" i="13"/>
  <c r="AA157" i="121" l="1"/>
  <c r="K157" i="122" s="1"/>
  <c r="E157" i="121"/>
  <c r="U157" i="121" s="1"/>
  <c r="AA158" i="121"/>
  <c r="K158" i="122" s="1"/>
  <c r="E158" i="121"/>
  <c r="U158" i="121" s="1"/>
  <c r="BZ130" i="13"/>
  <c r="AA158" i="122" l="1"/>
  <c r="E158" i="122"/>
  <c r="U158" i="122" s="1"/>
  <c r="E157" i="122"/>
  <c r="U157" i="122" s="1"/>
  <c r="AA157" i="122"/>
  <c r="BN44" i="19"/>
  <c r="BN43" i="19"/>
  <c r="L28" i="112" l="1"/>
  <c r="L150" i="112"/>
  <c r="L232" i="112"/>
  <c r="K28" i="112"/>
  <c r="K232" i="112"/>
  <c r="J28" i="112"/>
  <c r="J143" i="112"/>
  <c r="Z143" i="112" s="1"/>
  <c r="J145" i="113" s="1"/>
  <c r="Z145" i="113" s="1"/>
  <c r="J156" i="117" s="1"/>
  <c r="Z156" i="117" s="1"/>
  <c r="J154" i="121" s="1"/>
  <c r="Z154" i="121" s="1"/>
  <c r="J154" i="122" s="1"/>
  <c r="Z154" i="122" s="1"/>
  <c r="J144" i="112"/>
  <c r="Z144" i="112" s="1"/>
  <c r="J146" i="113" s="1"/>
  <c r="Z146" i="113" s="1"/>
  <c r="J157" i="117" s="1"/>
  <c r="Z157" i="117" s="1"/>
  <c r="J155" i="121" s="1"/>
  <c r="Z155" i="121" s="1"/>
  <c r="J155" i="122" s="1"/>
  <c r="Z155" i="122" s="1"/>
  <c r="J145" i="112"/>
  <c r="Z145" i="112" s="1"/>
  <c r="J147" i="113" s="1"/>
  <c r="Z147" i="113" s="1"/>
  <c r="J158" i="117" s="1"/>
  <c r="Z158" i="117" s="1"/>
  <c r="J156" i="121" s="1"/>
  <c r="Z156" i="121" s="1"/>
  <c r="J156" i="122" s="1"/>
  <c r="Z156" i="122" s="1"/>
  <c r="J150" i="112"/>
  <c r="J151" i="112"/>
  <c r="J184" i="112"/>
  <c r="J232" i="112"/>
  <c r="H28" i="112"/>
  <c r="H150" i="112"/>
  <c r="H184" i="112"/>
  <c r="H232" i="112"/>
  <c r="G28" i="112"/>
  <c r="G150" i="112"/>
  <c r="G151" i="112"/>
  <c r="G232" i="112"/>
  <c r="F28" i="112"/>
  <c r="F150" i="112"/>
  <c r="F151" i="112"/>
  <c r="H257" i="112"/>
  <c r="AB252" i="112"/>
  <c r="H252" i="112"/>
  <c r="AB251" i="112"/>
  <c r="AB250" i="112"/>
  <c r="AB249" i="112"/>
  <c r="AB248" i="112"/>
  <c r="S246" i="112"/>
  <c r="G246" i="112"/>
  <c r="Y245" i="112"/>
  <c r="Y246" i="112" s="1"/>
  <c r="T245" i="112"/>
  <c r="R245" i="112"/>
  <c r="R246" i="112" s="1"/>
  <c r="P245" i="112"/>
  <c r="O245" i="112"/>
  <c r="N245" i="112"/>
  <c r="N246" i="112" s="1"/>
  <c r="G245" i="112"/>
  <c r="M244" i="112"/>
  <c r="G244" i="112"/>
  <c r="W244" i="112" s="1"/>
  <c r="Q243" i="112"/>
  <c r="Q247" i="112" s="1"/>
  <c r="S242" i="112"/>
  <c r="R242" i="112"/>
  <c r="O242" i="112"/>
  <c r="M241" i="112"/>
  <c r="T239" i="112"/>
  <c r="P239" i="112"/>
  <c r="M238" i="112"/>
  <c r="M237" i="112"/>
  <c r="M236" i="112"/>
  <c r="M235" i="112"/>
  <c r="Y234" i="112"/>
  <c r="T234" i="112"/>
  <c r="P234" i="112"/>
  <c r="N234" i="112"/>
  <c r="I234" i="112"/>
  <c r="M233" i="112"/>
  <c r="M232" i="112"/>
  <c r="M231" i="112"/>
  <c r="M230" i="112"/>
  <c r="M228" i="112"/>
  <c r="M227" i="112"/>
  <c r="Y226" i="112"/>
  <c r="P226" i="112"/>
  <c r="N226" i="112"/>
  <c r="I226" i="112"/>
  <c r="M225" i="112"/>
  <c r="M224" i="112"/>
  <c r="M223" i="112"/>
  <c r="M222" i="112"/>
  <c r="M221" i="112"/>
  <c r="M220" i="112"/>
  <c r="P219" i="112"/>
  <c r="M219" i="112" s="1"/>
  <c r="M218" i="112"/>
  <c r="P217" i="112"/>
  <c r="N217" i="112"/>
  <c r="M216" i="112"/>
  <c r="M215" i="112"/>
  <c r="M214" i="112"/>
  <c r="M213" i="112"/>
  <c r="M212" i="112"/>
  <c r="M211" i="112"/>
  <c r="P210" i="112"/>
  <c r="M210" i="112" s="1"/>
  <c r="M209" i="112"/>
  <c r="M208" i="112"/>
  <c r="Y206" i="112"/>
  <c r="T206" i="112"/>
  <c r="T207" i="112" s="1"/>
  <c r="S206" i="112"/>
  <c r="N206" i="112"/>
  <c r="I206" i="112"/>
  <c r="M205" i="112"/>
  <c r="M204" i="112"/>
  <c r="M203" i="112"/>
  <c r="M202" i="112"/>
  <c r="M201" i="112"/>
  <c r="M200" i="112"/>
  <c r="M199" i="112"/>
  <c r="M198" i="112"/>
  <c r="M197" i="112"/>
  <c r="Y196" i="112"/>
  <c r="N196" i="112"/>
  <c r="M196" i="112" s="1"/>
  <c r="I196" i="112"/>
  <c r="M195" i="112"/>
  <c r="M194" i="112"/>
  <c r="M193" i="112"/>
  <c r="M192" i="112"/>
  <c r="M191" i="112"/>
  <c r="M190" i="112"/>
  <c r="M189" i="112"/>
  <c r="M188" i="112"/>
  <c r="M187" i="112"/>
  <c r="R186" i="112"/>
  <c r="R243" i="112" s="1"/>
  <c r="T185" i="112"/>
  <c r="T186" i="112" s="1"/>
  <c r="S185" i="112"/>
  <c r="P185" i="112"/>
  <c r="M184" i="112"/>
  <c r="M183" i="112"/>
  <c r="M182" i="112"/>
  <c r="M181" i="112"/>
  <c r="M180" i="112"/>
  <c r="M179" i="112"/>
  <c r="M178" i="112"/>
  <c r="S177" i="112"/>
  <c r="P177" i="112"/>
  <c r="N177" i="112"/>
  <c r="N186" i="112" s="1"/>
  <c r="M176" i="112"/>
  <c r="M175" i="112"/>
  <c r="M174" i="112"/>
  <c r="M173" i="112"/>
  <c r="M172" i="112"/>
  <c r="M171" i="112"/>
  <c r="M170" i="112"/>
  <c r="M169" i="112"/>
  <c r="M168" i="112"/>
  <c r="M167" i="112"/>
  <c r="M166" i="112"/>
  <c r="M165" i="112"/>
  <c r="M164" i="112"/>
  <c r="M163" i="112"/>
  <c r="M162" i="112"/>
  <c r="M161" i="112"/>
  <c r="S160" i="112"/>
  <c r="P160" i="112"/>
  <c r="M159" i="112"/>
  <c r="M158" i="112"/>
  <c r="M157" i="112"/>
  <c r="M156" i="112"/>
  <c r="M155" i="112"/>
  <c r="M154" i="112"/>
  <c r="M153" i="112"/>
  <c r="S151" i="112"/>
  <c r="M151" i="112" s="1"/>
  <c r="M150" i="112"/>
  <c r="M149" i="112"/>
  <c r="S152" i="112"/>
  <c r="P148" i="112"/>
  <c r="M145" i="112"/>
  <c r="U145" i="112" s="1"/>
  <c r="M144" i="112"/>
  <c r="M143" i="112"/>
  <c r="M142" i="112"/>
  <c r="M141" i="112"/>
  <c r="M140" i="112"/>
  <c r="M139" i="112"/>
  <c r="M138" i="112"/>
  <c r="M137" i="112"/>
  <c r="M136" i="112"/>
  <c r="M135" i="112"/>
  <c r="M134" i="112"/>
  <c r="M133" i="112"/>
  <c r="M132" i="112"/>
  <c r="M131" i="112"/>
  <c r="M130" i="112"/>
  <c r="M129" i="112"/>
  <c r="M128" i="112"/>
  <c r="M127" i="112"/>
  <c r="M126" i="112"/>
  <c r="M125" i="112"/>
  <c r="M124" i="112"/>
  <c r="M123" i="112"/>
  <c r="P122" i="112"/>
  <c r="N122" i="112"/>
  <c r="N152" i="112" s="1"/>
  <c r="M121" i="112"/>
  <c r="M120" i="112"/>
  <c r="M119" i="112"/>
  <c r="M118" i="112"/>
  <c r="M117" i="112"/>
  <c r="M116" i="112"/>
  <c r="M115" i="112"/>
  <c r="M114" i="112"/>
  <c r="M113" i="112"/>
  <c r="M112" i="112"/>
  <c r="M111" i="112"/>
  <c r="M110" i="112"/>
  <c r="M109" i="112"/>
  <c r="M108" i="112"/>
  <c r="M107" i="112"/>
  <c r="M106" i="112"/>
  <c r="M105" i="112"/>
  <c r="M104" i="112"/>
  <c r="M103" i="112"/>
  <c r="M102" i="112"/>
  <c r="M101" i="112"/>
  <c r="M100" i="112"/>
  <c r="M99" i="112"/>
  <c r="M98" i="112"/>
  <c r="T96" i="112"/>
  <c r="T97" i="112" s="1"/>
  <c r="M95" i="112"/>
  <c r="M94" i="112"/>
  <c r="M93" i="112"/>
  <c r="M92" i="112"/>
  <c r="M91" i="112"/>
  <c r="M90" i="112"/>
  <c r="M89" i="112"/>
  <c r="M88" i="112"/>
  <c r="M87" i="112"/>
  <c r="M86" i="112"/>
  <c r="M85" i="112"/>
  <c r="M84" i="112"/>
  <c r="M83" i="112"/>
  <c r="M82" i="112"/>
  <c r="M81" i="112"/>
  <c r="T79" i="112"/>
  <c r="T80" i="112" s="1"/>
  <c r="P79" i="112"/>
  <c r="M78" i="112"/>
  <c r="M77" i="112"/>
  <c r="M76" i="112"/>
  <c r="M75" i="112"/>
  <c r="M74" i="112"/>
  <c r="M73" i="112"/>
  <c r="M72" i="112"/>
  <c r="M71" i="112"/>
  <c r="M70" i="112"/>
  <c r="M69" i="112"/>
  <c r="M68" i="112"/>
  <c r="M67" i="112"/>
  <c r="M66" i="112"/>
  <c r="M65" i="112"/>
  <c r="M64" i="112"/>
  <c r="M63" i="112"/>
  <c r="M62" i="112"/>
  <c r="M61" i="112"/>
  <c r="M60" i="112"/>
  <c r="P58" i="112"/>
  <c r="M58" i="112" s="1"/>
  <c r="M57" i="112"/>
  <c r="M56" i="112"/>
  <c r="M55" i="112"/>
  <c r="M54" i="112"/>
  <c r="M53" i="112"/>
  <c r="M52" i="112"/>
  <c r="M51" i="112"/>
  <c r="P50" i="112"/>
  <c r="O50" i="112"/>
  <c r="N50" i="112"/>
  <c r="M49" i="112"/>
  <c r="M48" i="112"/>
  <c r="M47" i="112"/>
  <c r="M46" i="112"/>
  <c r="M45" i="112"/>
  <c r="M44" i="112"/>
  <c r="T43" i="112"/>
  <c r="S43" i="112"/>
  <c r="P43" i="112"/>
  <c r="Y41" i="112"/>
  <c r="Y43" i="112" s="1"/>
  <c r="M41" i="112"/>
  <c r="I41" i="112"/>
  <c r="I43" i="112" s="1"/>
  <c r="M40" i="112"/>
  <c r="M39" i="112"/>
  <c r="M38" i="112"/>
  <c r="M37" i="112"/>
  <c r="P36" i="112"/>
  <c r="O36" i="112"/>
  <c r="N36" i="112"/>
  <c r="M35" i="112"/>
  <c r="M34" i="112"/>
  <c r="M33" i="112"/>
  <c r="M32" i="112"/>
  <c r="M31" i="112"/>
  <c r="Y30" i="112"/>
  <c r="T30" i="112"/>
  <c r="S30" i="112"/>
  <c r="R30" i="112"/>
  <c r="R247" i="112" s="1"/>
  <c r="P30" i="112"/>
  <c r="O30" i="112"/>
  <c r="N30" i="112"/>
  <c r="I30" i="112"/>
  <c r="I247" i="112" s="1"/>
  <c r="B30" i="112"/>
  <c r="U28" i="112"/>
  <c r="M28" i="112"/>
  <c r="M27" i="112"/>
  <c r="M26" i="112"/>
  <c r="M25" i="112"/>
  <c r="M24" i="112"/>
  <c r="M23" i="112"/>
  <c r="M22" i="112"/>
  <c r="M21" i="112"/>
  <c r="M20" i="112"/>
  <c r="M17" i="112"/>
  <c r="M16" i="112"/>
  <c r="M15" i="112"/>
  <c r="M14" i="112"/>
  <c r="M13" i="112"/>
  <c r="M12" i="112"/>
  <c r="M11" i="112"/>
  <c r="M234" i="112" l="1"/>
  <c r="M79" i="112"/>
  <c r="M239" i="112"/>
  <c r="M245" i="112"/>
  <c r="E28" i="112"/>
  <c r="M43" i="112"/>
  <c r="T240" i="112"/>
  <c r="T243" i="112" s="1"/>
  <c r="I207" i="112"/>
  <c r="M226" i="112"/>
  <c r="Y207" i="112"/>
  <c r="P240" i="112"/>
  <c r="N240" i="112"/>
  <c r="M160" i="112"/>
  <c r="M177" i="112"/>
  <c r="W245" i="112"/>
  <c r="M217" i="112"/>
  <c r="M206" i="112"/>
  <c r="P152" i="112"/>
  <c r="M30" i="112"/>
  <c r="M36" i="112"/>
  <c r="M50" i="112"/>
  <c r="P59" i="112"/>
  <c r="M97" i="112"/>
  <c r="O243" i="112"/>
  <c r="P80" i="112"/>
  <c r="M96" i="112"/>
  <c r="M122" i="112"/>
  <c r="M152" i="112"/>
  <c r="M148" i="112"/>
  <c r="Y243" i="112"/>
  <c r="Y247" i="112" s="1"/>
  <c r="S186" i="112"/>
  <c r="M185" i="112"/>
  <c r="P186" i="112"/>
  <c r="N207" i="112"/>
  <c r="S207" i="112"/>
  <c r="M242" i="112"/>
  <c r="O246" i="112"/>
  <c r="W246" i="112" s="1"/>
  <c r="BX91" i="13"/>
  <c r="AB49" i="108"/>
  <c r="L49" i="112" s="1"/>
  <c r="AB49" i="112" s="1"/>
  <c r="L49" i="113" s="1"/>
  <c r="AB49" i="113" s="1"/>
  <c r="L59" i="117" s="1"/>
  <c r="AB59" i="117" s="1"/>
  <c r="L60" i="121" s="1"/>
  <c r="AB60" i="121" s="1"/>
  <c r="L60" i="122" s="1"/>
  <c r="AB60" i="122" s="1"/>
  <c r="AA49" i="108"/>
  <c r="K49" i="112" s="1"/>
  <c r="AA49" i="112" s="1"/>
  <c r="K49" i="113" s="1"/>
  <c r="AA49" i="113" s="1"/>
  <c r="K59" i="117" s="1"/>
  <c r="AA59" i="117" s="1"/>
  <c r="K60" i="121" s="1"/>
  <c r="AA60" i="121" s="1"/>
  <c r="K60" i="122" s="1"/>
  <c r="AA60" i="122" s="1"/>
  <c r="Z49" i="108"/>
  <c r="J49" i="112" s="1"/>
  <c r="Z49" i="112" s="1"/>
  <c r="J49" i="113" s="1"/>
  <c r="Z49" i="113" s="1"/>
  <c r="J59" i="117" s="1"/>
  <c r="Z59" i="117" s="1"/>
  <c r="J60" i="121" s="1"/>
  <c r="Z60" i="121" s="1"/>
  <c r="J60" i="122" s="1"/>
  <c r="Z60" i="122" s="1"/>
  <c r="X49" i="108"/>
  <c r="H49" i="112" s="1"/>
  <c r="X49" i="112" s="1"/>
  <c r="H49" i="113" s="1"/>
  <c r="X49" i="113" s="1"/>
  <c r="H59" i="117" s="1"/>
  <c r="X59" i="117" s="1"/>
  <c r="H60" i="121" s="1"/>
  <c r="X60" i="121" s="1"/>
  <c r="H60" i="122" s="1"/>
  <c r="X60" i="122" s="1"/>
  <c r="W49" i="108"/>
  <c r="G49" i="112" s="1"/>
  <c r="W49" i="112" s="1"/>
  <c r="G49" i="113" s="1"/>
  <c r="W49" i="113" s="1"/>
  <c r="G59" i="117" s="1"/>
  <c r="W59" i="117" s="1"/>
  <c r="G60" i="121" s="1"/>
  <c r="W60" i="121" s="1"/>
  <c r="G60" i="122" s="1"/>
  <c r="W60" i="122" s="1"/>
  <c r="V49" i="108"/>
  <c r="F49" i="112" s="1"/>
  <c r="V49" i="112" s="1"/>
  <c r="F49" i="113" s="1"/>
  <c r="V49" i="113" s="1"/>
  <c r="F59" i="117" s="1"/>
  <c r="V59" i="117" s="1"/>
  <c r="F60" i="121" s="1"/>
  <c r="V60" i="121" s="1"/>
  <c r="F60" i="122" s="1"/>
  <c r="V60" i="122" s="1"/>
  <c r="M49" i="108"/>
  <c r="U49" i="108" s="1"/>
  <c r="N50" i="108"/>
  <c r="E9" i="111"/>
  <c r="P243" i="112" l="1"/>
  <c r="P247" i="112" s="1"/>
  <c r="N243" i="112"/>
  <c r="N247" i="112" s="1"/>
  <c r="M240" i="112"/>
  <c r="T247" i="112"/>
  <c r="M246" i="112"/>
  <c r="O247" i="112"/>
  <c r="M207" i="112"/>
  <c r="M186" i="112"/>
  <c r="M80" i="112"/>
  <c r="S243" i="112"/>
  <c r="M59" i="112"/>
  <c r="S247" i="112" l="1"/>
  <c r="M243" i="112"/>
  <c r="M247" i="112" s="1"/>
  <c r="P215" i="108"/>
  <c r="AB145" i="108"/>
  <c r="L145" i="112" s="1"/>
  <c r="AB145" i="112" s="1"/>
  <c r="L147" i="113" s="1"/>
  <c r="AB147" i="113" s="1"/>
  <c r="L158" i="117" s="1"/>
  <c r="AA145" i="108"/>
  <c r="K145" i="112" s="1"/>
  <c r="AA145" i="112" s="1"/>
  <c r="K147" i="113" s="1"/>
  <c r="AA147" i="113" s="1"/>
  <c r="K158" i="117" s="1"/>
  <c r="AA158" i="117" s="1"/>
  <c r="K156" i="121" s="1"/>
  <c r="AA156" i="121" s="1"/>
  <c r="K156" i="122" s="1"/>
  <c r="AA156" i="122" s="1"/>
  <c r="X145" i="108"/>
  <c r="H145" i="112" s="1"/>
  <c r="X145" i="112" s="1"/>
  <c r="H147" i="113" s="1"/>
  <c r="X147" i="113" s="1"/>
  <c r="H158" i="117" s="1"/>
  <c r="X158" i="117" s="1"/>
  <c r="H156" i="121" s="1"/>
  <c r="X156" i="121" s="1"/>
  <c r="H156" i="122" s="1"/>
  <c r="X156" i="122" s="1"/>
  <c r="W145" i="108"/>
  <c r="G145" i="112" s="1"/>
  <c r="W145" i="112" s="1"/>
  <c r="G147" i="113" s="1"/>
  <c r="W147" i="113" s="1"/>
  <c r="G158" i="117" s="1"/>
  <c r="W158" i="117" s="1"/>
  <c r="G156" i="121" s="1"/>
  <c r="W156" i="121" s="1"/>
  <c r="G156" i="122" s="1"/>
  <c r="W156" i="122" s="1"/>
  <c r="V145" i="108"/>
  <c r="F145" i="112" s="1"/>
  <c r="V145" i="112" s="1"/>
  <c r="F147" i="113" s="1"/>
  <c r="V147" i="113" s="1"/>
  <c r="F158" i="117" s="1"/>
  <c r="V158" i="117" s="1"/>
  <c r="F156" i="121" s="1"/>
  <c r="V156" i="121" s="1"/>
  <c r="F156" i="122" s="1"/>
  <c r="V156" i="122" s="1"/>
  <c r="P146" i="108"/>
  <c r="M145" i="108"/>
  <c r="U145" i="108" s="1"/>
  <c r="AB158" i="117" l="1"/>
  <c r="L156" i="121" s="1"/>
  <c r="E158" i="117"/>
  <c r="U158" i="117" s="1"/>
  <c r="AA174" i="108"/>
  <c r="K176" i="112" s="1"/>
  <c r="AA176" i="112" s="1"/>
  <c r="K180" i="113" s="1"/>
  <c r="AA180" i="113" s="1"/>
  <c r="K192" i="117" s="1"/>
  <c r="AA192" i="117" s="1"/>
  <c r="K190" i="121" s="1"/>
  <c r="AA190" i="121" s="1"/>
  <c r="K190" i="122" s="1"/>
  <c r="AA190" i="122" s="1"/>
  <c r="X174" i="108"/>
  <c r="H176" i="112" s="1"/>
  <c r="X176" i="112" s="1"/>
  <c r="H180" i="113" s="1"/>
  <c r="X180" i="113" s="1"/>
  <c r="H192" i="117" s="1"/>
  <c r="X192" i="117" s="1"/>
  <c r="H190" i="121" s="1"/>
  <c r="X190" i="121" s="1"/>
  <c r="H190" i="122" s="1"/>
  <c r="X190" i="122" s="1"/>
  <c r="V174" i="108"/>
  <c r="F176" i="112" s="1"/>
  <c r="V176" i="112" s="1"/>
  <c r="F180" i="113" s="1"/>
  <c r="V180" i="113" s="1"/>
  <c r="F192" i="117" s="1"/>
  <c r="V192" i="117" s="1"/>
  <c r="F190" i="121" s="1"/>
  <c r="V190" i="121" s="1"/>
  <c r="F190" i="122" s="1"/>
  <c r="V190" i="122" s="1"/>
  <c r="S175" i="108"/>
  <c r="M174" i="108"/>
  <c r="AB156" i="121" l="1"/>
  <c r="L156" i="122" s="1"/>
  <c r="E156" i="121"/>
  <c r="U156" i="121" s="1"/>
  <c r="O50" i="108"/>
  <c r="O36" i="108"/>
  <c r="M32" i="108"/>
  <c r="AB156" i="122" l="1"/>
  <c r="E156" i="122"/>
  <c r="U156" i="122" s="1"/>
  <c r="L28" i="108"/>
  <c r="L143" i="108"/>
  <c r="L144" i="108"/>
  <c r="AB144" i="108" s="1"/>
  <c r="L144" i="112" s="1"/>
  <c r="L148" i="108"/>
  <c r="L230" i="108"/>
  <c r="K28" i="108"/>
  <c r="K230" i="108"/>
  <c r="J28" i="108"/>
  <c r="J143" i="108"/>
  <c r="J144" i="108"/>
  <c r="J148" i="108"/>
  <c r="J149" i="108"/>
  <c r="J182" i="108"/>
  <c r="J230" i="108"/>
  <c r="H28" i="108"/>
  <c r="H148" i="108"/>
  <c r="H182" i="108"/>
  <c r="H230" i="108"/>
  <c r="G28" i="108"/>
  <c r="G143" i="108"/>
  <c r="W143" i="108" s="1"/>
  <c r="G143" i="112" s="1"/>
  <c r="W143" i="112" s="1"/>
  <c r="G145" i="113" s="1"/>
  <c r="W145" i="113" s="1"/>
  <c r="G156" i="117" s="1"/>
  <c r="W156" i="117" s="1"/>
  <c r="G154" i="121" s="1"/>
  <c r="W154" i="121" s="1"/>
  <c r="G154" i="122" s="1"/>
  <c r="W154" i="122" s="1"/>
  <c r="G144" i="108"/>
  <c r="W144" i="108" s="1"/>
  <c r="G144" i="112" s="1"/>
  <c r="W144" i="112" s="1"/>
  <c r="G146" i="113" s="1"/>
  <c r="W146" i="113" s="1"/>
  <c r="G157" i="117" s="1"/>
  <c r="W157" i="117" s="1"/>
  <c r="G155" i="121" s="1"/>
  <c r="W155" i="121" s="1"/>
  <c r="G155" i="122" s="1"/>
  <c r="W155" i="122" s="1"/>
  <c r="G148" i="108"/>
  <c r="G149" i="108"/>
  <c r="G230" i="108"/>
  <c r="F28" i="108"/>
  <c r="F143" i="108"/>
  <c r="V143" i="108" s="1"/>
  <c r="F143" i="112" s="1"/>
  <c r="V143" i="112" s="1"/>
  <c r="F145" i="113" s="1"/>
  <c r="V145" i="113" s="1"/>
  <c r="F156" i="117" s="1"/>
  <c r="V156" i="117" s="1"/>
  <c r="F154" i="121" s="1"/>
  <c r="V154" i="121" s="1"/>
  <c r="F154" i="122" s="1"/>
  <c r="V154" i="122" s="1"/>
  <c r="F144" i="108"/>
  <c r="V144" i="108" s="1"/>
  <c r="F144" i="112" s="1"/>
  <c r="V144" i="112" s="1"/>
  <c r="F146" i="113" s="1"/>
  <c r="V146" i="113" s="1"/>
  <c r="F157" i="117" s="1"/>
  <c r="V157" i="117" s="1"/>
  <c r="F155" i="121" s="1"/>
  <c r="V155" i="121" s="1"/>
  <c r="F155" i="122" s="1"/>
  <c r="V155" i="122" s="1"/>
  <c r="F148" i="108"/>
  <c r="F149" i="108"/>
  <c r="AB144" i="112" l="1"/>
  <c r="L146" i="113" s="1"/>
  <c r="AB143" i="108"/>
  <c r="L143" i="112" s="1"/>
  <c r="E28" i="108"/>
  <c r="AB143" i="112" l="1"/>
  <c r="L145" i="113" s="1"/>
  <c r="AB146" i="113"/>
  <c r="L157" i="117" s="1"/>
  <c r="J67" i="41"/>
  <c r="CG72" i="19"/>
  <c r="BN71" i="19"/>
  <c r="CD82" i="11"/>
  <c r="AB157" i="117" l="1"/>
  <c r="L155" i="121" s="1"/>
  <c r="AB145" i="113"/>
  <c r="L156" i="117" s="1"/>
  <c r="H255" i="108"/>
  <c r="AB250" i="108"/>
  <c r="H250" i="108"/>
  <c r="AB249" i="108"/>
  <c r="AB248" i="108"/>
  <c r="AB247" i="108"/>
  <c r="AB246" i="108"/>
  <c r="S244" i="108"/>
  <c r="G244" i="108"/>
  <c r="Y243" i="108"/>
  <c r="Y244" i="108" s="1"/>
  <c r="T243" i="108"/>
  <c r="R243" i="108"/>
  <c r="R244" i="108" s="1"/>
  <c r="P243" i="108"/>
  <c r="O243" i="108"/>
  <c r="O244" i="108" s="1"/>
  <c r="N243" i="108"/>
  <c r="N244" i="108" s="1"/>
  <c r="G243" i="108"/>
  <c r="M242" i="108"/>
  <c r="G242" i="108"/>
  <c r="W242" i="108" s="1"/>
  <c r="Q241" i="108"/>
  <c r="Q245" i="108" s="1"/>
  <c r="O241" i="108"/>
  <c r="S240" i="108"/>
  <c r="R240" i="108"/>
  <c r="O240" i="108"/>
  <c r="M239" i="108"/>
  <c r="T237" i="108"/>
  <c r="P237" i="108"/>
  <c r="M237" i="108" s="1"/>
  <c r="M236" i="108"/>
  <c r="M235" i="108"/>
  <c r="M234" i="108"/>
  <c r="M233" i="108"/>
  <c r="Y232" i="108"/>
  <c r="T232" i="108"/>
  <c r="P232" i="108"/>
  <c r="N232" i="108"/>
  <c r="M232" i="108" s="1"/>
  <c r="I232" i="108"/>
  <c r="M231" i="108"/>
  <c r="M230" i="108"/>
  <c r="M229" i="108"/>
  <c r="M228" i="108"/>
  <c r="M226" i="108"/>
  <c r="M225" i="108"/>
  <c r="Y224" i="108"/>
  <c r="P224" i="108"/>
  <c r="N224" i="108"/>
  <c r="I224" i="108"/>
  <c r="M223" i="108"/>
  <c r="M222" i="108"/>
  <c r="M221" i="108"/>
  <c r="M220" i="108"/>
  <c r="M219" i="108"/>
  <c r="M218" i="108"/>
  <c r="P217" i="108"/>
  <c r="M217" i="108" s="1"/>
  <c r="M216" i="108"/>
  <c r="N215" i="108"/>
  <c r="M215" i="108" s="1"/>
  <c r="M214" i="108"/>
  <c r="M213" i="108"/>
  <c r="M212" i="108"/>
  <c r="M211" i="108"/>
  <c r="M210" i="108"/>
  <c r="M209" i="108"/>
  <c r="P208" i="108"/>
  <c r="M207" i="108"/>
  <c r="M206" i="108"/>
  <c r="Y204" i="108"/>
  <c r="T204" i="108"/>
  <c r="T205" i="108" s="1"/>
  <c r="S204" i="108"/>
  <c r="S205" i="108" s="1"/>
  <c r="N204" i="108"/>
  <c r="I204" i="108"/>
  <c r="M203" i="108"/>
  <c r="M202" i="108"/>
  <c r="M201" i="108"/>
  <c r="M200" i="108"/>
  <c r="M199" i="108"/>
  <c r="M198" i="108"/>
  <c r="M197" i="108"/>
  <c r="M196" i="108"/>
  <c r="M195" i="108"/>
  <c r="Y194" i="108"/>
  <c r="N194" i="108"/>
  <c r="M194" i="108" s="1"/>
  <c r="I194" i="108"/>
  <c r="M193" i="108"/>
  <c r="M192" i="108"/>
  <c r="M191" i="108"/>
  <c r="M190" i="108"/>
  <c r="M189" i="108"/>
  <c r="M188" i="108"/>
  <c r="M187" i="108"/>
  <c r="M186" i="108"/>
  <c r="M185" i="108"/>
  <c r="R184" i="108"/>
  <c r="R241" i="108" s="1"/>
  <c r="T183" i="108"/>
  <c r="T184" i="108" s="1"/>
  <c r="S183" i="108"/>
  <c r="P183" i="108"/>
  <c r="M182" i="108"/>
  <c r="M181" i="108"/>
  <c r="M180" i="108"/>
  <c r="M179" i="108"/>
  <c r="M178" i="108"/>
  <c r="M177" i="108"/>
  <c r="M176" i="108"/>
  <c r="P175" i="108"/>
  <c r="N175" i="108"/>
  <c r="N184" i="108" s="1"/>
  <c r="M173" i="108"/>
  <c r="M172" i="108"/>
  <c r="M171" i="108"/>
  <c r="M170" i="108"/>
  <c r="M169" i="108"/>
  <c r="M168" i="108"/>
  <c r="M167" i="108"/>
  <c r="M166" i="108"/>
  <c r="M165" i="108"/>
  <c r="M164" i="108"/>
  <c r="M163" i="108"/>
  <c r="M162" i="108"/>
  <c r="M161" i="108"/>
  <c r="M160" i="108"/>
  <c r="M159" i="108"/>
  <c r="S158" i="108"/>
  <c r="P158" i="108"/>
  <c r="M157" i="108"/>
  <c r="M156" i="108"/>
  <c r="M155" i="108"/>
  <c r="M154" i="108"/>
  <c r="M153" i="108"/>
  <c r="M152" i="108"/>
  <c r="M151" i="108"/>
  <c r="S149" i="108"/>
  <c r="M149" i="108" s="1"/>
  <c r="M148" i="108"/>
  <c r="M147" i="108"/>
  <c r="S146" i="108"/>
  <c r="M144" i="108"/>
  <c r="M143" i="108"/>
  <c r="M142" i="108"/>
  <c r="M141" i="108"/>
  <c r="M140" i="108"/>
  <c r="M139" i="108"/>
  <c r="M138" i="108"/>
  <c r="M137" i="108"/>
  <c r="M136" i="108"/>
  <c r="M135" i="108"/>
  <c r="M134" i="108"/>
  <c r="M133" i="108"/>
  <c r="M132" i="108"/>
  <c r="M131" i="108"/>
  <c r="M130" i="108"/>
  <c r="M129" i="108"/>
  <c r="M128" i="108"/>
  <c r="M127" i="108"/>
  <c r="M126" i="108"/>
  <c r="M125" i="108"/>
  <c r="M124" i="108"/>
  <c r="M123" i="108"/>
  <c r="P122" i="108"/>
  <c r="N122" i="108"/>
  <c r="N150" i="108" s="1"/>
  <c r="M121" i="108"/>
  <c r="M120" i="108"/>
  <c r="M119" i="108"/>
  <c r="M118" i="108"/>
  <c r="M117" i="108"/>
  <c r="M116" i="108"/>
  <c r="M115" i="108"/>
  <c r="M114" i="108"/>
  <c r="M113" i="108"/>
  <c r="M112" i="108"/>
  <c r="M111" i="108"/>
  <c r="M110" i="108"/>
  <c r="M109" i="108"/>
  <c r="M108" i="108"/>
  <c r="M107" i="108"/>
  <c r="M106" i="108"/>
  <c r="M105" i="108"/>
  <c r="M104" i="108"/>
  <c r="M103" i="108"/>
  <c r="M102" i="108"/>
  <c r="M101" i="108"/>
  <c r="M100" i="108"/>
  <c r="M99" i="108"/>
  <c r="M98" i="108"/>
  <c r="T96" i="108"/>
  <c r="M95" i="108"/>
  <c r="M94" i="108"/>
  <c r="M93" i="108"/>
  <c r="M92" i="108"/>
  <c r="M91" i="108"/>
  <c r="M90" i="108"/>
  <c r="M89" i="108"/>
  <c r="M88" i="108"/>
  <c r="M87" i="108"/>
  <c r="M86" i="108"/>
  <c r="M85" i="108"/>
  <c r="M84" i="108"/>
  <c r="M83" i="108"/>
  <c r="M82" i="108"/>
  <c r="M81" i="108"/>
  <c r="T79" i="108"/>
  <c r="T80" i="108" s="1"/>
  <c r="P79" i="108"/>
  <c r="P80" i="108" s="1"/>
  <c r="M78" i="108"/>
  <c r="M77" i="108"/>
  <c r="M76" i="108"/>
  <c r="M75" i="108"/>
  <c r="M74" i="108"/>
  <c r="M73" i="108"/>
  <c r="M72" i="108"/>
  <c r="M71" i="108"/>
  <c r="M70" i="108"/>
  <c r="M69" i="108"/>
  <c r="M68" i="108"/>
  <c r="M67" i="108"/>
  <c r="M66" i="108"/>
  <c r="M65" i="108"/>
  <c r="M64" i="108"/>
  <c r="M63" i="108"/>
  <c r="M62" i="108"/>
  <c r="M61" i="108"/>
  <c r="M60" i="108"/>
  <c r="P58" i="108"/>
  <c r="P59" i="108" s="1"/>
  <c r="M57" i="108"/>
  <c r="M56" i="108"/>
  <c r="M55" i="108"/>
  <c r="M54" i="108"/>
  <c r="M53" i="108"/>
  <c r="M52" i="108"/>
  <c r="M51" i="108"/>
  <c r="P50" i="108"/>
  <c r="M50" i="108" s="1"/>
  <c r="M48" i="108"/>
  <c r="M47" i="108"/>
  <c r="M46" i="108"/>
  <c r="M45" i="108"/>
  <c r="M44" i="108"/>
  <c r="T43" i="108"/>
  <c r="S43" i="108"/>
  <c r="P43" i="108"/>
  <c r="Y41" i="108"/>
  <c r="Y43" i="108" s="1"/>
  <c r="M41" i="108"/>
  <c r="I41" i="108"/>
  <c r="I43" i="108" s="1"/>
  <c r="M40" i="108"/>
  <c r="M39" i="108"/>
  <c r="M38" i="108"/>
  <c r="M37" i="108"/>
  <c r="P36" i="108"/>
  <c r="N36" i="108"/>
  <c r="M35" i="108"/>
  <c r="M34" i="108"/>
  <c r="M33" i="108"/>
  <c r="M31" i="108"/>
  <c r="Y30" i="108"/>
  <c r="T30" i="108"/>
  <c r="S30" i="108"/>
  <c r="R30" i="108"/>
  <c r="P30" i="108"/>
  <c r="O30" i="108"/>
  <c r="N30" i="108"/>
  <c r="I30" i="108"/>
  <c r="I245" i="108" s="1"/>
  <c r="B30" i="108"/>
  <c r="U28" i="108"/>
  <c r="M28" i="108"/>
  <c r="M27" i="108"/>
  <c r="M26" i="108"/>
  <c r="M25" i="108"/>
  <c r="M24" i="108"/>
  <c r="M23" i="108"/>
  <c r="M22" i="108"/>
  <c r="M21" i="108"/>
  <c r="M20" i="108"/>
  <c r="M17" i="108"/>
  <c r="M16" i="108"/>
  <c r="M15" i="108"/>
  <c r="M14" i="108"/>
  <c r="M13" i="108"/>
  <c r="M12" i="108"/>
  <c r="M11" i="108"/>
  <c r="AB155" i="121" l="1"/>
  <c r="L155" i="122" s="1"/>
  <c r="M36" i="108"/>
  <c r="O245" i="108"/>
  <c r="M243" i="108"/>
  <c r="Y205" i="108"/>
  <c r="M224" i="108"/>
  <c r="N238" i="108"/>
  <c r="AB156" i="117"/>
  <c r="L154" i="121" s="1"/>
  <c r="N205" i="108"/>
  <c r="M205" i="108" s="1"/>
  <c r="M158" i="108"/>
  <c r="I205" i="108"/>
  <c r="M204" i="108"/>
  <c r="R245" i="108"/>
  <c r="M208" i="108"/>
  <c r="W244" i="108"/>
  <c r="M30" i="108"/>
  <c r="M122" i="108"/>
  <c r="P150" i="108"/>
  <c r="S150" i="108"/>
  <c r="M175" i="108"/>
  <c r="M183" i="108"/>
  <c r="M80" i="108"/>
  <c r="M59" i="108"/>
  <c r="M43" i="108"/>
  <c r="M58" i="108"/>
  <c r="M96" i="108"/>
  <c r="M146" i="108"/>
  <c r="Y241" i="108"/>
  <c r="Y245" i="108" s="1"/>
  <c r="M79" i="108"/>
  <c r="T97" i="108"/>
  <c r="M240" i="108"/>
  <c r="S184" i="108"/>
  <c r="P184" i="108"/>
  <c r="M244" i="108"/>
  <c r="P238" i="108"/>
  <c r="W243" i="108"/>
  <c r="T238" i="108"/>
  <c r="AB154" i="121" l="1"/>
  <c r="L154" i="122" s="1"/>
  <c r="AB155" i="122"/>
  <c r="M184" i="108"/>
  <c r="N241" i="108"/>
  <c r="N245" i="108" s="1"/>
  <c r="M150" i="108"/>
  <c r="T241" i="108"/>
  <c r="P241" i="108"/>
  <c r="M238" i="108"/>
  <c r="S241" i="108"/>
  <c r="M97" i="108"/>
  <c r="U28" i="107"/>
  <c r="M28" i="107"/>
  <c r="AB154" i="122" l="1"/>
  <c r="M241" i="108"/>
  <c r="M245" i="108" s="1"/>
  <c r="S245" i="108"/>
  <c r="P245" i="108"/>
  <c r="T245" i="108"/>
  <c r="S23" i="107"/>
  <c r="S30" i="107" s="1"/>
  <c r="P57" i="107" l="1"/>
  <c r="P58" i="107" s="1"/>
  <c r="P78" i="107"/>
  <c r="P79" i="107" s="1"/>
  <c r="CD26" i="19"/>
  <c r="P144" i="107" l="1"/>
  <c r="S180" i="107" l="1"/>
  <c r="V179" i="107"/>
  <c r="F182" i="108" s="1"/>
  <c r="V182" i="108" s="1"/>
  <c r="F184" i="112" s="1"/>
  <c r="V184" i="112" s="1"/>
  <c r="F188" i="113" s="1"/>
  <c r="V188" i="113" s="1"/>
  <c r="F200" i="117" s="1"/>
  <c r="V200" i="117" s="1"/>
  <c r="F198" i="121" s="1"/>
  <c r="V198" i="121" s="1"/>
  <c r="F198" i="122" s="1"/>
  <c r="V198" i="122" s="1"/>
  <c r="W179" i="107"/>
  <c r="G182" i="108" s="1"/>
  <c r="W182" i="108" s="1"/>
  <c r="G184" i="112" s="1"/>
  <c r="W184" i="112" s="1"/>
  <c r="G188" i="113" s="1"/>
  <c r="W188" i="113" s="1"/>
  <c r="G200" i="117" s="1"/>
  <c r="W200" i="117" s="1"/>
  <c r="G198" i="121" s="1"/>
  <c r="W198" i="121" s="1"/>
  <c r="G198" i="122" s="1"/>
  <c r="W198" i="122" s="1"/>
  <c r="AB179" i="107"/>
  <c r="L182" i="108" s="1"/>
  <c r="AA179" i="107"/>
  <c r="K182" i="108" s="1"/>
  <c r="AA182" i="108" s="1"/>
  <c r="K184" i="112" s="1"/>
  <c r="AA184" i="112" s="1"/>
  <c r="K188" i="113" s="1"/>
  <c r="AA188" i="113" s="1"/>
  <c r="K200" i="117" s="1"/>
  <c r="AA200" i="117" s="1"/>
  <c r="K198" i="121" s="1"/>
  <c r="AA198" i="121" s="1"/>
  <c r="K198" i="122" s="1"/>
  <c r="AA198" i="122" s="1"/>
  <c r="M179" i="107"/>
  <c r="U179" i="107" s="1"/>
  <c r="E182" i="108" l="1"/>
  <c r="U182" i="108" s="1"/>
  <c r="AB182" i="108"/>
  <c r="L184" i="112" s="1"/>
  <c r="AA146" i="107"/>
  <c r="K148" i="108" s="1"/>
  <c r="S147" i="107"/>
  <c r="M147" i="107" s="1"/>
  <c r="U147" i="107" s="1"/>
  <c r="M145" i="107"/>
  <c r="M146" i="107"/>
  <c r="U146" i="107" s="1"/>
  <c r="E148" i="108" l="1"/>
  <c r="U148" i="108" s="1"/>
  <c r="AA148" i="108"/>
  <c r="K150" i="112" s="1"/>
  <c r="E184" i="112"/>
  <c r="U184" i="112" s="1"/>
  <c r="AB184" i="112"/>
  <c r="L188" i="113" s="1"/>
  <c r="AA142" i="107"/>
  <c r="K143" i="108" s="1"/>
  <c r="AA143" i="107"/>
  <c r="K144" i="108" s="1"/>
  <c r="X142" i="107"/>
  <c r="H143" i="108" s="1"/>
  <c r="X143" i="108" s="1"/>
  <c r="H143" i="112" s="1"/>
  <c r="X143" i="112" s="1"/>
  <c r="H145" i="113" s="1"/>
  <c r="X145" i="113" s="1"/>
  <c r="H156" i="117" s="1"/>
  <c r="X156" i="117" s="1"/>
  <c r="H154" i="121" s="1"/>
  <c r="X154" i="121" s="1"/>
  <c r="H154" i="122" s="1"/>
  <c r="X154" i="122" s="1"/>
  <c r="X143" i="107"/>
  <c r="H144" i="108" s="1"/>
  <c r="X144" i="108" s="1"/>
  <c r="H144" i="112" s="1"/>
  <c r="X144" i="112" s="1"/>
  <c r="H146" i="113" s="1"/>
  <c r="X146" i="113" s="1"/>
  <c r="H157" i="117" s="1"/>
  <c r="X157" i="117" s="1"/>
  <c r="H155" i="121" s="1"/>
  <c r="X155" i="121" s="1"/>
  <c r="H155" i="122" s="1"/>
  <c r="X155" i="122" s="1"/>
  <c r="S144" i="107"/>
  <c r="E188" i="113" l="1"/>
  <c r="U188" i="113" s="1"/>
  <c r="AB188" i="113"/>
  <c r="L200" i="117" s="1"/>
  <c r="E144" i="108"/>
  <c r="U144" i="108" s="1"/>
  <c r="AA144" i="108"/>
  <c r="K144" i="112" s="1"/>
  <c r="E150" i="112"/>
  <c r="U150" i="112" s="1"/>
  <c r="AA150" i="112"/>
  <c r="K154" i="113" s="1"/>
  <c r="E143" i="108"/>
  <c r="U143" i="108" s="1"/>
  <c r="AA143" i="108"/>
  <c r="K143" i="112" s="1"/>
  <c r="M144" i="107"/>
  <c r="S148" i="107"/>
  <c r="AA143" i="112" l="1"/>
  <c r="K145" i="113" s="1"/>
  <c r="E143" i="112"/>
  <c r="U143" i="112" s="1"/>
  <c r="AA144" i="112"/>
  <c r="K146" i="113" s="1"/>
  <c r="E144" i="112"/>
  <c r="U144" i="112" s="1"/>
  <c r="AA154" i="113"/>
  <c r="K165" i="117" s="1"/>
  <c r="E154" i="113"/>
  <c r="U154" i="113" s="1"/>
  <c r="E200" i="117"/>
  <c r="U200" i="117" s="1"/>
  <c r="AB200" i="117"/>
  <c r="L198" i="121" s="1"/>
  <c r="S172" i="107"/>
  <c r="R181" i="107"/>
  <c r="AB155" i="107"/>
  <c r="L157" i="108" s="1"/>
  <c r="AA155" i="107"/>
  <c r="K157" i="108" s="1"/>
  <c r="AA157" i="108" s="1"/>
  <c r="K159" i="112" s="1"/>
  <c r="AA159" i="112" s="1"/>
  <c r="K163" i="113" s="1"/>
  <c r="AA163" i="113" s="1"/>
  <c r="K175" i="117" s="1"/>
  <c r="AA175" i="117" s="1"/>
  <c r="K173" i="121" s="1"/>
  <c r="AA173" i="121" s="1"/>
  <c r="K173" i="122" s="1"/>
  <c r="AA173" i="122" s="1"/>
  <c r="Z155" i="107"/>
  <c r="J157" i="108" s="1"/>
  <c r="Z157" i="108" s="1"/>
  <c r="J159" i="112" s="1"/>
  <c r="Z159" i="112" s="1"/>
  <c r="J163" i="113" s="1"/>
  <c r="Z163" i="113" s="1"/>
  <c r="J175" i="117" s="1"/>
  <c r="Z175" i="117" s="1"/>
  <c r="J173" i="121" s="1"/>
  <c r="Z173" i="121" s="1"/>
  <c r="J173" i="122" s="1"/>
  <c r="Z173" i="122" s="1"/>
  <c r="X155" i="107"/>
  <c r="H157" i="108" s="1"/>
  <c r="X157" i="108" s="1"/>
  <c r="H159" i="112" s="1"/>
  <c r="X159" i="112" s="1"/>
  <c r="H163" i="113" s="1"/>
  <c r="W155" i="107"/>
  <c r="G157" i="108" s="1"/>
  <c r="W157" i="108" s="1"/>
  <c r="G159" i="112" s="1"/>
  <c r="W159" i="112" s="1"/>
  <c r="G163" i="113" s="1"/>
  <c r="W163" i="113" s="1"/>
  <c r="G175" i="117" s="1"/>
  <c r="W175" i="117" s="1"/>
  <c r="G173" i="121" s="1"/>
  <c r="W173" i="121" s="1"/>
  <c r="G173" i="122" s="1"/>
  <c r="W173" i="122" s="1"/>
  <c r="V155" i="107"/>
  <c r="F157" i="108" s="1"/>
  <c r="V157" i="108" s="1"/>
  <c r="F159" i="112" s="1"/>
  <c r="V159" i="112" s="1"/>
  <c r="F163" i="113" s="1"/>
  <c r="V163" i="113" s="1"/>
  <c r="F175" i="117" s="1"/>
  <c r="V175" i="117" s="1"/>
  <c r="F173" i="121" s="1"/>
  <c r="V173" i="121" s="1"/>
  <c r="F173" i="122" s="1"/>
  <c r="V173" i="122" s="1"/>
  <c r="M155" i="107"/>
  <c r="S156" i="107"/>
  <c r="AB198" i="121" l="1"/>
  <c r="L198" i="122" s="1"/>
  <c r="E198" i="121"/>
  <c r="U198" i="121" s="1"/>
  <c r="E157" i="108"/>
  <c r="U157" i="108" s="1"/>
  <c r="AB157" i="108"/>
  <c r="L159" i="112" s="1"/>
  <c r="AA146" i="113"/>
  <c r="K157" i="117" s="1"/>
  <c r="E146" i="113"/>
  <c r="U146" i="113" s="1"/>
  <c r="X163" i="113"/>
  <c r="H175" i="117" s="1"/>
  <c r="X175" i="117" s="1"/>
  <c r="H173" i="121" s="1"/>
  <c r="X173" i="121" s="1"/>
  <c r="H173" i="122" s="1"/>
  <c r="X173" i="122" s="1"/>
  <c r="AA165" i="117"/>
  <c r="K163" i="121" s="1"/>
  <c r="E165" i="117"/>
  <c r="U165" i="117" s="1"/>
  <c r="AA145" i="113"/>
  <c r="K156" i="117" s="1"/>
  <c r="E145" i="113"/>
  <c r="U145" i="113" s="1"/>
  <c r="S181" i="107"/>
  <c r="CG46" i="25"/>
  <c r="CG92" i="25"/>
  <c r="AA163" i="121" l="1"/>
  <c r="K163" i="122" s="1"/>
  <c r="E163" i="121"/>
  <c r="U163" i="121" s="1"/>
  <c r="E198" i="122"/>
  <c r="U198" i="122" s="1"/>
  <c r="AB198" i="122"/>
  <c r="AA157" i="117"/>
  <c r="K155" i="121" s="1"/>
  <c r="E157" i="117"/>
  <c r="U157" i="117" s="1"/>
  <c r="AB159" i="112"/>
  <c r="L163" i="113" s="1"/>
  <c r="E159" i="112"/>
  <c r="U159" i="112" s="1"/>
  <c r="AA156" i="117"/>
  <c r="K154" i="121" s="1"/>
  <c r="E156" i="117"/>
  <c r="U156" i="117" s="1"/>
  <c r="BN21" i="11"/>
  <c r="AN21" i="11" s="1"/>
  <c r="CD18" i="11"/>
  <c r="AN18" i="11" s="1"/>
  <c r="BN18" i="11" s="1"/>
  <c r="AN16" i="11"/>
  <c r="AA154" i="121" l="1"/>
  <c r="K154" i="122" s="1"/>
  <c r="E154" i="121"/>
  <c r="U154" i="121" s="1"/>
  <c r="AA163" i="122"/>
  <c r="E163" i="122"/>
  <c r="U163" i="122" s="1"/>
  <c r="AA155" i="121"/>
  <c r="K155" i="122" s="1"/>
  <c r="E155" i="121"/>
  <c r="U155" i="121" s="1"/>
  <c r="AB163" i="113"/>
  <c r="L175" i="117" s="1"/>
  <c r="E163" i="113"/>
  <c r="U163" i="113" s="1"/>
  <c r="BN26" i="19"/>
  <c r="CD9" i="18"/>
  <c r="AA155" i="122" l="1"/>
  <c r="E155" i="122"/>
  <c r="U155" i="122" s="1"/>
  <c r="AA154" i="122"/>
  <c r="E154" i="122"/>
  <c r="U154" i="122" s="1"/>
  <c r="AB175" i="117"/>
  <c r="L173" i="121" s="1"/>
  <c r="E175" i="117"/>
  <c r="U175" i="117" s="1"/>
  <c r="CD118" i="25"/>
  <c r="CD57" i="25"/>
  <c r="AB173" i="121" l="1"/>
  <c r="L173" i="122" s="1"/>
  <c r="E173" i="121"/>
  <c r="U173" i="121" s="1"/>
  <c r="BN45" i="25"/>
  <c r="CF46" i="25"/>
  <c r="BN91" i="25"/>
  <c r="AO91" i="25" s="1"/>
  <c r="BN60" i="25"/>
  <c r="CF92" i="25"/>
  <c r="AB173" i="122" l="1"/>
  <c r="E173" i="122"/>
  <c r="U173" i="122" s="1"/>
  <c r="T95" i="107"/>
  <c r="L227" i="107"/>
  <c r="K227" i="107"/>
  <c r="J227" i="107"/>
  <c r="H227" i="107"/>
  <c r="G227" i="107"/>
  <c r="H252" i="107"/>
  <c r="AB247" i="107"/>
  <c r="H247" i="107"/>
  <c r="AB246" i="107"/>
  <c r="AB245" i="107"/>
  <c r="AB244" i="107"/>
  <c r="AB243" i="107"/>
  <c r="S241" i="107"/>
  <c r="G241" i="107"/>
  <c r="Y240" i="107"/>
  <c r="Y241" i="107" s="1"/>
  <c r="T240" i="107"/>
  <c r="R240" i="107"/>
  <c r="R241" i="107" s="1"/>
  <c r="P240" i="107"/>
  <c r="O240" i="107"/>
  <c r="O241" i="107" s="1"/>
  <c r="N240" i="107"/>
  <c r="G240" i="107"/>
  <c r="M239" i="107"/>
  <c r="G239" i="107"/>
  <c r="W239" i="107" s="1"/>
  <c r="R238" i="107"/>
  <c r="Q238" i="107"/>
  <c r="Q242" i="107" s="1"/>
  <c r="O238" i="107"/>
  <c r="S237" i="107"/>
  <c r="R237" i="107"/>
  <c r="O237" i="107"/>
  <c r="M236" i="107"/>
  <c r="T234" i="107"/>
  <c r="P234" i="107"/>
  <c r="M233" i="107"/>
  <c r="M232" i="107"/>
  <c r="M231" i="107"/>
  <c r="M230" i="107"/>
  <c r="Y229" i="107"/>
  <c r="T229" i="107"/>
  <c r="P229" i="107"/>
  <c r="I229" i="107"/>
  <c r="M228" i="107"/>
  <c r="M227" i="107"/>
  <c r="N229" i="107"/>
  <c r="M226" i="107"/>
  <c r="M225" i="107"/>
  <c r="M223" i="107"/>
  <c r="M222" i="107"/>
  <c r="Y221" i="107"/>
  <c r="P221" i="107"/>
  <c r="I221" i="107"/>
  <c r="M220" i="107"/>
  <c r="M219" i="107"/>
  <c r="M218" i="107"/>
  <c r="M217" i="107"/>
  <c r="Y216" i="107"/>
  <c r="M216" i="107"/>
  <c r="I216" i="107"/>
  <c r="M215" i="107"/>
  <c r="Y214" i="107"/>
  <c r="P214" i="107"/>
  <c r="M214" i="107" s="1"/>
  <c r="I214" i="107"/>
  <c r="M213" i="107"/>
  <c r="Y212" i="107"/>
  <c r="N212" i="107"/>
  <c r="M212" i="107" s="1"/>
  <c r="I212" i="107"/>
  <c r="M211" i="107"/>
  <c r="M210" i="107"/>
  <c r="Y209" i="107"/>
  <c r="M209" i="107"/>
  <c r="I209" i="107"/>
  <c r="M208" i="107"/>
  <c r="Y207" i="107"/>
  <c r="M207" i="107"/>
  <c r="I207" i="107"/>
  <c r="M206" i="107"/>
  <c r="P205" i="107"/>
  <c r="M205" i="107" s="1"/>
  <c r="M204" i="107"/>
  <c r="M203" i="107"/>
  <c r="Y201" i="107"/>
  <c r="T201" i="107"/>
  <c r="T202" i="107" s="1"/>
  <c r="S201" i="107"/>
  <c r="I201" i="107"/>
  <c r="M200" i="107"/>
  <c r="M199" i="107"/>
  <c r="M198" i="107"/>
  <c r="M197" i="107"/>
  <c r="M196" i="107"/>
  <c r="M195" i="107"/>
  <c r="M194" i="107"/>
  <c r="N201" i="107"/>
  <c r="M193" i="107"/>
  <c r="M192" i="107"/>
  <c r="Y191" i="107"/>
  <c r="N191" i="107"/>
  <c r="I191" i="107"/>
  <c r="M190" i="107"/>
  <c r="M189" i="107"/>
  <c r="M188" i="107"/>
  <c r="M187" i="107"/>
  <c r="M186" i="107"/>
  <c r="M185" i="107"/>
  <c r="M184" i="107"/>
  <c r="M183" i="107"/>
  <c r="M182" i="107"/>
  <c r="T180" i="107"/>
  <c r="P180" i="107"/>
  <c r="M178" i="107"/>
  <c r="M177" i="107"/>
  <c r="M176" i="107"/>
  <c r="M175" i="107"/>
  <c r="M174" i="107"/>
  <c r="M173" i="107"/>
  <c r="P172" i="107"/>
  <c r="N172" i="107"/>
  <c r="N181" i="107" s="1"/>
  <c r="M171" i="107"/>
  <c r="M170" i="107"/>
  <c r="M169" i="107"/>
  <c r="M168" i="107"/>
  <c r="M167" i="107"/>
  <c r="M166" i="107"/>
  <c r="M165" i="107"/>
  <c r="M164" i="107"/>
  <c r="M163" i="107"/>
  <c r="M162" i="107"/>
  <c r="M161" i="107"/>
  <c r="M160" i="107"/>
  <c r="M159" i="107"/>
  <c r="M158" i="107"/>
  <c r="M157" i="107"/>
  <c r="P156" i="107"/>
  <c r="M154" i="107"/>
  <c r="M153" i="107"/>
  <c r="M152" i="107"/>
  <c r="M151" i="107"/>
  <c r="M150" i="107"/>
  <c r="M149" i="107"/>
  <c r="P121" i="107"/>
  <c r="N121" i="107"/>
  <c r="N148" i="107" s="1"/>
  <c r="M120" i="107"/>
  <c r="M119" i="107"/>
  <c r="M118" i="107"/>
  <c r="M117" i="107"/>
  <c r="M116" i="107"/>
  <c r="M115" i="107"/>
  <c r="M114" i="107"/>
  <c r="M113" i="107"/>
  <c r="M112" i="107"/>
  <c r="M111" i="107"/>
  <c r="M110" i="107"/>
  <c r="M109" i="107"/>
  <c r="M108" i="107"/>
  <c r="M107" i="107"/>
  <c r="M106" i="107"/>
  <c r="M105" i="107"/>
  <c r="M104" i="107"/>
  <c r="M103" i="107"/>
  <c r="M102" i="107"/>
  <c r="M101" i="107"/>
  <c r="M100" i="107"/>
  <c r="M99" i="107"/>
  <c r="M98" i="107"/>
  <c r="M97" i="107"/>
  <c r="T96" i="107"/>
  <c r="M94" i="107"/>
  <c r="M93" i="107"/>
  <c r="M92" i="107"/>
  <c r="M91" i="107"/>
  <c r="M90" i="107"/>
  <c r="M89" i="107"/>
  <c r="M88" i="107"/>
  <c r="M87" i="107"/>
  <c r="M86" i="107"/>
  <c r="M85" i="107"/>
  <c r="M84" i="107"/>
  <c r="M83" i="107"/>
  <c r="M82" i="107"/>
  <c r="M81" i="107"/>
  <c r="M80" i="107"/>
  <c r="T78" i="107"/>
  <c r="T79" i="107" s="1"/>
  <c r="M77" i="107"/>
  <c r="M76" i="107"/>
  <c r="M75" i="107"/>
  <c r="M74" i="107"/>
  <c r="M73" i="107"/>
  <c r="M72" i="107"/>
  <c r="M71" i="107"/>
  <c r="M70" i="107"/>
  <c r="M69" i="107"/>
  <c r="M68" i="107"/>
  <c r="M67" i="107"/>
  <c r="M66" i="107"/>
  <c r="M65" i="107"/>
  <c r="M64" i="107"/>
  <c r="M63" i="107"/>
  <c r="M62" i="107"/>
  <c r="M61" i="107"/>
  <c r="M60" i="107"/>
  <c r="M59" i="107"/>
  <c r="M58" i="107"/>
  <c r="M57" i="107"/>
  <c r="M56" i="107"/>
  <c r="M55" i="107"/>
  <c r="M54" i="107"/>
  <c r="M53" i="107"/>
  <c r="M52" i="107"/>
  <c r="M51" i="107"/>
  <c r="M50" i="107"/>
  <c r="P49" i="107"/>
  <c r="N49" i="107"/>
  <c r="M48" i="107"/>
  <c r="M47" i="107"/>
  <c r="M46" i="107"/>
  <c r="M45" i="107"/>
  <c r="M44" i="107"/>
  <c r="T43" i="107"/>
  <c r="S43" i="107"/>
  <c r="P43" i="107"/>
  <c r="Y41" i="107"/>
  <c r="Y43" i="107" s="1"/>
  <c r="M41" i="107"/>
  <c r="I41" i="107"/>
  <c r="I43" i="107" s="1"/>
  <c r="M40" i="107"/>
  <c r="M39" i="107"/>
  <c r="M38" i="107"/>
  <c r="M37" i="107"/>
  <c r="P36" i="107"/>
  <c r="N36" i="107"/>
  <c r="M35" i="107"/>
  <c r="M34" i="107"/>
  <c r="M33" i="107"/>
  <c r="M31" i="107"/>
  <c r="Y30" i="107"/>
  <c r="T30" i="107"/>
  <c r="R30" i="107"/>
  <c r="R242" i="107" s="1"/>
  <c r="P30" i="107"/>
  <c r="O30" i="107"/>
  <c r="N30" i="107"/>
  <c r="I30" i="107"/>
  <c r="I242" i="107" s="1"/>
  <c r="B30" i="107"/>
  <c r="M27" i="107"/>
  <c r="M26" i="107"/>
  <c r="M25" i="107"/>
  <c r="M24" i="107"/>
  <c r="M23" i="107"/>
  <c r="M22" i="107"/>
  <c r="M21" i="107"/>
  <c r="M20" i="107"/>
  <c r="M17" i="107"/>
  <c r="M16" i="107"/>
  <c r="M15" i="107"/>
  <c r="M14" i="107"/>
  <c r="M13" i="107"/>
  <c r="M12" i="107"/>
  <c r="M11" i="107"/>
  <c r="M30" i="107" l="1"/>
  <c r="M240" i="107"/>
  <c r="I202" i="107"/>
  <c r="O242" i="107"/>
  <c r="W240" i="107"/>
  <c r="M234" i="107"/>
  <c r="Y202" i="107"/>
  <c r="Y238" i="107" s="1"/>
  <c r="Y242" i="107" s="1"/>
  <c r="M156" i="107"/>
  <c r="W241" i="107"/>
  <c r="T235" i="107"/>
  <c r="P235" i="107"/>
  <c r="S202" i="107"/>
  <c r="S238" i="107" s="1"/>
  <c r="N202" i="107"/>
  <c r="M191" i="107"/>
  <c r="T181" i="107"/>
  <c r="M180" i="107"/>
  <c r="M172" i="107"/>
  <c r="P181" i="107"/>
  <c r="P148" i="107"/>
  <c r="M121" i="107"/>
  <c r="M79" i="107"/>
  <c r="M43" i="107"/>
  <c r="M36" i="107"/>
  <c r="M49" i="107"/>
  <c r="M96" i="107"/>
  <c r="M78" i="107"/>
  <c r="M95" i="107"/>
  <c r="M229" i="107"/>
  <c r="M201" i="107"/>
  <c r="N221" i="107"/>
  <c r="N241" i="107"/>
  <c r="M241" i="107" s="1"/>
  <c r="M237" i="107"/>
  <c r="CG39" i="19"/>
  <c r="CG47" i="19" s="1"/>
  <c r="BZ127" i="13" s="1"/>
  <c r="BN41" i="19"/>
  <c r="BN40" i="19"/>
  <c r="CG49" i="11"/>
  <c r="BZ129" i="13" s="1"/>
  <c r="M181" i="107" l="1"/>
  <c r="M202" i="107"/>
  <c r="T238" i="107"/>
  <c r="P238" i="107"/>
  <c r="M148" i="107"/>
  <c r="S242" i="107"/>
  <c r="M221" i="107"/>
  <c r="N235" i="107"/>
  <c r="N211" i="93"/>
  <c r="N186" i="93"/>
  <c r="T242" i="107" l="1"/>
  <c r="P242" i="107"/>
  <c r="M235" i="107"/>
  <c r="M238" i="107" s="1"/>
  <c r="N238" i="107"/>
  <c r="M242" i="107" l="1"/>
  <c r="N242" i="107"/>
  <c r="P150" i="93"/>
  <c r="N221" i="93"/>
  <c r="CC127" i="19"/>
  <c r="N109" i="63"/>
  <c r="P198" i="93"/>
  <c r="M198" i="93" s="1"/>
  <c r="CD113" i="19"/>
  <c r="BN60" i="19"/>
  <c r="AO60" i="19" s="1"/>
  <c r="BN121" i="19"/>
  <c r="N219" i="93"/>
  <c r="V220" i="93"/>
  <c r="F227" i="107" s="1"/>
  <c r="V227" i="107" s="1"/>
  <c r="F230" i="108" s="1"/>
  <c r="M220" i="93"/>
  <c r="U220" i="93" s="1"/>
  <c r="E227" i="107" s="1"/>
  <c r="U227" i="107" s="1"/>
  <c r="E230" i="108" l="1"/>
  <c r="U230" i="108" s="1"/>
  <c r="V230" i="108"/>
  <c r="F232" i="112" s="1"/>
  <c r="N222" i="93"/>
  <c r="BN125" i="19"/>
  <c r="BC125" i="19" s="1"/>
  <c r="N214" i="93"/>
  <c r="M212" i="93"/>
  <c r="V212" i="93"/>
  <c r="F219" i="107" s="1"/>
  <c r="V219" i="107" s="1"/>
  <c r="F222" i="108" s="1"/>
  <c r="V222" i="108" s="1"/>
  <c r="F224" i="112" s="1"/>
  <c r="V224" i="112" s="1"/>
  <c r="F228" i="113" s="1"/>
  <c r="V228" i="113" s="1"/>
  <c r="F243" i="117" s="1"/>
  <c r="V243" i="117" s="1"/>
  <c r="F247" i="121" s="1"/>
  <c r="V247" i="121" s="1"/>
  <c r="F247" i="122" s="1"/>
  <c r="V247" i="122" s="1"/>
  <c r="BN88" i="11"/>
  <c r="AB192" i="93"/>
  <c r="L199" i="107" s="1"/>
  <c r="AB199" i="107" s="1"/>
  <c r="L202" i="108" s="1"/>
  <c r="AB193" i="93"/>
  <c r="L200" i="107" s="1"/>
  <c r="AB200" i="107" s="1"/>
  <c r="L203" i="108" s="1"/>
  <c r="AA192" i="93"/>
  <c r="K199" i="107" s="1"/>
  <c r="AA199" i="107" s="1"/>
  <c r="K202" i="108" s="1"/>
  <c r="AA202" i="108" s="1"/>
  <c r="K204" i="112" s="1"/>
  <c r="AA204" i="112" s="1"/>
  <c r="K208" i="113" s="1"/>
  <c r="AA208" i="113" s="1"/>
  <c r="K222" i="117" s="1"/>
  <c r="AA222" i="117" s="1"/>
  <c r="K221" i="121" s="1"/>
  <c r="AA221" i="121" s="1"/>
  <c r="K221" i="122" s="1"/>
  <c r="AA221" i="122" s="1"/>
  <c r="AA193" i="93"/>
  <c r="K200" i="107" s="1"/>
  <c r="AA200" i="107" s="1"/>
  <c r="K203" i="108" s="1"/>
  <c r="AA203" i="108" s="1"/>
  <c r="K205" i="112" s="1"/>
  <c r="AA205" i="112" s="1"/>
  <c r="K209" i="113" s="1"/>
  <c r="AA209" i="113" s="1"/>
  <c r="K223" i="117" s="1"/>
  <c r="AA223" i="117" s="1"/>
  <c r="Z192" i="93"/>
  <c r="J199" i="107" s="1"/>
  <c r="Z199" i="107" s="1"/>
  <c r="J202" i="108" s="1"/>
  <c r="Z202" i="108" s="1"/>
  <c r="J204" i="112" s="1"/>
  <c r="Z204" i="112" s="1"/>
  <c r="J208" i="113" s="1"/>
  <c r="Z208" i="113" s="1"/>
  <c r="J222" i="117" s="1"/>
  <c r="Z222" i="117" s="1"/>
  <c r="J221" i="121" s="1"/>
  <c r="Z221" i="121" s="1"/>
  <c r="J221" i="122" s="1"/>
  <c r="Z221" i="122" s="1"/>
  <c r="Z193" i="93"/>
  <c r="J200" i="107" s="1"/>
  <c r="Z200" i="107" s="1"/>
  <c r="J203" i="108" s="1"/>
  <c r="Z203" i="108" s="1"/>
  <c r="J205" i="112" s="1"/>
  <c r="Z205" i="112" s="1"/>
  <c r="J209" i="113" s="1"/>
  <c r="Z209" i="113" s="1"/>
  <c r="J223" i="117" s="1"/>
  <c r="Z223" i="117" s="1"/>
  <c r="X192" i="93"/>
  <c r="H199" i="107" s="1"/>
  <c r="X199" i="107" s="1"/>
  <c r="H202" i="108" s="1"/>
  <c r="X202" i="108" s="1"/>
  <c r="H204" i="112" s="1"/>
  <c r="X204" i="112" s="1"/>
  <c r="H208" i="113" s="1"/>
  <c r="X208" i="113" s="1"/>
  <c r="H222" i="117" s="1"/>
  <c r="X222" i="117" s="1"/>
  <c r="H221" i="121" s="1"/>
  <c r="X221" i="121" s="1"/>
  <c r="H221" i="122" s="1"/>
  <c r="X221" i="122" s="1"/>
  <c r="X193" i="93"/>
  <c r="H200" i="107" s="1"/>
  <c r="X200" i="107" s="1"/>
  <c r="H203" i="108" s="1"/>
  <c r="X203" i="108" s="1"/>
  <c r="H205" i="112" s="1"/>
  <c r="X205" i="112" s="1"/>
  <c r="H209" i="113" s="1"/>
  <c r="X209" i="113" s="1"/>
  <c r="H223" i="117" s="1"/>
  <c r="X223" i="117" s="1"/>
  <c r="W192" i="93"/>
  <c r="G199" i="107" s="1"/>
  <c r="W199" i="107" s="1"/>
  <c r="G202" i="108" s="1"/>
  <c r="W202" i="108" s="1"/>
  <c r="G204" i="112" s="1"/>
  <c r="W204" i="112" s="1"/>
  <c r="G208" i="113" s="1"/>
  <c r="W208" i="113" s="1"/>
  <c r="G222" i="117" s="1"/>
  <c r="W222" i="117" s="1"/>
  <c r="G221" i="121" s="1"/>
  <c r="W221" i="121" s="1"/>
  <c r="G221" i="122" s="1"/>
  <c r="W221" i="122" s="1"/>
  <c r="W193" i="93"/>
  <c r="G200" i="107" s="1"/>
  <c r="W200" i="107" s="1"/>
  <c r="G203" i="108" s="1"/>
  <c r="W203" i="108" s="1"/>
  <c r="G205" i="112" s="1"/>
  <c r="W205" i="112" s="1"/>
  <c r="G209" i="113" s="1"/>
  <c r="W209" i="113" s="1"/>
  <c r="G223" i="117" s="1"/>
  <c r="W223" i="117" s="1"/>
  <c r="V192" i="93"/>
  <c r="F199" i="107" s="1"/>
  <c r="V199" i="107" s="1"/>
  <c r="F202" i="108" s="1"/>
  <c r="V202" i="108" s="1"/>
  <c r="F204" i="112" s="1"/>
  <c r="V204" i="112" s="1"/>
  <c r="F208" i="113" s="1"/>
  <c r="V208" i="113" s="1"/>
  <c r="F222" i="117" s="1"/>
  <c r="V222" i="117" s="1"/>
  <c r="F221" i="121" s="1"/>
  <c r="V221" i="121" s="1"/>
  <c r="F221" i="122" s="1"/>
  <c r="V221" i="122" s="1"/>
  <c r="V193" i="93"/>
  <c r="F200" i="107" s="1"/>
  <c r="V200" i="107" s="1"/>
  <c r="F203" i="108" s="1"/>
  <c r="V203" i="108" s="1"/>
  <c r="F205" i="112" s="1"/>
  <c r="V205" i="112" s="1"/>
  <c r="F209" i="113" s="1"/>
  <c r="V209" i="113" s="1"/>
  <c r="F223" i="117" s="1"/>
  <c r="V223" i="117" s="1"/>
  <c r="F222" i="121" s="1"/>
  <c r="V222" i="121" s="1"/>
  <c r="F222" i="122" s="1"/>
  <c r="V222" i="122" s="1"/>
  <c r="N194" i="93"/>
  <c r="M192" i="93"/>
  <c r="U192" i="93" s="1"/>
  <c r="E199" i="107" s="1"/>
  <c r="U199" i="107" s="1"/>
  <c r="M193" i="93"/>
  <c r="U193" i="93" s="1"/>
  <c r="E200" i="107" s="1"/>
  <c r="U200" i="107" s="1"/>
  <c r="H223" i="121" l="1"/>
  <c r="H222" i="121"/>
  <c r="X222" i="121" s="1"/>
  <c r="H222" i="122" s="1"/>
  <c r="X222" i="122" s="1"/>
  <c r="K222" i="121"/>
  <c r="AA222" i="121" s="1"/>
  <c r="K222" i="122" s="1"/>
  <c r="AA222" i="122" s="1"/>
  <c r="K223" i="121"/>
  <c r="AA223" i="121" s="1"/>
  <c r="K223" i="122" s="1"/>
  <c r="AA223" i="122" s="1"/>
  <c r="G222" i="121"/>
  <c r="W222" i="121" s="1"/>
  <c r="G222" i="122" s="1"/>
  <c r="W222" i="122" s="1"/>
  <c r="G223" i="121"/>
  <c r="J222" i="121"/>
  <c r="Z222" i="121" s="1"/>
  <c r="J222" i="122" s="1"/>
  <c r="Z222" i="122" s="1"/>
  <c r="J223" i="121"/>
  <c r="E203" i="108"/>
  <c r="U203" i="108" s="1"/>
  <c r="AB203" i="108"/>
  <c r="L205" i="112" s="1"/>
  <c r="V232" i="112"/>
  <c r="F236" i="113" s="1"/>
  <c r="E232" i="112"/>
  <c r="U232" i="112" s="1"/>
  <c r="E202" i="108"/>
  <c r="U202" i="108" s="1"/>
  <c r="AB202" i="108"/>
  <c r="L204" i="112" s="1"/>
  <c r="U212" i="93"/>
  <c r="E219" i="107" s="1"/>
  <c r="U219" i="107" s="1"/>
  <c r="V236" i="113" l="1"/>
  <c r="F251" i="117" s="1"/>
  <c r="E236" i="113"/>
  <c r="U236" i="113" s="1"/>
  <c r="AB205" i="112"/>
  <c r="L209" i="113" s="1"/>
  <c r="E205" i="112"/>
  <c r="U205" i="112" s="1"/>
  <c r="AB204" i="112"/>
  <c r="L208" i="113" s="1"/>
  <c r="E204" i="112"/>
  <c r="U204" i="112" s="1"/>
  <c r="L21" i="58"/>
  <c r="AB209" i="113" l="1"/>
  <c r="L223" i="117" s="1"/>
  <c r="E209" i="113"/>
  <c r="U209" i="113" s="1"/>
  <c r="AB208" i="113"/>
  <c r="L222" i="117" s="1"/>
  <c r="E208" i="113"/>
  <c r="U208" i="113" s="1"/>
  <c r="V251" i="117"/>
  <c r="F255" i="121" s="1"/>
  <c r="E251" i="117"/>
  <c r="U251" i="117" s="1"/>
  <c r="E23" i="77"/>
  <c r="V255" i="121" l="1"/>
  <c r="F255" i="122" s="1"/>
  <c r="E255" i="121"/>
  <c r="U255" i="121" s="1"/>
  <c r="AB222" i="117"/>
  <c r="L221" i="121" s="1"/>
  <c r="E222" i="117"/>
  <c r="U222" i="117" s="1"/>
  <c r="AB223" i="117"/>
  <c r="E223" i="117"/>
  <c r="U223" i="117" s="1"/>
  <c r="C91" i="41"/>
  <c r="C92" i="41"/>
  <c r="C93" i="41"/>
  <c r="C94" i="41"/>
  <c r="C95" i="41"/>
  <c r="C96" i="41"/>
  <c r="C97" i="41"/>
  <c r="C90" i="41"/>
  <c r="C60" i="41"/>
  <c r="C61" i="41"/>
  <c r="C62" i="41"/>
  <c r="C63" i="41"/>
  <c r="C64" i="41"/>
  <c r="C65" i="41"/>
  <c r="C66" i="41"/>
  <c r="C59" i="41"/>
  <c r="C46" i="41"/>
  <c r="C47" i="41"/>
  <c r="C48" i="41"/>
  <c r="C49" i="41"/>
  <c r="C50" i="41"/>
  <c r="C51" i="41"/>
  <c r="C52" i="41"/>
  <c r="C53" i="41"/>
  <c r="C54" i="41"/>
  <c r="C55" i="41"/>
  <c r="C56" i="41"/>
  <c r="C57" i="41"/>
  <c r="C45" i="41"/>
  <c r="C77" i="41"/>
  <c r="C78" i="41"/>
  <c r="C79" i="41"/>
  <c r="C80" i="41"/>
  <c r="C81" i="41"/>
  <c r="C82" i="41"/>
  <c r="C83" i="41"/>
  <c r="C84" i="41"/>
  <c r="C85" i="41"/>
  <c r="C86" i="41"/>
  <c r="C87" i="41"/>
  <c r="C88" i="41"/>
  <c r="C76" i="41"/>
  <c r="Z40" i="99"/>
  <c r="Y40" i="99"/>
  <c r="AB38" i="99"/>
  <c r="X38" i="99"/>
  <c r="AB37" i="99"/>
  <c r="X37" i="99"/>
  <c r="I37" i="99"/>
  <c r="I39" i="99" s="1"/>
  <c r="Q29" i="99"/>
  <c r="P29" i="99"/>
  <c r="O29" i="99"/>
  <c r="N29" i="99"/>
  <c r="M29" i="99"/>
  <c r="C29" i="99"/>
  <c r="R28" i="99"/>
  <c r="F97" i="41" s="1"/>
  <c r="J28" i="99"/>
  <c r="L28" i="99" s="1"/>
  <c r="R27" i="99"/>
  <c r="F96" i="41" s="1"/>
  <c r="J27" i="99"/>
  <c r="L27" i="99" s="1"/>
  <c r="R26" i="99"/>
  <c r="F95" i="41" s="1"/>
  <c r="J26" i="99"/>
  <c r="L26" i="99" s="1"/>
  <c r="R25" i="99"/>
  <c r="F94" i="41" s="1"/>
  <c r="J25" i="99"/>
  <c r="L25" i="99" s="1"/>
  <c r="R24" i="99"/>
  <c r="F93" i="41" s="1"/>
  <c r="J24" i="99"/>
  <c r="L24" i="99" s="1"/>
  <c r="R23" i="99"/>
  <c r="F92" i="41" s="1"/>
  <c r="J23" i="99"/>
  <c r="L23" i="99" s="1"/>
  <c r="R22" i="99"/>
  <c r="F91" i="41" s="1"/>
  <c r="J22" i="99"/>
  <c r="L22" i="99" s="1"/>
  <c r="R21" i="99"/>
  <c r="F90" i="41" s="1"/>
  <c r="J21" i="99"/>
  <c r="L21" i="99" s="1"/>
  <c r="R20" i="99"/>
  <c r="J20" i="99"/>
  <c r="L20" i="99" s="1"/>
  <c r="R19" i="99"/>
  <c r="J19" i="99"/>
  <c r="L19" i="99" s="1"/>
  <c r="T19" i="99" s="1"/>
  <c r="R18" i="99"/>
  <c r="F88" i="41" s="1"/>
  <c r="L18" i="99"/>
  <c r="AB17" i="99"/>
  <c r="AC17" i="99" s="1"/>
  <c r="R17" i="99"/>
  <c r="F87" i="41" s="1"/>
  <c r="J17" i="99"/>
  <c r="L17" i="99" s="1"/>
  <c r="R16" i="99"/>
  <c r="F86" i="41" s="1"/>
  <c r="J16" i="99"/>
  <c r="L16" i="99" s="1"/>
  <c r="R15" i="99"/>
  <c r="F85" i="41" s="1"/>
  <c r="J15" i="99"/>
  <c r="L15" i="99" s="1"/>
  <c r="R14" i="99"/>
  <c r="F84" i="41" s="1"/>
  <c r="J14" i="99"/>
  <c r="L14" i="99" s="1"/>
  <c r="R13" i="99"/>
  <c r="F83" i="41" s="1"/>
  <c r="K29" i="99"/>
  <c r="J13" i="99"/>
  <c r="R12" i="99"/>
  <c r="F82" i="41" s="1"/>
  <c r="J12" i="99"/>
  <c r="R11" i="99"/>
  <c r="F81" i="41" s="1"/>
  <c r="J11" i="99"/>
  <c r="L11" i="99" s="1"/>
  <c r="R10" i="99"/>
  <c r="F80" i="41" s="1"/>
  <c r="R9" i="99"/>
  <c r="F79" i="41" s="1"/>
  <c r="R8" i="99"/>
  <c r="F78" i="41" s="1"/>
  <c r="R7" i="99"/>
  <c r="F77" i="41" s="1"/>
  <c r="R6" i="99"/>
  <c r="F76" i="41" s="1"/>
  <c r="I36" i="98"/>
  <c r="I38" i="98" s="1"/>
  <c r="Q29" i="98"/>
  <c r="P29" i="98"/>
  <c r="O29" i="98"/>
  <c r="N29" i="98"/>
  <c r="M29" i="98"/>
  <c r="C29" i="98"/>
  <c r="R28" i="98"/>
  <c r="F66" i="41" s="1"/>
  <c r="J28" i="98"/>
  <c r="L28" i="98" s="1"/>
  <c r="E66" i="41" s="1"/>
  <c r="R27" i="98"/>
  <c r="F65" i="41" s="1"/>
  <c r="J27" i="98"/>
  <c r="L27" i="98" s="1"/>
  <c r="E65" i="41" s="1"/>
  <c r="R26" i="98"/>
  <c r="F64" i="41" s="1"/>
  <c r="J26" i="98"/>
  <c r="L26" i="98" s="1"/>
  <c r="E64" i="41" s="1"/>
  <c r="R25" i="98"/>
  <c r="F63" i="41" s="1"/>
  <c r="J25" i="98"/>
  <c r="L25" i="98" s="1"/>
  <c r="E63" i="41" s="1"/>
  <c r="R24" i="98"/>
  <c r="F62" i="41" s="1"/>
  <c r="J24" i="98"/>
  <c r="L24" i="98" s="1"/>
  <c r="E62" i="41" s="1"/>
  <c r="R23" i="98"/>
  <c r="F61" i="41" s="1"/>
  <c r="J23" i="98"/>
  <c r="L23" i="98" s="1"/>
  <c r="E61" i="41" s="1"/>
  <c r="R22" i="98"/>
  <c r="F60" i="41" s="1"/>
  <c r="J22" i="98"/>
  <c r="L22" i="98" s="1"/>
  <c r="E60" i="41" s="1"/>
  <c r="R21" i="98"/>
  <c r="F59" i="41" s="1"/>
  <c r="J21" i="98"/>
  <c r="L21" i="98" s="1"/>
  <c r="E59" i="41" s="1"/>
  <c r="R20" i="98"/>
  <c r="J20" i="98"/>
  <c r="L20" i="98" s="1"/>
  <c r="R19" i="98"/>
  <c r="J19" i="98"/>
  <c r="L19" i="98" s="1"/>
  <c r="R18" i="98"/>
  <c r="F57" i="41" s="1"/>
  <c r="J18" i="98"/>
  <c r="L18" i="98" s="1"/>
  <c r="E57" i="41" s="1"/>
  <c r="R17" i="98"/>
  <c r="F56" i="41" s="1"/>
  <c r="J17" i="98"/>
  <c r="L17" i="98" s="1"/>
  <c r="E56" i="41" s="1"/>
  <c r="R16" i="98"/>
  <c r="F55" i="41" s="1"/>
  <c r="J16" i="98"/>
  <c r="L16" i="98" s="1"/>
  <c r="E55" i="41" s="1"/>
  <c r="R15" i="98"/>
  <c r="F54" i="41" s="1"/>
  <c r="J15" i="98"/>
  <c r="L15" i="98" s="1"/>
  <c r="E54" i="41" s="1"/>
  <c r="R14" i="98"/>
  <c r="F53" i="41" s="1"/>
  <c r="J14" i="98"/>
  <c r="L14" i="98" s="1"/>
  <c r="E53" i="41" s="1"/>
  <c r="R13" i="98"/>
  <c r="F52" i="41" s="1"/>
  <c r="K13" i="98"/>
  <c r="K29" i="98" s="1"/>
  <c r="J13" i="98"/>
  <c r="R12" i="98"/>
  <c r="F51" i="41" s="1"/>
  <c r="J12" i="98"/>
  <c r="R11" i="98"/>
  <c r="F50" i="41" s="1"/>
  <c r="J11" i="98"/>
  <c r="L11" i="98" s="1"/>
  <c r="E50" i="41" s="1"/>
  <c r="R10" i="98"/>
  <c r="F49" i="41" s="1"/>
  <c r="R9" i="98"/>
  <c r="F48" i="41" s="1"/>
  <c r="R8" i="98"/>
  <c r="F47" i="41" s="1"/>
  <c r="R7" i="98"/>
  <c r="F46" i="41" s="1"/>
  <c r="R6" i="98"/>
  <c r="AB221" i="121" l="1"/>
  <c r="L221" i="122" s="1"/>
  <c r="E221" i="121"/>
  <c r="U221" i="121" s="1"/>
  <c r="L222" i="121"/>
  <c r="L223" i="121"/>
  <c r="V255" i="122"/>
  <c r="E255" i="122"/>
  <c r="U255" i="122" s="1"/>
  <c r="E84" i="41"/>
  <c r="T14" i="99"/>
  <c r="G84" i="41" s="1"/>
  <c r="E85" i="41"/>
  <c r="T15" i="99"/>
  <c r="G85" i="41" s="1"/>
  <c r="E87" i="41"/>
  <c r="T17" i="99"/>
  <c r="J37" i="99"/>
  <c r="J39" i="99" s="1"/>
  <c r="K38" i="99" s="1"/>
  <c r="M38" i="99" s="1"/>
  <c r="J8" i="99" s="1"/>
  <c r="L8" i="99" s="1"/>
  <c r="E90" i="41"/>
  <c r="T21" i="99"/>
  <c r="G90" i="41" s="1"/>
  <c r="E92" i="41"/>
  <c r="T23" i="99"/>
  <c r="E94" i="41"/>
  <c r="T25" i="99"/>
  <c r="E96" i="41"/>
  <c r="T27" i="99"/>
  <c r="E86" i="41"/>
  <c r="T16" i="99"/>
  <c r="G86" i="41" s="1"/>
  <c r="E81" i="41"/>
  <c r="T11" i="99"/>
  <c r="E88" i="41"/>
  <c r="T18" i="99"/>
  <c r="E91" i="41"/>
  <c r="T22" i="99"/>
  <c r="G91" i="41" s="1"/>
  <c r="E93" i="41"/>
  <c r="T24" i="99"/>
  <c r="E95" i="41"/>
  <c r="T26" i="99"/>
  <c r="E97" i="41"/>
  <c r="T28" i="99"/>
  <c r="X40" i="99"/>
  <c r="X43" i="99" s="1"/>
  <c r="L13" i="98"/>
  <c r="E52" i="41" s="1"/>
  <c r="R29" i="98"/>
  <c r="J36" i="98"/>
  <c r="J38" i="98" s="1"/>
  <c r="K37" i="98" s="1"/>
  <c r="M37" i="98" s="1"/>
  <c r="J10" i="98" s="1"/>
  <c r="L10" i="98" s="1"/>
  <c r="E49" i="41" s="1"/>
  <c r="L13" i="99"/>
  <c r="AC38" i="99"/>
  <c r="R29" i="99"/>
  <c r="L12" i="99"/>
  <c r="Y13" i="99"/>
  <c r="Z13" i="99" s="1"/>
  <c r="AB40" i="99"/>
  <c r="F45" i="41"/>
  <c r="S15" i="99"/>
  <c r="G87" i="41"/>
  <c r="S17" i="99"/>
  <c r="S18" i="99"/>
  <c r="G88" i="41"/>
  <c r="S24" i="99"/>
  <c r="G93" i="41"/>
  <c r="S19" i="99"/>
  <c r="S21" i="99"/>
  <c r="S23" i="99"/>
  <c r="G92" i="41"/>
  <c r="S25" i="99"/>
  <c r="G94" i="41"/>
  <c r="S27" i="99"/>
  <c r="G96" i="41"/>
  <c r="S20" i="99"/>
  <c r="T20" i="99"/>
  <c r="S22" i="99"/>
  <c r="S26" i="99"/>
  <c r="G95" i="41"/>
  <c r="S28" i="99"/>
  <c r="G97" i="41"/>
  <c r="G81" i="41"/>
  <c r="S11" i="99"/>
  <c r="S14" i="99"/>
  <c r="S16" i="99"/>
  <c r="AC37" i="99"/>
  <c r="T11" i="98"/>
  <c r="G50" i="41" s="1"/>
  <c r="S11" i="98"/>
  <c r="T19" i="98"/>
  <c r="S19" i="98"/>
  <c r="T27" i="98"/>
  <c r="G65" i="41" s="1"/>
  <c r="S27" i="98"/>
  <c r="T13" i="98"/>
  <c r="G52" i="41" s="1"/>
  <c r="S13" i="98"/>
  <c r="T15" i="98"/>
  <c r="G54" i="41" s="1"/>
  <c r="S15" i="98"/>
  <c r="T17" i="98"/>
  <c r="G56" i="41" s="1"/>
  <c r="S17" i="98"/>
  <c r="T21" i="98"/>
  <c r="G59" i="41" s="1"/>
  <c r="S21" i="98"/>
  <c r="T23" i="98"/>
  <c r="G61" i="41" s="1"/>
  <c r="S23" i="98"/>
  <c r="T25" i="98"/>
  <c r="G63" i="41" s="1"/>
  <c r="S25" i="98"/>
  <c r="P37" i="98"/>
  <c r="J6" i="98" s="1"/>
  <c r="S14" i="98"/>
  <c r="T14" i="98"/>
  <c r="G53" i="41" s="1"/>
  <c r="T16" i="98"/>
  <c r="G55" i="41" s="1"/>
  <c r="S16" i="98"/>
  <c r="T18" i="98"/>
  <c r="G57" i="41" s="1"/>
  <c r="S18" i="98"/>
  <c r="T20" i="98"/>
  <c r="S20" i="98"/>
  <c r="T22" i="98"/>
  <c r="G60" i="41" s="1"/>
  <c r="S22" i="98"/>
  <c r="T24" i="98"/>
  <c r="G62" i="41" s="1"/>
  <c r="S24" i="98"/>
  <c r="T26" i="98"/>
  <c r="G64" i="41" s="1"/>
  <c r="S26" i="98"/>
  <c r="T28" i="98"/>
  <c r="G66" i="41" s="1"/>
  <c r="S28" i="98"/>
  <c r="L12" i="98"/>
  <c r="E51" i="41" s="1"/>
  <c r="Y13" i="98"/>
  <c r="Z13" i="98" s="1"/>
  <c r="E223" i="121" l="1"/>
  <c r="U223" i="121" s="1"/>
  <c r="AB223" i="121"/>
  <c r="L223" i="122" s="1"/>
  <c r="AB222" i="121"/>
  <c r="L222" i="122" s="1"/>
  <c r="E222" i="121"/>
  <c r="U222" i="121" s="1"/>
  <c r="AB221" i="122"/>
  <c r="E221" i="122"/>
  <c r="U221" i="122" s="1"/>
  <c r="J9" i="98"/>
  <c r="L9" i="98" s="1"/>
  <c r="E48" i="41" s="1"/>
  <c r="J7" i="99"/>
  <c r="L7" i="99" s="1"/>
  <c r="P38" i="99"/>
  <c r="J6" i="99" s="1"/>
  <c r="E83" i="41"/>
  <c r="T13" i="99"/>
  <c r="G83" i="41" s="1"/>
  <c r="E78" i="41"/>
  <c r="T8" i="99"/>
  <c r="G78" i="41" s="1"/>
  <c r="S12" i="99"/>
  <c r="T12" i="99"/>
  <c r="G82" i="41" s="1"/>
  <c r="U24" i="99"/>
  <c r="E77" i="41"/>
  <c r="S13" i="99"/>
  <c r="J9" i="99"/>
  <c r="L9" i="99" s="1"/>
  <c r="S9" i="99" s="1"/>
  <c r="J10" i="99"/>
  <c r="L10" i="99" s="1"/>
  <c r="U15" i="99"/>
  <c r="V15" i="99" s="1"/>
  <c r="J8" i="98"/>
  <c r="L8" i="98" s="1"/>
  <c r="E47" i="41" s="1"/>
  <c r="U28" i="98"/>
  <c r="V28" i="98" s="1"/>
  <c r="W28" i="98" s="1"/>
  <c r="U20" i="98"/>
  <c r="V20" i="98" s="1"/>
  <c r="W20" i="98" s="1"/>
  <c r="J7" i="98"/>
  <c r="L7" i="98" s="1"/>
  <c r="E46" i="41" s="1"/>
  <c r="U16" i="98"/>
  <c r="V16" i="98" s="1"/>
  <c r="I55" i="41" s="1"/>
  <c r="U25" i="99"/>
  <c r="V25" i="99" s="1"/>
  <c r="I94" i="41" s="1"/>
  <c r="V24" i="99"/>
  <c r="W24" i="99" s="1"/>
  <c r="U20" i="99"/>
  <c r="V20" i="99" s="1"/>
  <c r="W20" i="99" s="1"/>
  <c r="U24" i="98"/>
  <c r="V24" i="98" s="1"/>
  <c r="I62" i="41" s="1"/>
  <c r="U26" i="99"/>
  <c r="V26" i="99" s="1"/>
  <c r="W26" i="99" s="1"/>
  <c r="U21" i="99"/>
  <c r="V21" i="99" s="1"/>
  <c r="U17" i="99"/>
  <c r="V17" i="99" s="1"/>
  <c r="W17" i="99" s="1"/>
  <c r="U25" i="98"/>
  <c r="V25" i="98" s="1"/>
  <c r="U21" i="98"/>
  <c r="V21" i="98" s="1"/>
  <c r="U15" i="98"/>
  <c r="V15" i="98" s="1"/>
  <c r="U27" i="98"/>
  <c r="V27" i="98" s="1"/>
  <c r="U11" i="98"/>
  <c r="V11" i="98" s="1"/>
  <c r="U16" i="99"/>
  <c r="V16" i="99" s="1"/>
  <c r="U14" i="98"/>
  <c r="V14" i="98" s="1"/>
  <c r="U23" i="98"/>
  <c r="V23" i="98" s="1"/>
  <c r="U17" i="98"/>
  <c r="V17" i="98" s="1"/>
  <c r="U13" i="98"/>
  <c r="V13" i="98" s="1"/>
  <c r="U19" i="98"/>
  <c r="V19" i="98" s="1"/>
  <c r="W19" i="98" s="1"/>
  <c r="E82" i="41"/>
  <c r="U28" i="99"/>
  <c r="V28" i="99" s="1"/>
  <c r="U22" i="99"/>
  <c r="V22" i="99" s="1"/>
  <c r="U27" i="99"/>
  <c r="V27" i="99" s="1"/>
  <c r="U23" i="99"/>
  <c r="V23" i="99" s="1"/>
  <c r="U19" i="99"/>
  <c r="V19" i="99" s="1"/>
  <c r="W19" i="99" s="1"/>
  <c r="U18" i="99"/>
  <c r="V18" i="99" s="1"/>
  <c r="U14" i="99"/>
  <c r="V14" i="99" s="1"/>
  <c r="U11" i="99"/>
  <c r="V11" i="99" s="1"/>
  <c r="S8" i="99"/>
  <c r="T10" i="98"/>
  <c r="G49" i="41" s="1"/>
  <c r="S10" i="98"/>
  <c r="T9" i="98"/>
  <c r="G48" i="41" s="1"/>
  <c r="S9" i="98"/>
  <c r="S12" i="98"/>
  <c r="T12" i="98"/>
  <c r="G51" i="41" s="1"/>
  <c r="U26" i="98"/>
  <c r="V26" i="98" s="1"/>
  <c r="U22" i="98"/>
  <c r="V22" i="98" s="1"/>
  <c r="U18" i="98"/>
  <c r="V18" i="98" s="1"/>
  <c r="L6" i="98"/>
  <c r="E45" i="41" s="1"/>
  <c r="AB222" i="122" l="1"/>
  <c r="E222" i="122"/>
  <c r="U222" i="122" s="1"/>
  <c r="E223" i="122"/>
  <c r="U223" i="122" s="1"/>
  <c r="AB223" i="122"/>
  <c r="S8" i="98"/>
  <c r="T7" i="98"/>
  <c r="G46" i="41" s="1"/>
  <c r="I66" i="41"/>
  <c r="U13" i="99"/>
  <c r="V13" i="99" s="1"/>
  <c r="W13" i="99" s="1"/>
  <c r="W16" i="98"/>
  <c r="T8" i="98"/>
  <c r="G47" i="41" s="1"/>
  <c r="E80" i="41"/>
  <c r="T10" i="99"/>
  <c r="G80" i="41" s="1"/>
  <c r="J29" i="99"/>
  <c r="L6" i="99"/>
  <c r="S6" i="99" s="1"/>
  <c r="E79" i="41"/>
  <c r="T9" i="99"/>
  <c r="G79" i="41" s="1"/>
  <c r="T7" i="99"/>
  <c r="G77" i="41" s="1"/>
  <c r="S7" i="99"/>
  <c r="I87" i="41"/>
  <c r="S10" i="99"/>
  <c r="W25" i="99"/>
  <c r="I95" i="41"/>
  <c r="J29" i="98"/>
  <c r="I93" i="41"/>
  <c r="S7" i="98"/>
  <c r="U7" i="98" s="1"/>
  <c r="V7" i="98" s="1"/>
  <c r="W24" i="98"/>
  <c r="W22" i="98"/>
  <c r="I60" i="41"/>
  <c r="W15" i="99"/>
  <c r="I85" i="41"/>
  <c r="W28" i="99"/>
  <c r="I97" i="41"/>
  <c r="H97" i="41" s="1"/>
  <c r="W17" i="98"/>
  <c r="I56" i="41"/>
  <c r="W11" i="98"/>
  <c r="I50" i="41"/>
  <c r="W25" i="98"/>
  <c r="I63" i="41"/>
  <c r="W26" i="98"/>
  <c r="I64" i="41"/>
  <c r="W23" i="99"/>
  <c r="I92" i="41"/>
  <c r="W23" i="98"/>
  <c r="I61" i="41"/>
  <c r="W27" i="98"/>
  <c r="I65" i="41"/>
  <c r="W15" i="98"/>
  <c r="I54" i="41"/>
  <c r="U10" i="98"/>
  <c r="V10" i="98" s="1"/>
  <c r="W11" i="99"/>
  <c r="I81" i="41"/>
  <c r="W27" i="99"/>
  <c r="I96" i="41"/>
  <c r="W14" i="98"/>
  <c r="I53" i="41"/>
  <c r="W18" i="98"/>
  <c r="I57" i="41"/>
  <c r="W21" i="98"/>
  <c r="I59" i="41"/>
  <c r="W14" i="99"/>
  <c r="I84" i="41"/>
  <c r="W18" i="99"/>
  <c r="I88" i="41"/>
  <c r="W22" i="99"/>
  <c r="I91" i="41"/>
  <c r="W21" i="99"/>
  <c r="I90" i="41"/>
  <c r="W13" i="98"/>
  <c r="I52" i="41"/>
  <c r="W16" i="99"/>
  <c r="I86" i="41"/>
  <c r="U12" i="99"/>
  <c r="V12" i="99" s="1"/>
  <c r="U9" i="99"/>
  <c r="V9" i="99" s="1"/>
  <c r="Z11" i="99"/>
  <c r="Z9" i="99"/>
  <c r="U8" i="99"/>
  <c r="V8" i="99" s="1"/>
  <c r="L29" i="99"/>
  <c r="U12" i="98"/>
  <c r="L29" i="98"/>
  <c r="T6" i="98"/>
  <c r="S6" i="98"/>
  <c r="Z11" i="98"/>
  <c r="U9" i="98"/>
  <c r="V9" i="98" s="1"/>
  <c r="Z9" i="98"/>
  <c r="I83" i="41" l="1"/>
  <c r="U7" i="99"/>
  <c r="V7" i="99" s="1"/>
  <c r="S29" i="99"/>
  <c r="U8" i="98"/>
  <c r="V8" i="98" s="1"/>
  <c r="I47" i="41" s="1"/>
  <c r="U10" i="99"/>
  <c r="V10" i="99" s="1"/>
  <c r="I80" i="41" s="1"/>
  <c r="E76" i="41"/>
  <c r="T6" i="99"/>
  <c r="T29" i="99" s="1"/>
  <c r="Z8" i="99"/>
  <c r="W8" i="99"/>
  <c r="I78" i="41"/>
  <c r="W12" i="99"/>
  <c r="I82" i="41"/>
  <c r="W10" i="98"/>
  <c r="I49" i="41"/>
  <c r="T29" i="98"/>
  <c r="G45" i="41"/>
  <c r="W9" i="98"/>
  <c r="I48" i="41"/>
  <c r="W7" i="98"/>
  <c r="I46" i="41"/>
  <c r="W9" i="99"/>
  <c r="I79" i="41"/>
  <c r="U6" i="98"/>
  <c r="S29" i="98"/>
  <c r="V12" i="98"/>
  <c r="Z8" i="98"/>
  <c r="Z7" i="99" l="1"/>
  <c r="Z7" i="98"/>
  <c r="W8" i="98"/>
  <c r="W10" i="99"/>
  <c r="G76" i="41"/>
  <c r="U6" i="99"/>
  <c r="V6" i="99" s="1"/>
  <c r="I76" i="41" s="1"/>
  <c r="W7" i="99"/>
  <c r="I77" i="41"/>
  <c r="W12" i="98"/>
  <c r="I51" i="41"/>
  <c r="T30" i="99"/>
  <c r="T31" i="99" s="1"/>
  <c r="T32" i="99"/>
  <c r="V32" i="99" s="1"/>
  <c r="T30" i="98"/>
  <c r="T31" i="98" s="1"/>
  <c r="T32" i="98"/>
  <c r="V32" i="98" s="1"/>
  <c r="U29" i="98"/>
  <c r="Z6" i="98"/>
  <c r="Z10" i="98" s="1"/>
  <c r="V6" i="98"/>
  <c r="I45" i="41" s="1"/>
  <c r="I100" i="41" l="1"/>
  <c r="H100" i="41" s="1"/>
  <c r="U29" i="99"/>
  <c r="Z6" i="99"/>
  <c r="Z10" i="99" s="1"/>
  <c r="W6" i="99"/>
  <c r="W29" i="99" s="1"/>
  <c r="V29" i="99"/>
  <c r="U31" i="99"/>
  <c r="T33" i="99"/>
  <c r="V33" i="99" s="1"/>
  <c r="T33" i="98"/>
  <c r="V33" i="98" s="1"/>
  <c r="U31" i="98"/>
  <c r="W6" i="98"/>
  <c r="W29" i="98" s="1"/>
  <c r="V29" i="98"/>
  <c r="P35" i="93" l="1"/>
  <c r="P48" i="93"/>
  <c r="F23" i="58"/>
  <c r="BW35" i="8"/>
  <c r="BW95" i="8"/>
  <c r="BW65" i="8"/>
  <c r="Q13" i="106" l="1"/>
  <c r="O13" i="106"/>
  <c r="N13" i="106"/>
  <c r="M13" i="106"/>
  <c r="K13" i="106"/>
  <c r="C13" i="106"/>
  <c r="R12" i="106"/>
  <c r="J12" i="106"/>
  <c r="L12" i="106" s="1"/>
  <c r="R11" i="106"/>
  <c r="J11" i="106"/>
  <c r="L11" i="106" s="1"/>
  <c r="R10" i="106"/>
  <c r="J10" i="106"/>
  <c r="L10" i="106" s="1"/>
  <c r="R9" i="106"/>
  <c r="J9" i="106"/>
  <c r="L9" i="106" s="1"/>
  <c r="R8" i="106"/>
  <c r="J8" i="106"/>
  <c r="L8" i="106" s="1"/>
  <c r="Z7" i="106"/>
  <c r="J7" i="106"/>
  <c r="L7" i="106" s="1"/>
  <c r="J6" i="106"/>
  <c r="Q13" i="104"/>
  <c r="O13" i="104"/>
  <c r="N13" i="104"/>
  <c r="M13" i="104"/>
  <c r="K13" i="104"/>
  <c r="C13" i="104"/>
  <c r="R12" i="104"/>
  <c r="BI35" i="8" s="1"/>
  <c r="J12" i="104"/>
  <c r="L12" i="104" s="1"/>
  <c r="R11" i="104"/>
  <c r="BI34" i="8" s="1"/>
  <c r="J11" i="104"/>
  <c r="L11" i="104" s="1"/>
  <c r="AU34" i="8" s="1"/>
  <c r="R10" i="104"/>
  <c r="BI33" i="8" s="1"/>
  <c r="J10" i="104"/>
  <c r="L10" i="104" s="1"/>
  <c r="AU33" i="8" s="1"/>
  <c r="R9" i="104"/>
  <c r="BI32" i="8" s="1"/>
  <c r="J9" i="104"/>
  <c r="L9" i="104" s="1"/>
  <c r="AU32" i="8" s="1"/>
  <c r="R8" i="104"/>
  <c r="BI31" i="8" s="1"/>
  <c r="J8" i="104"/>
  <c r="L8" i="104" s="1"/>
  <c r="AU31" i="8" s="1"/>
  <c r="Z7" i="104"/>
  <c r="J7" i="104"/>
  <c r="L7" i="104" s="1"/>
  <c r="AU30" i="8" s="1"/>
  <c r="J6" i="104"/>
  <c r="J13" i="104" l="1"/>
  <c r="BI91" i="8"/>
  <c r="BI61" i="8"/>
  <c r="BI93" i="8"/>
  <c r="BI63" i="8"/>
  <c r="BI95" i="8"/>
  <c r="BI65" i="8"/>
  <c r="AU90" i="8"/>
  <c r="AU60" i="8"/>
  <c r="AU92" i="8"/>
  <c r="AU62" i="8"/>
  <c r="AU94" i="8"/>
  <c r="AU64" i="8"/>
  <c r="BI62" i="8"/>
  <c r="BI92" i="8"/>
  <c r="BI94" i="8"/>
  <c r="BI64" i="8"/>
  <c r="S12" i="104"/>
  <c r="U12" i="104" s="1"/>
  <c r="V12" i="104" s="1"/>
  <c r="AU35" i="8"/>
  <c r="AG35" i="8" s="1"/>
  <c r="AU61" i="8"/>
  <c r="AU91" i="8"/>
  <c r="AU63" i="8"/>
  <c r="AU93" i="8"/>
  <c r="S12" i="106"/>
  <c r="U12" i="106" s="1"/>
  <c r="V12" i="106" s="1"/>
  <c r="AU95" i="8"/>
  <c r="AU65" i="8"/>
  <c r="J13" i="106"/>
  <c r="T8" i="106"/>
  <c r="S8" i="106"/>
  <c r="T9" i="106"/>
  <c r="S9" i="106"/>
  <c r="P7" i="106"/>
  <c r="R7" i="106" s="1"/>
  <c r="T7" i="106"/>
  <c r="T11" i="106"/>
  <c r="S11" i="106"/>
  <c r="T10" i="106"/>
  <c r="S10" i="106"/>
  <c r="Y8" i="106"/>
  <c r="Z8" i="106" s="1"/>
  <c r="L6" i="106"/>
  <c r="T9" i="104"/>
  <c r="BW32" i="8" s="1"/>
  <c r="AG32" i="8" s="1"/>
  <c r="S9" i="104"/>
  <c r="T8" i="104"/>
  <c r="BW31" i="8" s="1"/>
  <c r="AG31" i="8" s="1"/>
  <c r="S8" i="104"/>
  <c r="T10" i="104"/>
  <c r="BW33" i="8" s="1"/>
  <c r="AG33" i="8" s="1"/>
  <c r="S10" i="104"/>
  <c r="P7" i="104"/>
  <c r="R7" i="104" s="1"/>
  <c r="T7" i="104"/>
  <c r="BW30" i="8" s="1"/>
  <c r="T11" i="104"/>
  <c r="BW34" i="8" s="1"/>
  <c r="AG34" i="8" s="1"/>
  <c r="S11" i="104"/>
  <c r="Y8" i="104"/>
  <c r="Z8" i="104" s="1"/>
  <c r="L6" i="104"/>
  <c r="AU29" i="8" s="1"/>
  <c r="U8" i="106" l="1"/>
  <c r="BW92" i="8"/>
  <c r="BW62" i="8"/>
  <c r="U8" i="104"/>
  <c r="AU89" i="8"/>
  <c r="AU59" i="8"/>
  <c r="U9" i="106"/>
  <c r="S7" i="104"/>
  <c r="U7" i="104" s="1"/>
  <c r="BI30" i="8"/>
  <c r="AG30" i="8" s="1"/>
  <c r="BW94" i="8"/>
  <c r="BW64" i="8"/>
  <c r="DU35" i="8"/>
  <c r="DF35" i="8" s="1"/>
  <c r="W12" i="104"/>
  <c r="BW60" i="8"/>
  <c r="BW90" i="8"/>
  <c r="V8" i="106"/>
  <c r="W8" i="106" s="1"/>
  <c r="BW63" i="8"/>
  <c r="BW93" i="8"/>
  <c r="S7" i="106"/>
  <c r="U7" i="106" s="1"/>
  <c r="BI90" i="8"/>
  <c r="BI60" i="8"/>
  <c r="BW61" i="8"/>
  <c r="BW91" i="8"/>
  <c r="DU95" i="8"/>
  <c r="DU65" i="8"/>
  <c r="W12" i="106"/>
  <c r="U10" i="106"/>
  <c r="P6" i="106"/>
  <c r="T6" i="106"/>
  <c r="L13" i="106"/>
  <c r="U11" i="106"/>
  <c r="U11" i="104"/>
  <c r="U10" i="104"/>
  <c r="U9" i="104"/>
  <c r="T6" i="104"/>
  <c r="L13" i="104"/>
  <c r="P6" i="104"/>
  <c r="V9" i="106" l="1"/>
  <c r="T13" i="104"/>
  <c r="BW29" i="8"/>
  <c r="V11" i="106"/>
  <c r="V7" i="106"/>
  <c r="V9" i="104"/>
  <c r="DU32" i="8" s="1"/>
  <c r="DF32" i="8" s="1"/>
  <c r="V10" i="104"/>
  <c r="DU33" i="8" s="1"/>
  <c r="DF33" i="8" s="1"/>
  <c r="T13" i="106"/>
  <c r="BW89" i="8"/>
  <c r="BW59" i="8"/>
  <c r="V10" i="106"/>
  <c r="W10" i="106" s="1"/>
  <c r="V7" i="104"/>
  <c r="DU30" i="8" s="1"/>
  <c r="DF30" i="8" s="1"/>
  <c r="V8" i="104"/>
  <c r="DU31" i="8" s="1"/>
  <c r="DF31" i="8" s="1"/>
  <c r="V11" i="104"/>
  <c r="DU34" i="8" s="1"/>
  <c r="DF34" i="8" s="1"/>
  <c r="DU91" i="8"/>
  <c r="DU61" i="8"/>
  <c r="R6" i="106"/>
  <c r="P13" i="106"/>
  <c r="R6" i="104"/>
  <c r="BI29" i="8" s="1"/>
  <c r="P13" i="104"/>
  <c r="W8" i="104" l="1"/>
  <c r="AG29" i="8"/>
  <c r="DU60" i="8"/>
  <c r="DU90" i="8"/>
  <c r="W10" i="104"/>
  <c r="W7" i="106"/>
  <c r="BI59" i="8"/>
  <c r="BI89" i="8"/>
  <c r="W11" i="104"/>
  <c r="W7" i="104"/>
  <c r="DU64" i="8"/>
  <c r="DU94" i="8"/>
  <c r="DU62" i="8"/>
  <c r="DU92" i="8"/>
  <c r="DU63" i="8"/>
  <c r="DU93" i="8"/>
  <c r="W9" i="104"/>
  <c r="W11" i="106"/>
  <c r="W9" i="106"/>
  <c r="R13" i="106"/>
  <c r="S6" i="106"/>
  <c r="R13" i="104"/>
  <c r="S6" i="104"/>
  <c r="S13" i="106" l="1"/>
  <c r="U6" i="106"/>
  <c r="V6" i="106" s="1"/>
  <c r="S13" i="104"/>
  <c r="U6" i="104"/>
  <c r="V6" i="104" s="1"/>
  <c r="DU29" i="8" s="1"/>
  <c r="DF29" i="8" s="1"/>
  <c r="DU59" i="8" l="1"/>
  <c r="DU89" i="8"/>
  <c r="DU96" i="8" s="1"/>
  <c r="Z6" i="106"/>
  <c r="U13" i="106"/>
  <c r="Z6" i="104"/>
  <c r="U13" i="104"/>
  <c r="V13" i="106" l="1"/>
  <c r="W6" i="106"/>
  <c r="W13" i="106" s="1"/>
  <c r="V13" i="104"/>
  <c r="W6" i="104"/>
  <c r="W13" i="104" s="1"/>
  <c r="Y14" i="106" l="1"/>
  <c r="AA14" i="106" s="1"/>
  <c r="Y13" i="106"/>
  <c r="AA13" i="106" s="1"/>
  <c r="J11" i="80"/>
  <c r="AA15" i="106" l="1"/>
  <c r="DT99" i="8"/>
  <c r="DF65" i="8"/>
  <c r="BI47" i="8"/>
  <c r="BI48" i="8"/>
  <c r="BI49" i="8"/>
  <c r="BI50" i="8"/>
  <c r="BI51" i="8"/>
  <c r="BI52" i="8"/>
  <c r="BI53" i="8"/>
  <c r="BI54" i="8"/>
  <c r="BI55" i="8"/>
  <c r="BI56" i="8"/>
  <c r="BI57" i="8"/>
  <c r="BI58" i="8"/>
  <c r="BI46" i="8"/>
  <c r="AU47" i="8"/>
  <c r="U47" i="8"/>
  <c r="U48" i="8"/>
  <c r="U49" i="8"/>
  <c r="U50" i="8"/>
  <c r="U51" i="8"/>
  <c r="U52" i="8"/>
  <c r="U53" i="8"/>
  <c r="U54" i="8"/>
  <c r="U55" i="8"/>
  <c r="U56" i="8"/>
  <c r="U57" i="8"/>
  <c r="U46" i="8"/>
  <c r="DF67" i="8"/>
  <c r="DY66" i="8"/>
  <c r="DY68" i="8" s="1"/>
  <c r="DX66" i="8"/>
  <c r="DX68" i="8" s="1"/>
  <c r="DW66" i="8"/>
  <c r="DW68" i="8" s="1"/>
  <c r="U76" i="8"/>
  <c r="U77" i="8"/>
  <c r="AU77" i="8"/>
  <c r="U78" i="8"/>
  <c r="U79" i="8"/>
  <c r="U80" i="8"/>
  <c r="U81" i="8"/>
  <c r="U82" i="8"/>
  <c r="U83" i="8"/>
  <c r="U84" i="8"/>
  <c r="U85" i="8"/>
  <c r="U86" i="8"/>
  <c r="U87" i="8"/>
  <c r="DF95" i="8"/>
  <c r="AA26" i="101"/>
  <c r="Z26" i="101"/>
  <c r="AB24" i="101"/>
  <c r="M24" i="101"/>
  <c r="N24" i="101" s="1"/>
  <c r="AB23" i="101"/>
  <c r="M23" i="101"/>
  <c r="N23" i="101" s="1"/>
  <c r="AB22" i="101"/>
  <c r="M22" i="101"/>
  <c r="N22" i="101" s="1"/>
  <c r="M21" i="101"/>
  <c r="N21" i="101" s="1"/>
  <c r="Q19" i="101"/>
  <c r="O19" i="101"/>
  <c r="N19" i="101"/>
  <c r="M19" i="101"/>
  <c r="C18" i="101"/>
  <c r="C19" i="101" s="1"/>
  <c r="R17" i="101"/>
  <c r="BI87" i="8" s="1"/>
  <c r="J17" i="101"/>
  <c r="L17" i="101" s="1"/>
  <c r="R16" i="101"/>
  <c r="BI86" i="8" s="1"/>
  <c r="J16" i="101"/>
  <c r="L16" i="101" s="1"/>
  <c r="T16" i="101" s="1"/>
  <c r="BW86" i="8" s="1"/>
  <c r="J15" i="101"/>
  <c r="L15" i="101" s="1"/>
  <c r="R14" i="101"/>
  <c r="BI84" i="8" s="1"/>
  <c r="J14" i="101"/>
  <c r="L14" i="101" s="1"/>
  <c r="T14" i="101" s="1"/>
  <c r="BW84" i="8" s="1"/>
  <c r="R13" i="101"/>
  <c r="BI83" i="8" s="1"/>
  <c r="J13" i="101"/>
  <c r="L13" i="101" s="1"/>
  <c r="AU83" i="8" s="1"/>
  <c r="R12" i="101"/>
  <c r="BI82" i="8" s="1"/>
  <c r="J12" i="101"/>
  <c r="L12" i="101" s="1"/>
  <c r="AU82" i="8" s="1"/>
  <c r="R11" i="101"/>
  <c r="BI81" i="8" s="1"/>
  <c r="J11" i="101"/>
  <c r="L11" i="101" s="1"/>
  <c r="R10" i="101"/>
  <c r="BI80" i="8" s="1"/>
  <c r="K10" i="101"/>
  <c r="J10" i="101"/>
  <c r="R9" i="101"/>
  <c r="BI79" i="8" s="1"/>
  <c r="K9" i="101"/>
  <c r="J9" i="101"/>
  <c r="R8" i="101"/>
  <c r="BI78" i="8" s="1"/>
  <c r="K8" i="101"/>
  <c r="J8" i="101"/>
  <c r="T7" i="101"/>
  <c r="BW77" i="8" s="1"/>
  <c r="R7" i="101"/>
  <c r="BI77" i="8" s="1"/>
  <c r="J7" i="101"/>
  <c r="R6" i="101"/>
  <c r="BI76" i="8" s="1"/>
  <c r="J6" i="101"/>
  <c r="J6" i="102"/>
  <c r="L6" i="102" s="1"/>
  <c r="AU46" i="8" s="1"/>
  <c r="R6" i="102"/>
  <c r="R7" i="102"/>
  <c r="S7" i="102" s="1"/>
  <c r="T7" i="102"/>
  <c r="BW47" i="8" s="1"/>
  <c r="J8" i="102"/>
  <c r="L8" i="102" s="1"/>
  <c r="K8" i="102"/>
  <c r="R8" i="102"/>
  <c r="J9" i="102"/>
  <c r="K9" i="102"/>
  <c r="R9" i="102"/>
  <c r="J10" i="102"/>
  <c r="K10" i="102"/>
  <c r="R10" i="102"/>
  <c r="J11" i="102"/>
  <c r="L11" i="102"/>
  <c r="T11" i="102" s="1"/>
  <c r="BW51" i="8" s="1"/>
  <c r="R11" i="102"/>
  <c r="J12" i="102"/>
  <c r="L12" i="102" s="1"/>
  <c r="R12" i="102"/>
  <c r="J13" i="102"/>
  <c r="L13" i="102" s="1"/>
  <c r="U13" i="102" s="1"/>
  <c r="R13" i="102"/>
  <c r="J14" i="102"/>
  <c r="L14" i="102" s="1"/>
  <c r="R14" i="102"/>
  <c r="J15" i="102"/>
  <c r="L15" i="102" s="1"/>
  <c r="J16" i="102"/>
  <c r="L16" i="102" s="1"/>
  <c r="S16" i="102" s="1"/>
  <c r="R16" i="102"/>
  <c r="J17" i="102"/>
  <c r="L17" i="102" s="1"/>
  <c r="R17" i="102"/>
  <c r="C18" i="102"/>
  <c r="J18" i="102" s="1"/>
  <c r="M19" i="102"/>
  <c r="N19" i="102"/>
  <c r="O19" i="102"/>
  <c r="Q19" i="102"/>
  <c r="M21" i="102"/>
  <c r="N21" i="102" s="1"/>
  <c r="M22" i="102"/>
  <c r="N22" i="102" s="1"/>
  <c r="M23" i="102"/>
  <c r="N23" i="102" s="1"/>
  <c r="M24" i="102"/>
  <c r="N24" i="102" s="1"/>
  <c r="J18" i="101" l="1"/>
  <c r="L18" i="101" s="1"/>
  <c r="AU88" i="8" s="1"/>
  <c r="L8" i="101"/>
  <c r="L10" i="102"/>
  <c r="K19" i="102"/>
  <c r="V7" i="102"/>
  <c r="W7" i="102" s="1"/>
  <c r="X7" i="102" s="1"/>
  <c r="S7" i="101"/>
  <c r="V7" i="101" s="1"/>
  <c r="W7" i="101" s="1"/>
  <c r="X7" i="101" s="1"/>
  <c r="AB26" i="101"/>
  <c r="T17" i="102"/>
  <c r="BW57" i="8" s="1"/>
  <c r="S17" i="102"/>
  <c r="L10" i="101"/>
  <c r="U10" i="101" s="1"/>
  <c r="S13" i="102"/>
  <c r="L9" i="102"/>
  <c r="AU49" i="8" s="1"/>
  <c r="U11" i="102"/>
  <c r="S11" i="102"/>
  <c r="K19" i="101"/>
  <c r="T15" i="101"/>
  <c r="BW85" i="8" s="1"/>
  <c r="AU85" i="8"/>
  <c r="P15" i="101"/>
  <c r="R15" i="101" s="1"/>
  <c r="BI85" i="8" s="1"/>
  <c r="AU50" i="8"/>
  <c r="S10" i="102"/>
  <c r="T10" i="102"/>
  <c r="BW50" i="8" s="1"/>
  <c r="U10" i="102"/>
  <c r="T17" i="101"/>
  <c r="BW87" i="8" s="1"/>
  <c r="AU87" i="8"/>
  <c r="AU54" i="8"/>
  <c r="S14" i="102"/>
  <c r="T14" i="102"/>
  <c r="BW54" i="8" s="1"/>
  <c r="T8" i="101"/>
  <c r="BW78" i="8" s="1"/>
  <c r="AU78" i="8"/>
  <c r="L18" i="102"/>
  <c r="J19" i="102"/>
  <c r="T15" i="102"/>
  <c r="BW55" i="8" s="1"/>
  <c r="AU55" i="8"/>
  <c r="P15" i="102"/>
  <c r="R15" i="102" s="1"/>
  <c r="S15" i="102" s="1"/>
  <c r="U12" i="102"/>
  <c r="AU52" i="8"/>
  <c r="S12" i="102"/>
  <c r="T12" i="102"/>
  <c r="BW52" i="8" s="1"/>
  <c r="S8" i="102"/>
  <c r="T8" i="102"/>
  <c r="BW48" i="8" s="1"/>
  <c r="AU48" i="8"/>
  <c r="U8" i="102"/>
  <c r="T11" i="101"/>
  <c r="BW81" i="8" s="1"/>
  <c r="AU81" i="8"/>
  <c r="Z9" i="101"/>
  <c r="AA9" i="101" s="1"/>
  <c r="U88" i="8"/>
  <c r="AU57" i="8"/>
  <c r="AG57" i="8" s="1"/>
  <c r="AU53" i="8"/>
  <c r="T16" i="102"/>
  <c r="BW56" i="8" s="1"/>
  <c r="T13" i="102"/>
  <c r="BW53" i="8" s="1"/>
  <c r="T6" i="102"/>
  <c r="AU86" i="8"/>
  <c r="AG86" i="8" s="1"/>
  <c r="AU56" i="8"/>
  <c r="S6" i="102"/>
  <c r="L9" i="101"/>
  <c r="S9" i="101" s="1"/>
  <c r="U58" i="8"/>
  <c r="AU51" i="8"/>
  <c r="AG51" i="8" s="1"/>
  <c r="C19" i="102"/>
  <c r="AU84" i="8"/>
  <c r="AG84" i="8" s="1"/>
  <c r="DT77" i="8"/>
  <c r="DF77" i="8" s="1"/>
  <c r="DF62" i="8"/>
  <c r="DF92" i="8"/>
  <c r="DF61" i="8"/>
  <c r="DF91" i="8"/>
  <c r="DF89" i="8"/>
  <c r="DF59" i="8"/>
  <c r="AG62" i="8"/>
  <c r="DF60" i="8"/>
  <c r="DF90" i="8"/>
  <c r="AG60" i="8"/>
  <c r="AG65" i="8"/>
  <c r="AG61" i="8"/>
  <c r="AG47" i="8"/>
  <c r="AG59" i="8"/>
  <c r="AG77" i="8"/>
  <c r="AG92" i="8"/>
  <c r="AG91" i="8"/>
  <c r="AG90" i="8"/>
  <c r="AG89" i="8"/>
  <c r="S12" i="101"/>
  <c r="U12" i="101"/>
  <c r="T12" i="101"/>
  <c r="BW82" i="8" s="1"/>
  <c r="AG82" i="8" s="1"/>
  <c r="P18" i="101"/>
  <c r="R18" i="101" s="1"/>
  <c r="S18" i="101" s="1"/>
  <c r="T18" i="101"/>
  <c r="BW88" i="8" s="1"/>
  <c r="S13" i="101"/>
  <c r="U13" i="101"/>
  <c r="T13" i="101"/>
  <c r="BW83" i="8" s="1"/>
  <c r="AG83" i="8" s="1"/>
  <c r="S14" i="101"/>
  <c r="V14" i="101" s="1"/>
  <c r="U8" i="101"/>
  <c r="U11" i="101"/>
  <c r="L6" i="101"/>
  <c r="AU76" i="8" s="1"/>
  <c r="S8" i="101"/>
  <c r="T10" i="101"/>
  <c r="BW80" i="8" s="1"/>
  <c r="S11" i="101"/>
  <c r="S16" i="101"/>
  <c r="V16" i="101" s="1"/>
  <c r="W16" i="101" s="1"/>
  <c r="S17" i="101"/>
  <c r="BN113" i="19"/>
  <c r="J19" i="101" l="1"/>
  <c r="AG52" i="8"/>
  <c r="V17" i="102"/>
  <c r="W17" i="102" s="1"/>
  <c r="X17" i="102" s="1"/>
  <c r="AG87" i="8"/>
  <c r="DT47" i="8"/>
  <c r="DF47" i="8" s="1"/>
  <c r="AG54" i="8"/>
  <c r="AG78" i="8"/>
  <c r="S10" i="101"/>
  <c r="V10" i="101" s="1"/>
  <c r="W10" i="101" s="1"/>
  <c r="U9" i="102"/>
  <c r="U19" i="102" s="1"/>
  <c r="AU80" i="8"/>
  <c r="T9" i="102"/>
  <c r="BW49" i="8" s="1"/>
  <c r="AG49" i="8" s="1"/>
  <c r="V18" i="101"/>
  <c r="W18" i="101" s="1"/>
  <c r="DT88" i="8" s="1"/>
  <c r="DF88" i="8" s="1"/>
  <c r="AG56" i="8"/>
  <c r="S9" i="102"/>
  <c r="DT57" i="8"/>
  <c r="DF57" i="8" s="1"/>
  <c r="L19" i="102"/>
  <c r="AG55" i="8"/>
  <c r="AG48" i="8"/>
  <c r="V17" i="101"/>
  <c r="W17" i="101" s="1"/>
  <c r="DT87" i="8" s="1"/>
  <c r="DF87" i="8" s="1"/>
  <c r="T9" i="101"/>
  <c r="BW79" i="8" s="1"/>
  <c r="AG50" i="8"/>
  <c r="V11" i="102"/>
  <c r="W11" i="102" s="1"/>
  <c r="V8" i="102"/>
  <c r="W8" i="102" s="1"/>
  <c r="DT48" i="8" s="1"/>
  <c r="DF48" i="8" s="1"/>
  <c r="V10" i="102"/>
  <c r="W10" i="102" s="1"/>
  <c r="DT50" i="8" s="1"/>
  <c r="DF50" i="8" s="1"/>
  <c r="S15" i="101"/>
  <c r="V15" i="101" s="1"/>
  <c r="W15" i="101" s="1"/>
  <c r="DT85" i="8" s="1"/>
  <c r="DF85" i="8" s="1"/>
  <c r="V14" i="102"/>
  <c r="W14" i="102" s="1"/>
  <c r="DT54" i="8" s="1"/>
  <c r="DF54" i="8" s="1"/>
  <c r="AG80" i="8"/>
  <c r="V6" i="102"/>
  <c r="W6" i="102" s="1"/>
  <c r="X6" i="102" s="1"/>
  <c r="AG85" i="8"/>
  <c r="AG81" i="8"/>
  <c r="U9" i="101"/>
  <c r="AU79" i="8"/>
  <c r="BW46" i="8"/>
  <c r="AG46" i="8" s="1"/>
  <c r="X16" i="101"/>
  <c r="DT86" i="8"/>
  <c r="DF86" i="8" s="1"/>
  <c r="R19" i="101"/>
  <c r="BI88" i="8"/>
  <c r="AG88" i="8" s="1"/>
  <c r="V15" i="102"/>
  <c r="W15" i="102" s="1"/>
  <c r="V13" i="102"/>
  <c r="W13" i="102" s="1"/>
  <c r="X18" i="101"/>
  <c r="AG53" i="8"/>
  <c r="V12" i="102"/>
  <c r="W12" i="102" s="1"/>
  <c r="AU58" i="8"/>
  <c r="P18" i="102"/>
  <c r="T18" i="102"/>
  <c r="BW58" i="8" s="1"/>
  <c r="X11" i="102"/>
  <c r="DT51" i="8"/>
  <c r="DF51" i="8" s="1"/>
  <c r="V16" i="102"/>
  <c r="W16" i="102" s="1"/>
  <c r="W14" i="101"/>
  <c r="V13" i="101"/>
  <c r="W13" i="101" s="1"/>
  <c r="V12" i="101"/>
  <c r="W12" i="101" s="1"/>
  <c r="V8" i="101"/>
  <c r="P19" i="101"/>
  <c r="V11" i="101"/>
  <c r="W11" i="101" s="1"/>
  <c r="T6" i="101"/>
  <c r="L19" i="101"/>
  <c r="S6" i="101"/>
  <c r="AA7" i="101" l="1"/>
  <c r="V9" i="102"/>
  <c r="W9" i="102" s="1"/>
  <c r="DT49" i="8" s="1"/>
  <c r="DF49" i="8" s="1"/>
  <c r="X17" i="101"/>
  <c r="X14" i="102"/>
  <c r="X15" i="101"/>
  <c r="DT46" i="8"/>
  <c r="DF46" i="8" s="1"/>
  <c r="X10" i="102"/>
  <c r="AG79" i="8"/>
  <c r="X8" i="102"/>
  <c r="V9" i="101"/>
  <c r="W9" i="101" s="1"/>
  <c r="X9" i="101" s="1"/>
  <c r="U19" i="101"/>
  <c r="AG58" i="8"/>
  <c r="R18" i="102"/>
  <c r="P19" i="102"/>
  <c r="DT56" i="8"/>
  <c r="DF56" i="8" s="1"/>
  <c r="X16" i="102"/>
  <c r="T19" i="101"/>
  <c r="BW76" i="8"/>
  <c r="AG76" i="8" s="1"/>
  <c r="X11" i="101"/>
  <c r="DT81" i="8"/>
  <c r="DF81" i="8" s="1"/>
  <c r="DT52" i="8"/>
  <c r="DF52" i="8" s="1"/>
  <c r="X12" i="102"/>
  <c r="DT53" i="8"/>
  <c r="DF53" i="8" s="1"/>
  <c r="X13" i="102"/>
  <c r="T19" i="102"/>
  <c r="X10" i="101"/>
  <c r="DT80" i="8"/>
  <c r="DF80" i="8" s="1"/>
  <c r="X12" i="101"/>
  <c r="DT82" i="8"/>
  <c r="DF82" i="8" s="1"/>
  <c r="X13" i="101"/>
  <c r="DT83" i="8"/>
  <c r="DF83" i="8" s="1"/>
  <c r="X14" i="101"/>
  <c r="DT84" i="8"/>
  <c r="DF84" i="8" s="1"/>
  <c r="X15" i="102"/>
  <c r="DT55" i="8"/>
  <c r="DF55" i="8" s="1"/>
  <c r="W8" i="101"/>
  <c r="S19" i="101"/>
  <c r="V6" i="101"/>
  <c r="X9" i="102" l="1"/>
  <c r="DT79" i="8"/>
  <c r="DF79" i="8" s="1"/>
  <c r="AB8" i="101"/>
  <c r="S18" i="102"/>
  <c r="R19" i="102"/>
  <c r="X8" i="101"/>
  <c r="DT78" i="8"/>
  <c r="DF78" i="8" s="1"/>
  <c r="W6" i="101"/>
  <c r="DT76" i="8" s="1"/>
  <c r="DF76" i="8" s="1"/>
  <c r="V19" i="101"/>
  <c r="AA6" i="101"/>
  <c r="Q231" i="93"/>
  <c r="R231" i="93"/>
  <c r="O231" i="93"/>
  <c r="M31" i="93"/>
  <c r="M32" i="93"/>
  <c r="M33" i="93"/>
  <c r="M34" i="93"/>
  <c r="M36" i="93"/>
  <c r="M37" i="93"/>
  <c r="M38" i="93"/>
  <c r="M39" i="93"/>
  <c r="M40" i="93"/>
  <c r="M41" i="93"/>
  <c r="M43" i="93"/>
  <c r="M44" i="93"/>
  <c r="M45" i="93"/>
  <c r="M46" i="93"/>
  <c r="M47" i="93"/>
  <c r="M49" i="93"/>
  <c r="M50" i="93"/>
  <c r="M51" i="93"/>
  <c r="M52" i="93"/>
  <c r="M53" i="93"/>
  <c r="M54" i="93"/>
  <c r="M55" i="93"/>
  <c r="M56" i="93"/>
  <c r="M57" i="93"/>
  <c r="M58" i="93"/>
  <c r="M59" i="93"/>
  <c r="M60" i="93"/>
  <c r="M61" i="93"/>
  <c r="M62" i="93"/>
  <c r="M63" i="93"/>
  <c r="M64" i="93"/>
  <c r="M65" i="93"/>
  <c r="M66" i="93"/>
  <c r="M67" i="93"/>
  <c r="M68" i="93"/>
  <c r="M69" i="93"/>
  <c r="M70" i="93"/>
  <c r="M71" i="93"/>
  <c r="M72" i="93"/>
  <c r="M73" i="93"/>
  <c r="M74" i="93"/>
  <c r="M75" i="93"/>
  <c r="M76" i="93"/>
  <c r="M79" i="93"/>
  <c r="M80" i="93"/>
  <c r="M81" i="93"/>
  <c r="M82" i="93"/>
  <c r="M83" i="93"/>
  <c r="M84" i="93"/>
  <c r="M85" i="93"/>
  <c r="M86" i="93"/>
  <c r="M87" i="93"/>
  <c r="M88" i="93"/>
  <c r="M89" i="93"/>
  <c r="M90" i="93"/>
  <c r="M91" i="93"/>
  <c r="M92" i="93"/>
  <c r="M93" i="93"/>
  <c r="M96" i="93"/>
  <c r="M97" i="93"/>
  <c r="M98" i="93"/>
  <c r="M99" i="93"/>
  <c r="M100" i="93"/>
  <c r="M101" i="93"/>
  <c r="M102" i="93"/>
  <c r="M103" i="93"/>
  <c r="M104" i="93"/>
  <c r="M105" i="93"/>
  <c r="M106" i="93"/>
  <c r="M107" i="93"/>
  <c r="M108" i="93"/>
  <c r="M109" i="93"/>
  <c r="M110" i="93"/>
  <c r="M111" i="93"/>
  <c r="M112" i="93"/>
  <c r="M113" i="93"/>
  <c r="M114" i="93"/>
  <c r="M115" i="93"/>
  <c r="M116" i="93"/>
  <c r="M117" i="93"/>
  <c r="M118" i="93"/>
  <c r="M119" i="93"/>
  <c r="M121" i="93"/>
  <c r="M122" i="93"/>
  <c r="M123" i="93"/>
  <c r="M124" i="93"/>
  <c r="M125" i="93"/>
  <c r="M126" i="93"/>
  <c r="M127" i="93"/>
  <c r="M128" i="93"/>
  <c r="M129" i="93"/>
  <c r="M130" i="93"/>
  <c r="M131" i="93"/>
  <c r="M132" i="93"/>
  <c r="M133" i="93"/>
  <c r="M134" i="93"/>
  <c r="M135" i="93"/>
  <c r="M136" i="93"/>
  <c r="M137" i="93"/>
  <c r="M138" i="93"/>
  <c r="M139" i="93"/>
  <c r="M140" i="93"/>
  <c r="M142" i="93"/>
  <c r="M144" i="93"/>
  <c r="M145" i="93"/>
  <c r="M146" i="93"/>
  <c r="M147" i="93"/>
  <c r="M148" i="93"/>
  <c r="M149" i="93"/>
  <c r="M151" i="93"/>
  <c r="M152" i="93"/>
  <c r="M153" i="93"/>
  <c r="M154" i="93"/>
  <c r="M155" i="93"/>
  <c r="M156" i="93"/>
  <c r="M157" i="93"/>
  <c r="M158" i="93"/>
  <c r="M159" i="93"/>
  <c r="M160" i="93"/>
  <c r="M161" i="93"/>
  <c r="M162" i="93"/>
  <c r="M163" i="93"/>
  <c r="M164" i="93"/>
  <c r="M165" i="93"/>
  <c r="M167" i="93"/>
  <c r="M168" i="93"/>
  <c r="M169" i="93"/>
  <c r="M170" i="93"/>
  <c r="M171" i="93"/>
  <c r="M172" i="93"/>
  <c r="M175" i="93"/>
  <c r="M176" i="93"/>
  <c r="M177" i="93"/>
  <c r="M178" i="93"/>
  <c r="M179" i="93"/>
  <c r="M180" i="93"/>
  <c r="M181" i="93"/>
  <c r="M182" i="93"/>
  <c r="M183" i="93"/>
  <c r="M185" i="93"/>
  <c r="M186" i="93"/>
  <c r="M187" i="93"/>
  <c r="M188" i="93"/>
  <c r="M189" i="93"/>
  <c r="M190" i="93"/>
  <c r="M191" i="93"/>
  <c r="M196" i="93"/>
  <c r="M197" i="93"/>
  <c r="M199" i="93"/>
  <c r="M200" i="93"/>
  <c r="M201" i="93"/>
  <c r="M202" i="93"/>
  <c r="M203" i="93"/>
  <c r="M204" i="93"/>
  <c r="M206" i="93"/>
  <c r="M208" i="93"/>
  <c r="M209" i="93"/>
  <c r="M210" i="93"/>
  <c r="M211" i="93"/>
  <c r="M213" i="93"/>
  <c r="M215" i="93"/>
  <c r="M216" i="93"/>
  <c r="M218" i="93"/>
  <c r="M219" i="93"/>
  <c r="M221" i="93"/>
  <c r="M223" i="93"/>
  <c r="M224" i="93"/>
  <c r="M226" i="93"/>
  <c r="M229" i="93"/>
  <c r="M30" i="93"/>
  <c r="V18" i="102" l="1"/>
  <c r="S19" i="102"/>
  <c r="X6" i="101"/>
  <c r="X19" i="101" s="1"/>
  <c r="W19" i="101"/>
  <c r="AB164" i="93"/>
  <c r="L170" i="107" s="1"/>
  <c r="AB170" i="107" s="1"/>
  <c r="L172" i="108" s="1"/>
  <c r="AB165" i="93"/>
  <c r="L171" i="107" s="1"/>
  <c r="AB171" i="107" s="1"/>
  <c r="L173" i="108" s="1"/>
  <c r="AB182" i="93"/>
  <c r="L189" i="107" s="1"/>
  <c r="AB189" i="107" s="1"/>
  <c r="L192" i="108" s="1"/>
  <c r="AB183" i="93"/>
  <c r="L190" i="107" s="1"/>
  <c r="AB190" i="107" s="1"/>
  <c r="L193" i="108" s="1"/>
  <c r="AB191" i="93"/>
  <c r="L198" i="107" s="1"/>
  <c r="AB198" i="107" s="1"/>
  <c r="L201" i="108" s="1"/>
  <c r="AB221" i="93"/>
  <c r="L228" i="107" s="1"/>
  <c r="AB228" i="107" s="1"/>
  <c r="L231" i="108" s="1"/>
  <c r="AA164" i="93"/>
  <c r="K170" i="107" s="1"/>
  <c r="AA170" i="107" s="1"/>
  <c r="K172" i="108" s="1"/>
  <c r="AA172" i="108" s="1"/>
  <c r="K174" i="112" s="1"/>
  <c r="AA174" i="112" s="1"/>
  <c r="K178" i="113" s="1"/>
  <c r="AA178" i="113" s="1"/>
  <c r="K190" i="117" s="1"/>
  <c r="AA190" i="117" s="1"/>
  <c r="K188" i="121" s="1"/>
  <c r="AA188" i="121" s="1"/>
  <c r="K188" i="122" s="1"/>
  <c r="AA188" i="122" s="1"/>
  <c r="AA165" i="93"/>
  <c r="K171" i="107" s="1"/>
  <c r="AA171" i="107" s="1"/>
  <c r="K173" i="108" s="1"/>
  <c r="AA173" i="108" s="1"/>
  <c r="K175" i="112" s="1"/>
  <c r="AA175" i="112" s="1"/>
  <c r="K179" i="113" s="1"/>
  <c r="AA179" i="113" s="1"/>
  <c r="K191" i="117" s="1"/>
  <c r="AA191" i="117" s="1"/>
  <c r="K189" i="121" s="1"/>
  <c r="AA189" i="121" s="1"/>
  <c r="K189" i="122" s="1"/>
  <c r="AA189" i="122" s="1"/>
  <c r="AA182" i="93"/>
  <c r="K189" i="107" s="1"/>
  <c r="AA189" i="107" s="1"/>
  <c r="K192" i="108" s="1"/>
  <c r="AA192" i="108" s="1"/>
  <c r="K194" i="112" s="1"/>
  <c r="AA194" i="112" s="1"/>
  <c r="K198" i="113" s="1"/>
  <c r="AA198" i="113" s="1"/>
  <c r="K210" i="117" s="1"/>
  <c r="AA210" i="117" s="1"/>
  <c r="K208" i="121" s="1"/>
  <c r="AA208" i="121" s="1"/>
  <c r="K208" i="122" s="1"/>
  <c r="AA208" i="122" s="1"/>
  <c r="AA183" i="93"/>
  <c r="K190" i="107" s="1"/>
  <c r="AA190" i="107" s="1"/>
  <c r="K193" i="108" s="1"/>
  <c r="AA193" i="108" s="1"/>
  <c r="K195" i="112" s="1"/>
  <c r="AA195" i="112" s="1"/>
  <c r="K199" i="113" s="1"/>
  <c r="AA199" i="113" s="1"/>
  <c r="K211" i="117" s="1"/>
  <c r="AA191" i="93"/>
  <c r="K198" i="107" s="1"/>
  <c r="AA198" i="107" s="1"/>
  <c r="K201" i="108" s="1"/>
  <c r="AA201" i="108" s="1"/>
  <c r="K203" i="112" s="1"/>
  <c r="AA203" i="112" s="1"/>
  <c r="K207" i="113" s="1"/>
  <c r="AA207" i="113" s="1"/>
  <c r="K221" i="117" s="1"/>
  <c r="AA221" i="117" s="1"/>
  <c r="K220" i="121" s="1"/>
  <c r="AA220" i="121" s="1"/>
  <c r="K220" i="122" s="1"/>
  <c r="AA220" i="122" s="1"/>
  <c r="AA221" i="93"/>
  <c r="K228" i="107" s="1"/>
  <c r="AA228" i="107" s="1"/>
  <c r="K231" i="108" s="1"/>
  <c r="AA231" i="108" s="1"/>
  <c r="K233" i="112" s="1"/>
  <c r="AA233" i="112" s="1"/>
  <c r="K237" i="113" s="1"/>
  <c r="AA237" i="113" s="1"/>
  <c r="K252" i="117" s="1"/>
  <c r="AA252" i="117" s="1"/>
  <c r="K256" i="121" s="1"/>
  <c r="AA256" i="121" s="1"/>
  <c r="K256" i="122" s="1"/>
  <c r="AA256" i="122" s="1"/>
  <c r="Z164" i="93"/>
  <c r="J170" i="107" s="1"/>
  <c r="Z170" i="107" s="1"/>
  <c r="J172" i="108" s="1"/>
  <c r="Z172" i="108" s="1"/>
  <c r="J174" i="112" s="1"/>
  <c r="Z174" i="112" s="1"/>
  <c r="J178" i="113" s="1"/>
  <c r="Z178" i="113" s="1"/>
  <c r="J190" i="117" s="1"/>
  <c r="Z190" i="117" s="1"/>
  <c r="J188" i="121" s="1"/>
  <c r="Z188" i="121" s="1"/>
  <c r="J188" i="122" s="1"/>
  <c r="Z188" i="122" s="1"/>
  <c r="Z165" i="93"/>
  <c r="J171" i="107" s="1"/>
  <c r="Z171" i="107" s="1"/>
  <c r="J173" i="108" s="1"/>
  <c r="Z173" i="108" s="1"/>
  <c r="J175" i="112" s="1"/>
  <c r="Z175" i="112" s="1"/>
  <c r="J179" i="113" s="1"/>
  <c r="Z179" i="113" s="1"/>
  <c r="J191" i="117" s="1"/>
  <c r="Z191" i="117" s="1"/>
  <c r="J189" i="121" s="1"/>
  <c r="Z189" i="121" s="1"/>
  <c r="J189" i="122" s="1"/>
  <c r="Z189" i="122" s="1"/>
  <c r="Z182" i="93"/>
  <c r="J189" i="107" s="1"/>
  <c r="Z189" i="107" s="1"/>
  <c r="J192" i="108" s="1"/>
  <c r="Z192" i="108" s="1"/>
  <c r="J194" i="112" s="1"/>
  <c r="Z194" i="112" s="1"/>
  <c r="J198" i="113" s="1"/>
  <c r="Z198" i="113" s="1"/>
  <c r="J210" i="117" s="1"/>
  <c r="Z210" i="117" s="1"/>
  <c r="J208" i="121" s="1"/>
  <c r="Z208" i="121" s="1"/>
  <c r="J208" i="122" s="1"/>
  <c r="Z208" i="122" s="1"/>
  <c r="Z183" i="93"/>
  <c r="J190" i="107" s="1"/>
  <c r="Z190" i="107" s="1"/>
  <c r="J193" i="108" s="1"/>
  <c r="Z193" i="108" s="1"/>
  <c r="J195" i="112" s="1"/>
  <c r="Z195" i="112" s="1"/>
  <c r="J199" i="113" s="1"/>
  <c r="Z199" i="113" s="1"/>
  <c r="J211" i="117" s="1"/>
  <c r="Z211" i="117" s="1"/>
  <c r="J209" i="121" s="1"/>
  <c r="Z209" i="121" s="1"/>
  <c r="J209" i="122" s="1"/>
  <c r="Z209" i="122" s="1"/>
  <c r="Z191" i="93"/>
  <c r="J198" i="107" s="1"/>
  <c r="Z198" i="107" s="1"/>
  <c r="J201" i="108" s="1"/>
  <c r="Z201" i="108" s="1"/>
  <c r="J203" i="112" s="1"/>
  <c r="Z203" i="112" s="1"/>
  <c r="J207" i="113" s="1"/>
  <c r="Z207" i="113" s="1"/>
  <c r="J221" i="117" s="1"/>
  <c r="Z221" i="117" s="1"/>
  <c r="J220" i="121" s="1"/>
  <c r="Z220" i="121" s="1"/>
  <c r="J220" i="122" s="1"/>
  <c r="Z220" i="122" s="1"/>
  <c r="Z221" i="93"/>
  <c r="J228" i="107" s="1"/>
  <c r="Z228" i="107" s="1"/>
  <c r="J231" i="108" s="1"/>
  <c r="Z231" i="108" s="1"/>
  <c r="J233" i="112" s="1"/>
  <c r="Z233" i="112" s="1"/>
  <c r="J237" i="113" s="1"/>
  <c r="Z237" i="113" s="1"/>
  <c r="J252" i="117" s="1"/>
  <c r="Z252" i="117" s="1"/>
  <c r="J256" i="121" s="1"/>
  <c r="Z256" i="121" s="1"/>
  <c r="J256" i="122" s="1"/>
  <c r="Z256" i="122" s="1"/>
  <c r="X164" i="93"/>
  <c r="H170" i="107" s="1"/>
  <c r="X170" i="107" s="1"/>
  <c r="H172" i="108" s="1"/>
  <c r="X172" i="108" s="1"/>
  <c r="H174" i="112" s="1"/>
  <c r="X174" i="112" s="1"/>
  <c r="H178" i="113" s="1"/>
  <c r="X178" i="113" s="1"/>
  <c r="H190" i="117" s="1"/>
  <c r="X190" i="117" s="1"/>
  <c r="H188" i="121" s="1"/>
  <c r="X188" i="121" s="1"/>
  <c r="H188" i="122" s="1"/>
  <c r="X188" i="122" s="1"/>
  <c r="X165" i="93"/>
  <c r="H171" i="107" s="1"/>
  <c r="X171" i="107" s="1"/>
  <c r="H173" i="108" s="1"/>
  <c r="X173" i="108" s="1"/>
  <c r="H175" i="112" s="1"/>
  <c r="X175" i="112" s="1"/>
  <c r="H179" i="113" s="1"/>
  <c r="X179" i="113" s="1"/>
  <c r="H191" i="117" s="1"/>
  <c r="X191" i="117" s="1"/>
  <c r="H189" i="121" s="1"/>
  <c r="X189" i="121" s="1"/>
  <c r="H189" i="122" s="1"/>
  <c r="X189" i="122" s="1"/>
  <c r="X182" i="93"/>
  <c r="H189" i="107" s="1"/>
  <c r="X189" i="107" s="1"/>
  <c r="H192" i="108" s="1"/>
  <c r="X192" i="108" s="1"/>
  <c r="H194" i="112" s="1"/>
  <c r="X194" i="112" s="1"/>
  <c r="H198" i="113" s="1"/>
  <c r="X198" i="113" s="1"/>
  <c r="H210" i="117" s="1"/>
  <c r="X210" i="117" s="1"/>
  <c r="H208" i="121" s="1"/>
  <c r="X208" i="121" s="1"/>
  <c r="H208" i="122" s="1"/>
  <c r="X208" i="122" s="1"/>
  <c r="X183" i="93"/>
  <c r="H190" i="107" s="1"/>
  <c r="X190" i="107" s="1"/>
  <c r="H193" i="108" s="1"/>
  <c r="X193" i="108" s="1"/>
  <c r="H195" i="112" s="1"/>
  <c r="X195" i="112" s="1"/>
  <c r="H199" i="113" s="1"/>
  <c r="X199" i="113" s="1"/>
  <c r="H211" i="117" s="1"/>
  <c r="X211" i="117" s="1"/>
  <c r="H209" i="121" s="1"/>
  <c r="X209" i="121" s="1"/>
  <c r="H209" i="122" s="1"/>
  <c r="X209" i="122" s="1"/>
  <c r="X191" i="93"/>
  <c r="H198" i="107" s="1"/>
  <c r="X198" i="107" s="1"/>
  <c r="H201" i="108" s="1"/>
  <c r="X201" i="108" s="1"/>
  <c r="H203" i="112" s="1"/>
  <c r="X203" i="112" s="1"/>
  <c r="H207" i="113" s="1"/>
  <c r="X207" i="113" s="1"/>
  <c r="H221" i="117" s="1"/>
  <c r="X221" i="93"/>
  <c r="H228" i="107" s="1"/>
  <c r="X228" i="107" s="1"/>
  <c r="H231" i="108" s="1"/>
  <c r="X231" i="108" s="1"/>
  <c r="H233" i="112" s="1"/>
  <c r="X233" i="112" s="1"/>
  <c r="H237" i="113" s="1"/>
  <c r="X237" i="113" s="1"/>
  <c r="H252" i="117" s="1"/>
  <c r="X252" i="117" s="1"/>
  <c r="H256" i="121" s="1"/>
  <c r="X256" i="121" s="1"/>
  <c r="H256" i="122" s="1"/>
  <c r="X256" i="122" s="1"/>
  <c r="W164" i="93"/>
  <c r="G170" i="107" s="1"/>
  <c r="W170" i="107" s="1"/>
  <c r="G172" i="108" s="1"/>
  <c r="W172" i="108" s="1"/>
  <c r="G174" i="112" s="1"/>
  <c r="W174" i="112" s="1"/>
  <c r="G178" i="113" s="1"/>
  <c r="W178" i="113" s="1"/>
  <c r="G190" i="117" s="1"/>
  <c r="W190" i="117" s="1"/>
  <c r="G188" i="121" s="1"/>
  <c r="W188" i="121" s="1"/>
  <c r="G188" i="122" s="1"/>
  <c r="W188" i="122" s="1"/>
  <c r="W165" i="93"/>
  <c r="G171" i="107" s="1"/>
  <c r="W171" i="107" s="1"/>
  <c r="G173" i="108" s="1"/>
  <c r="W173" i="108" s="1"/>
  <c r="G175" i="112" s="1"/>
  <c r="W175" i="112" s="1"/>
  <c r="G179" i="113" s="1"/>
  <c r="W179" i="113" s="1"/>
  <c r="G191" i="117" s="1"/>
  <c r="W191" i="117" s="1"/>
  <c r="G189" i="121" s="1"/>
  <c r="W189" i="121" s="1"/>
  <c r="G189" i="122" s="1"/>
  <c r="W189" i="122" s="1"/>
  <c r="W182" i="93"/>
  <c r="G189" i="107" s="1"/>
  <c r="W189" i="107" s="1"/>
  <c r="G192" i="108" s="1"/>
  <c r="W192" i="108" s="1"/>
  <c r="G194" i="112" s="1"/>
  <c r="W194" i="112" s="1"/>
  <c r="G198" i="113" s="1"/>
  <c r="W198" i="113" s="1"/>
  <c r="G210" i="117" s="1"/>
  <c r="W210" i="117" s="1"/>
  <c r="G208" i="121" s="1"/>
  <c r="W208" i="121" s="1"/>
  <c r="G208" i="122" s="1"/>
  <c r="W208" i="122" s="1"/>
  <c r="W183" i="93"/>
  <c r="G190" i="107" s="1"/>
  <c r="W190" i="107" s="1"/>
  <c r="G193" i="108" s="1"/>
  <c r="W193" i="108" s="1"/>
  <c r="G195" i="112" s="1"/>
  <c r="W195" i="112" s="1"/>
  <c r="G199" i="113" s="1"/>
  <c r="W199" i="113" s="1"/>
  <c r="G211" i="117" s="1"/>
  <c r="W211" i="117" s="1"/>
  <c r="G209" i="121" s="1"/>
  <c r="W209" i="121" s="1"/>
  <c r="G209" i="122" s="1"/>
  <c r="W209" i="122" s="1"/>
  <c r="W191" i="93"/>
  <c r="G198" i="107" s="1"/>
  <c r="W198" i="107" s="1"/>
  <c r="G201" i="108" s="1"/>
  <c r="W201" i="108" s="1"/>
  <c r="G203" i="112" s="1"/>
  <c r="W203" i="112" s="1"/>
  <c r="G207" i="113" s="1"/>
  <c r="W207" i="113" s="1"/>
  <c r="G221" i="117" s="1"/>
  <c r="W221" i="117" s="1"/>
  <c r="G220" i="121" s="1"/>
  <c r="W220" i="121" s="1"/>
  <c r="G220" i="122" s="1"/>
  <c r="W220" i="122" s="1"/>
  <c r="W219" i="93"/>
  <c r="G226" i="107" s="1"/>
  <c r="W226" i="107" s="1"/>
  <c r="G229" i="108" s="1"/>
  <c r="W229" i="108" s="1"/>
  <c r="G231" i="112" s="1"/>
  <c r="W231" i="112" s="1"/>
  <c r="G235" i="113" s="1"/>
  <c r="W235" i="113" s="1"/>
  <c r="G250" i="117" s="1"/>
  <c r="W250" i="117" s="1"/>
  <c r="G254" i="121" s="1"/>
  <c r="W254" i="121" s="1"/>
  <c r="G254" i="122" s="1"/>
  <c r="W254" i="122" s="1"/>
  <c r="W221" i="93"/>
  <c r="G228" i="107" s="1"/>
  <c r="W228" i="107" s="1"/>
  <c r="G231" i="108" s="1"/>
  <c r="W231" i="108" s="1"/>
  <c r="G233" i="112" s="1"/>
  <c r="W233" i="112" s="1"/>
  <c r="G237" i="113" s="1"/>
  <c r="W237" i="113" s="1"/>
  <c r="G252" i="117" s="1"/>
  <c r="W252" i="117" s="1"/>
  <c r="G256" i="121" s="1"/>
  <c r="W256" i="121" s="1"/>
  <c r="G256" i="122" s="1"/>
  <c r="W256" i="122" s="1"/>
  <c r="V164" i="93"/>
  <c r="F170" i="107" s="1"/>
  <c r="V170" i="107" s="1"/>
  <c r="F172" i="108" s="1"/>
  <c r="V172" i="108" s="1"/>
  <c r="F174" i="112" s="1"/>
  <c r="V174" i="112" s="1"/>
  <c r="F178" i="113" s="1"/>
  <c r="V178" i="113" s="1"/>
  <c r="F190" i="117" s="1"/>
  <c r="V190" i="117" s="1"/>
  <c r="F188" i="121" s="1"/>
  <c r="V188" i="121" s="1"/>
  <c r="F188" i="122" s="1"/>
  <c r="V188" i="122" s="1"/>
  <c r="V165" i="93"/>
  <c r="F171" i="107" s="1"/>
  <c r="V171" i="107" s="1"/>
  <c r="F173" i="108" s="1"/>
  <c r="V173" i="108" s="1"/>
  <c r="F175" i="112" s="1"/>
  <c r="V175" i="112" s="1"/>
  <c r="F179" i="113" s="1"/>
  <c r="V179" i="113" s="1"/>
  <c r="F191" i="117" s="1"/>
  <c r="V191" i="117" s="1"/>
  <c r="F189" i="121" s="1"/>
  <c r="V189" i="121" s="1"/>
  <c r="F189" i="122" s="1"/>
  <c r="V189" i="122" s="1"/>
  <c r="V182" i="93"/>
  <c r="F189" i="107" s="1"/>
  <c r="V189" i="107" s="1"/>
  <c r="F192" i="108" s="1"/>
  <c r="V192" i="108" s="1"/>
  <c r="F194" i="112" s="1"/>
  <c r="V194" i="112" s="1"/>
  <c r="F198" i="113" s="1"/>
  <c r="V198" i="113" s="1"/>
  <c r="F210" i="117" s="1"/>
  <c r="V210" i="117" s="1"/>
  <c r="F208" i="121" s="1"/>
  <c r="V208" i="121" s="1"/>
  <c r="F208" i="122" s="1"/>
  <c r="V208" i="122" s="1"/>
  <c r="V183" i="93"/>
  <c r="F190" i="107" s="1"/>
  <c r="V190" i="107" s="1"/>
  <c r="F193" i="108" s="1"/>
  <c r="V193" i="108" s="1"/>
  <c r="F195" i="112" s="1"/>
  <c r="V195" i="112" s="1"/>
  <c r="F199" i="113" s="1"/>
  <c r="V199" i="113" s="1"/>
  <c r="F211" i="117" s="1"/>
  <c r="V211" i="117" s="1"/>
  <c r="F209" i="121" s="1"/>
  <c r="V209" i="121" s="1"/>
  <c r="F209" i="122" s="1"/>
  <c r="V209" i="122" s="1"/>
  <c r="V191" i="93"/>
  <c r="F198" i="107" s="1"/>
  <c r="V198" i="107" s="1"/>
  <c r="F201" i="108" s="1"/>
  <c r="V201" i="108" s="1"/>
  <c r="F203" i="112" s="1"/>
  <c r="V203" i="112" s="1"/>
  <c r="F207" i="113" s="1"/>
  <c r="V207" i="113" s="1"/>
  <c r="F221" i="117" s="1"/>
  <c r="V221" i="117" s="1"/>
  <c r="F220" i="121" s="1"/>
  <c r="V220" i="121" s="1"/>
  <c r="F220" i="122" s="1"/>
  <c r="V220" i="122" s="1"/>
  <c r="V221" i="93"/>
  <c r="F228" i="107" s="1"/>
  <c r="V228" i="107" s="1"/>
  <c r="F231" i="108" s="1"/>
  <c r="V231" i="108" s="1"/>
  <c r="F233" i="112" s="1"/>
  <c r="V233" i="112" s="1"/>
  <c r="F237" i="113" s="1"/>
  <c r="V237" i="113" s="1"/>
  <c r="F252" i="117" s="1"/>
  <c r="V252" i="117" s="1"/>
  <c r="F256" i="121" s="1"/>
  <c r="V256" i="121" s="1"/>
  <c r="F256" i="122" s="1"/>
  <c r="V256" i="122" s="1"/>
  <c r="X221" i="117" l="1"/>
  <c r="H220" i="121" s="1"/>
  <c r="X220" i="121" s="1"/>
  <c r="H220" i="122" s="1"/>
  <c r="X220" i="122" s="1"/>
  <c r="E192" i="108"/>
  <c r="U192" i="108" s="1"/>
  <c r="AB192" i="108"/>
  <c r="L194" i="112" s="1"/>
  <c r="E193" i="108"/>
  <c r="U193" i="108" s="1"/>
  <c r="AB193" i="108"/>
  <c r="L195" i="112" s="1"/>
  <c r="AA211" i="117"/>
  <c r="K209" i="121" s="1"/>
  <c r="AA209" i="121" s="1"/>
  <c r="K209" i="122" s="1"/>
  <c r="AA209" i="122" s="1"/>
  <c r="E231" i="108"/>
  <c r="U231" i="108" s="1"/>
  <c r="AB231" i="108"/>
  <c r="L233" i="112" s="1"/>
  <c r="E173" i="108"/>
  <c r="U173" i="108" s="1"/>
  <c r="AB173" i="108"/>
  <c r="L175" i="112" s="1"/>
  <c r="E201" i="108"/>
  <c r="U201" i="108" s="1"/>
  <c r="AB201" i="108"/>
  <c r="L203" i="112" s="1"/>
  <c r="E172" i="108"/>
  <c r="U172" i="108" s="1"/>
  <c r="AB172" i="108"/>
  <c r="L174" i="112" s="1"/>
  <c r="W18" i="102"/>
  <c r="V19" i="102"/>
  <c r="U164" i="93"/>
  <c r="E170" i="107" s="1"/>
  <c r="U170" i="107" s="1"/>
  <c r="U165" i="93"/>
  <c r="E171" i="107" s="1"/>
  <c r="U171" i="107" s="1"/>
  <c r="U182" i="93"/>
  <c r="E189" i="107" s="1"/>
  <c r="U189" i="107" s="1"/>
  <c r="U183" i="93"/>
  <c r="E190" i="107" s="1"/>
  <c r="U190" i="107" s="1"/>
  <c r="U191" i="93"/>
  <c r="E198" i="107" s="1"/>
  <c r="U198" i="107" s="1"/>
  <c r="U221" i="93"/>
  <c r="E228" i="107" s="1"/>
  <c r="U228" i="107" s="1"/>
  <c r="AB175" i="112" l="1"/>
  <c r="L179" i="113" s="1"/>
  <c r="E175" i="112"/>
  <c r="U175" i="112" s="1"/>
  <c r="E203" i="112"/>
  <c r="U203" i="112" s="1"/>
  <c r="AB203" i="112"/>
  <c r="L207" i="113" s="1"/>
  <c r="AB233" i="112"/>
  <c r="L237" i="113" s="1"/>
  <c r="E233" i="112"/>
  <c r="U233" i="112" s="1"/>
  <c r="AB195" i="112"/>
  <c r="L199" i="113" s="1"/>
  <c r="E195" i="112"/>
  <c r="U195" i="112" s="1"/>
  <c r="E174" i="112"/>
  <c r="U174" i="112" s="1"/>
  <c r="AB174" i="112"/>
  <c r="L178" i="113" s="1"/>
  <c r="AB194" i="112"/>
  <c r="L198" i="113" s="1"/>
  <c r="E194" i="112"/>
  <c r="U194" i="112" s="1"/>
  <c r="W19" i="102"/>
  <c r="DT58" i="8"/>
  <c r="X18" i="102"/>
  <c r="X19" i="102" s="1"/>
  <c r="P222" i="93"/>
  <c r="AB199" i="113" l="1"/>
  <c r="L211" i="117" s="1"/>
  <c r="E199" i="113"/>
  <c r="U199" i="113" s="1"/>
  <c r="AB178" i="113"/>
  <c r="L190" i="117" s="1"/>
  <c r="E178" i="113"/>
  <c r="U178" i="113" s="1"/>
  <c r="AB207" i="113"/>
  <c r="L221" i="117" s="1"/>
  <c r="E207" i="113"/>
  <c r="U207" i="113" s="1"/>
  <c r="AB198" i="113"/>
  <c r="L210" i="117" s="1"/>
  <c r="E198" i="113"/>
  <c r="U198" i="113" s="1"/>
  <c r="AB237" i="113"/>
  <c r="L252" i="117" s="1"/>
  <c r="E237" i="113"/>
  <c r="U237" i="113" s="1"/>
  <c r="E179" i="113"/>
  <c r="U179" i="113" s="1"/>
  <c r="AB179" i="113"/>
  <c r="L191" i="117" s="1"/>
  <c r="DF58" i="8"/>
  <c r="DT66" i="8"/>
  <c r="DT68" i="8" s="1"/>
  <c r="N166" i="93"/>
  <c r="AB252" i="117" l="1"/>
  <c r="L256" i="121" s="1"/>
  <c r="E252" i="117"/>
  <c r="U252" i="117" s="1"/>
  <c r="E190" i="117"/>
  <c r="U190" i="117" s="1"/>
  <c r="AB190" i="117"/>
  <c r="L188" i="121" s="1"/>
  <c r="AB191" i="117"/>
  <c r="L189" i="121" s="1"/>
  <c r="E191" i="117"/>
  <c r="U191" i="117" s="1"/>
  <c r="AB210" i="117"/>
  <c r="L208" i="121" s="1"/>
  <c r="E210" i="117"/>
  <c r="U210" i="117" s="1"/>
  <c r="AB221" i="117"/>
  <c r="L220" i="121" s="1"/>
  <c r="E221" i="117"/>
  <c r="U221" i="117" s="1"/>
  <c r="AB211" i="117"/>
  <c r="L209" i="121" s="1"/>
  <c r="E211" i="117"/>
  <c r="U211" i="117" s="1"/>
  <c r="N174" i="93"/>
  <c r="E256" i="121" l="1"/>
  <c r="U256" i="121" s="1"/>
  <c r="AB256" i="121"/>
  <c r="L256" i="122" s="1"/>
  <c r="AB188" i="121"/>
  <c r="L188" i="122" s="1"/>
  <c r="E188" i="121"/>
  <c r="U188" i="121" s="1"/>
  <c r="AB208" i="121"/>
  <c r="L208" i="122" s="1"/>
  <c r="E208" i="121"/>
  <c r="U208" i="121" s="1"/>
  <c r="AB189" i="121"/>
  <c r="L189" i="122" s="1"/>
  <c r="E189" i="121"/>
  <c r="U189" i="121" s="1"/>
  <c r="AB209" i="121"/>
  <c r="L209" i="122" s="1"/>
  <c r="E209" i="121"/>
  <c r="U209" i="121" s="1"/>
  <c r="AB220" i="121"/>
  <c r="L220" i="122" s="1"/>
  <c r="E220" i="121"/>
  <c r="U220" i="121" s="1"/>
  <c r="BN69" i="19"/>
  <c r="CC72" i="19"/>
  <c r="AB220" i="122" l="1"/>
  <c r="E220" i="122"/>
  <c r="U220" i="122" s="1"/>
  <c r="AB189" i="122"/>
  <c r="E189" i="122"/>
  <c r="U189" i="122" s="1"/>
  <c r="AB188" i="122"/>
  <c r="E188" i="122"/>
  <c r="U188" i="122" s="1"/>
  <c r="E256" i="122"/>
  <c r="U256" i="122" s="1"/>
  <c r="AB256" i="122"/>
  <c r="E209" i="122"/>
  <c r="U209" i="122" s="1"/>
  <c r="AB209" i="122"/>
  <c r="E208" i="122"/>
  <c r="U208" i="122" s="1"/>
  <c r="AB208" i="122"/>
  <c r="BN70" i="19"/>
  <c r="BN17" i="11"/>
  <c r="BY143" i="13" l="1"/>
  <c r="P141" i="93"/>
  <c r="P207" i="93"/>
  <c r="P173" i="93"/>
  <c r="P166" i="93"/>
  <c r="M141" i="93" l="1"/>
  <c r="M207" i="93"/>
  <c r="M166" i="93"/>
  <c r="P12" i="77"/>
  <c r="P11" i="77"/>
  <c r="P10" i="77" l="1"/>
  <c r="O11" i="77"/>
  <c r="H89" i="41"/>
  <c r="H58" i="41"/>
  <c r="H28" i="41"/>
  <c r="I102" i="41"/>
  <c r="I69" i="41"/>
  <c r="I38" i="41"/>
  <c r="I103" i="41" s="1"/>
  <c r="J36" i="41"/>
  <c r="H67" i="41"/>
  <c r="O70" i="41"/>
  <c r="M70" i="41"/>
  <c r="L70" i="41"/>
  <c r="O69" i="41"/>
  <c r="M69" i="41"/>
  <c r="L69" i="41"/>
  <c r="O68" i="41"/>
  <c r="M68" i="41"/>
  <c r="L68" i="41"/>
  <c r="K68" i="41"/>
  <c r="K70" i="41" s="1"/>
  <c r="A62" i="41"/>
  <c r="A63" i="41" s="1"/>
  <c r="A67" i="41" s="1"/>
  <c r="G112" i="41" l="1"/>
  <c r="J68" i="41"/>
  <c r="J70" i="41" s="1"/>
  <c r="N120" i="93"/>
  <c r="BN86" i="11"/>
  <c r="N143" i="93" l="1"/>
  <c r="DU104" i="8" l="1"/>
  <c r="DT104" i="8"/>
  <c r="BY77" i="13" s="1"/>
  <c r="DF103" i="8"/>
  <c r="DF104" i="8" s="1"/>
  <c r="DW96" i="8"/>
  <c r="DX96" i="8"/>
  <c r="DY96" i="8"/>
  <c r="DF98" i="8" l="1"/>
  <c r="DY100" i="8" l="1"/>
  <c r="DY104" i="8" s="1"/>
  <c r="DX100" i="8"/>
  <c r="DX104" i="8" s="1"/>
  <c r="DW100" i="8"/>
  <c r="DW104" i="8" s="1"/>
  <c r="Q19" i="80"/>
  <c r="O19" i="80"/>
  <c r="N19" i="80"/>
  <c r="M19" i="80"/>
  <c r="C18" i="80"/>
  <c r="J18" i="80" s="1"/>
  <c r="L18" i="80" s="1"/>
  <c r="R17" i="80"/>
  <c r="J17" i="80"/>
  <c r="L17" i="80" s="1"/>
  <c r="R16" i="80"/>
  <c r="J16" i="80"/>
  <c r="L16" i="80" s="1"/>
  <c r="J15" i="80"/>
  <c r="L15" i="80" s="1"/>
  <c r="R14" i="80"/>
  <c r="J14" i="80"/>
  <c r="L14" i="80" s="1"/>
  <c r="R13" i="80"/>
  <c r="J13" i="80"/>
  <c r="L13" i="80" s="1"/>
  <c r="R12" i="80"/>
  <c r="C12" i="80"/>
  <c r="J12" i="80" s="1"/>
  <c r="L12" i="80" s="1"/>
  <c r="R11" i="80"/>
  <c r="L11" i="80"/>
  <c r="R10" i="80"/>
  <c r="K10" i="80"/>
  <c r="J10" i="80"/>
  <c r="R9" i="80"/>
  <c r="K9" i="80"/>
  <c r="J9" i="80"/>
  <c r="R8" i="80"/>
  <c r="K8" i="80"/>
  <c r="J8" i="80"/>
  <c r="R7" i="80"/>
  <c r="L7" i="80"/>
  <c r="T7" i="80" s="1"/>
  <c r="R6" i="80"/>
  <c r="J6" i="80"/>
  <c r="L6" i="80" s="1"/>
  <c r="L9" i="80" l="1"/>
  <c r="U9" i="80" s="1"/>
  <c r="T6" i="80"/>
  <c r="AU16" i="8"/>
  <c r="L10" i="80"/>
  <c r="S10" i="80" s="1"/>
  <c r="Z9" i="80"/>
  <c r="AA9" i="80" s="1"/>
  <c r="C19" i="80"/>
  <c r="K19" i="80"/>
  <c r="T17" i="80"/>
  <c r="S17" i="80"/>
  <c r="T18" i="80"/>
  <c r="P18" i="80"/>
  <c r="R18" i="80" s="1"/>
  <c r="S18" i="80" s="1"/>
  <c r="S14" i="80"/>
  <c r="T14" i="80"/>
  <c r="S13" i="80"/>
  <c r="U13" i="80"/>
  <c r="T13" i="80"/>
  <c r="U11" i="80"/>
  <c r="T11" i="80"/>
  <c r="S11" i="80"/>
  <c r="P15" i="80"/>
  <c r="T15" i="80"/>
  <c r="T16" i="80"/>
  <c r="S16" i="80"/>
  <c r="S9" i="80"/>
  <c r="T9" i="80"/>
  <c r="T12" i="80"/>
  <c r="S12" i="80"/>
  <c r="U12" i="80"/>
  <c r="S7" i="80"/>
  <c r="V7" i="80" s="1"/>
  <c r="W7" i="80" s="1"/>
  <c r="J19" i="80"/>
  <c r="S6" i="80"/>
  <c r="L8" i="80"/>
  <c r="U10" i="80" l="1"/>
  <c r="L19" i="80"/>
  <c r="V17" i="80"/>
  <c r="W17" i="80" s="1"/>
  <c r="X17" i="80" s="1"/>
  <c r="T10" i="80"/>
  <c r="V10" i="80" s="1"/>
  <c r="W10" i="80" s="1"/>
  <c r="V16" i="80"/>
  <c r="W16" i="80" s="1"/>
  <c r="X16" i="80" s="1"/>
  <c r="X7" i="80"/>
  <c r="DT17" i="8"/>
  <c r="DF17" i="8" s="1"/>
  <c r="V12" i="80"/>
  <c r="W12" i="80" s="1"/>
  <c r="V18" i="80"/>
  <c r="W18" i="80" s="1"/>
  <c r="V6" i="80"/>
  <c r="V9" i="80"/>
  <c r="W9" i="80" s="1"/>
  <c r="V13" i="80"/>
  <c r="W13" i="80" s="1"/>
  <c r="P19" i="80"/>
  <c r="R15" i="80"/>
  <c r="U8" i="80"/>
  <c r="U19" i="80" s="1"/>
  <c r="T8" i="80"/>
  <c r="T19" i="80" s="1"/>
  <c r="S8" i="80"/>
  <c r="V11" i="80"/>
  <c r="W11" i="80" s="1"/>
  <c r="V14" i="80"/>
  <c r="DT27" i="8" l="1"/>
  <c r="DF27" i="8" s="1"/>
  <c r="DT26" i="8"/>
  <c r="DF26" i="8" s="1"/>
  <c r="X9" i="80"/>
  <c r="DT19" i="8"/>
  <c r="DF19" i="8" s="1"/>
  <c r="X11" i="80"/>
  <c r="DT21" i="8"/>
  <c r="DF21" i="8" s="1"/>
  <c r="X18" i="80"/>
  <c r="DT28" i="8"/>
  <c r="DF28" i="8" s="1"/>
  <c r="X13" i="80"/>
  <c r="DT23" i="8"/>
  <c r="DF23" i="8" s="1"/>
  <c r="X10" i="80"/>
  <c r="DT20" i="8"/>
  <c r="DF20" i="8" s="1"/>
  <c r="X12" i="80"/>
  <c r="DT22" i="8"/>
  <c r="DF22" i="8" s="1"/>
  <c r="R19" i="80"/>
  <c r="S15" i="80"/>
  <c r="V15" i="80" s="1"/>
  <c r="W15" i="80" s="1"/>
  <c r="W14" i="80"/>
  <c r="V8" i="80"/>
  <c r="AA6" i="80"/>
  <c r="W6" i="80"/>
  <c r="DT16" i="8" l="1"/>
  <c r="DF16" i="8" s="1"/>
  <c r="X14" i="80"/>
  <c r="DT24" i="8"/>
  <c r="DF24" i="8" s="1"/>
  <c r="X15" i="80"/>
  <c r="DT25" i="8"/>
  <c r="DF25" i="8" s="1"/>
  <c r="AB8" i="80"/>
  <c r="W8" i="80"/>
  <c r="W19" i="80" s="1"/>
  <c r="AA3" i="101" s="1"/>
  <c r="X6" i="80"/>
  <c r="V19" i="80"/>
  <c r="S19" i="80"/>
  <c r="X8" i="80" l="1"/>
  <c r="X19" i="80" s="1"/>
  <c r="DT18" i="8"/>
  <c r="DT96" i="8" l="1"/>
  <c r="DF18" i="8"/>
  <c r="DT36" i="8"/>
  <c r="L14" i="58"/>
  <c r="Q28" i="100"/>
  <c r="P28" i="100"/>
  <c r="O28" i="100"/>
  <c r="N28" i="100"/>
  <c r="M28" i="100"/>
  <c r="C28" i="100"/>
  <c r="R27" i="100"/>
  <c r="J27" i="100"/>
  <c r="L27" i="100" s="1"/>
  <c r="E35" i="41" s="1"/>
  <c r="R26" i="100"/>
  <c r="F35" i="41" s="1"/>
  <c r="J26" i="100"/>
  <c r="L26" i="100" s="1"/>
  <c r="E34" i="41" s="1"/>
  <c r="R25" i="100"/>
  <c r="F34" i="41" s="1"/>
  <c r="J25" i="100"/>
  <c r="L25" i="100" s="1"/>
  <c r="E33" i="41" s="1"/>
  <c r="R24" i="100"/>
  <c r="F33" i="41" s="1"/>
  <c r="J24" i="100"/>
  <c r="L24" i="100" s="1"/>
  <c r="E32" i="41" s="1"/>
  <c r="R23" i="100"/>
  <c r="F32" i="41" s="1"/>
  <c r="J23" i="100"/>
  <c r="L23" i="100" s="1"/>
  <c r="E31" i="41" s="1"/>
  <c r="R22" i="100"/>
  <c r="F31" i="41" s="1"/>
  <c r="J22" i="100"/>
  <c r="L22" i="100" s="1"/>
  <c r="E30" i="41" s="1"/>
  <c r="R21" i="100"/>
  <c r="F30" i="41" s="1"/>
  <c r="J21" i="100"/>
  <c r="L21" i="100" s="1"/>
  <c r="E29" i="41" s="1"/>
  <c r="R20" i="100"/>
  <c r="F29" i="41" s="1"/>
  <c r="J20" i="100"/>
  <c r="L20" i="100" s="1"/>
  <c r="R19" i="100"/>
  <c r="F28" i="41" s="1"/>
  <c r="J19" i="100"/>
  <c r="L19" i="100" s="1"/>
  <c r="E28" i="41" s="1"/>
  <c r="R18" i="100"/>
  <c r="F27" i="41" s="1"/>
  <c r="J18" i="100"/>
  <c r="L18" i="100" s="1"/>
  <c r="E27" i="41" s="1"/>
  <c r="R17" i="100"/>
  <c r="F26" i="41" s="1"/>
  <c r="J17" i="100"/>
  <c r="L17" i="100" s="1"/>
  <c r="E26" i="41" s="1"/>
  <c r="R16" i="100"/>
  <c r="F25" i="41" s="1"/>
  <c r="J16" i="100"/>
  <c r="L16" i="100" s="1"/>
  <c r="E25" i="41" s="1"/>
  <c r="R15" i="100"/>
  <c r="F24" i="41" s="1"/>
  <c r="J15" i="100"/>
  <c r="L15" i="100" s="1"/>
  <c r="E24" i="41" s="1"/>
  <c r="R14" i="100"/>
  <c r="F23" i="41" s="1"/>
  <c r="J14" i="100"/>
  <c r="L14" i="100" s="1"/>
  <c r="E23" i="41" s="1"/>
  <c r="R13" i="100"/>
  <c r="F22" i="41" s="1"/>
  <c r="K13" i="100"/>
  <c r="K28" i="100" s="1"/>
  <c r="J13" i="100"/>
  <c r="R12" i="100"/>
  <c r="F21" i="41" s="1"/>
  <c r="J12" i="100"/>
  <c r="L12" i="100" s="1"/>
  <c r="R11" i="100"/>
  <c r="F20" i="41" s="1"/>
  <c r="J11" i="100"/>
  <c r="L11" i="100" s="1"/>
  <c r="R10" i="100"/>
  <c r="F19" i="41" s="1"/>
  <c r="J10" i="100"/>
  <c r="L10" i="100" s="1"/>
  <c r="R9" i="100"/>
  <c r="F18" i="41" s="1"/>
  <c r="J9" i="100"/>
  <c r="L9" i="100" s="1"/>
  <c r="R8" i="100"/>
  <c r="F17" i="41" s="1"/>
  <c r="J8" i="100"/>
  <c r="R7" i="100"/>
  <c r="F16" i="41" s="1"/>
  <c r="L7" i="100"/>
  <c r="R6" i="100"/>
  <c r="L6" i="100"/>
  <c r="DT97" i="8" l="1"/>
  <c r="DT100" i="8" s="1"/>
  <c r="N21" i="58" s="1"/>
  <c r="J28" i="100"/>
  <c r="D94" i="41"/>
  <c r="EJ92" i="8"/>
  <c r="D90" i="41"/>
  <c r="T12" i="100"/>
  <c r="G21" i="41" s="1"/>
  <c r="E21" i="41"/>
  <c r="T11" i="100"/>
  <c r="G20" i="41" s="1"/>
  <c r="E20" i="41"/>
  <c r="D97" i="41"/>
  <c r="L17" i="58"/>
  <c r="L15" i="58"/>
  <c r="D96" i="41"/>
  <c r="T7" i="100"/>
  <c r="G16" i="41" s="1"/>
  <c r="E16" i="41"/>
  <c r="DT38" i="8"/>
  <c r="D93" i="41"/>
  <c r="R28" i="100"/>
  <c r="F15" i="41"/>
  <c r="L8" i="100"/>
  <c r="L28" i="100" s="1"/>
  <c r="D77" i="41"/>
  <c r="D91" i="41"/>
  <c r="D92" i="41"/>
  <c r="D95" i="41"/>
  <c r="T10" i="100"/>
  <c r="G19" i="41" s="1"/>
  <c r="E19" i="41"/>
  <c r="L13" i="100"/>
  <c r="E22" i="41" s="1"/>
  <c r="T6" i="100"/>
  <c r="G15" i="41" s="1"/>
  <c r="E15" i="41"/>
  <c r="T9" i="100"/>
  <c r="G18" i="41" s="1"/>
  <c r="E18" i="41"/>
  <c r="T15" i="100"/>
  <c r="S15" i="100"/>
  <c r="T19" i="100"/>
  <c r="G28" i="41" s="1"/>
  <c r="S19" i="100"/>
  <c r="T23" i="100"/>
  <c r="G31" i="41" s="1"/>
  <c r="D31" i="41" s="1"/>
  <c r="S23" i="100"/>
  <c r="T27" i="100"/>
  <c r="G35" i="41" s="1"/>
  <c r="D35" i="41" s="1"/>
  <c r="S27" i="100"/>
  <c r="T16" i="100"/>
  <c r="G25" i="41" s="1"/>
  <c r="S16" i="100"/>
  <c r="T20" i="100"/>
  <c r="S20" i="100"/>
  <c r="T24" i="100"/>
  <c r="G32" i="41" s="1"/>
  <c r="D32" i="41" s="1"/>
  <c r="S24" i="100"/>
  <c r="T13" i="100"/>
  <c r="G22" i="41" s="1"/>
  <c r="S13" i="100"/>
  <c r="T17" i="100"/>
  <c r="G26" i="41" s="1"/>
  <c r="S17" i="100"/>
  <c r="T21" i="100"/>
  <c r="G29" i="41" s="1"/>
  <c r="D29" i="41" s="1"/>
  <c r="S21" i="100"/>
  <c r="T25" i="100"/>
  <c r="G33" i="41" s="1"/>
  <c r="D33" i="41" s="1"/>
  <c r="S25" i="100"/>
  <c r="T14" i="100"/>
  <c r="G23" i="41" s="1"/>
  <c r="S14" i="100"/>
  <c r="T18" i="100"/>
  <c r="G27" i="41" s="1"/>
  <c r="S18" i="100"/>
  <c r="T22" i="100"/>
  <c r="G30" i="41" s="1"/>
  <c r="D30" i="41" s="1"/>
  <c r="S22" i="100"/>
  <c r="T26" i="100"/>
  <c r="G34" i="41" s="1"/>
  <c r="D34" i="41" s="1"/>
  <c r="S26" i="100"/>
  <c r="S7" i="100"/>
  <c r="U7" i="100" s="1"/>
  <c r="V7" i="100" s="1"/>
  <c r="S9" i="100"/>
  <c r="S10" i="100"/>
  <c r="S11" i="100"/>
  <c r="S12" i="100"/>
  <c r="U12" i="100" s="1"/>
  <c r="V12" i="100" s="1"/>
  <c r="S6" i="100"/>
  <c r="D83" i="41"/>
  <c r="D80" i="41"/>
  <c r="D81" i="41"/>
  <c r="D85" i="41"/>
  <c r="D84" i="41"/>
  <c r="D86" i="41"/>
  <c r="D87" i="41"/>
  <c r="D48" i="41"/>
  <c r="D51" i="41"/>
  <c r="D55" i="41"/>
  <c r="D62" i="41"/>
  <c r="D66" i="41"/>
  <c r="D56" i="41"/>
  <c r="D59" i="41"/>
  <c r="D49" i="41"/>
  <c r="D53" i="41"/>
  <c r="D57" i="41"/>
  <c r="D60" i="41"/>
  <c r="D64" i="41"/>
  <c r="D50" i="41"/>
  <c r="D54" i="41"/>
  <c r="D58" i="41"/>
  <c r="D61" i="41"/>
  <c r="D65" i="41"/>
  <c r="U9" i="100" l="1"/>
  <c r="V9" i="100" s="1"/>
  <c r="U27" i="100"/>
  <c r="V27" i="100" s="1"/>
  <c r="I35" i="41" s="1"/>
  <c r="H35" i="41" s="1"/>
  <c r="S8" i="100"/>
  <c r="U14" i="100"/>
  <c r="V14" i="100" s="1"/>
  <c r="W14" i="100" s="1"/>
  <c r="U13" i="100"/>
  <c r="V13" i="100" s="1"/>
  <c r="W13" i="100" s="1"/>
  <c r="N23" i="58"/>
  <c r="N22" i="58"/>
  <c r="D88" i="41"/>
  <c r="EJ94" i="8"/>
  <c r="D45" i="41"/>
  <c r="D46" i="41"/>
  <c r="H46" i="41"/>
  <c r="D63" i="41"/>
  <c r="H54" i="41"/>
  <c r="H64" i="41"/>
  <c r="H57" i="41"/>
  <c r="H49" i="41"/>
  <c r="H52" i="41"/>
  <c r="H62" i="41"/>
  <c r="H55" i="41"/>
  <c r="H93" i="41"/>
  <c r="H83" i="41"/>
  <c r="W27" i="100"/>
  <c r="D78" i="41"/>
  <c r="H87" i="41"/>
  <c r="H84" i="41"/>
  <c r="H80" i="41"/>
  <c r="U11" i="100"/>
  <c r="V11" i="100" s="1"/>
  <c r="W7" i="100"/>
  <c r="I16" i="41"/>
  <c r="H16" i="41" s="1"/>
  <c r="D76" i="41"/>
  <c r="T8" i="100"/>
  <c r="G17" i="41" s="1"/>
  <c r="E17" i="41"/>
  <c r="H51" i="41"/>
  <c r="H94" i="41"/>
  <c r="H78" i="41"/>
  <c r="W9" i="100"/>
  <c r="I18" i="41"/>
  <c r="H18" i="41" s="1"/>
  <c r="G24" i="41"/>
  <c r="H61" i="41"/>
  <c r="H59" i="41"/>
  <c r="W12" i="100"/>
  <c r="I21" i="41"/>
  <c r="H21" i="41" s="1"/>
  <c r="D89" i="41"/>
  <c r="H95" i="41"/>
  <c r="H88" i="41"/>
  <c r="U10" i="100"/>
  <c r="V10" i="100" s="1"/>
  <c r="U26" i="100"/>
  <c r="V26" i="100" s="1"/>
  <c r="U18" i="100"/>
  <c r="V18" i="100" s="1"/>
  <c r="U25" i="100"/>
  <c r="V25" i="100" s="1"/>
  <c r="U17" i="100"/>
  <c r="V17" i="100" s="1"/>
  <c r="U24" i="100"/>
  <c r="V24" i="100" s="1"/>
  <c r="U16" i="100"/>
  <c r="V16" i="100" s="1"/>
  <c r="U23" i="100"/>
  <c r="V23" i="100" s="1"/>
  <c r="U15" i="100"/>
  <c r="V15" i="100" s="1"/>
  <c r="D52" i="41"/>
  <c r="D47" i="41"/>
  <c r="U6" i="100"/>
  <c r="V6" i="100" s="1"/>
  <c r="S28" i="100"/>
  <c r="U22" i="100"/>
  <c r="V22" i="100" s="1"/>
  <c r="U21" i="100"/>
  <c r="V21" i="100" s="1"/>
  <c r="U20" i="100"/>
  <c r="U19" i="100"/>
  <c r="V19" i="100" s="1"/>
  <c r="H76" i="41"/>
  <c r="I23" i="41" l="1"/>
  <c r="H23" i="41" s="1"/>
  <c r="T28" i="100"/>
  <c r="I22" i="41"/>
  <c r="H22" i="41" s="1"/>
  <c r="V20" i="100"/>
  <c r="W20" i="100" s="1"/>
  <c r="U8" i="100"/>
  <c r="V8" i="100" s="1"/>
  <c r="N24" i="58"/>
  <c r="D79" i="41"/>
  <c r="H48" i="41"/>
  <c r="D82" i="41"/>
  <c r="H86" i="41"/>
  <c r="W23" i="100"/>
  <c r="I31" i="41"/>
  <c r="H31" i="41" s="1"/>
  <c r="W25" i="100"/>
  <c r="I33" i="41"/>
  <c r="H33" i="41" s="1"/>
  <c r="H96" i="41"/>
  <c r="H66" i="41"/>
  <c r="H77" i="41"/>
  <c r="H90" i="41"/>
  <c r="W21" i="100"/>
  <c r="I29" i="41"/>
  <c r="H29" i="41" s="1"/>
  <c r="W16" i="100"/>
  <c r="I25" i="41"/>
  <c r="H25" i="41" s="1"/>
  <c r="W18" i="100"/>
  <c r="I27" i="41"/>
  <c r="H27" i="41" s="1"/>
  <c r="H53" i="41"/>
  <c r="H65" i="41"/>
  <c r="H47" i="41"/>
  <c r="H63" i="41"/>
  <c r="H56" i="41"/>
  <c r="H85" i="41"/>
  <c r="W22" i="100"/>
  <c r="I30" i="41"/>
  <c r="H30" i="41" s="1"/>
  <c r="W24" i="100"/>
  <c r="I32" i="41"/>
  <c r="H32" i="41" s="1"/>
  <c r="W26" i="100"/>
  <c r="I34" i="41"/>
  <c r="H34" i="41" s="1"/>
  <c r="H91" i="41"/>
  <c r="H60" i="41"/>
  <c r="H81" i="41"/>
  <c r="W19" i="100"/>
  <c r="I28" i="41"/>
  <c r="W15" i="100"/>
  <c r="I24" i="41"/>
  <c r="H24" i="41" s="1"/>
  <c r="W17" i="100"/>
  <c r="I26" i="41"/>
  <c r="H26" i="41" s="1"/>
  <c r="W10" i="100"/>
  <c r="I19" i="41"/>
  <c r="H19" i="41" s="1"/>
  <c r="H50" i="41"/>
  <c r="W11" i="100"/>
  <c r="I20" i="41"/>
  <c r="H20" i="41" s="1"/>
  <c r="H92" i="41"/>
  <c r="T31" i="100"/>
  <c r="V31" i="100" s="1"/>
  <c r="T29" i="100"/>
  <c r="T30" i="100" s="1"/>
  <c r="U28" i="100"/>
  <c r="I15" i="41"/>
  <c r="H15" i="41" s="1"/>
  <c r="V28" i="100" l="1"/>
  <c r="Z21" i="99" s="1"/>
  <c r="W8" i="100"/>
  <c r="I17" i="41"/>
  <c r="H17" i="41" s="1"/>
  <c r="H45" i="41"/>
  <c r="I68" i="41"/>
  <c r="T32" i="100"/>
  <c r="V32" i="100" s="1"/>
  <c r="U30" i="100"/>
  <c r="W6" i="100"/>
  <c r="H82" i="41"/>
  <c r="W28" i="100" l="1"/>
  <c r="Z22" i="99" s="1"/>
  <c r="I70" i="41"/>
  <c r="H70" i="41" s="1"/>
  <c r="H68" i="41"/>
  <c r="H79" i="41"/>
  <c r="Y100" i="41" l="1"/>
  <c r="V35" i="100"/>
  <c r="O17" i="77"/>
  <c r="Y91" i="41"/>
  <c r="A102" i="41"/>
  <c r="A38" i="41"/>
  <c r="O102" i="41"/>
  <c r="M102" i="41"/>
  <c r="L102" i="41"/>
  <c r="D18" i="77" l="1"/>
  <c r="H36" i="41" l="1"/>
  <c r="A32" i="41" l="1"/>
  <c r="A33" i="41" s="1"/>
  <c r="A34" i="41" s="1"/>
  <c r="A35" i="41" s="1"/>
  <c r="A36" i="41" s="1"/>
  <c r="O100" i="41" l="1"/>
  <c r="M100" i="41"/>
  <c r="M104" i="41" s="1"/>
  <c r="L100" i="41"/>
  <c r="L104" i="41" s="1"/>
  <c r="F112" i="41"/>
  <c r="E112" i="41" s="1"/>
  <c r="G113" i="41"/>
  <c r="H113" i="41"/>
  <c r="O104" i="41" l="1"/>
  <c r="H98" i="41"/>
  <c r="F113" i="41"/>
  <c r="I37" i="41" l="1"/>
  <c r="Y69" i="41" l="1"/>
  <c r="I101" i="41"/>
  <c r="I104" i="41" s="1"/>
  <c r="I39" i="41"/>
  <c r="M24" i="77" l="1"/>
  <c r="M15" i="77"/>
  <c r="M18" i="77" s="1"/>
  <c r="BY35" i="13"/>
  <c r="O24" i="77" l="1"/>
  <c r="N24" i="77"/>
  <c r="M19" i="77"/>
  <c r="M17" i="77"/>
  <c r="O15" i="77"/>
  <c r="O18" i="77" s="1"/>
  <c r="P225" i="93"/>
  <c r="CD117" i="25"/>
  <c r="BN117" i="25" s="1"/>
  <c r="P24" i="77" l="1"/>
  <c r="M225" i="93"/>
  <c r="O19" i="77"/>
  <c r="BN98" i="19" l="1"/>
  <c r="BN97" i="19"/>
  <c r="BC97" i="19" s="1"/>
  <c r="T29" i="93" l="1"/>
  <c r="S194" i="93"/>
  <c r="S195" i="93" l="1"/>
  <c r="BZ46" i="13" l="1"/>
  <c r="BZ32" i="13"/>
  <c r="CI36" i="13"/>
  <c r="CI88" i="13"/>
  <c r="CI74" i="13"/>
  <c r="T42" i="93" l="1"/>
  <c r="S42" i="93"/>
  <c r="P42" i="93"/>
  <c r="S29" i="93"/>
  <c r="R29" i="93"/>
  <c r="P29" i="93"/>
  <c r="O29" i="93"/>
  <c r="N29" i="93"/>
  <c r="N48" i="93"/>
  <c r="N35" i="93"/>
  <c r="M35" i="93" s="1"/>
  <c r="P214" i="93"/>
  <c r="N205" i="93"/>
  <c r="M205" i="93" s="1"/>
  <c r="S230" i="93"/>
  <c r="R230" i="93"/>
  <c r="O230" i="93"/>
  <c r="T227" i="93"/>
  <c r="P227" i="93"/>
  <c r="T222" i="93"/>
  <c r="M48" i="93" l="1"/>
  <c r="M230" i="93"/>
  <c r="M214" i="93"/>
  <c r="T228" i="93"/>
  <c r="M42" i="93"/>
  <c r="M227" i="93"/>
  <c r="S231" i="93"/>
  <c r="N228" i="93"/>
  <c r="M222" i="93"/>
  <c r="P228" i="93"/>
  <c r="M228" i="93" l="1"/>
  <c r="N184" i="93"/>
  <c r="T194" i="93"/>
  <c r="T195" i="93" l="1"/>
  <c r="M194" i="93"/>
  <c r="N195" i="93"/>
  <c r="M184" i="93"/>
  <c r="T173" i="93"/>
  <c r="BN36" i="19"/>
  <c r="P120" i="93"/>
  <c r="T77" i="93"/>
  <c r="T94" i="93"/>
  <c r="M195" i="93" l="1"/>
  <c r="N231" i="93"/>
  <c r="T95" i="93"/>
  <c r="M94" i="93"/>
  <c r="M150" i="93"/>
  <c r="P174" i="93"/>
  <c r="M120" i="93"/>
  <c r="T78" i="93"/>
  <c r="M77" i="93"/>
  <c r="T174" i="93"/>
  <c r="M173" i="93"/>
  <c r="P143" i="93"/>
  <c r="P231" i="93" l="1"/>
  <c r="T231" i="93"/>
  <c r="M174" i="93"/>
  <c r="M143" i="93"/>
  <c r="M78" i="93"/>
  <c r="M95" i="93"/>
  <c r="BY47" i="13"/>
  <c r="M231" i="93" l="1"/>
  <c r="BY46" i="13"/>
  <c r="CD127" i="19" l="1"/>
  <c r="BN126" i="19"/>
  <c r="BN123" i="19"/>
  <c r="BN96" i="19"/>
  <c r="BN95" i="19"/>
  <c r="CB47" i="13"/>
  <c r="CB46" i="13" s="1"/>
  <c r="CI76" i="13"/>
  <c r="G15" i="42"/>
  <c r="CI86" i="13"/>
  <c r="CH86" i="13" s="1"/>
  <c r="CI87" i="13"/>
  <c r="BY147" i="13" l="1"/>
  <c r="BX47" i="13"/>
  <c r="I222" i="93" l="1"/>
  <c r="I214" i="93"/>
  <c r="I209" i="93"/>
  <c r="I207" i="93"/>
  <c r="I205" i="93"/>
  <c r="I202" i="93"/>
  <c r="I200" i="93"/>
  <c r="I194" i="93"/>
  <c r="I184" i="93"/>
  <c r="I40" i="93"/>
  <c r="I42" i="93" s="1"/>
  <c r="I29" i="93"/>
  <c r="I235" i="93" s="1"/>
  <c r="K117" i="93"/>
  <c r="AA117" i="93" s="1"/>
  <c r="K118" i="107" s="1"/>
  <c r="AA118" i="107" s="1"/>
  <c r="K119" i="108" s="1"/>
  <c r="AA119" i="108" s="1"/>
  <c r="K119" i="112" s="1"/>
  <c r="AA119" i="112" s="1"/>
  <c r="K119" i="113" s="1"/>
  <c r="AA119" i="113" s="1"/>
  <c r="K129" i="117" s="1"/>
  <c r="AA129" i="117" s="1"/>
  <c r="K127" i="121" s="1"/>
  <c r="AA127" i="121" s="1"/>
  <c r="K127" i="122" s="1"/>
  <c r="AA127" i="122" s="1"/>
  <c r="K118" i="93"/>
  <c r="AA118" i="93" s="1"/>
  <c r="K119" i="107" s="1"/>
  <c r="AA119" i="107" s="1"/>
  <c r="K120" i="108" s="1"/>
  <c r="AA120" i="108" s="1"/>
  <c r="K120" i="112" s="1"/>
  <c r="AA120" i="112" s="1"/>
  <c r="K120" i="113" s="1"/>
  <c r="AA120" i="113" s="1"/>
  <c r="K130" i="117" s="1"/>
  <c r="K119" i="93"/>
  <c r="AA119" i="93" s="1"/>
  <c r="K120" i="107" s="1"/>
  <c r="AA120" i="107" s="1"/>
  <c r="K121" i="108" s="1"/>
  <c r="AA121" i="108" s="1"/>
  <c r="K121" i="112" s="1"/>
  <c r="AA121" i="112" s="1"/>
  <c r="K121" i="113" s="1"/>
  <c r="AA121" i="113" s="1"/>
  <c r="K131" i="117" s="1"/>
  <c r="AA131" i="117" s="1"/>
  <c r="K129" i="121" s="1"/>
  <c r="AA129" i="121" s="1"/>
  <c r="K129" i="122" s="1"/>
  <c r="AA129" i="122" s="1"/>
  <c r="H245" i="93"/>
  <c r="AB240" i="93"/>
  <c r="H240" i="93"/>
  <c r="AB239" i="93"/>
  <c r="AB238" i="93"/>
  <c r="AB237" i="93"/>
  <c r="AB236" i="93"/>
  <c r="G234" i="93"/>
  <c r="Y233" i="93"/>
  <c r="Y234" i="93" s="1"/>
  <c r="T233" i="93"/>
  <c r="S234" i="93"/>
  <c r="R233" i="93"/>
  <c r="P233" i="93"/>
  <c r="O233" i="93"/>
  <c r="O234" i="93" s="1"/>
  <c r="N233" i="93"/>
  <c r="G233" i="93"/>
  <c r="M232" i="93"/>
  <c r="G232" i="93"/>
  <c r="W232" i="93" s="1"/>
  <c r="Y224" i="93"/>
  <c r="Y222" i="93"/>
  <c r="E219" i="93"/>
  <c r="U219" i="93" s="1"/>
  <c r="E226" i="107" s="1"/>
  <c r="U226" i="107" s="1"/>
  <c r="E218" i="93"/>
  <c r="U218" i="93" s="1"/>
  <c r="E225" i="107" s="1"/>
  <c r="U225" i="107" s="1"/>
  <c r="E217" i="93"/>
  <c r="U217" i="93" s="1"/>
  <c r="E224" i="107" s="1"/>
  <c r="U224" i="107" s="1"/>
  <c r="Y214" i="93"/>
  <c r="Y209" i="93"/>
  <c r="Y207" i="93"/>
  <c r="Y205" i="93"/>
  <c r="Y202" i="93"/>
  <c r="Y200" i="93"/>
  <c r="Y194" i="93"/>
  <c r="Y184" i="93"/>
  <c r="Y40" i="93"/>
  <c r="Y42" i="93" s="1"/>
  <c r="Y29" i="93"/>
  <c r="B29" i="93"/>
  <c r="M28" i="93"/>
  <c r="M27" i="93"/>
  <c r="M26" i="93"/>
  <c r="M25" i="93"/>
  <c r="M24" i="93"/>
  <c r="M23" i="93"/>
  <c r="M22" i="93"/>
  <c r="M21" i="93"/>
  <c r="M20" i="93"/>
  <c r="M19" i="93"/>
  <c r="M18" i="93"/>
  <c r="M17" i="93"/>
  <c r="M16" i="93"/>
  <c r="M15" i="93"/>
  <c r="M14" i="93"/>
  <c r="M13" i="93"/>
  <c r="M12" i="93"/>
  <c r="M11" i="93"/>
  <c r="AA130" i="117" l="1"/>
  <c r="K128" i="121" s="1"/>
  <c r="AA128" i="121" s="1"/>
  <c r="K128" i="122" s="1"/>
  <c r="AA128" i="122" s="1"/>
  <c r="M29" i="93"/>
  <c r="I195" i="93"/>
  <c r="M233" i="93"/>
  <c r="W234" i="93"/>
  <c r="Y195" i="93"/>
  <c r="Y231" i="93" s="1"/>
  <c r="Y235" i="93" s="1"/>
  <c r="Q235" i="93"/>
  <c r="W233" i="93"/>
  <c r="R234" i="93"/>
  <c r="N234" i="93"/>
  <c r="N235" i="93" s="1"/>
  <c r="I142" i="63"/>
  <c r="I141" i="63"/>
  <c r="I140" i="63"/>
  <c r="I139" i="63"/>
  <c r="I138" i="63"/>
  <c r="I137" i="63"/>
  <c r="I135" i="63"/>
  <c r="I134" i="63"/>
  <c r="I133" i="63"/>
  <c r="I132" i="63"/>
  <c r="I131" i="63"/>
  <c r="I129" i="63"/>
  <c r="I130" i="63"/>
  <c r="CH127" i="19"/>
  <c r="CB147" i="13" s="1"/>
  <c r="BN120" i="19"/>
  <c r="M234" i="93" l="1"/>
  <c r="BN63" i="11"/>
  <c r="BC63" i="11" s="1"/>
  <c r="BN62" i="11"/>
  <c r="BC62" i="11" s="1"/>
  <c r="M235" i="93" l="1"/>
  <c r="R235" i="93"/>
  <c r="O235" i="93"/>
  <c r="P235" i="93"/>
  <c r="S235" i="93"/>
  <c r="T235" i="93"/>
  <c r="F142" i="63" l="1"/>
  <c r="F141" i="63"/>
  <c r="F140" i="63"/>
  <c r="F139" i="63"/>
  <c r="F138" i="63"/>
  <c r="F137" i="63"/>
  <c r="F136" i="63"/>
  <c r="F135" i="63"/>
  <c r="F134" i="63"/>
  <c r="F133" i="63"/>
  <c r="F132" i="63"/>
  <c r="F131" i="63"/>
  <c r="F130" i="63"/>
  <c r="F129" i="63"/>
  <c r="I136" i="63" l="1"/>
  <c r="CH27" i="18"/>
  <c r="CC137" i="19" l="1"/>
  <c r="BN119" i="19"/>
  <c r="BN124" i="19" l="1"/>
  <c r="BC124" i="19" l="1"/>
  <c r="N37" i="90"/>
  <c r="M37" i="90" s="1"/>
  <c r="AB37" i="90"/>
  <c r="L37" i="93" s="1"/>
  <c r="AB37" i="93" s="1"/>
  <c r="L38" i="107" s="1"/>
  <c r="AB38" i="107" s="1"/>
  <c r="L38" i="108" s="1"/>
  <c r="AB36" i="90"/>
  <c r="L36" i="93" s="1"/>
  <c r="AB36" i="93" s="1"/>
  <c r="L37" i="107" s="1"/>
  <c r="AB37" i="107" s="1"/>
  <c r="L37" i="108" s="1"/>
  <c r="Z36" i="90"/>
  <c r="J36" i="93" s="1"/>
  <c r="Z36" i="93" s="1"/>
  <c r="J37" i="107" s="1"/>
  <c r="Z37" i="107" s="1"/>
  <c r="J37" i="108" s="1"/>
  <c r="Z37" i="108" s="1"/>
  <c r="J37" i="112" s="1"/>
  <c r="Z37" i="112" s="1"/>
  <c r="J37" i="113" s="1"/>
  <c r="Z37" i="113" s="1"/>
  <c r="J43" i="117" s="1"/>
  <c r="Z43" i="117" s="1"/>
  <c r="J44" i="121" s="1"/>
  <c r="Z44" i="121" s="1"/>
  <c r="J44" i="122" s="1"/>
  <c r="Z44" i="122" s="1"/>
  <c r="Z37" i="90"/>
  <c r="J37" i="93" s="1"/>
  <c r="Z37" i="93" s="1"/>
  <c r="J38" i="107" s="1"/>
  <c r="Z38" i="107" s="1"/>
  <c r="J38" i="108" s="1"/>
  <c r="Z38" i="108" s="1"/>
  <c r="J38" i="112" s="1"/>
  <c r="Z38" i="112" s="1"/>
  <c r="J38" i="113" s="1"/>
  <c r="Z38" i="113" s="1"/>
  <c r="J44" i="117" s="1"/>
  <c r="Z44" i="117" s="1"/>
  <c r="J45" i="121" s="1"/>
  <c r="Z45" i="121" s="1"/>
  <c r="J45" i="122" s="1"/>
  <c r="Z45" i="122" s="1"/>
  <c r="AA36" i="90"/>
  <c r="K36" i="93" s="1"/>
  <c r="AA36" i="93" s="1"/>
  <c r="K37" i="107" s="1"/>
  <c r="AA37" i="107" s="1"/>
  <c r="K37" i="108" s="1"/>
  <c r="AA37" i="108" s="1"/>
  <c r="K37" i="112" s="1"/>
  <c r="AA37" i="112" s="1"/>
  <c r="K37" i="113" s="1"/>
  <c r="AA37" i="113" s="1"/>
  <c r="K43" i="117" s="1"/>
  <c r="AA43" i="117" s="1"/>
  <c r="K44" i="121" s="1"/>
  <c r="AA44" i="121" s="1"/>
  <c r="K44" i="122" s="1"/>
  <c r="AA44" i="122" s="1"/>
  <c r="AA37" i="90"/>
  <c r="K37" i="93" s="1"/>
  <c r="AA37" i="93" s="1"/>
  <c r="K38" i="107" s="1"/>
  <c r="AA38" i="107" s="1"/>
  <c r="K38" i="108" s="1"/>
  <c r="AA38" i="108" s="1"/>
  <c r="K38" i="112" s="1"/>
  <c r="AA38" i="112" s="1"/>
  <c r="K38" i="113" s="1"/>
  <c r="AA38" i="113" s="1"/>
  <c r="K44" i="117" s="1"/>
  <c r="AA44" i="117" s="1"/>
  <c r="K45" i="121" s="1"/>
  <c r="AA45" i="121" s="1"/>
  <c r="K45" i="122" s="1"/>
  <c r="AA45" i="122" s="1"/>
  <c r="X37" i="90"/>
  <c r="H37" i="93" s="1"/>
  <c r="X37" i="93" s="1"/>
  <c r="H38" i="107" s="1"/>
  <c r="X38" i="107" s="1"/>
  <c r="H38" i="108" s="1"/>
  <c r="X38" i="108" s="1"/>
  <c r="H38" i="112" s="1"/>
  <c r="X38" i="112" s="1"/>
  <c r="H38" i="113" s="1"/>
  <c r="X38" i="113" s="1"/>
  <c r="H44" i="117" s="1"/>
  <c r="X44" i="117" s="1"/>
  <c r="H45" i="121" s="1"/>
  <c r="X45" i="121" s="1"/>
  <c r="H45" i="122" s="1"/>
  <c r="X45" i="122" s="1"/>
  <c r="X36" i="90"/>
  <c r="H36" i="93" s="1"/>
  <c r="X36" i="93" s="1"/>
  <c r="H37" i="107" s="1"/>
  <c r="X37" i="107" s="1"/>
  <c r="H37" i="108" s="1"/>
  <c r="X37" i="108" s="1"/>
  <c r="H37" i="112" s="1"/>
  <c r="X37" i="112" s="1"/>
  <c r="H37" i="113" s="1"/>
  <c r="X37" i="113" s="1"/>
  <c r="H43" i="117" s="1"/>
  <c r="X43" i="117" s="1"/>
  <c r="H44" i="121" s="1"/>
  <c r="X44" i="121" s="1"/>
  <c r="H44" i="122" s="1"/>
  <c r="X44" i="122" s="1"/>
  <c r="W36" i="90"/>
  <c r="G36" i="93" s="1"/>
  <c r="W36" i="93" s="1"/>
  <c r="G37" i="107" s="1"/>
  <c r="W37" i="107" s="1"/>
  <c r="G37" i="108" s="1"/>
  <c r="W37" i="108" s="1"/>
  <c r="G37" i="112" s="1"/>
  <c r="W37" i="112" s="1"/>
  <c r="G37" i="113" s="1"/>
  <c r="W37" i="113" s="1"/>
  <c r="G43" i="117" s="1"/>
  <c r="W43" i="117" s="1"/>
  <c r="G44" i="121" s="1"/>
  <c r="W44" i="121" s="1"/>
  <c r="G44" i="122" s="1"/>
  <c r="W44" i="122" s="1"/>
  <c r="W37" i="90"/>
  <c r="G37" i="93" s="1"/>
  <c r="W37" i="93" s="1"/>
  <c r="G38" i="107" s="1"/>
  <c r="W38" i="107" s="1"/>
  <c r="G38" i="108" s="1"/>
  <c r="W38" i="108" s="1"/>
  <c r="G38" i="112" s="1"/>
  <c r="W38" i="112" s="1"/>
  <c r="G38" i="113" s="1"/>
  <c r="W38" i="113" s="1"/>
  <c r="G44" i="117" s="1"/>
  <c r="W44" i="117" s="1"/>
  <c r="G45" i="121" s="1"/>
  <c r="W45" i="121" s="1"/>
  <c r="G45" i="122" s="1"/>
  <c r="W45" i="122" s="1"/>
  <c r="V36" i="90"/>
  <c r="F36" i="93" s="1"/>
  <c r="V36" i="93" s="1"/>
  <c r="F37" i="107" s="1"/>
  <c r="V37" i="107" s="1"/>
  <c r="F37" i="108" s="1"/>
  <c r="V37" i="108" s="1"/>
  <c r="F37" i="112" s="1"/>
  <c r="V37" i="112" s="1"/>
  <c r="F37" i="113" s="1"/>
  <c r="V37" i="113" s="1"/>
  <c r="F43" i="117" s="1"/>
  <c r="V43" i="117" s="1"/>
  <c r="F44" i="121" s="1"/>
  <c r="V44" i="121" s="1"/>
  <c r="F44" i="122" s="1"/>
  <c r="V44" i="122" s="1"/>
  <c r="M36" i="90"/>
  <c r="E37" i="108" l="1"/>
  <c r="U37" i="108" s="1"/>
  <c r="AB37" i="108"/>
  <c r="L37" i="112" s="1"/>
  <c r="AB38" i="108"/>
  <c r="L38" i="112" s="1"/>
  <c r="E36" i="93"/>
  <c r="V37" i="90"/>
  <c r="F37" i="93" s="1"/>
  <c r="V37" i="93" s="1"/>
  <c r="F38" i="107" s="1"/>
  <c r="V38" i="107" s="1"/>
  <c r="F38" i="108" s="1"/>
  <c r="V38" i="108" s="1"/>
  <c r="F38" i="112" s="1"/>
  <c r="V38" i="112" s="1"/>
  <c r="F38" i="113" s="1"/>
  <c r="V38" i="113" s="1"/>
  <c r="F44" i="117" s="1"/>
  <c r="V44" i="117" s="1"/>
  <c r="F45" i="121" s="1"/>
  <c r="V45" i="121" s="1"/>
  <c r="F45" i="122" s="1"/>
  <c r="V45" i="122" s="1"/>
  <c r="U36" i="90"/>
  <c r="U37" i="90" s="1"/>
  <c r="H9" i="92"/>
  <c r="G9" i="92"/>
  <c r="F8" i="92"/>
  <c r="E8" i="92" s="1"/>
  <c r="E38" i="108" l="1"/>
  <c r="U38" i="108" s="1"/>
  <c r="E38" i="112"/>
  <c r="U38" i="112" s="1"/>
  <c r="AB38" i="112"/>
  <c r="L38" i="113" s="1"/>
  <c r="E37" i="112"/>
  <c r="U37" i="112" s="1"/>
  <c r="AB37" i="112"/>
  <c r="L37" i="113" s="1"/>
  <c r="F9" i="92"/>
  <c r="E37" i="93"/>
  <c r="U37" i="93" s="1"/>
  <c r="E38" i="107" s="1"/>
  <c r="U38" i="107" s="1"/>
  <c r="U36" i="93"/>
  <c r="E37" i="107" s="1"/>
  <c r="U37" i="107" s="1"/>
  <c r="BZ97" i="13"/>
  <c r="BX99" i="13"/>
  <c r="AB38" i="113" l="1"/>
  <c r="L44" i="117" s="1"/>
  <c r="E38" i="113"/>
  <c r="U38" i="113" s="1"/>
  <c r="E37" i="113"/>
  <c r="U37" i="113" s="1"/>
  <c r="AB37" i="113"/>
  <c r="L43" i="117" s="1"/>
  <c r="N48" i="90"/>
  <c r="DF99" i="8"/>
  <c r="E43" i="117" l="1"/>
  <c r="U43" i="117" s="1"/>
  <c r="AB43" i="117"/>
  <c r="L44" i="121" s="1"/>
  <c r="AB44" i="117"/>
  <c r="L45" i="121" s="1"/>
  <c r="E44" i="117"/>
  <c r="U44" i="117" s="1"/>
  <c r="S187" i="90"/>
  <c r="S164" i="90"/>
  <c r="S141" i="90"/>
  <c r="S29" i="90"/>
  <c r="V184" i="90"/>
  <c r="F188" i="93" s="1"/>
  <c r="V188" i="93" s="1"/>
  <c r="F195" i="107" s="1"/>
  <c r="V195" i="107" s="1"/>
  <c r="F198" i="108" s="1"/>
  <c r="V198" i="108" s="1"/>
  <c r="F200" i="112" s="1"/>
  <c r="V200" i="112" s="1"/>
  <c r="F204" i="113" s="1"/>
  <c r="V204" i="113" s="1"/>
  <c r="F218" i="117" s="1"/>
  <c r="V218" i="117" s="1"/>
  <c r="F217" i="121" s="1"/>
  <c r="V217" i="121" s="1"/>
  <c r="F217" i="122" s="1"/>
  <c r="V217" i="122" s="1"/>
  <c r="V185" i="90"/>
  <c r="F189" i="93" s="1"/>
  <c r="V189" i="93" s="1"/>
  <c r="F196" i="107" s="1"/>
  <c r="V196" i="107" s="1"/>
  <c r="F199" i="108" s="1"/>
  <c r="V199" i="108" s="1"/>
  <c r="F201" i="112" s="1"/>
  <c r="V201" i="112" s="1"/>
  <c r="F205" i="113" s="1"/>
  <c r="V205" i="113" s="1"/>
  <c r="F219" i="117" s="1"/>
  <c r="V219" i="117" s="1"/>
  <c r="F218" i="121" s="1"/>
  <c r="V218" i="121" s="1"/>
  <c r="F218" i="122" s="1"/>
  <c r="V218" i="122" s="1"/>
  <c r="V186" i="90"/>
  <c r="F190" i="93" s="1"/>
  <c r="V190" i="93" s="1"/>
  <c r="F197" i="107" s="1"/>
  <c r="V197" i="107" s="1"/>
  <c r="F200" i="108" s="1"/>
  <c r="V200" i="108" s="1"/>
  <c r="F202" i="112" s="1"/>
  <c r="V202" i="112" s="1"/>
  <c r="F206" i="113" s="1"/>
  <c r="V206" i="113" s="1"/>
  <c r="F220" i="117" s="1"/>
  <c r="V220" i="117" s="1"/>
  <c r="F219" i="121" s="1"/>
  <c r="V219" i="121" s="1"/>
  <c r="F219" i="122" s="1"/>
  <c r="V219" i="122" s="1"/>
  <c r="V190" i="90"/>
  <c r="F197" i="93" s="1"/>
  <c r="V197" i="93" s="1"/>
  <c r="F204" i="107" s="1"/>
  <c r="V204" i="107" s="1"/>
  <c r="F207" i="108" s="1"/>
  <c r="V207" i="108" s="1"/>
  <c r="F209" i="112" s="1"/>
  <c r="V209" i="112" s="1"/>
  <c r="F213" i="113" s="1"/>
  <c r="V213" i="113" s="1"/>
  <c r="F228" i="117" s="1"/>
  <c r="V228" i="117" s="1"/>
  <c r="F232" i="121" s="1"/>
  <c r="V232" i="121" s="1"/>
  <c r="F232" i="122" s="1"/>
  <c r="V232" i="122" s="1"/>
  <c r="W184" i="90"/>
  <c r="G188" i="93" s="1"/>
  <c r="W188" i="93" s="1"/>
  <c r="G195" i="107" s="1"/>
  <c r="W195" i="107" s="1"/>
  <c r="G198" i="108" s="1"/>
  <c r="W198" i="108" s="1"/>
  <c r="G200" i="112" s="1"/>
  <c r="W200" i="112" s="1"/>
  <c r="G204" i="113" s="1"/>
  <c r="W204" i="113" s="1"/>
  <c r="G218" i="117" s="1"/>
  <c r="W218" i="117" s="1"/>
  <c r="G217" i="121" s="1"/>
  <c r="W217" i="121" s="1"/>
  <c r="G217" i="122" s="1"/>
  <c r="W217" i="122" s="1"/>
  <c r="X184" i="90"/>
  <c r="H188" i="93" s="1"/>
  <c r="X188" i="93" s="1"/>
  <c r="H195" i="107" s="1"/>
  <c r="X195" i="107" s="1"/>
  <c r="H198" i="108" s="1"/>
  <c r="X198" i="108" s="1"/>
  <c r="H200" i="112" s="1"/>
  <c r="X200" i="112" s="1"/>
  <c r="H204" i="113" s="1"/>
  <c r="X204" i="113" s="1"/>
  <c r="H218" i="117" s="1"/>
  <c r="X218" i="117" s="1"/>
  <c r="H217" i="121" s="1"/>
  <c r="X217" i="121" s="1"/>
  <c r="H217" i="122" s="1"/>
  <c r="X217" i="122" s="1"/>
  <c r="W185" i="90"/>
  <c r="G189" i="93" s="1"/>
  <c r="W189" i="93" s="1"/>
  <c r="G196" i="107" s="1"/>
  <c r="W196" i="107" s="1"/>
  <c r="G199" i="108" s="1"/>
  <c r="W199" i="108" s="1"/>
  <c r="G201" i="112" s="1"/>
  <c r="W201" i="112" s="1"/>
  <c r="G205" i="113" s="1"/>
  <c r="W205" i="113" s="1"/>
  <c r="G219" i="117" s="1"/>
  <c r="W219" i="117" s="1"/>
  <c r="G218" i="121" s="1"/>
  <c r="W218" i="121" s="1"/>
  <c r="G218" i="122" s="1"/>
  <c r="W218" i="122" s="1"/>
  <c r="X185" i="90"/>
  <c r="H189" i="93" s="1"/>
  <c r="X189" i="93" s="1"/>
  <c r="H196" i="107" s="1"/>
  <c r="X196" i="107" s="1"/>
  <c r="H199" i="108" s="1"/>
  <c r="X199" i="108" s="1"/>
  <c r="H201" i="112" s="1"/>
  <c r="X201" i="112" s="1"/>
  <c r="H205" i="113" s="1"/>
  <c r="X205" i="113" s="1"/>
  <c r="H219" i="117" s="1"/>
  <c r="X219" i="117" s="1"/>
  <c r="H218" i="121" s="1"/>
  <c r="X218" i="121" s="1"/>
  <c r="H218" i="122" s="1"/>
  <c r="X218" i="122" s="1"/>
  <c r="W186" i="90"/>
  <c r="G190" i="93" s="1"/>
  <c r="W190" i="93" s="1"/>
  <c r="G197" i="107" s="1"/>
  <c r="W197" i="107" s="1"/>
  <c r="G200" i="108" s="1"/>
  <c r="W200" i="108" s="1"/>
  <c r="G202" i="112" s="1"/>
  <c r="W202" i="112" s="1"/>
  <c r="G206" i="113" s="1"/>
  <c r="W206" i="113" s="1"/>
  <c r="G220" i="117" s="1"/>
  <c r="W220" i="117" s="1"/>
  <c r="G219" i="121" s="1"/>
  <c r="W219" i="121" s="1"/>
  <c r="G219" i="122" s="1"/>
  <c r="W219" i="122" s="1"/>
  <c r="X186" i="90"/>
  <c r="H190" i="93" s="1"/>
  <c r="X190" i="93" s="1"/>
  <c r="H197" i="107" s="1"/>
  <c r="X197" i="107" s="1"/>
  <c r="H200" i="108" s="1"/>
  <c r="X200" i="108" s="1"/>
  <c r="H202" i="112" s="1"/>
  <c r="X202" i="112" s="1"/>
  <c r="H206" i="113" s="1"/>
  <c r="X206" i="113" s="1"/>
  <c r="H220" i="117" s="1"/>
  <c r="X220" i="117" s="1"/>
  <c r="H219" i="121" s="1"/>
  <c r="X219" i="121" s="1"/>
  <c r="H219" i="122" s="1"/>
  <c r="X219" i="122" s="1"/>
  <c r="Z185" i="90"/>
  <c r="J189" i="93" s="1"/>
  <c r="Z189" i="93" s="1"/>
  <c r="J196" i="107" s="1"/>
  <c r="Z196" i="107" s="1"/>
  <c r="J199" i="108" s="1"/>
  <c r="Z199" i="108" s="1"/>
  <c r="J201" i="112" s="1"/>
  <c r="Z201" i="112" s="1"/>
  <c r="J205" i="113" s="1"/>
  <c r="Z205" i="113" s="1"/>
  <c r="J219" i="117" s="1"/>
  <c r="Z219" i="117" s="1"/>
  <c r="J218" i="121" s="1"/>
  <c r="Z218" i="121" s="1"/>
  <c r="J218" i="122" s="1"/>
  <c r="Z218" i="122" s="1"/>
  <c r="AB184" i="90"/>
  <c r="L188" i="93" s="1"/>
  <c r="AB188" i="93" s="1"/>
  <c r="L195" i="107" s="1"/>
  <c r="AB195" i="107" s="1"/>
  <c r="L198" i="108" s="1"/>
  <c r="AB186" i="90"/>
  <c r="L190" i="93" s="1"/>
  <c r="AB190" i="93" s="1"/>
  <c r="L197" i="107" s="1"/>
  <c r="AB197" i="107" s="1"/>
  <c r="L200" i="108" s="1"/>
  <c r="AA186" i="90"/>
  <c r="K190" i="93" s="1"/>
  <c r="AA190" i="93" s="1"/>
  <c r="K197" i="107" s="1"/>
  <c r="AA197" i="107" s="1"/>
  <c r="K200" i="108" s="1"/>
  <c r="AA200" i="108" s="1"/>
  <c r="K202" i="112" s="1"/>
  <c r="AA202" i="112" s="1"/>
  <c r="K206" i="113" s="1"/>
  <c r="AA206" i="113" s="1"/>
  <c r="K220" i="117" s="1"/>
  <c r="AA220" i="117" s="1"/>
  <c r="K219" i="121" s="1"/>
  <c r="AA219" i="121" s="1"/>
  <c r="K219" i="122" s="1"/>
  <c r="AA219" i="122" s="1"/>
  <c r="AB185" i="90"/>
  <c r="L189" i="93" s="1"/>
  <c r="AB189" i="93" s="1"/>
  <c r="L196" i="107" s="1"/>
  <c r="AB196" i="107" s="1"/>
  <c r="L199" i="108" s="1"/>
  <c r="AA185" i="90"/>
  <c r="K189" i="93" s="1"/>
  <c r="AA189" i="93" s="1"/>
  <c r="K196" i="107" s="1"/>
  <c r="AA196" i="107" s="1"/>
  <c r="K199" i="108" s="1"/>
  <c r="AA199" i="108" s="1"/>
  <c r="K201" i="112" s="1"/>
  <c r="AA201" i="112" s="1"/>
  <c r="K205" i="113" s="1"/>
  <c r="AA205" i="113" s="1"/>
  <c r="K219" i="117" s="1"/>
  <c r="AA219" i="117" s="1"/>
  <c r="K218" i="121" s="1"/>
  <c r="AA218" i="121" s="1"/>
  <c r="K218" i="122" s="1"/>
  <c r="AA218" i="122" s="1"/>
  <c r="AA184" i="90"/>
  <c r="K188" i="93" s="1"/>
  <c r="AA188" i="93" s="1"/>
  <c r="K195" i="107" s="1"/>
  <c r="AA195" i="107" s="1"/>
  <c r="K198" i="108" s="1"/>
  <c r="AA198" i="108" s="1"/>
  <c r="K200" i="112" s="1"/>
  <c r="AA200" i="112" s="1"/>
  <c r="K204" i="113" s="1"/>
  <c r="AA204" i="113" s="1"/>
  <c r="K218" i="117" s="1"/>
  <c r="AA218" i="117" s="1"/>
  <c r="K217" i="121" s="1"/>
  <c r="AA217" i="121" s="1"/>
  <c r="K217" i="122" s="1"/>
  <c r="AA217" i="122" s="1"/>
  <c r="M185" i="90"/>
  <c r="X117" i="90"/>
  <c r="H117" i="93" s="1"/>
  <c r="X117" i="93" s="1"/>
  <c r="H118" i="107" s="1"/>
  <c r="X118" i="107" s="1"/>
  <c r="H119" i="108" s="1"/>
  <c r="X119" i="108" s="1"/>
  <c r="H119" i="112" s="1"/>
  <c r="X119" i="112" s="1"/>
  <c r="H119" i="113" s="1"/>
  <c r="X119" i="113" s="1"/>
  <c r="H129" i="117" s="1"/>
  <c r="X129" i="117" s="1"/>
  <c r="H127" i="121" s="1"/>
  <c r="X127" i="121" s="1"/>
  <c r="H127" i="122" s="1"/>
  <c r="X127" i="122" s="1"/>
  <c r="X118" i="90"/>
  <c r="H118" i="93" s="1"/>
  <c r="X118" i="93" s="1"/>
  <c r="H119" i="107" s="1"/>
  <c r="X119" i="107" s="1"/>
  <c r="H120" i="108" s="1"/>
  <c r="X120" i="108" s="1"/>
  <c r="H120" i="112" s="1"/>
  <c r="X120" i="112" s="1"/>
  <c r="H120" i="113" s="1"/>
  <c r="X120" i="113" s="1"/>
  <c r="H130" i="117" s="1"/>
  <c r="X130" i="117" s="1"/>
  <c r="H128" i="121" s="1"/>
  <c r="X128" i="121" s="1"/>
  <c r="H128" i="122" s="1"/>
  <c r="X128" i="122" s="1"/>
  <c r="X119" i="90"/>
  <c r="H119" i="93" s="1"/>
  <c r="X119" i="93" s="1"/>
  <c r="H120" i="107" s="1"/>
  <c r="X120" i="107" s="1"/>
  <c r="H121" i="108" s="1"/>
  <c r="X121" i="108" s="1"/>
  <c r="H121" i="112" s="1"/>
  <c r="X121" i="112" s="1"/>
  <c r="H121" i="113" s="1"/>
  <c r="X121" i="113" s="1"/>
  <c r="H131" i="117" s="1"/>
  <c r="X131" i="117" s="1"/>
  <c r="H129" i="121" s="1"/>
  <c r="X129" i="121" s="1"/>
  <c r="H129" i="122" s="1"/>
  <c r="X129" i="122" s="1"/>
  <c r="Z117" i="90"/>
  <c r="J117" i="93" s="1"/>
  <c r="Z117" i="93" s="1"/>
  <c r="J118" i="107" s="1"/>
  <c r="Z118" i="107" s="1"/>
  <c r="J119" i="108" s="1"/>
  <c r="Z119" i="108" s="1"/>
  <c r="J119" i="112" s="1"/>
  <c r="Z119" i="112" s="1"/>
  <c r="J119" i="113" s="1"/>
  <c r="Z119" i="113" s="1"/>
  <c r="J129" i="117" s="1"/>
  <c r="Z129" i="117" s="1"/>
  <c r="J127" i="121" s="1"/>
  <c r="Z127" i="121" s="1"/>
  <c r="J127" i="122" s="1"/>
  <c r="Z127" i="122" s="1"/>
  <c r="Z118" i="90"/>
  <c r="J118" i="93" s="1"/>
  <c r="Z118" i="93" s="1"/>
  <c r="J119" i="107" s="1"/>
  <c r="Z119" i="107" s="1"/>
  <c r="J120" i="108" s="1"/>
  <c r="Z120" i="108" s="1"/>
  <c r="J120" i="112" s="1"/>
  <c r="Z120" i="112" s="1"/>
  <c r="J120" i="113" s="1"/>
  <c r="Z119" i="90"/>
  <c r="J119" i="93" s="1"/>
  <c r="Z119" i="93" s="1"/>
  <c r="J120" i="107" s="1"/>
  <c r="Z120" i="107" s="1"/>
  <c r="J121" i="108" s="1"/>
  <c r="Z121" i="108" s="1"/>
  <c r="J121" i="112" s="1"/>
  <c r="Z121" i="112" s="1"/>
  <c r="J121" i="113" s="1"/>
  <c r="AB119" i="90"/>
  <c r="L119" i="93" s="1"/>
  <c r="AB119" i="93" s="1"/>
  <c r="L120" i="107" s="1"/>
  <c r="AB120" i="107" s="1"/>
  <c r="L121" i="108" s="1"/>
  <c r="AB118" i="90"/>
  <c r="L118" i="93" s="1"/>
  <c r="AB118" i="93" s="1"/>
  <c r="L119" i="107" s="1"/>
  <c r="AB119" i="107" s="1"/>
  <c r="L120" i="108" s="1"/>
  <c r="AB117" i="90"/>
  <c r="L117" i="93" s="1"/>
  <c r="AB117" i="93" s="1"/>
  <c r="L118" i="107" s="1"/>
  <c r="AB118" i="107" s="1"/>
  <c r="L119" i="108" s="1"/>
  <c r="W117" i="90"/>
  <c r="G117" i="93" s="1"/>
  <c r="W117" i="93" s="1"/>
  <c r="G118" i="107" s="1"/>
  <c r="W118" i="107" s="1"/>
  <c r="G119" i="108" s="1"/>
  <c r="W119" i="108" s="1"/>
  <c r="G119" i="112" s="1"/>
  <c r="W119" i="112" s="1"/>
  <c r="G119" i="113" s="1"/>
  <c r="W119" i="113" s="1"/>
  <c r="G129" i="117" s="1"/>
  <c r="W129" i="117" s="1"/>
  <c r="G127" i="121" s="1"/>
  <c r="W127" i="121" s="1"/>
  <c r="G127" i="122" s="1"/>
  <c r="W127" i="122" s="1"/>
  <c r="W118" i="90"/>
  <c r="G118" i="93" s="1"/>
  <c r="W118" i="93" s="1"/>
  <c r="G119" i="107" s="1"/>
  <c r="W119" i="107" s="1"/>
  <c r="G120" i="108" s="1"/>
  <c r="W120" i="108" s="1"/>
  <c r="G120" i="112" s="1"/>
  <c r="W120" i="112" s="1"/>
  <c r="G120" i="113" s="1"/>
  <c r="W120" i="113" s="1"/>
  <c r="G130" i="117" s="1"/>
  <c r="W130" i="117" s="1"/>
  <c r="G128" i="121" s="1"/>
  <c r="W128" i="121" s="1"/>
  <c r="G128" i="122" s="1"/>
  <c r="W128" i="122" s="1"/>
  <c r="W119" i="90"/>
  <c r="G119" i="93" s="1"/>
  <c r="W119" i="93" s="1"/>
  <c r="G120" i="107" s="1"/>
  <c r="W120" i="107" s="1"/>
  <c r="G121" i="108" s="1"/>
  <c r="W121" i="108" s="1"/>
  <c r="G121" i="112" s="1"/>
  <c r="W121" i="112" s="1"/>
  <c r="G121" i="113" s="1"/>
  <c r="W121" i="113" s="1"/>
  <c r="G131" i="117" s="1"/>
  <c r="W131" i="117" s="1"/>
  <c r="G129" i="121" s="1"/>
  <c r="W129" i="121" s="1"/>
  <c r="G129" i="122" s="1"/>
  <c r="W129" i="122" s="1"/>
  <c r="V117" i="90"/>
  <c r="V118" i="90"/>
  <c r="V119" i="90"/>
  <c r="S120" i="90"/>
  <c r="M119" i="90"/>
  <c r="M118" i="90"/>
  <c r="M117" i="90"/>
  <c r="M97" i="90"/>
  <c r="E211" i="90"/>
  <c r="E210" i="90"/>
  <c r="E209" i="90"/>
  <c r="W32" i="82"/>
  <c r="G35" i="90" s="1"/>
  <c r="V32" i="82"/>
  <c r="F35" i="90" s="1"/>
  <c r="W29" i="82"/>
  <c r="G32" i="90" s="1"/>
  <c r="V29" i="82"/>
  <c r="W27" i="82"/>
  <c r="G30" i="90" s="1"/>
  <c r="W28" i="82"/>
  <c r="G31" i="90" s="1"/>
  <c r="V27" i="82"/>
  <c r="G28" i="90"/>
  <c r="AB45" i="121" l="1"/>
  <c r="L45" i="122" s="1"/>
  <c r="E45" i="121"/>
  <c r="U45" i="121" s="1"/>
  <c r="AB44" i="121"/>
  <c r="L44" i="122" s="1"/>
  <c r="E44" i="121"/>
  <c r="U44" i="121" s="1"/>
  <c r="AB119" i="108"/>
  <c r="L119" i="112" s="1"/>
  <c r="E199" i="108"/>
  <c r="U199" i="108" s="1"/>
  <c r="AB199" i="108"/>
  <c r="L201" i="112" s="1"/>
  <c r="AB198" i="108"/>
  <c r="L200" i="112" s="1"/>
  <c r="AB120" i="108"/>
  <c r="L120" i="112" s="1"/>
  <c r="AB121" i="108"/>
  <c r="L121" i="112" s="1"/>
  <c r="AB200" i="108"/>
  <c r="L202" i="112" s="1"/>
  <c r="U117" i="90"/>
  <c r="F117" i="93"/>
  <c r="V117" i="93" s="1"/>
  <c r="F118" i="107" s="1"/>
  <c r="V118" i="107" s="1"/>
  <c r="F119" i="108" s="1"/>
  <c r="V119" i="108" s="1"/>
  <c r="F119" i="112" s="1"/>
  <c r="V119" i="112" s="1"/>
  <c r="F119" i="113" s="1"/>
  <c r="V119" i="113" s="1"/>
  <c r="F129" i="117" s="1"/>
  <c r="V129" i="117" s="1"/>
  <c r="F127" i="121" s="1"/>
  <c r="V127" i="121" s="1"/>
  <c r="F127" i="122" s="1"/>
  <c r="V127" i="122" s="1"/>
  <c r="S143" i="90"/>
  <c r="E189" i="93"/>
  <c r="U189" i="93" s="1"/>
  <c r="E196" i="107" s="1"/>
  <c r="U196" i="107" s="1"/>
  <c r="U119" i="90"/>
  <c r="F119" i="93"/>
  <c r="V119" i="93" s="1"/>
  <c r="F120" i="107" s="1"/>
  <c r="V120" i="107" s="1"/>
  <c r="F121" i="108" s="1"/>
  <c r="V121" i="108" s="1"/>
  <c r="F121" i="112" s="1"/>
  <c r="V121" i="112" s="1"/>
  <c r="F121" i="113" s="1"/>
  <c r="V121" i="113" s="1"/>
  <c r="F131" i="117" s="1"/>
  <c r="V131" i="117" s="1"/>
  <c r="F129" i="121" s="1"/>
  <c r="V129" i="121" s="1"/>
  <c r="F129" i="122" s="1"/>
  <c r="V129" i="122" s="1"/>
  <c r="U185" i="90"/>
  <c r="U118" i="90"/>
  <c r="F118" i="93"/>
  <c r="V118" i="93" s="1"/>
  <c r="F119" i="107" s="1"/>
  <c r="V119" i="107" s="1"/>
  <c r="F120" i="108" s="1"/>
  <c r="V120" i="108" s="1"/>
  <c r="F120" i="112" s="1"/>
  <c r="V120" i="112" s="1"/>
  <c r="F120" i="113" s="1"/>
  <c r="V120" i="113" s="1"/>
  <c r="F130" i="117" s="1"/>
  <c r="V130" i="117" s="1"/>
  <c r="F128" i="121" s="1"/>
  <c r="V128" i="121" s="1"/>
  <c r="F128" i="122" s="1"/>
  <c r="V128" i="122" s="1"/>
  <c r="Z184" i="90"/>
  <c r="J188" i="93" s="1"/>
  <c r="Z188" i="93" s="1"/>
  <c r="J195" i="107" s="1"/>
  <c r="Z195" i="107" s="1"/>
  <c r="J198" i="108" s="1"/>
  <c r="Z198" i="108" s="1"/>
  <c r="J200" i="112" s="1"/>
  <c r="Z200" i="112" s="1"/>
  <c r="J204" i="113" s="1"/>
  <c r="Z204" i="113" s="1"/>
  <c r="J218" i="117" s="1"/>
  <c r="Z218" i="117" s="1"/>
  <c r="J217" i="121" s="1"/>
  <c r="Z217" i="121" s="1"/>
  <c r="J217" i="122" s="1"/>
  <c r="Z217" i="122" s="1"/>
  <c r="M186" i="90"/>
  <c r="Z186" i="90"/>
  <c r="J190" i="93" s="1"/>
  <c r="Z190" i="93" s="1"/>
  <c r="J197" i="107" s="1"/>
  <c r="Z197" i="107" s="1"/>
  <c r="J200" i="108" s="1"/>
  <c r="Z200" i="108" s="1"/>
  <c r="J202" i="112" s="1"/>
  <c r="Z202" i="112" s="1"/>
  <c r="J206" i="113" s="1"/>
  <c r="Z206" i="113" s="1"/>
  <c r="J220" i="117" s="1"/>
  <c r="Z220" i="117" s="1"/>
  <c r="J219" i="121" s="1"/>
  <c r="Z219" i="121" s="1"/>
  <c r="J219" i="122" s="1"/>
  <c r="Z219" i="122" s="1"/>
  <c r="M184" i="90"/>
  <c r="AB20" i="82"/>
  <c r="V23" i="82"/>
  <c r="F26" i="90" s="1"/>
  <c r="V16" i="82"/>
  <c r="W15" i="82"/>
  <c r="V15" i="82"/>
  <c r="F15" i="90" s="1"/>
  <c r="W14" i="82"/>
  <c r="G14" i="90" s="1"/>
  <c r="V14" i="82"/>
  <c r="F14" i="90" s="1"/>
  <c r="V12" i="82"/>
  <c r="F12" i="90" s="1"/>
  <c r="G29" i="82"/>
  <c r="G28" i="82"/>
  <c r="F31" i="82"/>
  <c r="F29" i="82"/>
  <c r="F28" i="82"/>
  <c r="F27" i="82"/>
  <c r="L20" i="82"/>
  <c r="F26" i="82"/>
  <c r="F23" i="82"/>
  <c r="F16" i="82"/>
  <c r="G15" i="82"/>
  <c r="F15" i="82"/>
  <c r="G14" i="82"/>
  <c r="F18" i="82"/>
  <c r="F19" i="82"/>
  <c r="F20" i="82"/>
  <c r="F14" i="82"/>
  <c r="F13" i="82"/>
  <c r="F12" i="82"/>
  <c r="F11" i="82"/>
  <c r="F21" i="82"/>
  <c r="F22" i="82"/>
  <c r="F24" i="82"/>
  <c r="F25" i="82"/>
  <c r="F33" i="82"/>
  <c r="F34" i="82"/>
  <c r="F35" i="82"/>
  <c r="F36" i="82"/>
  <c r="F37" i="82"/>
  <c r="F38" i="82"/>
  <c r="F39" i="82"/>
  <c r="F40" i="82"/>
  <c r="F41" i="82"/>
  <c r="F42" i="82"/>
  <c r="F43" i="82"/>
  <c r="F44" i="82"/>
  <c r="F45" i="82"/>
  <c r="F46" i="82"/>
  <c r="F47" i="82"/>
  <c r="F48" i="82"/>
  <c r="F49" i="82"/>
  <c r="F50" i="82"/>
  <c r="F51" i="82"/>
  <c r="F52" i="82"/>
  <c r="F53" i="82"/>
  <c r="F54" i="82"/>
  <c r="F55" i="82"/>
  <c r="F56" i="82"/>
  <c r="F57" i="82"/>
  <c r="F58" i="82"/>
  <c r="F59" i="82"/>
  <c r="F60" i="82"/>
  <c r="F61" i="82"/>
  <c r="F62" i="82"/>
  <c r="F63" i="82"/>
  <c r="F64" i="82"/>
  <c r="F65" i="82"/>
  <c r="F66" i="82"/>
  <c r="F67" i="82"/>
  <c r="F68" i="82"/>
  <c r="F69" i="82"/>
  <c r="F70" i="82"/>
  <c r="F71" i="82"/>
  <c r="F72" i="82"/>
  <c r="F73"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1" i="82"/>
  <c r="F102" i="82"/>
  <c r="F103" i="82"/>
  <c r="F104" i="82"/>
  <c r="F105" i="82"/>
  <c r="F106" i="82"/>
  <c r="F107" i="82"/>
  <c r="F108" i="82"/>
  <c r="F109" i="82"/>
  <c r="F110" i="82"/>
  <c r="F111" i="82"/>
  <c r="F112" i="82"/>
  <c r="F113" i="82"/>
  <c r="F114" i="82"/>
  <c r="F115" i="82"/>
  <c r="F116" i="82"/>
  <c r="F117" i="82"/>
  <c r="F118" i="82"/>
  <c r="F119" i="82"/>
  <c r="F120" i="82"/>
  <c r="F121" i="82"/>
  <c r="F122" i="82"/>
  <c r="F123" i="82"/>
  <c r="F124" i="82"/>
  <c r="F125" i="82"/>
  <c r="F126" i="82"/>
  <c r="F127" i="82"/>
  <c r="F128" i="82"/>
  <c r="F129" i="82"/>
  <c r="F130" i="82"/>
  <c r="F131" i="82"/>
  <c r="F132" i="82"/>
  <c r="F133" i="82"/>
  <c r="F134" i="82"/>
  <c r="F135" i="82"/>
  <c r="F136" i="82"/>
  <c r="F137" i="82"/>
  <c r="F138" i="82"/>
  <c r="F139" i="82"/>
  <c r="F140" i="82"/>
  <c r="F141" i="82"/>
  <c r="F142" i="82"/>
  <c r="F143" i="82"/>
  <c r="F144" i="82"/>
  <c r="F145" i="82"/>
  <c r="F146" i="82"/>
  <c r="F147" i="82"/>
  <c r="F148" i="82"/>
  <c r="F149" i="82"/>
  <c r="F150" i="82"/>
  <c r="F151" i="82"/>
  <c r="F152" i="82"/>
  <c r="F153" i="82"/>
  <c r="F154" i="82"/>
  <c r="F155" i="82"/>
  <c r="F156" i="82"/>
  <c r="F157" i="82"/>
  <c r="F158" i="82"/>
  <c r="F159" i="82"/>
  <c r="F160" i="82"/>
  <c r="F161" i="82"/>
  <c r="F162" i="82"/>
  <c r="F163" i="82"/>
  <c r="F164" i="82"/>
  <c r="F165" i="82"/>
  <c r="F166" i="82"/>
  <c r="F167" i="82"/>
  <c r="F168" i="82"/>
  <c r="F169" i="82"/>
  <c r="F170" i="82"/>
  <c r="F171" i="82"/>
  <c r="F172" i="82"/>
  <c r="F173" i="82"/>
  <c r="F174" i="82"/>
  <c r="F175" i="82"/>
  <c r="F176" i="82"/>
  <c r="F177" i="82"/>
  <c r="F178" i="82"/>
  <c r="F179" i="82"/>
  <c r="F180" i="82"/>
  <c r="F181" i="82"/>
  <c r="F182" i="82"/>
  <c r="F183" i="82"/>
  <c r="F184" i="82"/>
  <c r="F185" i="82"/>
  <c r="F186" i="82"/>
  <c r="F187" i="82"/>
  <c r="F188" i="82"/>
  <c r="F189" i="82"/>
  <c r="F190" i="82"/>
  <c r="F191" i="82"/>
  <c r="F192" i="82"/>
  <c r="F193" i="82"/>
  <c r="F194" i="82"/>
  <c r="F195" i="82"/>
  <c r="F196" i="82"/>
  <c r="F197" i="82"/>
  <c r="F198" i="82"/>
  <c r="F199" i="82"/>
  <c r="F200" i="82"/>
  <c r="F201" i="82"/>
  <c r="F202" i="82"/>
  <c r="F203" i="82"/>
  <c r="F204" i="82"/>
  <c r="F205" i="82"/>
  <c r="F206" i="82"/>
  <c r="F207" i="82"/>
  <c r="AB44" i="122" l="1"/>
  <c r="E44" i="122"/>
  <c r="U44" i="122" s="1"/>
  <c r="AB45" i="122"/>
  <c r="E45" i="122"/>
  <c r="U45" i="122" s="1"/>
  <c r="AB202" i="112"/>
  <c r="L206" i="113" s="1"/>
  <c r="E202" i="112"/>
  <c r="U202" i="112" s="1"/>
  <c r="AB120" i="112"/>
  <c r="L120" i="113" s="1"/>
  <c r="E120" i="112"/>
  <c r="U120" i="112" s="1"/>
  <c r="AB201" i="112"/>
  <c r="L205" i="113" s="1"/>
  <c r="E201" i="112"/>
  <c r="U201" i="112" s="1"/>
  <c r="E200" i="108"/>
  <c r="U200" i="108" s="1"/>
  <c r="E120" i="108"/>
  <c r="U120" i="108" s="1"/>
  <c r="AB121" i="112"/>
  <c r="L121" i="113" s="1"/>
  <c r="E121" i="112"/>
  <c r="U121" i="112" s="1"/>
  <c r="AB200" i="112"/>
  <c r="L204" i="113" s="1"/>
  <c r="E200" i="112"/>
  <c r="U200" i="112" s="1"/>
  <c r="E119" i="112"/>
  <c r="U119" i="112" s="1"/>
  <c r="AB119" i="112"/>
  <c r="L119" i="113" s="1"/>
  <c r="E121" i="108"/>
  <c r="U121" i="108" s="1"/>
  <c r="E198" i="108"/>
  <c r="U198" i="108" s="1"/>
  <c r="E119" i="108"/>
  <c r="U119" i="108" s="1"/>
  <c r="E117" i="93"/>
  <c r="U117" i="93" s="1"/>
  <c r="E118" i="107" s="1"/>
  <c r="U118" i="107" s="1"/>
  <c r="E190" i="93"/>
  <c r="U190" i="93" s="1"/>
  <c r="E197" i="107" s="1"/>
  <c r="U197" i="107" s="1"/>
  <c r="U184" i="90"/>
  <c r="U186" i="90"/>
  <c r="E119" i="93"/>
  <c r="U119" i="93" s="1"/>
  <c r="E120" i="107" s="1"/>
  <c r="U120" i="107" s="1"/>
  <c r="E118" i="93"/>
  <c r="U118" i="93" s="1"/>
  <c r="E119" i="107" s="1"/>
  <c r="U119" i="107" s="1"/>
  <c r="E188" i="93"/>
  <c r="U188" i="93" s="1"/>
  <c r="E195" i="107" s="1"/>
  <c r="U195" i="107" s="1"/>
  <c r="G25" i="90"/>
  <c r="G64" i="90"/>
  <c r="G93" i="90"/>
  <c r="G94" i="90"/>
  <c r="G102" i="90"/>
  <c r="G112" i="90"/>
  <c r="G133" i="90"/>
  <c r="G136" i="90"/>
  <c r="G169" i="90"/>
  <c r="G170" i="90"/>
  <c r="G172" i="90"/>
  <c r="G173" i="90"/>
  <c r="G174" i="90"/>
  <c r="G199" i="90"/>
  <c r="G200" i="90"/>
  <c r="G201" i="90"/>
  <c r="G216" i="90"/>
  <c r="G217" i="90"/>
  <c r="G218" i="90"/>
  <c r="G219" i="90"/>
  <c r="G220" i="90"/>
  <c r="G222" i="90"/>
  <c r="G223" i="90"/>
  <c r="G224" i="90"/>
  <c r="AB204" i="113" l="1"/>
  <c r="L218" i="117" s="1"/>
  <c r="E204" i="113"/>
  <c r="U204" i="113" s="1"/>
  <c r="AB120" i="113"/>
  <c r="L130" i="117" s="1"/>
  <c r="E120" i="113"/>
  <c r="U120" i="113" s="1"/>
  <c r="AB119" i="113"/>
  <c r="L129" i="117" s="1"/>
  <c r="E119" i="113"/>
  <c r="U119" i="113" s="1"/>
  <c r="AB121" i="113"/>
  <c r="L131" i="117" s="1"/>
  <c r="E121" i="113"/>
  <c r="U121" i="113" s="1"/>
  <c r="AB205" i="113"/>
  <c r="L219" i="117" s="1"/>
  <c r="E205" i="113"/>
  <c r="U205" i="113" s="1"/>
  <c r="AB206" i="113"/>
  <c r="L220" i="117" s="1"/>
  <c r="E206" i="113"/>
  <c r="U206" i="113" s="1"/>
  <c r="S150" i="90"/>
  <c r="M140" i="90"/>
  <c r="AB130" i="117" l="1"/>
  <c r="L128" i="121" s="1"/>
  <c r="E130" i="117"/>
  <c r="U130" i="117" s="1"/>
  <c r="E220" i="117"/>
  <c r="U220" i="117" s="1"/>
  <c r="AB220" i="117"/>
  <c r="L219" i="121" s="1"/>
  <c r="AB131" i="117"/>
  <c r="L129" i="121" s="1"/>
  <c r="E131" i="117"/>
  <c r="U131" i="117" s="1"/>
  <c r="E219" i="117"/>
  <c r="U219" i="117" s="1"/>
  <c r="AB219" i="117"/>
  <c r="L218" i="121" s="1"/>
  <c r="AB129" i="117"/>
  <c r="L127" i="121" s="1"/>
  <c r="E129" i="117"/>
  <c r="U129" i="117" s="1"/>
  <c r="AB218" i="117"/>
  <c r="L217" i="121" s="1"/>
  <c r="E218" i="117"/>
  <c r="U218" i="117" s="1"/>
  <c r="AB22" i="90"/>
  <c r="L22" i="93" s="1"/>
  <c r="AB23" i="90"/>
  <c r="L23" i="93" s="1"/>
  <c r="AB24" i="90"/>
  <c r="L24" i="93" s="1"/>
  <c r="AB162" i="90"/>
  <c r="L162" i="93" s="1"/>
  <c r="AB162" i="93" s="1"/>
  <c r="L168" i="107" s="1"/>
  <c r="AB168" i="107" s="1"/>
  <c r="L170" i="108" s="1"/>
  <c r="AB170" i="108" s="1"/>
  <c r="L172" i="112" s="1"/>
  <c r="AB172" i="112" s="1"/>
  <c r="L176" i="113" s="1"/>
  <c r="AB176" i="113" s="1"/>
  <c r="L188" i="117" s="1"/>
  <c r="AB163" i="90"/>
  <c r="L163" i="93" s="1"/>
  <c r="AB163" i="93" s="1"/>
  <c r="L169" i="107" s="1"/>
  <c r="AB169" i="107" s="1"/>
  <c r="L171" i="108" s="1"/>
  <c r="AB171" i="108" s="1"/>
  <c r="L173" i="112" s="1"/>
  <c r="AB173" i="112" s="1"/>
  <c r="L177" i="113" s="1"/>
  <c r="AB177" i="113" s="1"/>
  <c r="L189" i="117" s="1"/>
  <c r="AB190" i="90"/>
  <c r="L197" i="93" s="1"/>
  <c r="AB197" i="93" s="1"/>
  <c r="L204" i="107" s="1"/>
  <c r="AB204" i="107" s="1"/>
  <c r="L207" i="108" s="1"/>
  <c r="AB207" i="108" s="1"/>
  <c r="L209" i="112" s="1"/>
  <c r="AB209" i="112" s="1"/>
  <c r="L213" i="113" s="1"/>
  <c r="AB213" i="113" s="1"/>
  <c r="L228" i="117" s="1"/>
  <c r="AA22" i="90"/>
  <c r="K22" i="93" s="1"/>
  <c r="AA22" i="93" s="1"/>
  <c r="K22" i="107" s="1"/>
  <c r="AA22" i="107" s="1"/>
  <c r="K22" i="108" s="1"/>
  <c r="AA22" i="108" s="1"/>
  <c r="K22" i="112" s="1"/>
  <c r="AA22" i="112" s="1"/>
  <c r="K22" i="113" s="1"/>
  <c r="AA22" i="113" s="1"/>
  <c r="K25" i="117" s="1"/>
  <c r="AA25" i="117" s="1"/>
  <c r="K25" i="121" s="1"/>
  <c r="AA25" i="121" s="1"/>
  <c r="K25" i="122" s="1"/>
  <c r="AA25" i="122" s="1"/>
  <c r="AA23" i="90"/>
  <c r="K23" i="93" s="1"/>
  <c r="AA23" i="93" s="1"/>
  <c r="K23" i="107" s="1"/>
  <c r="AA23" i="107" s="1"/>
  <c r="K23" i="108" s="1"/>
  <c r="AA23" i="108" s="1"/>
  <c r="K23" i="112" s="1"/>
  <c r="AA23" i="112" s="1"/>
  <c r="K23" i="113" s="1"/>
  <c r="AA23" i="113" s="1"/>
  <c r="K26" i="117" s="1"/>
  <c r="AA26" i="117" s="1"/>
  <c r="K26" i="121" s="1"/>
  <c r="AA26" i="121" s="1"/>
  <c r="K26" i="122" s="1"/>
  <c r="AA26" i="122" s="1"/>
  <c r="AA24" i="90"/>
  <c r="K24" i="93" s="1"/>
  <c r="AA24" i="93" s="1"/>
  <c r="K24" i="107" s="1"/>
  <c r="AA24" i="107" s="1"/>
  <c r="K24" i="108" s="1"/>
  <c r="AA24" i="108" s="1"/>
  <c r="K24" i="112" s="1"/>
  <c r="AA24" i="112" s="1"/>
  <c r="K24" i="113" s="1"/>
  <c r="AA24" i="113" s="1"/>
  <c r="AA162" i="90"/>
  <c r="K162" i="93" s="1"/>
  <c r="AA162" i="93" s="1"/>
  <c r="K168" i="107" s="1"/>
  <c r="AA168" i="107" s="1"/>
  <c r="K170" i="108" s="1"/>
  <c r="AA170" i="108" s="1"/>
  <c r="K172" i="112" s="1"/>
  <c r="AA172" i="112" s="1"/>
  <c r="K176" i="113" s="1"/>
  <c r="AA176" i="113" s="1"/>
  <c r="K188" i="117" s="1"/>
  <c r="AA188" i="117" s="1"/>
  <c r="K186" i="121" s="1"/>
  <c r="AA186" i="121" s="1"/>
  <c r="K186" i="122" s="1"/>
  <c r="AA186" i="122" s="1"/>
  <c r="AA163" i="90"/>
  <c r="K163" i="93" s="1"/>
  <c r="AA163" i="93" s="1"/>
  <c r="K169" i="107" s="1"/>
  <c r="AA169" i="107" s="1"/>
  <c r="K171" i="108" s="1"/>
  <c r="AA171" i="108" s="1"/>
  <c r="K173" i="112" s="1"/>
  <c r="AA173" i="112" s="1"/>
  <c r="K177" i="113" s="1"/>
  <c r="AA177" i="113" s="1"/>
  <c r="K189" i="117" s="1"/>
  <c r="AA189" i="117" s="1"/>
  <c r="K187" i="121" s="1"/>
  <c r="AA187" i="121" s="1"/>
  <c r="K187" i="122" s="1"/>
  <c r="AA187" i="122" s="1"/>
  <c r="AA190" i="90"/>
  <c r="K197" i="93" s="1"/>
  <c r="AA197" i="93" s="1"/>
  <c r="K204" i="107" s="1"/>
  <c r="AA204" i="107" s="1"/>
  <c r="K207" i="108" s="1"/>
  <c r="AA207" i="108" s="1"/>
  <c r="K209" i="112" s="1"/>
  <c r="AA209" i="112" s="1"/>
  <c r="K213" i="113" s="1"/>
  <c r="AA213" i="113" s="1"/>
  <c r="K228" i="117" s="1"/>
  <c r="AA228" i="117" s="1"/>
  <c r="K232" i="121" s="1"/>
  <c r="AA232" i="121" s="1"/>
  <c r="K232" i="122" s="1"/>
  <c r="AA232" i="122" s="1"/>
  <c r="Z22" i="90"/>
  <c r="J22" i="93" s="1"/>
  <c r="Z22" i="93" s="1"/>
  <c r="J22" i="107" s="1"/>
  <c r="Z22" i="107" s="1"/>
  <c r="J22" i="108" s="1"/>
  <c r="Z22" i="108" s="1"/>
  <c r="J22" i="112" s="1"/>
  <c r="Z22" i="112" s="1"/>
  <c r="J22" i="113" s="1"/>
  <c r="Z22" i="113" s="1"/>
  <c r="J25" i="117" s="1"/>
  <c r="Z25" i="117" s="1"/>
  <c r="J25" i="121" s="1"/>
  <c r="Z25" i="121" s="1"/>
  <c r="J25" i="122" s="1"/>
  <c r="Z25" i="122" s="1"/>
  <c r="Z23" i="90"/>
  <c r="J23" i="93" s="1"/>
  <c r="Z23" i="93" s="1"/>
  <c r="J23" i="107" s="1"/>
  <c r="Z23" i="107" s="1"/>
  <c r="J23" i="108" s="1"/>
  <c r="Z23" i="108" s="1"/>
  <c r="J23" i="112" s="1"/>
  <c r="Z23" i="112" s="1"/>
  <c r="J23" i="113" s="1"/>
  <c r="Z23" i="113" s="1"/>
  <c r="J26" i="117" s="1"/>
  <c r="Z26" i="117" s="1"/>
  <c r="J26" i="121" s="1"/>
  <c r="Z26" i="121" s="1"/>
  <c r="J26" i="122" s="1"/>
  <c r="Z26" i="122" s="1"/>
  <c r="Z24" i="90"/>
  <c r="J24" i="93" s="1"/>
  <c r="Z24" i="93" s="1"/>
  <c r="J24" i="107" s="1"/>
  <c r="Z24" i="107" s="1"/>
  <c r="J24" i="108" s="1"/>
  <c r="Z24" i="108" s="1"/>
  <c r="J24" i="112" s="1"/>
  <c r="Z24" i="112" s="1"/>
  <c r="J24" i="113" s="1"/>
  <c r="Z162" i="90"/>
  <c r="J162" i="93" s="1"/>
  <c r="Z162" i="93" s="1"/>
  <c r="J168" i="107" s="1"/>
  <c r="Z168" i="107" s="1"/>
  <c r="J170" i="108" s="1"/>
  <c r="Z170" i="108" s="1"/>
  <c r="J172" i="112" s="1"/>
  <c r="Z172" i="112" s="1"/>
  <c r="J176" i="113" s="1"/>
  <c r="Z176" i="113" s="1"/>
  <c r="J188" i="117" s="1"/>
  <c r="Z188" i="117" s="1"/>
  <c r="J186" i="121" s="1"/>
  <c r="Z186" i="121" s="1"/>
  <c r="J186" i="122" s="1"/>
  <c r="Z186" i="122" s="1"/>
  <c r="Z163" i="90"/>
  <c r="J163" i="93" s="1"/>
  <c r="Z163" i="93" s="1"/>
  <c r="J169" i="107" s="1"/>
  <c r="Z169" i="107" s="1"/>
  <c r="J171" i="108" s="1"/>
  <c r="Z171" i="108" s="1"/>
  <c r="J173" i="112" s="1"/>
  <c r="Z173" i="112" s="1"/>
  <c r="J177" i="113" s="1"/>
  <c r="Z177" i="113" s="1"/>
  <c r="J189" i="117" s="1"/>
  <c r="Z189" i="117" s="1"/>
  <c r="J187" i="121" s="1"/>
  <c r="Z187" i="121" s="1"/>
  <c r="J187" i="122" s="1"/>
  <c r="Z187" i="122" s="1"/>
  <c r="X22" i="90"/>
  <c r="H22" i="93" s="1"/>
  <c r="X22" i="93" s="1"/>
  <c r="H22" i="107" s="1"/>
  <c r="X22" i="107" s="1"/>
  <c r="H22" i="108" s="1"/>
  <c r="X22" i="108" s="1"/>
  <c r="H22" i="112" s="1"/>
  <c r="X22" i="112" s="1"/>
  <c r="H22" i="113" s="1"/>
  <c r="X22" i="113" s="1"/>
  <c r="H25" i="117" s="1"/>
  <c r="X25" i="117" s="1"/>
  <c r="H25" i="121" s="1"/>
  <c r="X25" i="121" s="1"/>
  <c r="H25" i="122" s="1"/>
  <c r="X25" i="122" s="1"/>
  <c r="X23" i="90"/>
  <c r="H23" i="93" s="1"/>
  <c r="X23" i="93" s="1"/>
  <c r="H23" i="107" s="1"/>
  <c r="X23" i="107" s="1"/>
  <c r="H23" i="108" s="1"/>
  <c r="X23" i="108" s="1"/>
  <c r="H23" i="112" s="1"/>
  <c r="X23" i="112" s="1"/>
  <c r="H23" i="113" s="1"/>
  <c r="X23" i="113" s="1"/>
  <c r="H26" i="117" s="1"/>
  <c r="X26" i="117" s="1"/>
  <c r="H26" i="121" s="1"/>
  <c r="X26" i="121" s="1"/>
  <c r="H26" i="122" s="1"/>
  <c r="X26" i="122" s="1"/>
  <c r="X24" i="90"/>
  <c r="H24" i="93" s="1"/>
  <c r="X24" i="93" s="1"/>
  <c r="H24" i="107" s="1"/>
  <c r="X24" i="107" s="1"/>
  <c r="H24" i="108" s="1"/>
  <c r="X24" i="108" s="1"/>
  <c r="H24" i="112" s="1"/>
  <c r="X24" i="112" s="1"/>
  <c r="H24" i="113" s="1"/>
  <c r="X24" i="113" s="1"/>
  <c r="H28" i="117" s="1"/>
  <c r="X28" i="117" s="1"/>
  <c r="H28" i="121" s="1"/>
  <c r="X28" i="121" s="1"/>
  <c r="H28" i="122" s="1"/>
  <c r="X28" i="122" s="1"/>
  <c r="X162" i="90"/>
  <c r="H162" i="93" s="1"/>
  <c r="X162" i="93" s="1"/>
  <c r="H168" i="107" s="1"/>
  <c r="X168" i="107" s="1"/>
  <c r="H170" i="108" s="1"/>
  <c r="X170" i="108" s="1"/>
  <c r="H172" i="112" s="1"/>
  <c r="X172" i="112" s="1"/>
  <c r="H176" i="113" s="1"/>
  <c r="X176" i="113" s="1"/>
  <c r="H188" i="117" s="1"/>
  <c r="X188" i="117" s="1"/>
  <c r="H186" i="121" s="1"/>
  <c r="X186" i="121" s="1"/>
  <c r="H186" i="122" s="1"/>
  <c r="X186" i="122" s="1"/>
  <c r="X163" i="90"/>
  <c r="H163" i="93" s="1"/>
  <c r="X163" i="93" s="1"/>
  <c r="H169" i="107" s="1"/>
  <c r="X169" i="107" s="1"/>
  <c r="H171" i="108" s="1"/>
  <c r="X171" i="108" s="1"/>
  <c r="H173" i="112" s="1"/>
  <c r="X173" i="112" s="1"/>
  <c r="H177" i="113" s="1"/>
  <c r="X177" i="113" s="1"/>
  <c r="H189" i="117" s="1"/>
  <c r="X189" i="117" s="1"/>
  <c r="H187" i="121" s="1"/>
  <c r="X187" i="121" s="1"/>
  <c r="H187" i="122" s="1"/>
  <c r="X187" i="122" s="1"/>
  <c r="V22" i="90"/>
  <c r="F22" i="93" s="1"/>
  <c r="V22" i="93" s="1"/>
  <c r="F22" i="107" s="1"/>
  <c r="V22" i="107" s="1"/>
  <c r="F22" i="108" s="1"/>
  <c r="V22" i="108" s="1"/>
  <c r="V23" i="90"/>
  <c r="F23" i="93" s="1"/>
  <c r="V23" i="93" s="1"/>
  <c r="F23" i="107" s="1"/>
  <c r="V23" i="107" s="1"/>
  <c r="F23" i="108" s="1"/>
  <c r="V23" i="108" s="1"/>
  <c r="V24" i="90"/>
  <c r="F24" i="93" s="1"/>
  <c r="V24" i="93" s="1"/>
  <c r="F24" i="107" s="1"/>
  <c r="V24" i="107" s="1"/>
  <c r="F24" i="108" s="1"/>
  <c r="V24" i="108" s="1"/>
  <c r="V162" i="90"/>
  <c r="F162" i="93" s="1"/>
  <c r="V162" i="93" s="1"/>
  <c r="F168" i="107" s="1"/>
  <c r="V168" i="107" s="1"/>
  <c r="F170" i="108" s="1"/>
  <c r="V170" i="108" s="1"/>
  <c r="F172" i="112" s="1"/>
  <c r="V172" i="112" s="1"/>
  <c r="F176" i="113" s="1"/>
  <c r="V176" i="113" s="1"/>
  <c r="F188" i="117" s="1"/>
  <c r="V188" i="117" s="1"/>
  <c r="F186" i="121" s="1"/>
  <c r="V186" i="121" s="1"/>
  <c r="F186" i="122" s="1"/>
  <c r="V186" i="122" s="1"/>
  <c r="V163" i="90"/>
  <c r="F163" i="93" s="1"/>
  <c r="V163" i="93" s="1"/>
  <c r="F169" i="107" s="1"/>
  <c r="V169" i="107" s="1"/>
  <c r="F171" i="108" s="1"/>
  <c r="V171" i="108" s="1"/>
  <c r="F173" i="112" s="1"/>
  <c r="V173" i="112" s="1"/>
  <c r="F177" i="113" s="1"/>
  <c r="V177" i="113" s="1"/>
  <c r="F189" i="117" s="1"/>
  <c r="V189" i="117" s="1"/>
  <c r="F187" i="121" s="1"/>
  <c r="V187" i="121" s="1"/>
  <c r="F187" i="122" s="1"/>
  <c r="V187" i="122" s="1"/>
  <c r="AB218" i="121" l="1"/>
  <c r="L218" i="122" s="1"/>
  <c r="E218" i="121"/>
  <c r="U218" i="121" s="1"/>
  <c r="AB219" i="121"/>
  <c r="L219" i="122" s="1"/>
  <c r="E219" i="121"/>
  <c r="U219" i="121" s="1"/>
  <c r="AB217" i="121"/>
  <c r="L217" i="122" s="1"/>
  <c r="E217" i="121"/>
  <c r="U217" i="121" s="1"/>
  <c r="AB127" i="121"/>
  <c r="L127" i="122" s="1"/>
  <c r="E127" i="121"/>
  <c r="U127" i="121" s="1"/>
  <c r="AB129" i="121"/>
  <c r="L129" i="122" s="1"/>
  <c r="E129" i="121"/>
  <c r="U129" i="121" s="1"/>
  <c r="AB128" i="121"/>
  <c r="L128" i="122" s="1"/>
  <c r="E128" i="121"/>
  <c r="U128" i="121" s="1"/>
  <c r="AB228" i="117"/>
  <c r="L232" i="121" s="1"/>
  <c r="AB232" i="121" s="1"/>
  <c r="L232" i="122" s="1"/>
  <c r="F23" i="112"/>
  <c r="V23" i="112" s="1"/>
  <c r="F23" i="113" s="1"/>
  <c r="V23" i="113" s="1"/>
  <c r="AB188" i="117"/>
  <c r="L186" i="121" s="1"/>
  <c r="AB186" i="121" s="1"/>
  <c r="L186" i="122" s="1"/>
  <c r="F22" i="112"/>
  <c r="V22" i="112" s="1"/>
  <c r="F22" i="113" s="1"/>
  <c r="V22" i="113" s="1"/>
  <c r="F24" i="112"/>
  <c r="V24" i="112" s="1"/>
  <c r="K28" i="117"/>
  <c r="AA28" i="117" s="1"/>
  <c r="K28" i="121" s="1"/>
  <c r="AA28" i="121" s="1"/>
  <c r="K28" i="122" s="1"/>
  <c r="AA28" i="122" s="1"/>
  <c r="AB189" i="117"/>
  <c r="L187" i="121" s="1"/>
  <c r="AB187" i="121" s="1"/>
  <c r="L187" i="122" s="1"/>
  <c r="AB24" i="93"/>
  <c r="L24" i="107" s="1"/>
  <c r="AB24" i="107" s="1"/>
  <c r="L24" i="108" s="1"/>
  <c r="AB23" i="93"/>
  <c r="L23" i="107" s="1"/>
  <c r="AB23" i="107" s="1"/>
  <c r="L23" i="108" s="1"/>
  <c r="AB22" i="93"/>
  <c r="L22" i="107" s="1"/>
  <c r="AB22" i="107" s="1"/>
  <c r="L22" i="108" s="1"/>
  <c r="AB226" i="90"/>
  <c r="AB227" i="90"/>
  <c r="AB228" i="90"/>
  <c r="AB229" i="90"/>
  <c r="AB230" i="90"/>
  <c r="AB187" i="122" l="1"/>
  <c r="AB186" i="122"/>
  <c r="AB128" i="122"/>
  <c r="E128" i="122"/>
  <c r="U128" i="122" s="1"/>
  <c r="E127" i="122"/>
  <c r="U127" i="122" s="1"/>
  <c r="AB127" i="122"/>
  <c r="E219" i="122"/>
  <c r="U219" i="122" s="1"/>
  <c r="AB219" i="122"/>
  <c r="AB232" i="122"/>
  <c r="AB129" i="122"/>
  <c r="E129" i="122"/>
  <c r="U129" i="122" s="1"/>
  <c r="AB217" i="122"/>
  <c r="E217" i="122"/>
  <c r="U217" i="122" s="1"/>
  <c r="AB218" i="122"/>
  <c r="E218" i="122"/>
  <c r="U218" i="122" s="1"/>
  <c r="AB23" i="108"/>
  <c r="AB24" i="108"/>
  <c r="F25" i="117"/>
  <c r="V25" i="117" s="1"/>
  <c r="F25" i="121" s="1"/>
  <c r="V25" i="121" s="1"/>
  <c r="F26" i="117"/>
  <c r="V26" i="117" s="1"/>
  <c r="F26" i="121" s="1"/>
  <c r="V26" i="121" s="1"/>
  <c r="AB22" i="108"/>
  <c r="F24" i="113"/>
  <c r="V24" i="113" s="1"/>
  <c r="R190" i="90"/>
  <c r="Z190" i="90" s="1"/>
  <c r="J197" i="93" s="1"/>
  <c r="Z197" i="93" s="1"/>
  <c r="J204" i="107" s="1"/>
  <c r="Z204" i="107" s="1"/>
  <c r="J207" i="108" s="1"/>
  <c r="Z207" i="108" s="1"/>
  <c r="J209" i="112" s="1"/>
  <c r="Z209" i="112" s="1"/>
  <c r="J213" i="113" s="1"/>
  <c r="Z213" i="113" s="1"/>
  <c r="J228" i="117" s="1"/>
  <c r="R189" i="90"/>
  <c r="F26" i="122" l="1"/>
  <c r="V26" i="122" s="1"/>
  <c r="F25" i="122"/>
  <c r="V25" i="122" s="1"/>
  <c r="Z228" i="117"/>
  <c r="J232" i="121" s="1"/>
  <c r="Z232" i="121" s="1"/>
  <c r="J232" i="122" s="1"/>
  <c r="L23" i="112"/>
  <c r="F28" i="117"/>
  <c r="V28" i="117" s="1"/>
  <c r="F28" i="121" s="1"/>
  <c r="V28" i="121" s="1"/>
  <c r="L24" i="112"/>
  <c r="L22" i="112"/>
  <c r="M190" i="90"/>
  <c r="M162" i="90"/>
  <c r="M163" i="90"/>
  <c r="F28" i="122" l="1"/>
  <c r="V28" i="122" s="1"/>
  <c r="Z232" i="122"/>
  <c r="AB23" i="112"/>
  <c r="AB24" i="112"/>
  <c r="AB22" i="112"/>
  <c r="BX49" i="13"/>
  <c r="M23" i="90"/>
  <c r="M24" i="90"/>
  <c r="M26" i="90"/>
  <c r="L23" i="113" l="1"/>
  <c r="L24" i="113"/>
  <c r="L22" i="113"/>
  <c r="M22" i="90"/>
  <c r="L28" i="90"/>
  <c r="AB28" i="90" s="1"/>
  <c r="L28" i="93" s="1"/>
  <c r="L67" i="90"/>
  <c r="AB67" i="90" s="1"/>
  <c r="L67" i="93" s="1"/>
  <c r="AB67" i="93" s="1"/>
  <c r="L68" i="107" s="1"/>
  <c r="AB68" i="107" s="1"/>
  <c r="L69" i="108" s="1"/>
  <c r="AB69" i="108" s="1"/>
  <c r="L69" i="112" s="1"/>
  <c r="AB69" i="112" s="1"/>
  <c r="L69" i="113" s="1"/>
  <c r="AB69" i="113" s="1"/>
  <c r="L79" i="117" s="1"/>
  <c r="L96" i="90"/>
  <c r="AB96" i="90" s="1"/>
  <c r="L96" i="93" s="1"/>
  <c r="AB96" i="93" s="1"/>
  <c r="L97" i="107" s="1"/>
  <c r="AB97" i="107" s="1"/>
  <c r="L98" i="108" s="1"/>
  <c r="AB98" i="108" s="1"/>
  <c r="L98" i="112" s="1"/>
  <c r="AB98" i="112" s="1"/>
  <c r="L98" i="113" s="1"/>
  <c r="AB98" i="113" s="1"/>
  <c r="L108" i="117" s="1"/>
  <c r="L97" i="90"/>
  <c r="AB97" i="90" s="1"/>
  <c r="L97" i="93" s="1"/>
  <c r="AB97" i="93" s="1"/>
  <c r="L98" i="107" s="1"/>
  <c r="AB98" i="107" s="1"/>
  <c r="L99" i="108" s="1"/>
  <c r="AB99" i="108" s="1"/>
  <c r="L99" i="112" s="1"/>
  <c r="AB99" i="112" s="1"/>
  <c r="L99" i="113" s="1"/>
  <c r="AB99" i="113" s="1"/>
  <c r="L109" i="117" s="1"/>
  <c r="L105" i="90"/>
  <c r="AB105" i="90" s="1"/>
  <c r="L105" i="93" s="1"/>
  <c r="AB105" i="93" s="1"/>
  <c r="L106" i="107" s="1"/>
  <c r="AB106" i="107" s="1"/>
  <c r="L107" i="108" s="1"/>
  <c r="AB107" i="108" s="1"/>
  <c r="L107" i="112" s="1"/>
  <c r="AB107" i="112" s="1"/>
  <c r="L107" i="113" s="1"/>
  <c r="AB107" i="113" s="1"/>
  <c r="L117" i="117" s="1"/>
  <c r="L115" i="90"/>
  <c r="AB115" i="90" s="1"/>
  <c r="L115" i="93" s="1"/>
  <c r="AB115" i="93" s="1"/>
  <c r="L116" i="107" s="1"/>
  <c r="AB116" i="107" s="1"/>
  <c r="L117" i="108" s="1"/>
  <c r="AB117" i="108" s="1"/>
  <c r="L117" i="112" s="1"/>
  <c r="AB117" i="112" s="1"/>
  <c r="L117" i="113" s="1"/>
  <c r="AB117" i="113" s="1"/>
  <c r="L127" i="117" s="1"/>
  <c r="L136" i="90"/>
  <c r="AB136" i="90" s="1"/>
  <c r="L136" i="93" s="1"/>
  <c r="AB136" i="93" s="1"/>
  <c r="L137" i="107" s="1"/>
  <c r="AB137" i="107" s="1"/>
  <c r="L138" i="108" s="1"/>
  <c r="AB138" i="108" s="1"/>
  <c r="L138" i="112" s="1"/>
  <c r="AB138" i="112" s="1"/>
  <c r="L140" i="113" s="1"/>
  <c r="AB140" i="113" s="1"/>
  <c r="L151" i="117" s="1"/>
  <c r="AB151" i="117" s="1"/>
  <c r="L149" i="121" s="1"/>
  <c r="AB149" i="121" s="1"/>
  <c r="L149" i="122" s="1"/>
  <c r="L139" i="90"/>
  <c r="AB139" i="90" s="1"/>
  <c r="L139" i="93" s="1"/>
  <c r="AB139" i="93" s="1"/>
  <c r="L140" i="107" s="1"/>
  <c r="AB140" i="107" s="1"/>
  <c r="L141" i="108" s="1"/>
  <c r="AB141" i="108" s="1"/>
  <c r="L141" i="112" s="1"/>
  <c r="AB141" i="112" s="1"/>
  <c r="L143" i="113" s="1"/>
  <c r="AB143" i="113" s="1"/>
  <c r="L154" i="117" s="1"/>
  <c r="L178" i="90"/>
  <c r="AB178" i="90" s="1"/>
  <c r="L180" i="93" s="1"/>
  <c r="AB180" i="93" s="1"/>
  <c r="L187" i="107" s="1"/>
  <c r="AB187" i="107" s="1"/>
  <c r="L190" i="108" s="1"/>
  <c r="AB190" i="108" s="1"/>
  <c r="L192" i="112" s="1"/>
  <c r="AB192" i="112" s="1"/>
  <c r="L196" i="113" s="1"/>
  <c r="AB196" i="113" s="1"/>
  <c r="L208" i="117" s="1"/>
  <c r="L179" i="90"/>
  <c r="L181" i="90"/>
  <c r="L182" i="90"/>
  <c r="L183" i="90"/>
  <c r="L209" i="90"/>
  <c r="AB209" i="90" s="1"/>
  <c r="L217" i="93" s="1"/>
  <c r="AB217" i="93" s="1"/>
  <c r="L224" i="107" s="1"/>
  <c r="AB224" i="107" s="1"/>
  <c r="L227" i="108" s="1"/>
  <c r="AB227" i="108" s="1"/>
  <c r="L229" i="112" s="1"/>
  <c r="AB229" i="112" s="1"/>
  <c r="L233" i="113" s="1"/>
  <c r="AB233" i="113" s="1"/>
  <c r="L248" i="117" s="1"/>
  <c r="L210" i="90"/>
  <c r="AB210" i="90" s="1"/>
  <c r="L218" i="93" s="1"/>
  <c r="AB218" i="93" s="1"/>
  <c r="L225" i="107" s="1"/>
  <c r="AB225" i="107" s="1"/>
  <c r="L228" i="108" s="1"/>
  <c r="AB228" i="108" s="1"/>
  <c r="L230" i="112" s="1"/>
  <c r="AB230" i="112" s="1"/>
  <c r="L234" i="113" s="1"/>
  <c r="AB234" i="113" s="1"/>
  <c r="L249" i="117" s="1"/>
  <c r="L211" i="90"/>
  <c r="AB211" i="90" s="1"/>
  <c r="L219" i="93" s="1"/>
  <c r="AB219" i="93" s="1"/>
  <c r="L226" i="107" s="1"/>
  <c r="AB226" i="107" s="1"/>
  <c r="L229" i="108" s="1"/>
  <c r="K28" i="90"/>
  <c r="AA28" i="90" s="1"/>
  <c r="K28" i="93" s="1"/>
  <c r="AA28" i="93" s="1"/>
  <c r="K29" i="107" s="1"/>
  <c r="AA29" i="107" s="1"/>
  <c r="K29" i="108" s="1"/>
  <c r="AA29" i="108" s="1"/>
  <c r="K29" i="112" s="1"/>
  <c r="AA29" i="112" s="1"/>
  <c r="K29" i="113" s="1"/>
  <c r="AA29" i="113" s="1"/>
  <c r="K33" i="117" s="1"/>
  <c r="AA33" i="117" s="1"/>
  <c r="K34" i="121" s="1"/>
  <c r="AA34" i="121" s="1"/>
  <c r="K34" i="122" s="1"/>
  <c r="AA34" i="122" s="1"/>
  <c r="K67" i="90"/>
  <c r="AA67" i="90" s="1"/>
  <c r="K67" i="93" s="1"/>
  <c r="AA67" i="93" s="1"/>
  <c r="K68" i="107" s="1"/>
  <c r="AA68" i="107" s="1"/>
  <c r="K69" i="108" s="1"/>
  <c r="AA69" i="108" s="1"/>
  <c r="K69" i="112" s="1"/>
  <c r="AA69" i="112" s="1"/>
  <c r="K69" i="113" s="1"/>
  <c r="AA69" i="113" s="1"/>
  <c r="K79" i="117" s="1"/>
  <c r="AA79" i="117" s="1"/>
  <c r="K80" i="121" s="1"/>
  <c r="AA80" i="121" s="1"/>
  <c r="K80" i="122" s="1"/>
  <c r="AA80" i="122" s="1"/>
  <c r="K105" i="90"/>
  <c r="AA105" i="90" s="1"/>
  <c r="K105" i="93" s="1"/>
  <c r="AA105" i="93" s="1"/>
  <c r="K106" i="107" s="1"/>
  <c r="AA106" i="107" s="1"/>
  <c r="K107" i="108" s="1"/>
  <c r="AA107" i="108" s="1"/>
  <c r="K107" i="112" s="1"/>
  <c r="AA107" i="112" s="1"/>
  <c r="K107" i="113" s="1"/>
  <c r="AA107" i="113" s="1"/>
  <c r="K117" i="117" s="1"/>
  <c r="AA117" i="117" s="1"/>
  <c r="K115" i="121" s="1"/>
  <c r="AA115" i="121" s="1"/>
  <c r="K115" i="122" s="1"/>
  <c r="AA115" i="122" s="1"/>
  <c r="K136" i="90"/>
  <c r="AA136" i="90" s="1"/>
  <c r="K136" i="93" s="1"/>
  <c r="AA136" i="93" s="1"/>
  <c r="K137" i="107" s="1"/>
  <c r="K139" i="90"/>
  <c r="AA139" i="90" s="1"/>
  <c r="K139" i="93" s="1"/>
  <c r="AA139" i="93" s="1"/>
  <c r="K140" i="107" s="1"/>
  <c r="K179" i="90"/>
  <c r="AA179" i="90" s="1"/>
  <c r="K181" i="93" s="1"/>
  <c r="AA181" i="93" s="1"/>
  <c r="K188" i="107" s="1"/>
  <c r="AA188" i="107" s="1"/>
  <c r="K191" i="108" s="1"/>
  <c r="AA191" i="108" s="1"/>
  <c r="K193" i="112" s="1"/>
  <c r="AA193" i="112" s="1"/>
  <c r="K197" i="113" s="1"/>
  <c r="AA197" i="113" s="1"/>
  <c r="K209" i="117" s="1"/>
  <c r="AA209" i="117" s="1"/>
  <c r="K207" i="121" s="1"/>
  <c r="AA207" i="121" s="1"/>
  <c r="K207" i="122" s="1"/>
  <c r="AA207" i="122" s="1"/>
  <c r="K181" i="90"/>
  <c r="AA181" i="90" s="1"/>
  <c r="K185" i="93" s="1"/>
  <c r="AA185" i="93" s="1"/>
  <c r="K192" i="107" s="1"/>
  <c r="AA192" i="107" s="1"/>
  <c r="K195" i="108" s="1"/>
  <c r="AA195" i="108" s="1"/>
  <c r="K197" i="112" s="1"/>
  <c r="AA197" i="112" s="1"/>
  <c r="K201" i="113" s="1"/>
  <c r="AA201" i="113" s="1"/>
  <c r="K215" i="117" s="1"/>
  <c r="AA215" i="117" s="1"/>
  <c r="K214" i="121" s="1"/>
  <c r="AA214" i="121" s="1"/>
  <c r="K214" i="122" s="1"/>
  <c r="AA214" i="122" s="1"/>
  <c r="K182" i="90"/>
  <c r="AA182" i="90" s="1"/>
  <c r="K186" i="93" s="1"/>
  <c r="AA186" i="93" s="1"/>
  <c r="K193" i="107" s="1"/>
  <c r="AA193" i="107" s="1"/>
  <c r="K196" i="108" s="1"/>
  <c r="AA196" i="108" s="1"/>
  <c r="K198" i="112" s="1"/>
  <c r="AA198" i="112" s="1"/>
  <c r="K202" i="113" s="1"/>
  <c r="AA202" i="113" s="1"/>
  <c r="K216" i="117" s="1"/>
  <c r="AA216" i="117" s="1"/>
  <c r="K215" i="121" s="1"/>
  <c r="AA215" i="121" s="1"/>
  <c r="K215" i="122" s="1"/>
  <c r="AA215" i="122" s="1"/>
  <c r="K183" i="90"/>
  <c r="AA183" i="90" s="1"/>
  <c r="K187" i="93" s="1"/>
  <c r="AA187" i="93" s="1"/>
  <c r="K194" i="107" s="1"/>
  <c r="AA194" i="107" s="1"/>
  <c r="K197" i="108" s="1"/>
  <c r="AA197" i="108" s="1"/>
  <c r="K199" i="112" s="1"/>
  <c r="AA199" i="112" s="1"/>
  <c r="K203" i="113" s="1"/>
  <c r="AA203" i="113" s="1"/>
  <c r="K217" i="117" s="1"/>
  <c r="AA217" i="117" s="1"/>
  <c r="K216" i="121" s="1"/>
  <c r="AA216" i="121" s="1"/>
  <c r="K216" i="122" s="1"/>
  <c r="AA216" i="122" s="1"/>
  <c r="K209" i="90"/>
  <c r="AA209" i="90" s="1"/>
  <c r="K217" i="93" s="1"/>
  <c r="AA217" i="93" s="1"/>
  <c r="K224" i="107" s="1"/>
  <c r="AA224" i="107" s="1"/>
  <c r="K227" i="108" s="1"/>
  <c r="AA227" i="108" s="1"/>
  <c r="K229" i="112" s="1"/>
  <c r="AA229" i="112" s="1"/>
  <c r="K233" i="113" s="1"/>
  <c r="AA233" i="113" s="1"/>
  <c r="K248" i="117" s="1"/>
  <c r="AA248" i="117" s="1"/>
  <c r="K252" i="121" s="1"/>
  <c r="AA252" i="121" s="1"/>
  <c r="K252" i="122" s="1"/>
  <c r="AA252" i="122" s="1"/>
  <c r="K210" i="90"/>
  <c r="AA210" i="90" s="1"/>
  <c r="K218" i="93" s="1"/>
  <c r="AA218" i="93" s="1"/>
  <c r="K225" i="107" s="1"/>
  <c r="AA225" i="107" s="1"/>
  <c r="K228" i="108" s="1"/>
  <c r="AA228" i="108" s="1"/>
  <c r="K230" i="112" s="1"/>
  <c r="AA230" i="112" s="1"/>
  <c r="K234" i="113" s="1"/>
  <c r="AA234" i="113" s="1"/>
  <c r="K249" i="117" s="1"/>
  <c r="AA249" i="117" s="1"/>
  <c r="K253" i="121" s="1"/>
  <c r="AA253" i="121" s="1"/>
  <c r="K253" i="122" s="1"/>
  <c r="AA253" i="122" s="1"/>
  <c r="K211" i="90"/>
  <c r="AA211" i="90" s="1"/>
  <c r="K219" i="93" s="1"/>
  <c r="AA219" i="93" s="1"/>
  <c r="K226" i="107" s="1"/>
  <c r="AA226" i="107" s="1"/>
  <c r="K229" i="108" s="1"/>
  <c r="AA229" i="108" s="1"/>
  <c r="K231" i="112" s="1"/>
  <c r="AA231" i="112" s="1"/>
  <c r="K235" i="113" s="1"/>
  <c r="AA235" i="113" s="1"/>
  <c r="K250" i="117" s="1"/>
  <c r="AA250" i="117" s="1"/>
  <c r="K254" i="121" s="1"/>
  <c r="AA254" i="121" s="1"/>
  <c r="K254" i="122" s="1"/>
  <c r="AA254" i="122" s="1"/>
  <c r="J28" i="90"/>
  <c r="Z28" i="90" s="1"/>
  <c r="J28" i="93" s="1"/>
  <c r="Z28" i="93" s="1"/>
  <c r="J29" i="107" s="1"/>
  <c r="Z29" i="107" s="1"/>
  <c r="J29" i="108" s="1"/>
  <c r="Z29" i="108" s="1"/>
  <c r="J29" i="112" s="1"/>
  <c r="Z29" i="112" s="1"/>
  <c r="J29" i="113" s="1"/>
  <c r="Z29" i="113" s="1"/>
  <c r="J33" i="117" s="1"/>
  <c r="J67" i="90"/>
  <c r="Z67" i="90" s="1"/>
  <c r="J67" i="93" s="1"/>
  <c r="Z67" i="93" s="1"/>
  <c r="J68" i="107" s="1"/>
  <c r="Z68" i="107" s="1"/>
  <c r="J69" i="108" s="1"/>
  <c r="Z69" i="108" s="1"/>
  <c r="J69" i="112" s="1"/>
  <c r="Z69" i="112" s="1"/>
  <c r="J69" i="113" s="1"/>
  <c r="Z69" i="113" s="1"/>
  <c r="J79" i="117" s="1"/>
  <c r="Z79" i="117" s="1"/>
  <c r="J80" i="121" s="1"/>
  <c r="Z80" i="121" s="1"/>
  <c r="J80" i="122" s="1"/>
  <c r="Z80" i="122" s="1"/>
  <c r="J96" i="90"/>
  <c r="Z96" i="90" s="1"/>
  <c r="J96" i="93" s="1"/>
  <c r="Z96" i="93" s="1"/>
  <c r="J97" i="107" s="1"/>
  <c r="Z97" i="107" s="1"/>
  <c r="J98" i="108" s="1"/>
  <c r="Z98" i="108" s="1"/>
  <c r="J98" i="112" s="1"/>
  <c r="Z98" i="112" s="1"/>
  <c r="J98" i="113" s="1"/>
  <c r="Z98" i="113" s="1"/>
  <c r="J108" i="117" s="1"/>
  <c r="Z108" i="117" s="1"/>
  <c r="J106" i="121" s="1"/>
  <c r="Z106" i="121" s="1"/>
  <c r="J106" i="122" s="1"/>
  <c r="Z106" i="122" s="1"/>
  <c r="J97" i="90"/>
  <c r="Z97" i="90" s="1"/>
  <c r="J97" i="93" s="1"/>
  <c r="Z97" i="93" s="1"/>
  <c r="J98" i="107" s="1"/>
  <c r="Z98" i="107" s="1"/>
  <c r="J99" i="108" s="1"/>
  <c r="Z99" i="108" s="1"/>
  <c r="J99" i="112" s="1"/>
  <c r="Z99" i="112" s="1"/>
  <c r="J99" i="113" s="1"/>
  <c r="Z99" i="113" s="1"/>
  <c r="J109" i="117" s="1"/>
  <c r="Z109" i="117" s="1"/>
  <c r="J107" i="121" s="1"/>
  <c r="Z107" i="121" s="1"/>
  <c r="J107" i="122" s="1"/>
  <c r="Z107" i="122" s="1"/>
  <c r="J105" i="90"/>
  <c r="Z105" i="90" s="1"/>
  <c r="J105" i="93" s="1"/>
  <c r="Z105" i="93" s="1"/>
  <c r="J106" i="107" s="1"/>
  <c r="Z106" i="107" s="1"/>
  <c r="J107" i="108" s="1"/>
  <c r="Z107" i="108" s="1"/>
  <c r="J107" i="112" s="1"/>
  <c r="Z107" i="112" s="1"/>
  <c r="J107" i="113" s="1"/>
  <c r="Z107" i="113" s="1"/>
  <c r="J117" i="117" s="1"/>
  <c r="Z117" i="117" s="1"/>
  <c r="J115" i="121" s="1"/>
  <c r="Z115" i="121" s="1"/>
  <c r="J115" i="122" s="1"/>
  <c r="Z115" i="122" s="1"/>
  <c r="J115" i="90"/>
  <c r="Z115" i="90" s="1"/>
  <c r="J115" i="93" s="1"/>
  <c r="Z115" i="93" s="1"/>
  <c r="J116" i="107" s="1"/>
  <c r="Z116" i="107" s="1"/>
  <c r="J117" i="108" s="1"/>
  <c r="Z117" i="108" s="1"/>
  <c r="J117" i="112" s="1"/>
  <c r="Z117" i="112" s="1"/>
  <c r="J117" i="113" s="1"/>
  <c r="Z117" i="113" s="1"/>
  <c r="J127" i="117" s="1"/>
  <c r="Z127" i="117" s="1"/>
  <c r="J125" i="121" s="1"/>
  <c r="Z125" i="121" s="1"/>
  <c r="J125" i="122" s="1"/>
  <c r="Z125" i="122" s="1"/>
  <c r="J136" i="90"/>
  <c r="Z136" i="90" s="1"/>
  <c r="J136" i="93" s="1"/>
  <c r="Z136" i="93" s="1"/>
  <c r="J137" i="107" s="1"/>
  <c r="Z137" i="107" s="1"/>
  <c r="J138" i="108" s="1"/>
  <c r="Z138" i="108" s="1"/>
  <c r="J138" i="112" s="1"/>
  <c r="Z138" i="112" s="1"/>
  <c r="J140" i="113" s="1"/>
  <c r="Z140" i="113" s="1"/>
  <c r="J151" i="117" s="1"/>
  <c r="Z151" i="117" s="1"/>
  <c r="J149" i="121" s="1"/>
  <c r="Z149" i="121" s="1"/>
  <c r="J149" i="122" s="1"/>
  <c r="Z149" i="122" s="1"/>
  <c r="J139" i="90"/>
  <c r="Z139" i="90" s="1"/>
  <c r="J139" i="93" s="1"/>
  <c r="Z139" i="93" s="1"/>
  <c r="J140" i="107" s="1"/>
  <c r="Z140" i="107" s="1"/>
  <c r="J141" i="108" s="1"/>
  <c r="Z141" i="108" s="1"/>
  <c r="J141" i="112" s="1"/>
  <c r="Z141" i="112" s="1"/>
  <c r="J143" i="113" s="1"/>
  <c r="Z143" i="113" s="1"/>
  <c r="J154" i="117" s="1"/>
  <c r="Z154" i="117" s="1"/>
  <c r="J152" i="121" s="1"/>
  <c r="Z152" i="121" s="1"/>
  <c r="J152" i="122" s="1"/>
  <c r="Z152" i="122" s="1"/>
  <c r="J178" i="90"/>
  <c r="Z178" i="90" s="1"/>
  <c r="J180" i="93" s="1"/>
  <c r="Z180" i="93" s="1"/>
  <c r="J187" i="107" s="1"/>
  <c r="Z187" i="107" s="1"/>
  <c r="J190" i="108" s="1"/>
  <c r="Z190" i="108" s="1"/>
  <c r="J192" i="112" s="1"/>
  <c r="Z192" i="112" s="1"/>
  <c r="J196" i="113" s="1"/>
  <c r="Z196" i="113" s="1"/>
  <c r="J208" i="117" s="1"/>
  <c r="Z208" i="117" s="1"/>
  <c r="J206" i="121" s="1"/>
  <c r="Z206" i="121" s="1"/>
  <c r="J206" i="122" s="1"/>
  <c r="Z206" i="122" s="1"/>
  <c r="J179" i="90"/>
  <c r="Z179" i="90" s="1"/>
  <c r="J181" i="93" s="1"/>
  <c r="Z181" i="93" s="1"/>
  <c r="J188" i="107" s="1"/>
  <c r="Z188" i="107" s="1"/>
  <c r="J191" i="108" s="1"/>
  <c r="Z191" i="108" s="1"/>
  <c r="J193" i="112" s="1"/>
  <c r="Z193" i="112" s="1"/>
  <c r="J197" i="113" s="1"/>
  <c r="Z197" i="113" s="1"/>
  <c r="J209" i="117" s="1"/>
  <c r="Z209" i="117" s="1"/>
  <c r="J207" i="121" s="1"/>
  <c r="Z207" i="121" s="1"/>
  <c r="J207" i="122" s="1"/>
  <c r="Z207" i="122" s="1"/>
  <c r="J181" i="90"/>
  <c r="Z181" i="90" s="1"/>
  <c r="J185" i="93" s="1"/>
  <c r="Z185" i="93" s="1"/>
  <c r="J192" i="107" s="1"/>
  <c r="Z192" i="107" s="1"/>
  <c r="J195" i="108" s="1"/>
  <c r="Z195" i="108" s="1"/>
  <c r="J197" i="112" s="1"/>
  <c r="Z197" i="112" s="1"/>
  <c r="J201" i="113" s="1"/>
  <c r="Z201" i="113" s="1"/>
  <c r="J215" i="117" s="1"/>
  <c r="Z215" i="117" s="1"/>
  <c r="J214" i="121" s="1"/>
  <c r="Z214" i="121" s="1"/>
  <c r="J214" i="122" s="1"/>
  <c r="Z214" i="122" s="1"/>
  <c r="J182" i="90"/>
  <c r="Z182" i="90" s="1"/>
  <c r="J186" i="93" s="1"/>
  <c r="Z186" i="93" s="1"/>
  <c r="J193" i="107" s="1"/>
  <c r="Z193" i="107" s="1"/>
  <c r="J196" i="108" s="1"/>
  <c r="Z196" i="108" s="1"/>
  <c r="J198" i="112" s="1"/>
  <c r="Z198" i="112" s="1"/>
  <c r="J202" i="113" s="1"/>
  <c r="Z202" i="113" s="1"/>
  <c r="J216" i="117" s="1"/>
  <c r="Z216" i="117" s="1"/>
  <c r="J215" i="121" s="1"/>
  <c r="Z215" i="121" s="1"/>
  <c r="J215" i="122" s="1"/>
  <c r="Z215" i="122" s="1"/>
  <c r="J183" i="90"/>
  <c r="Z183" i="90" s="1"/>
  <c r="J187" i="93" s="1"/>
  <c r="Z187" i="93" s="1"/>
  <c r="J194" i="107" s="1"/>
  <c r="Z194" i="107" s="1"/>
  <c r="J197" i="108" s="1"/>
  <c r="Z197" i="108" s="1"/>
  <c r="J199" i="112" s="1"/>
  <c r="Z199" i="112" s="1"/>
  <c r="J203" i="113" s="1"/>
  <c r="Z203" i="113" s="1"/>
  <c r="J217" i="117" s="1"/>
  <c r="Z217" i="117" s="1"/>
  <c r="J216" i="121" s="1"/>
  <c r="Z216" i="121" s="1"/>
  <c r="J216" i="122" s="1"/>
  <c r="Z216" i="122" s="1"/>
  <c r="J209" i="90"/>
  <c r="Z209" i="90" s="1"/>
  <c r="J217" i="93" s="1"/>
  <c r="Z217" i="93" s="1"/>
  <c r="J224" i="107" s="1"/>
  <c r="Z224" i="107" s="1"/>
  <c r="J227" i="108" s="1"/>
  <c r="Z227" i="108" s="1"/>
  <c r="J229" i="112" s="1"/>
  <c r="Z229" i="112" s="1"/>
  <c r="J233" i="113" s="1"/>
  <c r="Z233" i="113" s="1"/>
  <c r="J248" i="117" s="1"/>
  <c r="Z248" i="117" s="1"/>
  <c r="J252" i="121" s="1"/>
  <c r="Z252" i="121" s="1"/>
  <c r="J252" i="122" s="1"/>
  <c r="Z252" i="122" s="1"/>
  <c r="J210" i="90"/>
  <c r="Z210" i="90" s="1"/>
  <c r="J218" i="93" s="1"/>
  <c r="Z218" i="93" s="1"/>
  <c r="J225" i="107" s="1"/>
  <c r="Z225" i="107" s="1"/>
  <c r="J228" i="108" s="1"/>
  <c r="Z228" i="108" s="1"/>
  <c r="J230" i="112" s="1"/>
  <c r="Z230" i="112" s="1"/>
  <c r="J234" i="113" s="1"/>
  <c r="Z234" i="113" s="1"/>
  <c r="J249" i="117" s="1"/>
  <c r="Z249" i="117" s="1"/>
  <c r="J253" i="121" s="1"/>
  <c r="Z253" i="121" s="1"/>
  <c r="J253" i="122" s="1"/>
  <c r="Z253" i="122" s="1"/>
  <c r="J211" i="90"/>
  <c r="Z211" i="90" s="1"/>
  <c r="J219" i="93" s="1"/>
  <c r="Z219" i="93" s="1"/>
  <c r="J226" i="107" s="1"/>
  <c r="Z226" i="107" s="1"/>
  <c r="J229" i="108" s="1"/>
  <c r="Z229" i="108" s="1"/>
  <c r="J231" i="112" s="1"/>
  <c r="Z231" i="112" s="1"/>
  <c r="J235" i="113" s="1"/>
  <c r="Z235" i="113" s="1"/>
  <c r="J250" i="117" s="1"/>
  <c r="Z250" i="117" s="1"/>
  <c r="J254" i="121" s="1"/>
  <c r="Z254" i="121" s="1"/>
  <c r="J254" i="122" s="1"/>
  <c r="Z254" i="122" s="1"/>
  <c r="H28" i="90"/>
  <c r="X28" i="90" s="1"/>
  <c r="H28" i="93" s="1"/>
  <c r="X28" i="93" s="1"/>
  <c r="H29" i="107" s="1"/>
  <c r="X29" i="107" s="1"/>
  <c r="H29" i="108" s="1"/>
  <c r="X29" i="108" s="1"/>
  <c r="H29" i="112" s="1"/>
  <c r="X29" i="112" s="1"/>
  <c r="H29" i="113" s="1"/>
  <c r="X29" i="113" s="1"/>
  <c r="H33" i="117" s="1"/>
  <c r="X33" i="117" s="1"/>
  <c r="H34" i="121" s="1"/>
  <c r="X34" i="121" s="1"/>
  <c r="H34" i="122" s="1"/>
  <c r="X34" i="122" s="1"/>
  <c r="H96" i="90"/>
  <c r="X96" i="90" s="1"/>
  <c r="H96" i="93" s="1"/>
  <c r="X96" i="93" s="1"/>
  <c r="H97" i="107" s="1"/>
  <c r="X97" i="107" s="1"/>
  <c r="H98" i="108" s="1"/>
  <c r="X98" i="108" s="1"/>
  <c r="H98" i="112" s="1"/>
  <c r="X98" i="112" s="1"/>
  <c r="H98" i="113" s="1"/>
  <c r="X98" i="113" s="1"/>
  <c r="H108" i="117" s="1"/>
  <c r="X108" i="117" s="1"/>
  <c r="H106" i="121" s="1"/>
  <c r="X106" i="121" s="1"/>
  <c r="H106" i="122" s="1"/>
  <c r="X106" i="122" s="1"/>
  <c r="H97" i="90"/>
  <c r="X97" i="90" s="1"/>
  <c r="H97" i="93" s="1"/>
  <c r="X97" i="93" s="1"/>
  <c r="H98" i="107" s="1"/>
  <c r="X98" i="107" s="1"/>
  <c r="H99" i="108" s="1"/>
  <c r="X99" i="108" s="1"/>
  <c r="H99" i="112" s="1"/>
  <c r="X99" i="112" s="1"/>
  <c r="H99" i="113" s="1"/>
  <c r="X99" i="113" s="1"/>
  <c r="H109" i="117" s="1"/>
  <c r="X109" i="117" s="1"/>
  <c r="H107" i="121" s="1"/>
  <c r="X107" i="121" s="1"/>
  <c r="H107" i="122" s="1"/>
  <c r="X107" i="122" s="1"/>
  <c r="H178" i="90"/>
  <c r="X178" i="90" s="1"/>
  <c r="H180" i="93" s="1"/>
  <c r="X180" i="93" s="1"/>
  <c r="H187" i="107" s="1"/>
  <c r="X187" i="107" s="1"/>
  <c r="H190" i="108" s="1"/>
  <c r="X190" i="108" s="1"/>
  <c r="H192" i="112" s="1"/>
  <c r="X192" i="112" s="1"/>
  <c r="H196" i="113" s="1"/>
  <c r="X196" i="113" s="1"/>
  <c r="H208" i="117" s="1"/>
  <c r="X208" i="117" s="1"/>
  <c r="H206" i="121" s="1"/>
  <c r="X206" i="121" s="1"/>
  <c r="H206" i="122" s="1"/>
  <c r="X206" i="122" s="1"/>
  <c r="H179" i="90"/>
  <c r="X179" i="90" s="1"/>
  <c r="H181" i="93" s="1"/>
  <c r="X181" i="93" s="1"/>
  <c r="H188" i="107" s="1"/>
  <c r="X188" i="107" s="1"/>
  <c r="H191" i="108" s="1"/>
  <c r="X191" i="108" s="1"/>
  <c r="H193" i="112" s="1"/>
  <c r="X193" i="112" s="1"/>
  <c r="H197" i="113" s="1"/>
  <c r="X197" i="113" s="1"/>
  <c r="H209" i="117" s="1"/>
  <c r="X209" i="117" s="1"/>
  <c r="H207" i="121" s="1"/>
  <c r="X207" i="121" s="1"/>
  <c r="H207" i="122" s="1"/>
  <c r="X207" i="122" s="1"/>
  <c r="H181" i="90"/>
  <c r="X181" i="90" s="1"/>
  <c r="H185" i="93" s="1"/>
  <c r="X185" i="93" s="1"/>
  <c r="H192" i="107" s="1"/>
  <c r="X192" i="107" s="1"/>
  <c r="H195" i="108" s="1"/>
  <c r="X195" i="108" s="1"/>
  <c r="H182" i="90"/>
  <c r="X182" i="90" s="1"/>
  <c r="H186" i="93" s="1"/>
  <c r="X186" i="93" s="1"/>
  <c r="H193" i="107" s="1"/>
  <c r="X193" i="107" s="1"/>
  <c r="H196" i="108" s="1"/>
  <c r="X196" i="108" s="1"/>
  <c r="H198" i="112" s="1"/>
  <c r="X198" i="112" s="1"/>
  <c r="H202" i="113" s="1"/>
  <c r="X202" i="113" s="1"/>
  <c r="H216" i="117" s="1"/>
  <c r="X216" i="117" s="1"/>
  <c r="H215" i="121" s="1"/>
  <c r="X215" i="121" s="1"/>
  <c r="H215" i="122" s="1"/>
  <c r="X215" i="122" s="1"/>
  <c r="H183" i="90"/>
  <c r="X183" i="90" s="1"/>
  <c r="H187" i="93" s="1"/>
  <c r="X187" i="93" s="1"/>
  <c r="H194" i="107" s="1"/>
  <c r="X194" i="107" s="1"/>
  <c r="H197" i="108" s="1"/>
  <c r="X197" i="108" s="1"/>
  <c r="H199" i="112" s="1"/>
  <c r="X199" i="112" s="1"/>
  <c r="H203" i="113" s="1"/>
  <c r="X203" i="113" s="1"/>
  <c r="H217" i="117" s="1"/>
  <c r="H209" i="90"/>
  <c r="X209" i="90" s="1"/>
  <c r="H217" i="93" s="1"/>
  <c r="X217" i="93" s="1"/>
  <c r="H224" i="107" s="1"/>
  <c r="X224" i="107" s="1"/>
  <c r="H227" i="108" s="1"/>
  <c r="X227" i="108" s="1"/>
  <c r="H229" i="112" s="1"/>
  <c r="X229" i="112" s="1"/>
  <c r="H233" i="113" s="1"/>
  <c r="X233" i="113" s="1"/>
  <c r="H248" i="117" s="1"/>
  <c r="X248" i="117" s="1"/>
  <c r="H252" i="121" s="1"/>
  <c r="X252" i="121" s="1"/>
  <c r="H252" i="122" s="1"/>
  <c r="X252" i="122" s="1"/>
  <c r="H210" i="90"/>
  <c r="X210" i="90" s="1"/>
  <c r="H218" i="93" s="1"/>
  <c r="X218" i="93" s="1"/>
  <c r="H225" i="107" s="1"/>
  <c r="X225" i="107" s="1"/>
  <c r="H228" i="108" s="1"/>
  <c r="X228" i="108" s="1"/>
  <c r="H230" i="112" s="1"/>
  <c r="X230" i="112" s="1"/>
  <c r="H234" i="113" s="1"/>
  <c r="X234" i="113" s="1"/>
  <c r="H249" i="117" s="1"/>
  <c r="X249" i="117" s="1"/>
  <c r="H253" i="121" s="1"/>
  <c r="X253" i="121" s="1"/>
  <c r="H253" i="122" s="1"/>
  <c r="X253" i="122" s="1"/>
  <c r="H211" i="90"/>
  <c r="X211" i="90" s="1"/>
  <c r="H219" i="93" s="1"/>
  <c r="X219" i="93" s="1"/>
  <c r="H226" i="107" s="1"/>
  <c r="X226" i="107" s="1"/>
  <c r="H229" i="108" s="1"/>
  <c r="X229" i="108" s="1"/>
  <c r="H231" i="112" s="1"/>
  <c r="X231" i="112" s="1"/>
  <c r="H235" i="113" s="1"/>
  <c r="X235" i="113" s="1"/>
  <c r="H250" i="117" s="1"/>
  <c r="X250" i="117" s="1"/>
  <c r="H254" i="121" s="1"/>
  <c r="X254" i="121" s="1"/>
  <c r="H254" i="122" s="1"/>
  <c r="X254" i="122" s="1"/>
  <c r="W25" i="90"/>
  <c r="G25" i="93" s="1"/>
  <c r="W25" i="93" s="1"/>
  <c r="G25" i="107" s="1"/>
  <c r="W25" i="107" s="1"/>
  <c r="G25" i="108" s="1"/>
  <c r="W25" i="108" s="1"/>
  <c r="G25" i="112" s="1"/>
  <c r="W25" i="112" s="1"/>
  <c r="G25" i="113" s="1"/>
  <c r="W25" i="113" s="1"/>
  <c r="G29" i="117" s="1"/>
  <c r="W29" i="117" s="1"/>
  <c r="G29" i="121" s="1"/>
  <c r="W29" i="121" s="1"/>
  <c r="G29" i="122" s="1"/>
  <c r="W29" i="122" s="1"/>
  <c r="W64" i="90"/>
  <c r="G64" i="93" s="1"/>
  <c r="W64" i="93" s="1"/>
  <c r="G65" i="107" s="1"/>
  <c r="W65" i="107" s="1"/>
  <c r="G66" i="108" s="1"/>
  <c r="W66" i="108" s="1"/>
  <c r="G66" i="112" s="1"/>
  <c r="W66" i="112" s="1"/>
  <c r="G66" i="113" s="1"/>
  <c r="W66" i="113" s="1"/>
  <c r="G76" i="117" s="1"/>
  <c r="W76" i="117" s="1"/>
  <c r="G77" i="121" s="1"/>
  <c r="W77" i="121" s="1"/>
  <c r="G77" i="122" s="1"/>
  <c r="W77" i="122" s="1"/>
  <c r="W93" i="90"/>
  <c r="G93" i="93" s="1"/>
  <c r="W93" i="93" s="1"/>
  <c r="G94" i="107" s="1"/>
  <c r="W94" i="107" s="1"/>
  <c r="G95" i="108" s="1"/>
  <c r="W95" i="108" s="1"/>
  <c r="G95" i="112" s="1"/>
  <c r="W95" i="112" s="1"/>
  <c r="G95" i="113" s="1"/>
  <c r="W95" i="113" s="1"/>
  <c r="G105" i="117" s="1"/>
  <c r="W105" i="117" s="1"/>
  <c r="G103" i="121" s="1"/>
  <c r="W103" i="121" s="1"/>
  <c r="G103" i="122" s="1"/>
  <c r="W103" i="122" s="1"/>
  <c r="W102" i="90"/>
  <c r="G102" i="93" s="1"/>
  <c r="W102" i="93" s="1"/>
  <c r="G103" i="107" s="1"/>
  <c r="W103" i="107" s="1"/>
  <c r="G104" i="108" s="1"/>
  <c r="W104" i="108" s="1"/>
  <c r="G104" i="112" s="1"/>
  <c r="W104" i="112" s="1"/>
  <c r="G104" i="113" s="1"/>
  <c r="W104" i="113" s="1"/>
  <c r="G114" i="117" s="1"/>
  <c r="W114" i="117" s="1"/>
  <c r="G112" i="121" s="1"/>
  <c r="W112" i="121" s="1"/>
  <c r="G112" i="122" s="1"/>
  <c r="W112" i="122" s="1"/>
  <c r="W112" i="90"/>
  <c r="G112" i="93" s="1"/>
  <c r="W112" i="93" s="1"/>
  <c r="G113" i="107" s="1"/>
  <c r="W113" i="107" s="1"/>
  <c r="G114" i="108" s="1"/>
  <c r="W114" i="108" s="1"/>
  <c r="G114" i="112" s="1"/>
  <c r="W114" i="112" s="1"/>
  <c r="G114" i="113" s="1"/>
  <c r="W114" i="113" s="1"/>
  <c r="G124" i="117" s="1"/>
  <c r="W124" i="117" s="1"/>
  <c r="G122" i="121" s="1"/>
  <c r="W122" i="121" s="1"/>
  <c r="G122" i="122" s="1"/>
  <c r="W122" i="122" s="1"/>
  <c r="W133" i="90"/>
  <c r="G133" i="93" s="1"/>
  <c r="W133" i="93" s="1"/>
  <c r="G134" i="107" s="1"/>
  <c r="W134" i="107" s="1"/>
  <c r="G135" i="108" s="1"/>
  <c r="W135" i="108" s="1"/>
  <c r="G135" i="112" s="1"/>
  <c r="W135" i="112" s="1"/>
  <c r="G137" i="113" s="1"/>
  <c r="W137" i="113" s="1"/>
  <c r="G148" i="117" s="1"/>
  <c r="W148" i="117" s="1"/>
  <c r="G146" i="121" s="1"/>
  <c r="W146" i="121" s="1"/>
  <c r="G146" i="122" s="1"/>
  <c r="W146" i="122" s="1"/>
  <c r="W136" i="90"/>
  <c r="G136" i="93" s="1"/>
  <c r="W136" i="93" s="1"/>
  <c r="G137" i="107" s="1"/>
  <c r="W137" i="107" s="1"/>
  <c r="G138" i="108" s="1"/>
  <c r="W138" i="108" s="1"/>
  <c r="G138" i="112" s="1"/>
  <c r="W138" i="112" s="1"/>
  <c r="G140" i="113" s="1"/>
  <c r="W140" i="113" s="1"/>
  <c r="G151" i="117" s="1"/>
  <c r="W151" i="117" s="1"/>
  <c r="G149" i="121" s="1"/>
  <c r="W149" i="121" s="1"/>
  <c r="G149" i="122" s="1"/>
  <c r="W149" i="122" s="1"/>
  <c r="W169" i="90"/>
  <c r="G171" i="93" s="1"/>
  <c r="W171" i="93" s="1"/>
  <c r="G177" i="107" s="1"/>
  <c r="W177" i="107" s="1"/>
  <c r="G180" i="108" s="1"/>
  <c r="W180" i="108" s="1"/>
  <c r="G182" i="112" s="1"/>
  <c r="W182" i="112" s="1"/>
  <c r="G186" i="113" s="1"/>
  <c r="W186" i="113" s="1"/>
  <c r="G198" i="117" s="1"/>
  <c r="W198" i="117" s="1"/>
  <c r="G196" i="121" s="1"/>
  <c r="W196" i="121" s="1"/>
  <c r="G196" i="122" s="1"/>
  <c r="W196" i="122" s="1"/>
  <c r="W170" i="90"/>
  <c r="G172" i="93" s="1"/>
  <c r="W172" i="93" s="1"/>
  <c r="G178" i="107" s="1"/>
  <c r="W178" i="107" s="1"/>
  <c r="G181" i="108" s="1"/>
  <c r="W181" i="108" s="1"/>
  <c r="G183" i="112" s="1"/>
  <c r="W183" i="112" s="1"/>
  <c r="G187" i="113" s="1"/>
  <c r="W187" i="113" s="1"/>
  <c r="G199" i="117" s="1"/>
  <c r="W199" i="117" s="1"/>
  <c r="G197" i="121" s="1"/>
  <c r="W197" i="121" s="1"/>
  <c r="G197" i="122" s="1"/>
  <c r="W197" i="122" s="1"/>
  <c r="W173" i="90"/>
  <c r="G175" i="93" s="1"/>
  <c r="W175" i="93" s="1"/>
  <c r="G182" i="107" s="1"/>
  <c r="W182" i="107" s="1"/>
  <c r="G185" i="108" s="1"/>
  <c r="W185" i="108" s="1"/>
  <c r="G187" i="112" s="1"/>
  <c r="W187" i="112" s="1"/>
  <c r="G191" i="113" s="1"/>
  <c r="W191" i="113" s="1"/>
  <c r="G203" i="117" s="1"/>
  <c r="W203" i="117" s="1"/>
  <c r="G201" i="121" s="1"/>
  <c r="W201" i="121" s="1"/>
  <c r="G201" i="122" s="1"/>
  <c r="W201" i="122" s="1"/>
  <c r="W174" i="90"/>
  <c r="G176" i="93" s="1"/>
  <c r="W176" i="93" s="1"/>
  <c r="G183" i="107" s="1"/>
  <c r="W183" i="107" s="1"/>
  <c r="G186" i="108" s="1"/>
  <c r="W186" i="108" s="1"/>
  <c r="G188" i="112" s="1"/>
  <c r="W188" i="112" s="1"/>
  <c r="G192" i="113" s="1"/>
  <c r="W192" i="113" s="1"/>
  <c r="G204" i="117" s="1"/>
  <c r="W204" i="117" s="1"/>
  <c r="G202" i="121" s="1"/>
  <c r="W202" i="121" s="1"/>
  <c r="G202" i="122" s="1"/>
  <c r="W202" i="122" s="1"/>
  <c r="W199" i="90"/>
  <c r="G206" i="93" s="1"/>
  <c r="W206" i="93" s="1"/>
  <c r="G213" i="107" s="1"/>
  <c r="W213" i="107" s="1"/>
  <c r="G216" i="108" s="1"/>
  <c r="W216" i="108" s="1"/>
  <c r="G218" i="112" s="1"/>
  <c r="W218" i="112" s="1"/>
  <c r="G222" i="113" s="1"/>
  <c r="W222" i="113" s="1"/>
  <c r="G237" i="117" s="1"/>
  <c r="W237" i="117" s="1"/>
  <c r="G241" i="121" s="1"/>
  <c r="W241" i="121" s="1"/>
  <c r="G241" i="122" s="1"/>
  <c r="W241" i="122" s="1"/>
  <c r="W201" i="90"/>
  <c r="G208" i="93" s="1"/>
  <c r="W208" i="93" s="1"/>
  <c r="G215" i="107" s="1"/>
  <c r="W215" i="107" s="1"/>
  <c r="G218" i="108" s="1"/>
  <c r="W218" i="108" s="1"/>
  <c r="G220" i="112" s="1"/>
  <c r="W220" i="112" s="1"/>
  <c r="G224" i="113" s="1"/>
  <c r="W224" i="113" s="1"/>
  <c r="G239" i="117" s="1"/>
  <c r="W239" i="117" s="1"/>
  <c r="G243" i="121" s="1"/>
  <c r="W243" i="121" s="1"/>
  <c r="G243" i="122" s="1"/>
  <c r="W243" i="122" s="1"/>
  <c r="W216" i="90"/>
  <c r="G226" i="93" s="1"/>
  <c r="W226" i="93" s="1"/>
  <c r="G233" i="107" s="1"/>
  <c r="W233" i="107" s="1"/>
  <c r="G236" i="108" s="1"/>
  <c r="W236" i="108" s="1"/>
  <c r="G238" i="112" s="1"/>
  <c r="W238" i="112" s="1"/>
  <c r="G243" i="113" s="1"/>
  <c r="W243" i="113" s="1"/>
  <c r="G258" i="117" s="1"/>
  <c r="W258" i="117" s="1"/>
  <c r="G262" i="121" s="1"/>
  <c r="W262" i="121" s="1"/>
  <c r="G262" i="122" s="1"/>
  <c r="W262" i="122" s="1"/>
  <c r="W219" i="90"/>
  <c r="G229" i="93" s="1"/>
  <c r="W229" i="93" s="1"/>
  <c r="G236" i="107" s="1"/>
  <c r="W236" i="107" s="1"/>
  <c r="G239" i="108" s="1"/>
  <c r="W239" i="108" s="1"/>
  <c r="G241" i="112" s="1"/>
  <c r="W241" i="112" s="1"/>
  <c r="G246" i="113" s="1"/>
  <c r="W246" i="113" s="1"/>
  <c r="G261" i="117" s="1"/>
  <c r="W261" i="117" s="1"/>
  <c r="G265" i="121" s="1"/>
  <c r="W265" i="121" s="1"/>
  <c r="G265" i="122" s="1"/>
  <c r="W265" i="122" s="1"/>
  <c r="W220" i="90"/>
  <c r="G230" i="93" s="1"/>
  <c r="W230" i="93" s="1"/>
  <c r="G237" i="107" s="1"/>
  <c r="W237" i="107" s="1"/>
  <c r="G240" i="108" s="1"/>
  <c r="W240" i="108" s="1"/>
  <c r="G242" i="112" s="1"/>
  <c r="W242" i="112" s="1"/>
  <c r="G247" i="113" s="1"/>
  <c r="W247" i="113" s="1"/>
  <c r="G262" i="117" s="1"/>
  <c r="W262" i="117" s="1"/>
  <c r="G266" i="121" s="1"/>
  <c r="W266" i="121" s="1"/>
  <c r="G266" i="122" s="1"/>
  <c r="W266" i="122" s="1"/>
  <c r="W222" i="90"/>
  <c r="F28" i="90"/>
  <c r="V28" i="90" s="1"/>
  <c r="F28" i="93" s="1"/>
  <c r="V28" i="93" s="1"/>
  <c r="F29" i="107" s="1"/>
  <c r="V29" i="107" s="1"/>
  <c r="F29" i="108" s="1"/>
  <c r="V29" i="108" s="1"/>
  <c r="F31" i="90"/>
  <c r="F67" i="90"/>
  <c r="V67" i="90" s="1"/>
  <c r="F67" i="93" s="1"/>
  <c r="V67" i="93" s="1"/>
  <c r="F68" i="107" s="1"/>
  <c r="V68" i="107" s="1"/>
  <c r="F69" i="108" s="1"/>
  <c r="V69" i="108" s="1"/>
  <c r="F69" i="112" s="1"/>
  <c r="V69" i="112" s="1"/>
  <c r="F69" i="113" s="1"/>
  <c r="V69" i="113" s="1"/>
  <c r="F79" i="117" s="1"/>
  <c r="V79" i="117" s="1"/>
  <c r="F80" i="121" s="1"/>
  <c r="V80" i="121" s="1"/>
  <c r="F80" i="122" s="1"/>
  <c r="V80" i="122" s="1"/>
  <c r="F96" i="90"/>
  <c r="V96" i="90" s="1"/>
  <c r="F96" i="93" s="1"/>
  <c r="V96" i="93" s="1"/>
  <c r="F97" i="107" s="1"/>
  <c r="V97" i="107" s="1"/>
  <c r="F98" i="108" s="1"/>
  <c r="V98" i="108" s="1"/>
  <c r="F98" i="112" s="1"/>
  <c r="V98" i="112" s="1"/>
  <c r="F98" i="113" s="1"/>
  <c r="V98" i="113" s="1"/>
  <c r="F108" i="117" s="1"/>
  <c r="V108" i="117" s="1"/>
  <c r="F106" i="121" s="1"/>
  <c r="V106" i="121" s="1"/>
  <c r="F106" i="122" s="1"/>
  <c r="V106" i="122" s="1"/>
  <c r="F97" i="90"/>
  <c r="V97" i="90" s="1"/>
  <c r="F97" i="93" s="1"/>
  <c r="V97" i="93" s="1"/>
  <c r="F98" i="107" s="1"/>
  <c r="V98" i="107" s="1"/>
  <c r="F99" i="108" s="1"/>
  <c r="V99" i="108" s="1"/>
  <c r="F99" i="112" s="1"/>
  <c r="V99" i="112" s="1"/>
  <c r="F99" i="113" s="1"/>
  <c r="V99" i="113" s="1"/>
  <c r="F109" i="117" s="1"/>
  <c r="V109" i="117" s="1"/>
  <c r="F107" i="121" s="1"/>
  <c r="V107" i="121" s="1"/>
  <c r="F107" i="122" s="1"/>
  <c r="V107" i="122" s="1"/>
  <c r="F105" i="90"/>
  <c r="V105" i="90" s="1"/>
  <c r="F105" i="93" s="1"/>
  <c r="V105" i="93" s="1"/>
  <c r="F106" i="107" s="1"/>
  <c r="V106" i="107" s="1"/>
  <c r="F107" i="108" s="1"/>
  <c r="V107" i="108" s="1"/>
  <c r="F107" i="112" s="1"/>
  <c r="V107" i="112" s="1"/>
  <c r="F107" i="113" s="1"/>
  <c r="V107" i="113" s="1"/>
  <c r="F117" i="117" s="1"/>
  <c r="V117" i="117" s="1"/>
  <c r="F115" i="121" s="1"/>
  <c r="V115" i="121" s="1"/>
  <c r="F115" i="122" s="1"/>
  <c r="V115" i="122" s="1"/>
  <c r="F115" i="90"/>
  <c r="V115" i="90" s="1"/>
  <c r="F115" i="93" s="1"/>
  <c r="V115" i="93" s="1"/>
  <c r="F116" i="107" s="1"/>
  <c r="V116" i="107" s="1"/>
  <c r="F117" i="108" s="1"/>
  <c r="V117" i="108" s="1"/>
  <c r="F117" i="112" s="1"/>
  <c r="V117" i="112" s="1"/>
  <c r="F117" i="113" s="1"/>
  <c r="V117" i="113" s="1"/>
  <c r="F127" i="117" s="1"/>
  <c r="V127" i="117" s="1"/>
  <c r="F125" i="121" s="1"/>
  <c r="V125" i="121" s="1"/>
  <c r="F125" i="122" s="1"/>
  <c r="V125" i="122" s="1"/>
  <c r="F136" i="90"/>
  <c r="V136" i="90" s="1"/>
  <c r="F136" i="93" s="1"/>
  <c r="V136" i="93" s="1"/>
  <c r="F137" i="107" s="1"/>
  <c r="V137" i="107" s="1"/>
  <c r="F138" i="108" s="1"/>
  <c r="V138" i="108" s="1"/>
  <c r="F138" i="112" s="1"/>
  <c r="V138" i="112" s="1"/>
  <c r="F140" i="113" s="1"/>
  <c r="V140" i="113" s="1"/>
  <c r="F151" i="117" s="1"/>
  <c r="V151" i="117" s="1"/>
  <c r="F149" i="121" s="1"/>
  <c r="V149" i="121" s="1"/>
  <c r="F149" i="122" s="1"/>
  <c r="V149" i="122" s="1"/>
  <c r="F139" i="90"/>
  <c r="V139" i="90" s="1"/>
  <c r="F139" i="93" s="1"/>
  <c r="V139" i="93" s="1"/>
  <c r="F140" i="107" s="1"/>
  <c r="V140" i="107" s="1"/>
  <c r="F141" i="108" s="1"/>
  <c r="V141" i="108" s="1"/>
  <c r="F141" i="112" s="1"/>
  <c r="V141" i="112" s="1"/>
  <c r="F143" i="113" s="1"/>
  <c r="V143" i="113" s="1"/>
  <c r="F154" i="117" s="1"/>
  <c r="V154" i="117" s="1"/>
  <c r="F152" i="121" s="1"/>
  <c r="V152" i="121" s="1"/>
  <c r="F152" i="122" s="1"/>
  <c r="V152" i="122" s="1"/>
  <c r="F209" i="90"/>
  <c r="F210" i="90"/>
  <c r="V210" i="90" s="1"/>
  <c r="F211" i="90"/>
  <c r="H235" i="90"/>
  <c r="H230" i="90"/>
  <c r="Y223" i="90"/>
  <c r="Y224" i="90" s="1"/>
  <c r="T223" i="90"/>
  <c r="S223" i="90"/>
  <c r="S224" i="90" s="1"/>
  <c r="R223" i="90"/>
  <c r="P223" i="90"/>
  <c r="O223" i="90"/>
  <c r="W223" i="90" s="1"/>
  <c r="N223" i="90"/>
  <c r="M222" i="90"/>
  <c r="N220" i="90"/>
  <c r="M219" i="90"/>
  <c r="T217" i="90"/>
  <c r="S217" i="90"/>
  <c r="R217" i="90"/>
  <c r="P217" i="90"/>
  <c r="O217" i="90"/>
  <c r="W217" i="90" s="1"/>
  <c r="G227" i="93" s="1"/>
  <c r="W227" i="93" s="1"/>
  <c r="G234" i="107" s="1"/>
  <c r="W234" i="107" s="1"/>
  <c r="G237" i="108" s="1"/>
  <c r="W237" i="108" s="1"/>
  <c r="G239" i="112" s="1"/>
  <c r="W239" i="112" s="1"/>
  <c r="G244" i="113" s="1"/>
  <c r="W244" i="113" s="1"/>
  <c r="G259" i="117" s="1"/>
  <c r="W259" i="117" s="1"/>
  <c r="G263" i="121" s="1"/>
  <c r="W263" i="121" s="1"/>
  <c r="G263" i="122" s="1"/>
  <c r="W263" i="122" s="1"/>
  <c r="N217" i="90"/>
  <c r="M216" i="90"/>
  <c r="M215" i="90"/>
  <c r="Y214" i="90"/>
  <c r="T214" i="90"/>
  <c r="S214" i="90"/>
  <c r="R214" i="90"/>
  <c r="Q214" i="90"/>
  <c r="P214" i="90"/>
  <c r="O214" i="90"/>
  <c r="N214" i="90"/>
  <c r="M213" i="90"/>
  <c r="M214" i="90" s="1"/>
  <c r="Y212" i="90"/>
  <c r="T212" i="90"/>
  <c r="S212" i="90"/>
  <c r="R212" i="90"/>
  <c r="Q212" i="90"/>
  <c r="P212" i="90"/>
  <c r="O212" i="90"/>
  <c r="N212" i="90"/>
  <c r="I212" i="90"/>
  <c r="M211" i="90"/>
  <c r="M210" i="90"/>
  <c r="M209" i="90"/>
  <c r="M208" i="90"/>
  <c r="M207" i="90"/>
  <c r="Y206" i="90"/>
  <c r="T206" i="90"/>
  <c r="S206" i="90"/>
  <c r="R206" i="90"/>
  <c r="Q206" i="90"/>
  <c r="P206" i="90"/>
  <c r="O206" i="90"/>
  <c r="N206" i="90"/>
  <c r="M205" i="90"/>
  <c r="M204" i="90"/>
  <c r="M203" i="90"/>
  <c r="Y202" i="90"/>
  <c r="T202" i="90"/>
  <c r="S202" i="90"/>
  <c r="R202" i="90"/>
  <c r="P202" i="90"/>
  <c r="O202" i="90"/>
  <c r="N202" i="90"/>
  <c r="I202" i="90"/>
  <c r="M201" i="90"/>
  <c r="Y200" i="90"/>
  <c r="T200" i="90"/>
  <c r="S200" i="90"/>
  <c r="R200" i="90"/>
  <c r="P200" i="90"/>
  <c r="O200" i="90"/>
  <c r="W200" i="90" s="1"/>
  <c r="G207" i="93" s="1"/>
  <c r="W207" i="93" s="1"/>
  <c r="G214" i="107" s="1"/>
  <c r="W214" i="107" s="1"/>
  <c r="G217" i="108" s="1"/>
  <c r="W217" i="108" s="1"/>
  <c r="G219" i="112" s="1"/>
  <c r="W219" i="112" s="1"/>
  <c r="G223" i="113" s="1"/>
  <c r="W223" i="113" s="1"/>
  <c r="G238" i="117" s="1"/>
  <c r="W238" i="117" s="1"/>
  <c r="G242" i="121" s="1"/>
  <c r="W242" i="121" s="1"/>
  <c r="G242" i="122" s="1"/>
  <c r="W242" i="122" s="1"/>
  <c r="N200" i="90"/>
  <c r="I200" i="90"/>
  <c r="M199" i="90"/>
  <c r="Y198" i="90"/>
  <c r="T198" i="90"/>
  <c r="S198" i="90"/>
  <c r="R198" i="90"/>
  <c r="P198" i="90"/>
  <c r="O198" i="90"/>
  <c r="N198" i="90"/>
  <c r="I198" i="90"/>
  <c r="M197" i="90"/>
  <c r="M196" i="90"/>
  <c r="Y195" i="90"/>
  <c r="T195" i="90"/>
  <c r="S195" i="90"/>
  <c r="R195" i="90"/>
  <c r="P195" i="90"/>
  <c r="O195" i="90"/>
  <c r="N195" i="90"/>
  <c r="I195" i="90"/>
  <c r="M194" i="90"/>
  <c r="Y193" i="90"/>
  <c r="T193" i="90"/>
  <c r="S193" i="90"/>
  <c r="R193" i="90"/>
  <c r="P193" i="90"/>
  <c r="O193" i="90"/>
  <c r="N193" i="90"/>
  <c r="I193" i="90"/>
  <c r="M192" i="90"/>
  <c r="T191" i="90"/>
  <c r="S191" i="90"/>
  <c r="R191" i="90"/>
  <c r="P191" i="90"/>
  <c r="O191" i="90"/>
  <c r="N191" i="90"/>
  <c r="M189" i="90"/>
  <c r="AC187" i="90"/>
  <c r="AC188" i="90" s="1"/>
  <c r="Y187" i="90"/>
  <c r="T187" i="90"/>
  <c r="R187" i="90"/>
  <c r="Q187" i="90"/>
  <c r="P187" i="90"/>
  <c r="O187" i="90"/>
  <c r="N187" i="90"/>
  <c r="M183" i="90"/>
  <c r="M182" i="90"/>
  <c r="M181" i="90"/>
  <c r="Y180" i="90"/>
  <c r="T180" i="90"/>
  <c r="S180" i="90"/>
  <c r="R180" i="90"/>
  <c r="Q180" i="90"/>
  <c r="P180" i="90"/>
  <c r="O180" i="90"/>
  <c r="N180" i="90"/>
  <c r="I180" i="90"/>
  <c r="M179" i="90"/>
  <c r="M178" i="90"/>
  <c r="M177" i="90"/>
  <c r="M176" i="90"/>
  <c r="T175" i="90"/>
  <c r="S175" i="90"/>
  <c r="R175" i="90"/>
  <c r="P175" i="90"/>
  <c r="O175" i="90"/>
  <c r="N175" i="90"/>
  <c r="M174" i="90"/>
  <c r="M173" i="90"/>
  <c r="T171" i="90"/>
  <c r="S171" i="90"/>
  <c r="R171" i="90"/>
  <c r="P171" i="90"/>
  <c r="O171" i="90"/>
  <c r="M170" i="90"/>
  <c r="M169" i="90"/>
  <c r="M168" i="90"/>
  <c r="M167" i="90"/>
  <c r="M166" i="90"/>
  <c r="M165" i="90"/>
  <c r="T164" i="90"/>
  <c r="R164" i="90"/>
  <c r="P164" i="90"/>
  <c r="O164" i="90"/>
  <c r="N164" i="90"/>
  <c r="M161" i="90"/>
  <c r="M160" i="90"/>
  <c r="M159" i="90"/>
  <c r="M158" i="90"/>
  <c r="M157" i="90"/>
  <c r="M156" i="90"/>
  <c r="M155" i="90"/>
  <c r="M154" i="90"/>
  <c r="M153" i="90"/>
  <c r="M152" i="90"/>
  <c r="M151" i="90"/>
  <c r="T150" i="90"/>
  <c r="R150" i="90"/>
  <c r="P150" i="90"/>
  <c r="O150" i="90"/>
  <c r="N150" i="90"/>
  <c r="M149" i="90"/>
  <c r="M148" i="90"/>
  <c r="M147" i="90"/>
  <c r="M146" i="90"/>
  <c r="M145" i="90"/>
  <c r="M144" i="90"/>
  <c r="M142" i="90"/>
  <c r="T141" i="90"/>
  <c r="R141" i="90"/>
  <c r="P141" i="90"/>
  <c r="O141" i="90"/>
  <c r="N141" i="90"/>
  <c r="M139" i="90"/>
  <c r="M138" i="90"/>
  <c r="M137" i="90"/>
  <c r="M136" i="90"/>
  <c r="M135" i="90"/>
  <c r="M134" i="90"/>
  <c r="M133" i="90"/>
  <c r="M132" i="90"/>
  <c r="M131" i="90"/>
  <c r="M130" i="90"/>
  <c r="M129" i="90"/>
  <c r="M128" i="90"/>
  <c r="M127" i="90"/>
  <c r="M126" i="90"/>
  <c r="M125" i="90"/>
  <c r="M124" i="90"/>
  <c r="M123" i="90"/>
  <c r="M122" i="90"/>
  <c r="M121" i="90"/>
  <c r="T120" i="90"/>
  <c r="R120" i="90"/>
  <c r="P120" i="90"/>
  <c r="O120" i="90"/>
  <c r="N120" i="90"/>
  <c r="M116" i="90"/>
  <c r="M115" i="90"/>
  <c r="M114" i="90"/>
  <c r="M113" i="90"/>
  <c r="M112" i="90"/>
  <c r="M111" i="90"/>
  <c r="M110" i="90"/>
  <c r="M109" i="90"/>
  <c r="M108" i="90"/>
  <c r="M107" i="90"/>
  <c r="M106" i="90"/>
  <c r="M105" i="90"/>
  <c r="M104" i="90"/>
  <c r="M103" i="90"/>
  <c r="M102" i="90"/>
  <c r="M101" i="90"/>
  <c r="M100" i="90"/>
  <c r="M99" i="90"/>
  <c r="M98" i="90"/>
  <c r="M96" i="90"/>
  <c r="T94" i="90"/>
  <c r="S94" i="90"/>
  <c r="R94" i="90"/>
  <c r="P94" i="90"/>
  <c r="O94" i="90"/>
  <c r="N94" i="90"/>
  <c r="M93" i="90"/>
  <c r="M92" i="90"/>
  <c r="M91" i="90"/>
  <c r="M90" i="90"/>
  <c r="M89" i="90"/>
  <c r="M88" i="90"/>
  <c r="M87" i="90"/>
  <c r="T86" i="90"/>
  <c r="S86" i="90"/>
  <c r="R86" i="90"/>
  <c r="P86" i="90"/>
  <c r="O86" i="90"/>
  <c r="N86" i="90"/>
  <c r="M85" i="90"/>
  <c r="M84" i="90"/>
  <c r="M83" i="90"/>
  <c r="M82" i="90"/>
  <c r="M81" i="90"/>
  <c r="M80" i="90"/>
  <c r="M79" i="90"/>
  <c r="T77" i="90"/>
  <c r="T78" i="90" s="1"/>
  <c r="S77" i="90"/>
  <c r="S78" i="90" s="1"/>
  <c r="R77" i="90"/>
  <c r="R78" i="90" s="1"/>
  <c r="P77" i="90"/>
  <c r="P78" i="90" s="1"/>
  <c r="O77" i="90"/>
  <c r="O78" i="90" s="1"/>
  <c r="N77" i="90"/>
  <c r="N78" i="90" s="1"/>
  <c r="M76" i="90"/>
  <c r="M75" i="90"/>
  <c r="M74" i="90"/>
  <c r="M73" i="90"/>
  <c r="M72" i="90"/>
  <c r="M71" i="90"/>
  <c r="M70" i="90"/>
  <c r="M69" i="90"/>
  <c r="M68" i="90"/>
  <c r="M67" i="90"/>
  <c r="M66" i="90"/>
  <c r="M65" i="90"/>
  <c r="M64" i="90"/>
  <c r="M63" i="90"/>
  <c r="M62" i="90"/>
  <c r="M61" i="90"/>
  <c r="M60" i="90"/>
  <c r="M59" i="90"/>
  <c r="M58" i="90"/>
  <c r="T56" i="90"/>
  <c r="S56" i="90"/>
  <c r="R56" i="90"/>
  <c r="P56" i="90"/>
  <c r="O56" i="90"/>
  <c r="N56" i="90"/>
  <c r="M55" i="90"/>
  <c r="M54" i="90"/>
  <c r="M53" i="90"/>
  <c r="T52" i="90"/>
  <c r="S52" i="90"/>
  <c r="R52" i="90"/>
  <c r="P52" i="90"/>
  <c r="O52" i="90"/>
  <c r="N52" i="90"/>
  <c r="M51" i="90"/>
  <c r="M50" i="90"/>
  <c r="M49" i="90"/>
  <c r="T48" i="90"/>
  <c r="S48" i="90"/>
  <c r="R48" i="90"/>
  <c r="P48" i="90"/>
  <c r="M47" i="90"/>
  <c r="M46" i="90"/>
  <c r="O48" i="90"/>
  <c r="M43" i="90"/>
  <c r="N42" i="90"/>
  <c r="M41" i="90"/>
  <c r="Y40" i="90"/>
  <c r="Y42" i="90" s="1"/>
  <c r="T40" i="90"/>
  <c r="T42" i="90" s="1"/>
  <c r="S40" i="90"/>
  <c r="S42" i="90" s="1"/>
  <c r="R40" i="90"/>
  <c r="R42" i="90" s="1"/>
  <c r="P40" i="90"/>
  <c r="O40" i="90"/>
  <c r="O42" i="90" s="1"/>
  <c r="N40" i="90"/>
  <c r="M39" i="90"/>
  <c r="M38" i="90"/>
  <c r="T35" i="90"/>
  <c r="S35" i="90"/>
  <c r="R35" i="90"/>
  <c r="P35" i="90"/>
  <c r="M34" i="90"/>
  <c r="M33" i="90"/>
  <c r="O35" i="90"/>
  <c r="N35" i="90"/>
  <c r="M31" i="90"/>
  <c r="M30" i="90"/>
  <c r="Y29" i="90"/>
  <c r="T29" i="90"/>
  <c r="R29" i="90"/>
  <c r="Q29" i="90"/>
  <c r="P29" i="90"/>
  <c r="O29" i="90"/>
  <c r="N29" i="90"/>
  <c r="I29" i="90"/>
  <c r="I225" i="90" s="1"/>
  <c r="B29" i="90"/>
  <c r="M28" i="90"/>
  <c r="M27" i="90"/>
  <c r="M25" i="90"/>
  <c r="M21" i="90"/>
  <c r="M20" i="90"/>
  <c r="M19" i="90"/>
  <c r="M18" i="90"/>
  <c r="M17" i="90"/>
  <c r="M16" i="90"/>
  <c r="M15" i="90"/>
  <c r="M14" i="90"/>
  <c r="M13" i="90"/>
  <c r="M12" i="90"/>
  <c r="M11" i="90"/>
  <c r="AB149" i="122" l="1"/>
  <c r="F29" i="112"/>
  <c r="V29" i="112" s="1"/>
  <c r="Z33" i="117"/>
  <c r="J34" i="121" s="1"/>
  <c r="Z34" i="121" s="1"/>
  <c r="J34" i="122" s="1"/>
  <c r="Z34" i="122" s="1"/>
  <c r="AB208" i="117"/>
  <c r="L206" i="121" s="1"/>
  <c r="AB206" i="121" s="1"/>
  <c r="L206" i="122" s="1"/>
  <c r="AB117" i="117"/>
  <c r="L115" i="121" s="1"/>
  <c r="AB115" i="121" s="1"/>
  <c r="L115" i="122" s="1"/>
  <c r="X217" i="117"/>
  <c r="H216" i="121" s="1"/>
  <c r="X216" i="121" s="1"/>
  <c r="H216" i="122" s="1"/>
  <c r="X216" i="122" s="1"/>
  <c r="AB229" i="108"/>
  <c r="L231" i="112" s="1"/>
  <c r="AB154" i="117"/>
  <c r="L152" i="121" s="1"/>
  <c r="AB152" i="121" s="1"/>
  <c r="L152" i="122" s="1"/>
  <c r="AB109" i="117"/>
  <c r="L107" i="121" s="1"/>
  <c r="AB107" i="121" s="1"/>
  <c r="L107" i="122" s="1"/>
  <c r="AB24" i="113"/>
  <c r="AB249" i="117"/>
  <c r="L253" i="121" s="1"/>
  <c r="AB253" i="121" s="1"/>
  <c r="L253" i="122" s="1"/>
  <c r="AB108" i="117"/>
  <c r="L106" i="121" s="1"/>
  <c r="AB106" i="121" s="1"/>
  <c r="L106" i="122" s="1"/>
  <c r="AB22" i="113"/>
  <c r="AB23" i="113"/>
  <c r="H197" i="112"/>
  <c r="X197" i="112" s="1"/>
  <c r="AB248" i="117"/>
  <c r="L252" i="121" s="1"/>
  <c r="AB252" i="121" s="1"/>
  <c r="L252" i="122" s="1"/>
  <c r="AB127" i="117"/>
  <c r="L125" i="121" s="1"/>
  <c r="AB125" i="121" s="1"/>
  <c r="L125" i="122" s="1"/>
  <c r="AB79" i="117"/>
  <c r="L80" i="121" s="1"/>
  <c r="AB80" i="121" s="1"/>
  <c r="L80" i="122" s="1"/>
  <c r="N95" i="90"/>
  <c r="S95" i="90"/>
  <c r="M120" i="90"/>
  <c r="Q188" i="90"/>
  <c r="P218" i="90"/>
  <c r="T218" i="90"/>
  <c r="M220" i="90"/>
  <c r="U210" i="90"/>
  <c r="F218" i="93"/>
  <c r="V218" i="93" s="1"/>
  <c r="F225" i="107" s="1"/>
  <c r="V225" i="107" s="1"/>
  <c r="F228" i="108" s="1"/>
  <c r="V228" i="108" s="1"/>
  <c r="F230" i="112" s="1"/>
  <c r="V230" i="112" s="1"/>
  <c r="F234" i="113" s="1"/>
  <c r="V234" i="113" s="1"/>
  <c r="F249" i="117" s="1"/>
  <c r="V249" i="117" s="1"/>
  <c r="F253" i="121" s="1"/>
  <c r="V253" i="121" s="1"/>
  <c r="F253" i="122" s="1"/>
  <c r="V253" i="122" s="1"/>
  <c r="M29" i="90"/>
  <c r="R95" i="90"/>
  <c r="M187" i="90"/>
  <c r="O218" i="90"/>
  <c r="W218" i="90" s="1"/>
  <c r="G228" i="93" s="1"/>
  <c r="W228" i="93" s="1"/>
  <c r="G235" i="107" s="1"/>
  <c r="W235" i="107" s="1"/>
  <c r="G238" i="108" s="1"/>
  <c r="W238" i="108" s="1"/>
  <c r="G240" i="112" s="1"/>
  <c r="W240" i="112" s="1"/>
  <c r="G245" i="113" s="1"/>
  <c r="W245" i="113" s="1"/>
  <c r="G260" i="117" s="1"/>
  <c r="W260" i="117" s="1"/>
  <c r="G264" i="121" s="1"/>
  <c r="W264" i="121" s="1"/>
  <c r="G264" i="122" s="1"/>
  <c r="W264" i="122" s="1"/>
  <c r="AB28" i="93"/>
  <c r="L29" i="107" s="1"/>
  <c r="AB29" i="107" s="1"/>
  <c r="L29" i="108" s="1"/>
  <c r="Q218" i="90"/>
  <c r="V209" i="90"/>
  <c r="V211" i="90"/>
  <c r="M175" i="90"/>
  <c r="O57" i="90"/>
  <c r="O95" i="90"/>
  <c r="T95" i="90"/>
  <c r="M52" i="90"/>
  <c r="M164" i="90"/>
  <c r="N57" i="90"/>
  <c r="S57" i="90"/>
  <c r="M86" i="90"/>
  <c r="R172" i="90"/>
  <c r="M200" i="90"/>
  <c r="V31" i="90"/>
  <c r="F31" i="93" s="1"/>
  <c r="V31" i="93" s="1"/>
  <c r="F32" i="107" s="1"/>
  <c r="V32" i="107" s="1"/>
  <c r="F32" i="108" s="1"/>
  <c r="V32" i="108" s="1"/>
  <c r="F32" i="112" s="1"/>
  <c r="V32" i="112" s="1"/>
  <c r="F32" i="113" s="1"/>
  <c r="V32" i="113" s="1"/>
  <c r="F36" i="117" s="1"/>
  <c r="V36" i="117" s="1"/>
  <c r="F37" i="121" s="1"/>
  <c r="V37" i="121" s="1"/>
  <c r="F37" i="122" s="1"/>
  <c r="V37" i="122" s="1"/>
  <c r="W94" i="90"/>
  <c r="G94" i="93" s="1"/>
  <c r="W94" i="93" s="1"/>
  <c r="G95" i="107" s="1"/>
  <c r="W95" i="107" s="1"/>
  <c r="G96" i="108" s="1"/>
  <c r="W96" i="108" s="1"/>
  <c r="G96" i="112" s="1"/>
  <c r="W96" i="112" s="1"/>
  <c r="G96" i="113" s="1"/>
  <c r="W96" i="113" s="1"/>
  <c r="G106" i="117" s="1"/>
  <c r="W106" i="117" s="1"/>
  <c r="G104" i="121" s="1"/>
  <c r="W104" i="121" s="1"/>
  <c r="G104" i="122" s="1"/>
  <c r="W104" i="122" s="1"/>
  <c r="AB182" i="90"/>
  <c r="L186" i="93" s="1"/>
  <c r="AB186" i="93" s="1"/>
  <c r="L193" i="107" s="1"/>
  <c r="AB193" i="107" s="1"/>
  <c r="L196" i="108" s="1"/>
  <c r="AB196" i="108" s="1"/>
  <c r="L198" i="112" s="1"/>
  <c r="AB198" i="112" s="1"/>
  <c r="L202" i="113" s="1"/>
  <c r="AB202" i="113" s="1"/>
  <c r="L216" i="117" s="1"/>
  <c r="M35" i="90"/>
  <c r="M48" i="90"/>
  <c r="T57" i="90"/>
  <c r="O143" i="90"/>
  <c r="T143" i="90"/>
  <c r="R188" i="90"/>
  <c r="AB181" i="90"/>
  <c r="L185" i="93" s="1"/>
  <c r="AB185" i="93" s="1"/>
  <c r="L192" i="107" s="1"/>
  <c r="AB192" i="107" s="1"/>
  <c r="L195" i="108" s="1"/>
  <c r="AB195" i="108" s="1"/>
  <c r="L197" i="112" s="1"/>
  <c r="AB197" i="112" s="1"/>
  <c r="L201" i="113" s="1"/>
  <c r="AB201" i="113" s="1"/>
  <c r="L215" i="117" s="1"/>
  <c r="R57" i="90"/>
  <c r="P57" i="90"/>
  <c r="M141" i="90"/>
  <c r="O188" i="90"/>
  <c r="S188" i="90"/>
  <c r="AB179" i="90"/>
  <c r="L181" i="93" s="1"/>
  <c r="AB181" i="93" s="1"/>
  <c r="L188" i="107" s="1"/>
  <c r="AB188" i="107" s="1"/>
  <c r="L191" i="108" s="1"/>
  <c r="AB191" i="108" s="1"/>
  <c r="L193" i="112" s="1"/>
  <c r="AB193" i="112" s="1"/>
  <c r="L197" i="113" s="1"/>
  <c r="AB197" i="113" s="1"/>
  <c r="L209" i="117" s="1"/>
  <c r="AB183" i="90"/>
  <c r="L187" i="93" s="1"/>
  <c r="AB187" i="93" s="1"/>
  <c r="L194" i="107" s="1"/>
  <c r="AB194" i="107" s="1"/>
  <c r="L197" i="108" s="1"/>
  <c r="AB197" i="108" s="1"/>
  <c r="L199" i="112" s="1"/>
  <c r="AB199" i="112" s="1"/>
  <c r="L203" i="113" s="1"/>
  <c r="AB203" i="113" s="1"/>
  <c r="L217" i="117" s="1"/>
  <c r="AB217" i="117" s="1"/>
  <c r="L216" i="121" s="1"/>
  <c r="AB216" i="121" s="1"/>
  <c r="L216" i="122" s="1"/>
  <c r="M191" i="90"/>
  <c r="M180" i="90"/>
  <c r="P188" i="90"/>
  <c r="M202" i="90"/>
  <c r="N188" i="90"/>
  <c r="M212" i="90"/>
  <c r="M77" i="90"/>
  <c r="M150" i="90"/>
  <c r="M195" i="90"/>
  <c r="Y188" i="90"/>
  <c r="Y221" i="90" s="1"/>
  <c r="Y225" i="90" s="1"/>
  <c r="M78" i="90"/>
  <c r="M40" i="90"/>
  <c r="P42" i="90"/>
  <c r="M42" i="90" s="1"/>
  <c r="M56" i="90"/>
  <c r="M94" i="90"/>
  <c r="M32" i="90"/>
  <c r="M44" i="90"/>
  <c r="M45" i="90"/>
  <c r="P95" i="90"/>
  <c r="R143" i="90"/>
  <c r="N143" i="90"/>
  <c r="P143" i="90"/>
  <c r="N172" i="90"/>
  <c r="M171" i="90"/>
  <c r="S172" i="90"/>
  <c r="O172" i="90"/>
  <c r="W172" i="90" s="1"/>
  <c r="G174" i="93" s="1"/>
  <c r="W174" i="93" s="1"/>
  <c r="G181" i="107" s="1"/>
  <c r="W181" i="107" s="1"/>
  <c r="G184" i="108" s="1"/>
  <c r="W184" i="108" s="1"/>
  <c r="G186" i="112" s="1"/>
  <c r="W186" i="112" s="1"/>
  <c r="G190" i="113" s="1"/>
  <c r="W190" i="113" s="1"/>
  <c r="G202" i="117" s="1"/>
  <c r="W202" i="117" s="1"/>
  <c r="G200" i="121" s="1"/>
  <c r="W200" i="121" s="1"/>
  <c r="G200" i="122" s="1"/>
  <c r="W200" i="122" s="1"/>
  <c r="T172" i="90"/>
  <c r="P172" i="90"/>
  <c r="T188" i="90"/>
  <c r="M198" i="90"/>
  <c r="N218" i="90"/>
  <c r="R218" i="90"/>
  <c r="M217" i="90"/>
  <c r="M193" i="90"/>
  <c r="M206" i="90"/>
  <c r="S218" i="90"/>
  <c r="M223" i="90"/>
  <c r="O224" i="90"/>
  <c r="W224" i="90" s="1"/>
  <c r="R224" i="90"/>
  <c r="N224" i="90"/>
  <c r="V12" i="90"/>
  <c r="F12" i="93" s="1"/>
  <c r="AB216" i="122" l="1"/>
  <c r="AB80" i="122"/>
  <c r="AB125" i="122"/>
  <c r="AB107" i="122"/>
  <c r="AB115" i="122"/>
  <c r="AB252" i="122"/>
  <c r="AB106" i="122"/>
  <c r="AB152" i="122"/>
  <c r="AB206" i="122"/>
  <c r="AB253" i="122"/>
  <c r="Q221" i="90"/>
  <c r="Q225" i="90" s="1"/>
  <c r="AB215" i="117"/>
  <c r="L214" i="121" s="1"/>
  <c r="AB214" i="121" s="1"/>
  <c r="L214" i="122" s="1"/>
  <c r="AB29" i="108"/>
  <c r="AB231" i="112"/>
  <c r="L235" i="113" s="1"/>
  <c r="H201" i="113"/>
  <c r="X201" i="113" s="1"/>
  <c r="H215" i="117" s="1"/>
  <c r="X215" i="117" s="1"/>
  <c r="H214" i="121" s="1"/>
  <c r="X214" i="121" s="1"/>
  <c r="H214" i="122" s="1"/>
  <c r="X214" i="122" s="1"/>
  <c r="L25" i="117"/>
  <c r="AB209" i="117"/>
  <c r="L207" i="121" s="1"/>
  <c r="AB207" i="121" s="1"/>
  <c r="L207" i="122" s="1"/>
  <c r="L28" i="117"/>
  <c r="AB216" i="117"/>
  <c r="L215" i="121" s="1"/>
  <c r="AB215" i="121" s="1"/>
  <c r="L215" i="122" s="1"/>
  <c r="L26" i="117"/>
  <c r="F29" i="113"/>
  <c r="V29" i="113" s="1"/>
  <c r="N221" i="90"/>
  <c r="N225" i="90" s="1"/>
  <c r="M95" i="90"/>
  <c r="M57" i="90"/>
  <c r="M188" i="90"/>
  <c r="U211" i="90"/>
  <c r="F219" i="93"/>
  <c r="V219" i="93" s="1"/>
  <c r="F226" i="107" s="1"/>
  <c r="V226" i="107" s="1"/>
  <c r="F229" i="108" s="1"/>
  <c r="U209" i="90"/>
  <c r="F217" i="93"/>
  <c r="V217" i="93" s="1"/>
  <c r="F224" i="107" s="1"/>
  <c r="V224" i="107" s="1"/>
  <c r="F227" i="108" s="1"/>
  <c r="V227" i="108" s="1"/>
  <c r="F229" i="112" s="1"/>
  <c r="V229" i="112" s="1"/>
  <c r="F233" i="113" s="1"/>
  <c r="V233" i="113" s="1"/>
  <c r="F248" i="117" s="1"/>
  <c r="V248" i="117" s="1"/>
  <c r="F252" i="121" s="1"/>
  <c r="V252" i="121" s="1"/>
  <c r="F252" i="122" s="1"/>
  <c r="V252" i="122" s="1"/>
  <c r="M143" i="90"/>
  <c r="V12" i="93"/>
  <c r="F12" i="107" s="1"/>
  <c r="V12" i="107" s="1"/>
  <c r="F12" i="108" s="1"/>
  <c r="O221" i="90"/>
  <c r="O225" i="90" s="1"/>
  <c r="R221" i="90"/>
  <c r="R225" i="90" s="1"/>
  <c r="S221" i="90"/>
  <c r="S225" i="90" s="1"/>
  <c r="M224" i="90"/>
  <c r="P221" i="90"/>
  <c r="P225" i="90" s="1"/>
  <c r="M172" i="90"/>
  <c r="M218" i="90"/>
  <c r="T221" i="90"/>
  <c r="T225" i="90" s="1"/>
  <c r="BN29" i="11"/>
  <c r="BN28" i="11"/>
  <c r="AB207" i="122" l="1"/>
  <c r="AB214" i="122"/>
  <c r="AB215" i="122"/>
  <c r="L29" i="112"/>
  <c r="F33" i="117"/>
  <c r="V33" i="117" s="1"/>
  <c r="F34" i="121" s="1"/>
  <c r="V34" i="121" s="1"/>
  <c r="V229" i="108"/>
  <c r="F231" i="112" s="1"/>
  <c r="E229" i="108"/>
  <c r="U229" i="108" s="1"/>
  <c r="AB26" i="117"/>
  <c r="L26" i="121" s="1"/>
  <c r="AB28" i="117"/>
  <c r="L28" i="121" s="1"/>
  <c r="AB25" i="117"/>
  <c r="L25" i="121" s="1"/>
  <c r="AB235" i="113"/>
  <c r="L250" i="117" s="1"/>
  <c r="V12" i="108"/>
  <c r="M221" i="90"/>
  <c r="M225" i="90" s="1"/>
  <c r="F34" i="122" l="1"/>
  <c r="V34" i="122" s="1"/>
  <c r="AB28" i="121"/>
  <c r="AB26" i="121"/>
  <c r="AB25" i="121"/>
  <c r="AB250" i="117"/>
  <c r="L254" i="121" s="1"/>
  <c r="V231" i="112"/>
  <c r="F235" i="113" s="1"/>
  <c r="E231" i="112"/>
  <c r="U231" i="112" s="1"/>
  <c r="AB29" i="112"/>
  <c r="F12" i="112"/>
  <c r="BN27" i="11"/>
  <c r="L25" i="122" l="1"/>
  <c r="L28" i="122"/>
  <c r="AB254" i="121"/>
  <c r="L254" i="122" s="1"/>
  <c r="L26" i="122"/>
  <c r="V235" i="113"/>
  <c r="F250" i="117" s="1"/>
  <c r="E235" i="113"/>
  <c r="U235" i="113" s="1"/>
  <c r="L29" i="113"/>
  <c r="V12" i="112"/>
  <c r="F12" i="113" s="1"/>
  <c r="BX72" i="13"/>
  <c r="AB26" i="122" l="1"/>
  <c r="AB28" i="122"/>
  <c r="AB254" i="122"/>
  <c r="AB25" i="122"/>
  <c r="AB29" i="113"/>
  <c r="V250" i="117"/>
  <c r="F254" i="121" s="1"/>
  <c r="E250" i="117"/>
  <c r="U250" i="117" s="1"/>
  <c r="V12" i="113"/>
  <c r="F12" i="117" s="1"/>
  <c r="V12" i="117" s="1"/>
  <c r="F12" i="121" s="1"/>
  <c r="BN60" i="11"/>
  <c r="BN59" i="11"/>
  <c r="BN58" i="11"/>
  <c r="V254" i="121" l="1"/>
  <c r="F254" i="122" s="1"/>
  <c r="E254" i="121"/>
  <c r="U254" i="121" s="1"/>
  <c r="V12" i="121"/>
  <c r="L33" i="117"/>
  <c r="CG114" i="19"/>
  <c r="BC95" i="19"/>
  <c r="CG93" i="19"/>
  <c r="CG94" i="19"/>
  <c r="BN94" i="19" s="1"/>
  <c r="CC92" i="19"/>
  <c r="V254" i="122" l="1"/>
  <c r="E254" i="122"/>
  <c r="U254" i="122" s="1"/>
  <c r="F12" i="122"/>
  <c r="V12" i="122" s="1"/>
  <c r="CC105" i="19"/>
  <c r="BY135" i="13" s="1"/>
  <c r="AB33" i="117"/>
  <c r="L34" i="121" s="1"/>
  <c r="BN93" i="19"/>
  <c r="CG105" i="19"/>
  <c r="BN92" i="19"/>
  <c r="AB34" i="121" l="1"/>
  <c r="M109" i="63"/>
  <c r="N118" i="63"/>
  <c r="M118" i="63"/>
  <c r="L112" i="63"/>
  <c r="I112" i="63"/>
  <c r="L34" i="122" l="1"/>
  <c r="N120" i="63"/>
  <c r="CG10" i="87"/>
  <c r="BN9" i="87"/>
  <c r="BN10" i="87" s="1"/>
  <c r="CE127" i="13"/>
  <c r="CC118" i="13"/>
  <c r="CD146" i="13"/>
  <c r="I117" i="63"/>
  <c r="I116" i="63"/>
  <c r="I115" i="63"/>
  <c r="I114" i="63"/>
  <c r="I113" i="63"/>
  <c r="I111" i="63"/>
  <c r="I110" i="63"/>
  <c r="I107" i="63"/>
  <c r="I106" i="63"/>
  <c r="I105" i="63"/>
  <c r="I104" i="63"/>
  <c r="I103" i="63"/>
  <c r="I102" i="63"/>
  <c r="AB34" i="122" l="1"/>
  <c r="I109" i="63"/>
  <c r="AN9" i="87"/>
  <c r="CD147" i="13"/>
  <c r="CI147" i="13" s="1"/>
  <c r="BN38" i="87"/>
  <c r="AN38" i="87" s="1"/>
  <c r="CG39" i="87"/>
  <c r="CC99" i="87"/>
  <c r="BN99" i="87" s="1"/>
  <c r="BN98" i="87"/>
  <c r="BC98" i="87"/>
  <c r="CC97" i="87"/>
  <c r="BN95" i="87"/>
  <c r="BN94" i="87"/>
  <c r="BN93" i="87"/>
  <c r="CD92" i="87"/>
  <c r="BN92" i="87" s="1"/>
  <c r="CH91" i="87"/>
  <c r="CD91" i="87"/>
  <c r="BN90" i="87"/>
  <c r="BN91" i="87" s="1"/>
  <c r="CC89" i="87"/>
  <c r="CD88" i="87"/>
  <c r="CD89" i="87" s="1"/>
  <c r="CD87" i="87"/>
  <c r="BN86" i="87"/>
  <c r="BN87" i="87" s="1"/>
  <c r="CH78" i="87"/>
  <c r="CC78" i="87"/>
  <c r="BN77" i="87"/>
  <c r="BN78" i="87" s="1"/>
  <c r="BC77" i="87"/>
  <c r="BN68" i="87"/>
  <c r="BN69" i="87" s="1"/>
  <c r="CC59" i="87"/>
  <c r="BN58" i="87"/>
  <c r="AO58" i="87" s="1"/>
  <c r="BN57" i="87"/>
  <c r="CD57" i="87" s="1"/>
  <c r="BN56" i="87"/>
  <c r="CD56" i="87" s="1"/>
  <c r="BN55" i="87"/>
  <c r="CD55" i="87" s="1"/>
  <c r="BN54" i="87"/>
  <c r="CD54" i="87" s="1"/>
  <c r="BD53" i="87"/>
  <c r="BN53" i="87" s="1"/>
  <c r="CD53" i="87" s="1"/>
  <c r="BN52" i="87"/>
  <c r="CD52" i="87" s="1"/>
  <c r="BN51" i="87"/>
  <c r="CD51" i="87" s="1"/>
  <c r="AO50" i="87"/>
  <c r="CD50" i="87" s="1"/>
  <c r="BN49" i="87"/>
  <c r="CD49" i="87" s="1"/>
  <c r="BN48" i="87"/>
  <c r="CD48" i="87" s="1"/>
  <c r="CH39" i="87"/>
  <c r="CC39" i="87"/>
  <c r="BN37" i="87"/>
  <c r="CD37" i="87" s="1"/>
  <c r="BN36" i="87"/>
  <c r="CD36" i="87" s="1"/>
  <c r="BN35" i="87"/>
  <c r="CD35" i="87" s="1"/>
  <c r="CD34" i="87"/>
  <c r="BN34" i="87"/>
  <c r="BN33" i="87"/>
  <c r="CD33" i="87" s="1"/>
  <c r="BN32" i="87"/>
  <c r="CD32" i="87" s="1"/>
  <c r="BN31" i="87"/>
  <c r="AN31" i="87" s="1"/>
  <c r="BN30" i="87"/>
  <c r="CD30" i="87" s="1"/>
  <c r="BN29" i="87"/>
  <c r="CD29" i="87" s="1"/>
  <c r="BN28" i="87"/>
  <c r="CD28" i="87" s="1"/>
  <c r="BN27" i="87"/>
  <c r="CD27" i="87" s="1"/>
  <c r="BN26" i="87"/>
  <c r="CD26" i="87" s="1"/>
  <c r="AN25" i="87"/>
  <c r="BN25" i="87" s="1"/>
  <c r="BN24" i="87"/>
  <c r="CD24" i="87" s="1"/>
  <c r="CD23" i="87"/>
  <c r="A23" i="87"/>
  <c r="A24" i="87" s="1"/>
  <c r="BN22" i="87"/>
  <c r="CD22" i="87" s="1"/>
  <c r="CD21" i="87"/>
  <c r="BN21" i="87" s="1"/>
  <c r="BN20" i="87"/>
  <c r="CD20" i="87" s="1"/>
  <c r="BN19" i="87"/>
  <c r="BN27" i="83"/>
  <c r="AN27" i="83" s="1"/>
  <c r="CG28" i="83"/>
  <c r="J16" i="86"/>
  <c r="I16" i="86"/>
  <c r="H15" i="86"/>
  <c r="H16" i="86" s="1"/>
  <c r="D15" i="86"/>
  <c r="D16" i="86" s="1"/>
  <c r="D23" i="85"/>
  <c r="D18" i="85"/>
  <c r="D17" i="85" s="1"/>
  <c r="F17" i="85"/>
  <c r="F9" i="85" s="1"/>
  <c r="F8" i="85" s="1"/>
  <c r="E17" i="85"/>
  <c r="E9" i="85" s="1"/>
  <c r="E8" i="85" s="1"/>
  <c r="C18" i="85"/>
  <c r="C17" i="85" s="1"/>
  <c r="CD156" i="13"/>
  <c r="CD139" i="13"/>
  <c r="CD36" i="13"/>
  <c r="BN39" i="87" l="1"/>
  <c r="BN88" i="87"/>
  <c r="BN89" i="87" s="1"/>
  <c r="AN21" i="87"/>
  <c r="BN97" i="87"/>
  <c r="CD97" i="87"/>
  <c r="CD25" i="87"/>
  <c r="CD59" i="87"/>
  <c r="BN59" i="87" s="1"/>
  <c r="CD68" i="87"/>
  <c r="CD69" i="87" s="1"/>
  <c r="CD31" i="87"/>
  <c r="BN50" i="87"/>
  <c r="CC102" i="87"/>
  <c r="CD19" i="87"/>
  <c r="D9" i="85"/>
  <c r="D8" i="85" s="1"/>
  <c r="CD39" i="87" l="1"/>
  <c r="M120" i="63" l="1"/>
  <c r="G47" i="84"/>
  <c r="H47" i="84" s="1"/>
  <c r="C35" i="84"/>
  <c r="E33" i="84"/>
  <c r="E32" i="84"/>
  <c r="E31" i="84"/>
  <c r="E30" i="84"/>
  <c r="E29" i="84"/>
  <c r="E28" i="84"/>
  <c r="E27" i="84"/>
  <c r="G27" i="84" s="1"/>
  <c r="E26" i="84"/>
  <c r="J25" i="84"/>
  <c r="E25" i="84"/>
  <c r="E24" i="84"/>
  <c r="E23" i="84"/>
  <c r="E22" i="84"/>
  <c r="E15" i="84"/>
  <c r="H37" i="84" s="1"/>
  <c r="C11" i="84"/>
  <c r="C9" i="84"/>
  <c r="D47" i="84" s="1"/>
  <c r="E47" i="84" s="1"/>
  <c r="I118" i="63" l="1"/>
  <c r="I119" i="63" s="1"/>
  <c r="L120" i="63"/>
  <c r="I19" i="84"/>
  <c r="I47" i="84"/>
  <c r="J47" i="84" s="1"/>
  <c r="E35" i="84"/>
  <c r="E37" i="84" l="1"/>
  <c r="H40" i="84" s="1"/>
  <c r="E16" i="84"/>
  <c r="E17" i="84" s="1"/>
  <c r="I20" i="84" s="1"/>
  <c r="H25" i="84" l="1"/>
  <c r="G25" i="84" s="1"/>
  <c r="K25" i="84" s="1"/>
  <c r="H31" i="84"/>
  <c r="G31" i="84" s="1"/>
  <c r="H22" i="84"/>
  <c r="H23" i="84"/>
  <c r="G23" i="84" s="1"/>
  <c r="H32" i="84"/>
  <c r="G32" i="84" s="1"/>
  <c r="H29" i="84"/>
  <c r="G29" i="84" s="1"/>
  <c r="H24" i="84"/>
  <c r="G24" i="84" s="1"/>
  <c r="H30" i="84"/>
  <c r="G30" i="84" s="1"/>
  <c r="H28" i="84"/>
  <c r="G28" i="84" s="1"/>
  <c r="H26" i="84"/>
  <c r="G26" i="84" s="1"/>
  <c r="H33" i="84"/>
  <c r="G33" i="84" s="1"/>
  <c r="H35" i="84" l="1"/>
  <c r="G22" i="84"/>
  <c r="G35" i="84" s="1"/>
  <c r="G49" i="84" s="1"/>
  <c r="H49" i="84" s="1"/>
  <c r="CD74" i="83"/>
  <c r="CD77" i="83" s="1"/>
  <c r="CF102" i="83"/>
  <c r="CF101" i="83"/>
  <c r="CF97" i="83"/>
  <c r="CD96" i="83"/>
  <c r="CC88" i="83"/>
  <c r="BN87" i="83"/>
  <c r="BN88" i="83" s="1"/>
  <c r="CH77" i="83"/>
  <c r="BN76" i="83"/>
  <c r="CC77" i="83"/>
  <c r="CH73" i="83"/>
  <c r="BN73" i="83" s="1"/>
  <c r="CD73" i="83"/>
  <c r="BN72" i="83"/>
  <c r="CD71" i="83"/>
  <c r="BN70" i="83"/>
  <c r="BN71" i="83" s="1"/>
  <c r="BN68" i="83"/>
  <c r="CD67" i="83"/>
  <c r="CF100" i="83" s="1"/>
  <c r="CG66" i="83"/>
  <c r="CD66" i="83"/>
  <c r="BN65" i="83"/>
  <c r="CC55" i="83"/>
  <c r="CG55" i="83"/>
  <c r="CF42" i="83"/>
  <c r="CC42" i="83"/>
  <c r="BN41" i="83"/>
  <c r="CD40" i="83"/>
  <c r="AN40" i="83" s="1"/>
  <c r="BN40" i="83" s="1"/>
  <c r="AN39" i="83"/>
  <c r="BN39" i="83" s="1"/>
  <c r="BN38" i="83"/>
  <c r="CD38" i="83" s="1"/>
  <c r="AN37" i="83"/>
  <c r="BN37" i="83" s="1"/>
  <c r="BN36" i="83"/>
  <c r="CD36" i="83" s="1"/>
  <c r="BN26" i="83"/>
  <c r="CD26" i="83" s="1"/>
  <c r="BN25" i="83"/>
  <c r="CD25" i="83" s="1"/>
  <c r="BN24" i="83"/>
  <c r="CD24" i="83" s="1"/>
  <c r="BN23" i="83"/>
  <c r="CD23" i="83" s="1"/>
  <c r="AN22" i="83"/>
  <c r="BN22" i="83" s="1"/>
  <c r="BN21" i="83"/>
  <c r="CD21" i="83" s="1"/>
  <c r="AN19" i="83"/>
  <c r="BN19" i="83" s="1"/>
  <c r="AN18" i="83"/>
  <c r="BN18" i="83" s="1"/>
  <c r="AN17" i="83"/>
  <c r="BN17" i="83" s="1"/>
  <c r="BN16" i="83"/>
  <c r="CD16" i="83" s="1"/>
  <c r="AN15" i="83"/>
  <c r="BN15" i="83" s="1"/>
  <c r="AN14" i="83"/>
  <c r="BN14" i="83" s="1"/>
  <c r="AN13" i="83"/>
  <c r="BN13" i="83" s="1"/>
  <c r="AN12" i="83"/>
  <c r="BN12" i="83" s="1"/>
  <c r="CD11" i="83"/>
  <c r="AN11" i="83"/>
  <c r="CD10" i="83"/>
  <c r="BN10" i="83" s="1"/>
  <c r="AN10" i="83" s="1"/>
  <c r="BN9" i="83"/>
  <c r="CD9" i="83" s="1"/>
  <c r="BN8" i="83"/>
  <c r="CI134" i="13"/>
  <c r="CG35" i="13"/>
  <c r="CD131" i="13"/>
  <c r="CH36" i="13"/>
  <c r="CC36" i="13"/>
  <c r="CD148" i="13"/>
  <c r="CC61" i="11"/>
  <c r="CC67" i="11" s="1"/>
  <c r="M151" i="82"/>
  <c r="X151" i="82"/>
  <c r="H160" i="90" s="1"/>
  <c r="X160" i="90" s="1"/>
  <c r="H160" i="93" s="1"/>
  <c r="X160" i="93" s="1"/>
  <c r="H166" i="107" s="1"/>
  <c r="X166" i="107" s="1"/>
  <c r="H168" i="108" s="1"/>
  <c r="X168" i="108" s="1"/>
  <c r="H170" i="112" s="1"/>
  <c r="X170" i="112" s="1"/>
  <c r="H174" i="113" s="1"/>
  <c r="X174" i="113" s="1"/>
  <c r="H186" i="117" s="1"/>
  <c r="X186" i="117" s="1"/>
  <c r="H184" i="121" s="1"/>
  <c r="X184" i="121" s="1"/>
  <c r="H184" i="122" s="1"/>
  <c r="X184" i="122" s="1"/>
  <c r="BP37" i="18"/>
  <c r="N169" i="82"/>
  <c r="O169" i="82"/>
  <c r="P169" i="82"/>
  <c r="Q169" i="82"/>
  <c r="R169" i="82"/>
  <c r="S169" i="82"/>
  <c r="T169" i="82"/>
  <c r="Y169" i="82"/>
  <c r="N190" i="82"/>
  <c r="N192" i="82" s="1"/>
  <c r="V168" i="82"/>
  <c r="F179" i="90" s="1"/>
  <c r="V179" i="90" s="1"/>
  <c r="M168" i="82"/>
  <c r="C62" i="63"/>
  <c r="Y26" i="82"/>
  <c r="B26" i="82"/>
  <c r="I26" i="82"/>
  <c r="N26" i="82"/>
  <c r="O26" i="82"/>
  <c r="P26" i="82"/>
  <c r="Q26" i="82"/>
  <c r="R26" i="82"/>
  <c r="S26" i="82"/>
  <c r="T26" i="82"/>
  <c r="N200" i="82"/>
  <c r="O200" i="82"/>
  <c r="P200" i="82"/>
  <c r="Q200" i="82"/>
  <c r="R200" i="82"/>
  <c r="S200" i="82"/>
  <c r="T200" i="82"/>
  <c r="Y200" i="82"/>
  <c r="O192" i="82"/>
  <c r="P192" i="82"/>
  <c r="Q192" i="82"/>
  <c r="R192" i="82"/>
  <c r="S192" i="82"/>
  <c r="T192" i="82"/>
  <c r="N198" i="82"/>
  <c r="O198" i="82"/>
  <c r="P198" i="82"/>
  <c r="Q198" i="82"/>
  <c r="R198" i="82"/>
  <c r="S198" i="82"/>
  <c r="T198" i="82"/>
  <c r="M189" i="82"/>
  <c r="M187" i="82"/>
  <c r="M38" i="82"/>
  <c r="M41" i="82"/>
  <c r="M42" i="82"/>
  <c r="M44" i="82"/>
  <c r="M45" i="82"/>
  <c r="M46" i="82"/>
  <c r="M48" i="82"/>
  <c r="M49" i="82"/>
  <c r="M50" i="82"/>
  <c r="M53" i="82"/>
  <c r="M54" i="82"/>
  <c r="M55" i="82"/>
  <c r="M56" i="82"/>
  <c r="M57" i="82"/>
  <c r="M58" i="82"/>
  <c r="M59" i="82"/>
  <c r="M60" i="82"/>
  <c r="M61" i="82"/>
  <c r="M62" i="82"/>
  <c r="M63" i="82"/>
  <c r="M64" i="82"/>
  <c r="M65" i="82"/>
  <c r="M66" i="82"/>
  <c r="M67" i="82"/>
  <c r="M68" i="82"/>
  <c r="M69" i="82"/>
  <c r="M70" i="82"/>
  <c r="M71" i="82"/>
  <c r="M74" i="82"/>
  <c r="M75" i="82"/>
  <c r="M76" i="82"/>
  <c r="M77" i="82"/>
  <c r="M78" i="82"/>
  <c r="M79" i="82"/>
  <c r="M80" i="82"/>
  <c r="M82" i="82"/>
  <c r="M83" i="82"/>
  <c r="M84" i="82"/>
  <c r="M85" i="82"/>
  <c r="M86" i="82"/>
  <c r="M87" i="82"/>
  <c r="M88" i="82"/>
  <c r="M91" i="82"/>
  <c r="M92" i="82"/>
  <c r="M93" i="82"/>
  <c r="M94" i="82"/>
  <c r="M95" i="82"/>
  <c r="M96" i="82"/>
  <c r="M97" i="82"/>
  <c r="M98" i="82"/>
  <c r="M99" i="82"/>
  <c r="M100" i="82"/>
  <c r="M101" i="82"/>
  <c r="M102" i="82"/>
  <c r="M103" i="82"/>
  <c r="M104" i="82"/>
  <c r="M105" i="82"/>
  <c r="M106" i="82"/>
  <c r="M107" i="82"/>
  <c r="M108" i="82"/>
  <c r="M109" i="82"/>
  <c r="M110" i="82"/>
  <c r="M111" i="82"/>
  <c r="M113" i="82"/>
  <c r="M114" i="82"/>
  <c r="M115" i="82"/>
  <c r="M116" i="82"/>
  <c r="M117" i="82"/>
  <c r="M118" i="82"/>
  <c r="M119" i="82"/>
  <c r="M120" i="82"/>
  <c r="M121" i="82"/>
  <c r="M122" i="82"/>
  <c r="M123" i="82"/>
  <c r="M124" i="82"/>
  <c r="M125" i="82"/>
  <c r="M126" i="82"/>
  <c r="M127" i="82"/>
  <c r="M128" i="82"/>
  <c r="M129" i="82"/>
  <c r="M130" i="82"/>
  <c r="M131" i="82"/>
  <c r="M133" i="82"/>
  <c r="M135" i="82"/>
  <c r="M136" i="82"/>
  <c r="M137" i="82"/>
  <c r="M138" i="82"/>
  <c r="M139" i="82"/>
  <c r="M140" i="82"/>
  <c r="M142" i="82"/>
  <c r="M143" i="82"/>
  <c r="M144" i="82"/>
  <c r="M145" i="82"/>
  <c r="M146" i="82"/>
  <c r="M147" i="82"/>
  <c r="M148" i="82"/>
  <c r="M149" i="82"/>
  <c r="M150" i="82"/>
  <c r="M152" i="82"/>
  <c r="M154" i="82"/>
  <c r="M155" i="82"/>
  <c r="M156" i="82"/>
  <c r="M157" i="82"/>
  <c r="M158" i="82"/>
  <c r="M159" i="82"/>
  <c r="M162" i="82"/>
  <c r="M163" i="82"/>
  <c r="M165" i="82"/>
  <c r="M166" i="82"/>
  <c r="M167" i="82"/>
  <c r="M170" i="82"/>
  <c r="M171" i="82"/>
  <c r="M172" i="82"/>
  <c r="M175" i="82"/>
  <c r="M176" i="82"/>
  <c r="M178" i="82"/>
  <c r="M180" i="82"/>
  <c r="M182" i="82"/>
  <c r="M183" i="82"/>
  <c r="M185" i="82"/>
  <c r="M191" i="82"/>
  <c r="M193" i="82"/>
  <c r="M194" i="82"/>
  <c r="M195" i="82"/>
  <c r="M196" i="82"/>
  <c r="M197" i="82"/>
  <c r="M199" i="82"/>
  <c r="M200" i="82" s="1"/>
  <c r="M201" i="82"/>
  <c r="M202" i="82"/>
  <c r="M205" i="82"/>
  <c r="M208" i="82"/>
  <c r="M12" i="82"/>
  <c r="M13" i="82"/>
  <c r="M14" i="82"/>
  <c r="M15" i="82"/>
  <c r="M16" i="82"/>
  <c r="M17" i="82"/>
  <c r="M18" i="82"/>
  <c r="M19" i="82"/>
  <c r="M20" i="82"/>
  <c r="M21" i="82"/>
  <c r="M22" i="82"/>
  <c r="M23" i="82"/>
  <c r="M24" i="82"/>
  <c r="M25" i="82"/>
  <c r="M27" i="82"/>
  <c r="M28" i="82"/>
  <c r="M30" i="82"/>
  <c r="M31" i="82"/>
  <c r="M33" i="82"/>
  <c r="M34" i="82"/>
  <c r="M36" i="82"/>
  <c r="M11" i="82"/>
  <c r="X190" i="82"/>
  <c r="H204" i="90" s="1"/>
  <c r="X204" i="90" s="1"/>
  <c r="CJ60" i="11" l="1"/>
  <c r="AJ37" i="18"/>
  <c r="H211" i="93"/>
  <c r="X211" i="93" s="1"/>
  <c r="H218" i="107" s="1"/>
  <c r="X218" i="107" s="1"/>
  <c r="H221" i="108" s="1"/>
  <c r="X221" i="108" s="1"/>
  <c r="H223" i="112" s="1"/>
  <c r="X223" i="112" s="1"/>
  <c r="H227" i="113" s="1"/>
  <c r="X227" i="113" s="1"/>
  <c r="H242" i="117" s="1"/>
  <c r="X242" i="117" s="1"/>
  <c r="H246" i="121" s="1"/>
  <c r="X246" i="121" s="1"/>
  <c r="H246" i="122" s="1"/>
  <c r="X246" i="122" s="1"/>
  <c r="H212" i="93"/>
  <c r="X212" i="93" s="1"/>
  <c r="H219" i="107" s="1"/>
  <c r="X219" i="107" s="1"/>
  <c r="H222" i="108" s="1"/>
  <c r="X222" i="108" s="1"/>
  <c r="H224" i="112" s="1"/>
  <c r="X224" i="112" s="1"/>
  <c r="H228" i="113" s="1"/>
  <c r="X228" i="113" s="1"/>
  <c r="H243" i="117" s="1"/>
  <c r="X243" i="117" s="1"/>
  <c r="H247" i="121" s="1"/>
  <c r="X247" i="121" s="1"/>
  <c r="H247" i="122" s="1"/>
  <c r="X247" i="122" s="1"/>
  <c r="BN74" i="83"/>
  <c r="BN61" i="11"/>
  <c r="BN67" i="11" s="1"/>
  <c r="CC103" i="11"/>
  <c r="CD103" i="11" s="1"/>
  <c r="F181" i="93"/>
  <c r="V181" i="93" s="1"/>
  <c r="F188" i="107" s="1"/>
  <c r="V188" i="107" s="1"/>
  <c r="F191" i="108" s="1"/>
  <c r="V191" i="108" s="1"/>
  <c r="F193" i="112" s="1"/>
  <c r="V193" i="112" s="1"/>
  <c r="F197" i="113" s="1"/>
  <c r="V197" i="113" s="1"/>
  <c r="F209" i="117" s="1"/>
  <c r="V209" i="117" s="1"/>
  <c r="F207" i="121" s="1"/>
  <c r="V207" i="121" s="1"/>
  <c r="F207" i="122" s="1"/>
  <c r="V207" i="122" s="1"/>
  <c r="U179" i="90"/>
  <c r="CD42" i="83"/>
  <c r="CF99" i="83" s="1"/>
  <c r="U168" i="82"/>
  <c r="BN28" i="83"/>
  <c r="CD119" i="13"/>
  <c r="CD116" i="13" s="1"/>
  <c r="EM16" i="14" s="1"/>
  <c r="EM18" i="14" s="1"/>
  <c r="BN66" i="83"/>
  <c r="BN42" i="83"/>
  <c r="BN55" i="83"/>
  <c r="CD8" i="83"/>
  <c r="CD28" i="83" s="1"/>
  <c r="CF98" i="83" s="1"/>
  <c r="BN75" i="83"/>
  <c r="M169" i="82"/>
  <c r="M190" i="82"/>
  <c r="M192" i="82" s="1"/>
  <c r="M26" i="82"/>
  <c r="Q204" i="82"/>
  <c r="M203" i="82"/>
  <c r="M198" i="82"/>
  <c r="D33" i="79"/>
  <c r="D17" i="79" s="1"/>
  <c r="BN77" i="83" l="1"/>
  <c r="CB146" i="13"/>
  <c r="BN89" i="11"/>
  <c r="BN84" i="11"/>
  <c r="CH85" i="11"/>
  <c r="CB144" i="13" s="1"/>
  <c r="BN85" i="11" l="1"/>
  <c r="BN87" i="11"/>
  <c r="BN90" i="11" s="1"/>
  <c r="BX168" i="13"/>
  <c r="AN14" i="11"/>
  <c r="AN19" i="11"/>
  <c r="BN66" i="19"/>
  <c r="AO66" i="19" s="1"/>
  <c r="BN65" i="19"/>
  <c r="CD65" i="19" s="1"/>
  <c r="CD21" i="19"/>
  <c r="AN21" i="19" s="1"/>
  <c r="CD10" i="11"/>
  <c r="BN10" i="11" s="1"/>
  <c r="AN10" i="11" s="1"/>
  <c r="I198" i="82"/>
  <c r="Y198" i="82"/>
  <c r="U196" i="82"/>
  <c r="U197" i="82"/>
  <c r="U195" i="82"/>
  <c r="N173" i="82"/>
  <c r="O173" i="82"/>
  <c r="P173" i="82"/>
  <c r="Q173" i="82"/>
  <c r="R173" i="82"/>
  <c r="S173" i="82"/>
  <c r="T173" i="82"/>
  <c r="W173" i="82"/>
  <c r="G175" i="90" s="1"/>
  <c r="W175" i="90" s="1"/>
  <c r="G177" i="93" s="1"/>
  <c r="W177" i="93" s="1"/>
  <c r="G184" i="107" s="1"/>
  <c r="W184" i="107" s="1"/>
  <c r="G187" i="108" s="1"/>
  <c r="W187" i="108" s="1"/>
  <c r="G189" i="112" s="1"/>
  <c r="W189" i="112" s="1"/>
  <c r="G193" i="113" s="1"/>
  <c r="W193" i="113" s="1"/>
  <c r="G205" i="117" s="1"/>
  <c r="W205" i="117" s="1"/>
  <c r="G203" i="121" s="1"/>
  <c r="W203" i="121" s="1"/>
  <c r="G203" i="122" s="1"/>
  <c r="W203" i="122" s="1"/>
  <c r="X173" i="82"/>
  <c r="H187" i="90" s="1"/>
  <c r="X187" i="90" s="1"/>
  <c r="H194" i="93" s="1"/>
  <c r="Y173" i="82"/>
  <c r="Z173" i="82"/>
  <c r="J187" i="90" s="1"/>
  <c r="Z187" i="90" s="1"/>
  <c r="J194" i="93" s="1"/>
  <c r="Z194" i="93" s="1"/>
  <c r="J201" i="107" s="1"/>
  <c r="Z201" i="107" s="1"/>
  <c r="J204" i="108" s="1"/>
  <c r="Z204" i="108" s="1"/>
  <c r="J206" i="112" s="1"/>
  <c r="Z206" i="112" s="1"/>
  <c r="J210" i="113" s="1"/>
  <c r="Z210" i="113" s="1"/>
  <c r="J225" i="117" s="1"/>
  <c r="Z225" i="117" s="1"/>
  <c r="J229" i="121" s="1"/>
  <c r="Z229" i="121" s="1"/>
  <c r="J229" i="122" s="1"/>
  <c r="Z229" i="122" s="1"/>
  <c r="AA173" i="82"/>
  <c r="K187" i="90" s="1"/>
  <c r="AA187" i="90" s="1"/>
  <c r="K194" i="93" s="1"/>
  <c r="AA194" i="93" s="1"/>
  <c r="K201" i="107" s="1"/>
  <c r="AA201" i="107" s="1"/>
  <c r="K204" i="108" s="1"/>
  <c r="AA204" i="108" s="1"/>
  <c r="K206" i="112" s="1"/>
  <c r="AA206" i="112" s="1"/>
  <c r="K210" i="113" s="1"/>
  <c r="AA210" i="113" s="1"/>
  <c r="K225" i="117" s="1"/>
  <c r="AA225" i="117" s="1"/>
  <c r="K229" i="121" s="1"/>
  <c r="AA229" i="121" s="1"/>
  <c r="K229" i="122" s="1"/>
  <c r="AA229" i="122" s="1"/>
  <c r="AB173" i="82"/>
  <c r="L187" i="90" s="1"/>
  <c r="AB187" i="90" s="1"/>
  <c r="L194" i="93" s="1"/>
  <c r="AB194" i="93" s="1"/>
  <c r="L201" i="107" s="1"/>
  <c r="AB201" i="107" s="1"/>
  <c r="L204" i="108" s="1"/>
  <c r="AB204" i="108" s="1"/>
  <c r="L206" i="112" s="1"/>
  <c r="AB206" i="112" s="1"/>
  <c r="L210" i="113" s="1"/>
  <c r="AB210" i="113" s="1"/>
  <c r="L225" i="117" s="1"/>
  <c r="AC173" i="82"/>
  <c r="AC174" i="82" s="1"/>
  <c r="V172" i="82"/>
  <c r="F183" i="90" s="1"/>
  <c r="V183" i="90" s="1"/>
  <c r="V171" i="82"/>
  <c r="F182" i="90" s="1"/>
  <c r="V182" i="90" s="1"/>
  <c r="V170" i="82"/>
  <c r="F181" i="90" s="1"/>
  <c r="V181" i="90" s="1"/>
  <c r="I169" i="82"/>
  <c r="BN122" i="19"/>
  <c r="BN127" i="19" s="1"/>
  <c r="BC128" i="19"/>
  <c r="BN90" i="19"/>
  <c r="BC90" i="19"/>
  <c r="N37" i="82"/>
  <c r="N35" i="82"/>
  <c r="Y192" i="82"/>
  <c r="N40" i="82"/>
  <c r="X191" i="82"/>
  <c r="H205" i="90" s="1"/>
  <c r="X205" i="90" s="1"/>
  <c r="H213" i="93" s="1"/>
  <c r="X213" i="93" s="1"/>
  <c r="H220" i="107" s="1"/>
  <c r="X220" i="107" s="1"/>
  <c r="H223" i="108" s="1"/>
  <c r="X223" i="108" s="1"/>
  <c r="H225" i="112" s="1"/>
  <c r="X225" i="112" s="1"/>
  <c r="H229" i="113" s="1"/>
  <c r="X229" i="113" s="1"/>
  <c r="H244" i="117" s="1"/>
  <c r="X244" i="117" s="1"/>
  <c r="H248" i="121" s="1"/>
  <c r="X248" i="121" s="1"/>
  <c r="H248" i="122" s="1"/>
  <c r="X248" i="122" s="1"/>
  <c r="AB225" i="117" l="1"/>
  <c r="L229" i="121" s="1"/>
  <c r="AB229" i="121" s="1"/>
  <c r="L229" i="122" s="1"/>
  <c r="X194" i="93"/>
  <c r="U183" i="90"/>
  <c r="F187" i="93"/>
  <c r="V187" i="93" s="1"/>
  <c r="F194" i="107" s="1"/>
  <c r="V194" i="107" s="1"/>
  <c r="F197" i="108" s="1"/>
  <c r="V197" i="108" s="1"/>
  <c r="F199" i="112" s="1"/>
  <c r="V199" i="112" s="1"/>
  <c r="F203" i="113" s="1"/>
  <c r="V203" i="113" s="1"/>
  <c r="F217" i="117" s="1"/>
  <c r="V217" i="117" s="1"/>
  <c r="F216" i="121" s="1"/>
  <c r="V216" i="121" s="1"/>
  <c r="F216" i="122" s="1"/>
  <c r="V216" i="122" s="1"/>
  <c r="U181" i="90"/>
  <c r="F185" i="93"/>
  <c r="V185" i="93" s="1"/>
  <c r="F192" i="107" s="1"/>
  <c r="V192" i="107" s="1"/>
  <c r="F195" i="108" s="1"/>
  <c r="V195" i="108" s="1"/>
  <c r="F197" i="112" s="1"/>
  <c r="V197" i="112" s="1"/>
  <c r="F201" i="113" s="1"/>
  <c r="V201" i="113" s="1"/>
  <c r="F215" i="117" s="1"/>
  <c r="V215" i="117" s="1"/>
  <c r="F214" i="121" s="1"/>
  <c r="V214" i="121" s="1"/>
  <c r="F214" i="122" s="1"/>
  <c r="V214" i="122" s="1"/>
  <c r="F186" i="93"/>
  <c r="V186" i="93" s="1"/>
  <c r="F193" i="107" s="1"/>
  <c r="V193" i="107" s="1"/>
  <c r="F196" i="108" s="1"/>
  <c r="V196" i="108" s="1"/>
  <c r="F198" i="112" s="1"/>
  <c r="V198" i="112" s="1"/>
  <c r="F202" i="113" s="1"/>
  <c r="V202" i="113" s="1"/>
  <c r="F216" i="117" s="1"/>
  <c r="V216" i="117" s="1"/>
  <c r="F215" i="121" s="1"/>
  <c r="V215" i="121" s="1"/>
  <c r="F215" i="122" s="1"/>
  <c r="V215" i="122" s="1"/>
  <c r="U182" i="90"/>
  <c r="U171" i="82"/>
  <c r="U172" i="82"/>
  <c r="U170" i="82"/>
  <c r="BX135" i="13"/>
  <c r="M40" i="82"/>
  <c r="T174" i="82"/>
  <c r="M173" i="82"/>
  <c r="Y174" i="82"/>
  <c r="R174" i="82"/>
  <c r="Q174" i="82"/>
  <c r="Q207" i="82" s="1"/>
  <c r="Q211" i="82" s="1"/>
  <c r="CD90" i="11"/>
  <c r="CJ87" i="11" s="1"/>
  <c r="BN21" i="19"/>
  <c r="P174" i="82"/>
  <c r="N174" i="82"/>
  <c r="S174" i="82"/>
  <c r="O174" i="82"/>
  <c r="V173" i="82"/>
  <c r="F187" i="90" s="1"/>
  <c r="V187" i="90" s="1"/>
  <c r="F194" i="93" s="1"/>
  <c r="V194" i="93" s="1"/>
  <c r="F201" i="107" s="1"/>
  <c r="V201" i="107" s="1"/>
  <c r="F204" i="108" s="1"/>
  <c r="V204" i="108" s="1"/>
  <c r="F206" i="112" s="1"/>
  <c r="V206" i="112" s="1"/>
  <c r="F210" i="113" s="1"/>
  <c r="V210" i="113" s="1"/>
  <c r="F225" i="117" s="1"/>
  <c r="V225" i="117" s="1"/>
  <c r="F229" i="121" s="1"/>
  <c r="V229" i="121" s="1"/>
  <c r="F229" i="122" s="1"/>
  <c r="V229" i="122" s="1"/>
  <c r="AB229" i="122" l="1"/>
  <c r="X236" i="93"/>
  <c r="H201" i="107"/>
  <c r="X201" i="107" s="1"/>
  <c r="U173" i="82"/>
  <c r="U187" i="90"/>
  <c r="M174" i="82"/>
  <c r="L62" i="82"/>
  <c r="L91" i="82"/>
  <c r="L92" i="82"/>
  <c r="L100" i="82"/>
  <c r="L110" i="82"/>
  <c r="L128" i="82"/>
  <c r="L131" i="82"/>
  <c r="L167" i="82"/>
  <c r="K25" i="82"/>
  <c r="K62" i="82"/>
  <c r="K100" i="82"/>
  <c r="K128" i="82"/>
  <c r="K131" i="82"/>
  <c r="J25" i="82"/>
  <c r="J62" i="82"/>
  <c r="J91" i="82"/>
  <c r="J92" i="82"/>
  <c r="J100" i="82"/>
  <c r="J110" i="82"/>
  <c r="J128" i="82"/>
  <c r="J131" i="82"/>
  <c r="J167" i="82"/>
  <c r="H25" i="82"/>
  <c r="H91" i="82"/>
  <c r="H92" i="82"/>
  <c r="X152" i="82"/>
  <c r="H161" i="90" s="1"/>
  <c r="X161" i="90" s="1"/>
  <c r="H161" i="93" s="1"/>
  <c r="X161" i="93" s="1"/>
  <c r="H167" i="107" s="1"/>
  <c r="X167" i="107" s="1"/>
  <c r="H169" i="108" s="1"/>
  <c r="X169" i="108" s="1"/>
  <c r="H171" i="112" s="1"/>
  <c r="X171" i="112" s="1"/>
  <c r="H175" i="113" s="1"/>
  <c r="X175" i="113" s="1"/>
  <c r="H187" i="117" s="1"/>
  <c r="X187" i="117" s="1"/>
  <c r="H185" i="121" s="1"/>
  <c r="X185" i="121" s="1"/>
  <c r="H185" i="122" s="1"/>
  <c r="X185" i="122" s="1"/>
  <c r="H167" i="82"/>
  <c r="G25" i="82"/>
  <c r="G62" i="82"/>
  <c r="G91" i="82"/>
  <c r="G92" i="82"/>
  <c r="G100" i="82"/>
  <c r="G110" i="82"/>
  <c r="G128" i="82"/>
  <c r="G131" i="82"/>
  <c r="G167" i="82"/>
  <c r="H221" i="82"/>
  <c r="H216" i="82"/>
  <c r="I211" i="82"/>
  <c r="Y209" i="82"/>
  <c r="Y210" i="82" s="1"/>
  <c r="T209" i="82"/>
  <c r="S209" i="82"/>
  <c r="S210" i="82" s="1"/>
  <c r="R209" i="82"/>
  <c r="R210" i="82" s="1"/>
  <c r="P209" i="82"/>
  <c r="O209" i="82"/>
  <c r="O210" i="82" s="1"/>
  <c r="N209" i="82"/>
  <c r="N206" i="82"/>
  <c r="T203" i="82"/>
  <c r="T204" i="82" s="1"/>
  <c r="S203" i="82"/>
  <c r="S204" i="82" s="1"/>
  <c r="R203" i="82"/>
  <c r="R204" i="82" s="1"/>
  <c r="P203" i="82"/>
  <c r="P204" i="82" s="1"/>
  <c r="O203" i="82"/>
  <c r="O204" i="82" s="1"/>
  <c r="N203" i="82"/>
  <c r="N204" i="82" s="1"/>
  <c r="Y188" i="82"/>
  <c r="T188" i="82"/>
  <c r="S188" i="82"/>
  <c r="R188" i="82"/>
  <c r="P188" i="82"/>
  <c r="O188" i="82"/>
  <c r="N188" i="82"/>
  <c r="I188" i="82"/>
  <c r="Y186" i="82"/>
  <c r="T186" i="82"/>
  <c r="S186" i="82"/>
  <c r="R186" i="82"/>
  <c r="P186" i="82"/>
  <c r="O186" i="82"/>
  <c r="N186" i="82"/>
  <c r="I186" i="82"/>
  <c r="Y184" i="82"/>
  <c r="T184" i="82"/>
  <c r="S184" i="82"/>
  <c r="R184" i="82"/>
  <c r="P184" i="82"/>
  <c r="O184" i="82"/>
  <c r="N184" i="82"/>
  <c r="I184" i="82"/>
  <c r="Y181" i="82"/>
  <c r="T181" i="82"/>
  <c r="S181" i="82"/>
  <c r="R181" i="82"/>
  <c r="P181" i="82"/>
  <c r="O181" i="82"/>
  <c r="N181" i="82"/>
  <c r="I181" i="82"/>
  <c r="Y179" i="82"/>
  <c r="T179" i="82"/>
  <c r="S179" i="82"/>
  <c r="R179" i="82"/>
  <c r="P179" i="82"/>
  <c r="O179" i="82"/>
  <c r="N179" i="82"/>
  <c r="I179" i="82"/>
  <c r="T177" i="82"/>
  <c r="S177" i="82"/>
  <c r="R177" i="82"/>
  <c r="P177" i="82"/>
  <c r="O177" i="82"/>
  <c r="N177" i="82"/>
  <c r="I177" i="82"/>
  <c r="I174" i="82"/>
  <c r="T164" i="82"/>
  <c r="S164" i="82"/>
  <c r="R164" i="82"/>
  <c r="P164" i="82"/>
  <c r="O164" i="82"/>
  <c r="N164" i="82"/>
  <c r="I164" i="82"/>
  <c r="T160" i="82"/>
  <c r="S160" i="82"/>
  <c r="R160" i="82"/>
  <c r="P160" i="82"/>
  <c r="O160" i="82"/>
  <c r="N160" i="82"/>
  <c r="T153" i="82"/>
  <c r="S153" i="82"/>
  <c r="R153" i="82"/>
  <c r="P153" i="82"/>
  <c r="O153" i="82"/>
  <c r="N153" i="82"/>
  <c r="T141" i="82"/>
  <c r="S141" i="82"/>
  <c r="R141" i="82"/>
  <c r="P141" i="82"/>
  <c r="O141" i="82"/>
  <c r="N141" i="82"/>
  <c r="T132" i="82"/>
  <c r="S132" i="82"/>
  <c r="R132" i="82"/>
  <c r="P132" i="82"/>
  <c r="O132" i="82"/>
  <c r="N132" i="82"/>
  <c r="T112" i="82"/>
  <c r="S112" i="82"/>
  <c r="R112" i="82"/>
  <c r="P112" i="82"/>
  <c r="O112" i="82"/>
  <c r="N112" i="82"/>
  <c r="AA110" i="82"/>
  <c r="K115" i="90" s="1"/>
  <c r="AA115" i="90" s="1"/>
  <c r="K115" i="93" s="1"/>
  <c r="AA115" i="93" s="1"/>
  <c r="K116" i="107" s="1"/>
  <c r="AA116" i="107" s="1"/>
  <c r="K117" i="108" s="1"/>
  <c r="AA117" i="108" s="1"/>
  <c r="K117" i="112" s="1"/>
  <c r="AA117" i="112" s="1"/>
  <c r="K117" i="113" s="1"/>
  <c r="AA117" i="113" s="1"/>
  <c r="K127" i="117" s="1"/>
  <c r="T89" i="82"/>
  <c r="S89" i="82"/>
  <c r="R89" i="82"/>
  <c r="P89" i="82"/>
  <c r="O89" i="82"/>
  <c r="N89" i="82"/>
  <c r="T81" i="82"/>
  <c r="S81" i="82"/>
  <c r="R81" i="82"/>
  <c r="P81" i="82"/>
  <c r="O81" i="82"/>
  <c r="N81" i="82"/>
  <c r="T72" i="82"/>
  <c r="T73" i="82" s="1"/>
  <c r="S72" i="82"/>
  <c r="S73" i="82" s="1"/>
  <c r="R72" i="82"/>
  <c r="R73" i="82" s="1"/>
  <c r="P72" i="82"/>
  <c r="P73" i="82" s="1"/>
  <c r="O72" i="82"/>
  <c r="O73" i="82" s="1"/>
  <c r="N72" i="82"/>
  <c r="T51" i="82"/>
  <c r="S51" i="82"/>
  <c r="R51" i="82"/>
  <c r="P51" i="82"/>
  <c r="O51" i="82"/>
  <c r="N51" i="82"/>
  <c r="T47" i="82"/>
  <c r="S47" i="82"/>
  <c r="R47" i="82"/>
  <c r="P47" i="82"/>
  <c r="O47" i="82"/>
  <c r="N47" i="82"/>
  <c r="T43" i="82"/>
  <c r="S43" i="82"/>
  <c r="R43" i="82"/>
  <c r="P43" i="82"/>
  <c r="N43" i="82"/>
  <c r="Y35" i="82"/>
  <c r="Y37" i="82" s="1"/>
  <c r="T35" i="82"/>
  <c r="S35" i="82"/>
  <c r="S37" i="82" s="1"/>
  <c r="R35" i="82"/>
  <c r="R37" i="82" s="1"/>
  <c r="P35" i="82"/>
  <c r="O35" i="82"/>
  <c r="O37" i="82" s="1"/>
  <c r="T32" i="82"/>
  <c r="S32" i="82"/>
  <c r="R32" i="82"/>
  <c r="P32" i="82"/>
  <c r="U25" i="82"/>
  <c r="H213" i="81"/>
  <c r="H208" i="81"/>
  <c r="Q201" i="81"/>
  <c r="I201" i="81"/>
  <c r="X199" i="81"/>
  <c r="L199" i="81"/>
  <c r="K199" i="81"/>
  <c r="J199" i="81"/>
  <c r="G199" i="81"/>
  <c r="F199" i="81"/>
  <c r="Y198" i="81"/>
  <c r="Y199" i="81" s="1"/>
  <c r="T198" i="81"/>
  <c r="AB198" i="81" s="1"/>
  <c r="S198" i="81"/>
  <c r="S199" i="81" s="1"/>
  <c r="R198" i="81"/>
  <c r="P198" i="81"/>
  <c r="O198" i="81"/>
  <c r="O199" i="81" s="1"/>
  <c r="N198" i="81"/>
  <c r="N199" i="81" s="1"/>
  <c r="K198" i="81"/>
  <c r="J198" i="81"/>
  <c r="H198" i="81"/>
  <c r="G198" i="81"/>
  <c r="F198" i="81"/>
  <c r="AB197" i="81"/>
  <c r="M197" i="81"/>
  <c r="K197" i="81"/>
  <c r="AA197" i="81" s="1"/>
  <c r="J197" i="81"/>
  <c r="Z197" i="81" s="1"/>
  <c r="H197" i="81"/>
  <c r="X197" i="81" s="1"/>
  <c r="G197" i="81"/>
  <c r="W197" i="81" s="1"/>
  <c r="F197" i="81"/>
  <c r="V197" i="81" s="1"/>
  <c r="N195" i="81"/>
  <c r="V195" i="81" s="1"/>
  <c r="L195" i="81"/>
  <c r="AB195" i="81" s="1"/>
  <c r="L206" i="82" s="1"/>
  <c r="AB206" i="82" s="1"/>
  <c r="L220" i="90" s="1"/>
  <c r="AB220" i="90" s="1"/>
  <c r="L230" i="93" s="1"/>
  <c r="AB230" i="93" s="1"/>
  <c r="L237" i="107" s="1"/>
  <c r="AB237" i="107" s="1"/>
  <c r="L240" i="108" s="1"/>
  <c r="K195" i="81"/>
  <c r="AA195" i="81" s="1"/>
  <c r="K206" i="82" s="1"/>
  <c r="AA206" i="82" s="1"/>
  <c r="K220" i="90" s="1"/>
  <c r="AA220" i="90" s="1"/>
  <c r="K230" i="93" s="1"/>
  <c r="AA230" i="93" s="1"/>
  <c r="K237" i="107" s="1"/>
  <c r="AA237" i="107" s="1"/>
  <c r="K240" i="108" s="1"/>
  <c r="AA240" i="108" s="1"/>
  <c r="K242" i="112" s="1"/>
  <c r="AA242" i="112" s="1"/>
  <c r="K247" i="113" s="1"/>
  <c r="AA247" i="113" s="1"/>
  <c r="K262" i="117" s="1"/>
  <c r="AA262" i="117" s="1"/>
  <c r="K266" i="121" s="1"/>
  <c r="AA266" i="121" s="1"/>
  <c r="K266" i="122" s="1"/>
  <c r="AA266" i="122" s="1"/>
  <c r="J195" i="81"/>
  <c r="Z195" i="81" s="1"/>
  <c r="J206" i="82" s="1"/>
  <c r="Z206" i="82" s="1"/>
  <c r="J220" i="90" s="1"/>
  <c r="Z220" i="90" s="1"/>
  <c r="J230" i="93" s="1"/>
  <c r="Z230" i="93" s="1"/>
  <c r="J237" i="107" s="1"/>
  <c r="Z237" i="107" s="1"/>
  <c r="J240" i="108" s="1"/>
  <c r="Z240" i="108" s="1"/>
  <c r="J242" i="112" s="1"/>
  <c r="Z242" i="112" s="1"/>
  <c r="J247" i="113" s="1"/>
  <c r="Z247" i="113" s="1"/>
  <c r="J262" i="117" s="1"/>
  <c r="Z262" i="117" s="1"/>
  <c r="J266" i="121" s="1"/>
  <c r="Z266" i="121" s="1"/>
  <c r="J266" i="122" s="1"/>
  <c r="Z266" i="122" s="1"/>
  <c r="H195" i="81"/>
  <c r="X195" i="81" s="1"/>
  <c r="H206" i="82" s="1"/>
  <c r="X206" i="82" s="1"/>
  <c r="H220" i="90" s="1"/>
  <c r="X220" i="90" s="1"/>
  <c r="H230" i="93" s="1"/>
  <c r="X230" i="93" s="1"/>
  <c r="H237" i="107" s="1"/>
  <c r="X237" i="107" s="1"/>
  <c r="H240" i="108" s="1"/>
  <c r="X240" i="108" s="1"/>
  <c r="H242" i="112" s="1"/>
  <c r="X242" i="112" s="1"/>
  <c r="H247" i="113" s="1"/>
  <c r="X247" i="113" s="1"/>
  <c r="H262" i="117" s="1"/>
  <c r="X262" i="117" s="1"/>
  <c r="H266" i="121" s="1"/>
  <c r="X266" i="121" s="1"/>
  <c r="H266" i="122" s="1"/>
  <c r="X266" i="122" s="1"/>
  <c r="G195" i="81"/>
  <c r="W195" i="81" s="1"/>
  <c r="G206" i="82" s="1"/>
  <c r="W206" i="82" s="1"/>
  <c r="V194" i="81"/>
  <c r="V205" i="82" s="1"/>
  <c r="F219" i="90" s="1"/>
  <c r="V219" i="90" s="1"/>
  <c r="F229" i="93" s="1"/>
  <c r="V229" i="93" s="1"/>
  <c r="F236" i="107" s="1"/>
  <c r="V236" i="107" s="1"/>
  <c r="F239" i="108" s="1"/>
  <c r="V239" i="108" s="1"/>
  <c r="F241" i="112" s="1"/>
  <c r="M194" i="81"/>
  <c r="L194" i="81"/>
  <c r="AB194" i="81" s="1"/>
  <c r="L205" i="82" s="1"/>
  <c r="AB205" i="82" s="1"/>
  <c r="L219" i="90" s="1"/>
  <c r="AB219" i="90" s="1"/>
  <c r="L229" i="93" s="1"/>
  <c r="AB229" i="93" s="1"/>
  <c r="L236" i="107" s="1"/>
  <c r="AB236" i="107" s="1"/>
  <c r="L239" i="108" s="1"/>
  <c r="K194" i="81"/>
  <c r="AA194" i="81" s="1"/>
  <c r="K205" i="82" s="1"/>
  <c r="AA205" i="82" s="1"/>
  <c r="K219" i="90" s="1"/>
  <c r="AA219" i="90" s="1"/>
  <c r="K229" i="93" s="1"/>
  <c r="AA229" i="93" s="1"/>
  <c r="K236" i="107" s="1"/>
  <c r="AA236" i="107" s="1"/>
  <c r="K239" i="108" s="1"/>
  <c r="AA239" i="108" s="1"/>
  <c r="K241" i="112" s="1"/>
  <c r="AA241" i="112" s="1"/>
  <c r="K246" i="113" s="1"/>
  <c r="AA246" i="113" s="1"/>
  <c r="K261" i="117" s="1"/>
  <c r="AA261" i="117" s="1"/>
  <c r="K265" i="121" s="1"/>
  <c r="AA265" i="121" s="1"/>
  <c r="K265" i="122" s="1"/>
  <c r="AA265" i="122" s="1"/>
  <c r="J194" i="81"/>
  <c r="Z194" i="81" s="1"/>
  <c r="J205" i="82" s="1"/>
  <c r="Z205" i="82" s="1"/>
  <c r="J219" i="90" s="1"/>
  <c r="Z219" i="90" s="1"/>
  <c r="J229" i="93" s="1"/>
  <c r="Z229" i="93" s="1"/>
  <c r="J236" i="107" s="1"/>
  <c r="Z236" i="107" s="1"/>
  <c r="J239" i="108" s="1"/>
  <c r="Z239" i="108" s="1"/>
  <c r="J241" i="112" s="1"/>
  <c r="Z241" i="112" s="1"/>
  <c r="J246" i="113" s="1"/>
  <c r="Z246" i="113" s="1"/>
  <c r="J261" i="117" s="1"/>
  <c r="Z261" i="117" s="1"/>
  <c r="J265" i="121" s="1"/>
  <c r="Z265" i="121" s="1"/>
  <c r="J265" i="122" s="1"/>
  <c r="Z265" i="122" s="1"/>
  <c r="H194" i="81"/>
  <c r="X194" i="81" s="1"/>
  <c r="H205" i="82" s="1"/>
  <c r="G194" i="81"/>
  <c r="W194" i="81" s="1"/>
  <c r="G205" i="82" s="1"/>
  <c r="W205" i="82" s="1"/>
  <c r="T192" i="81"/>
  <c r="S192" i="81"/>
  <c r="R192" i="81"/>
  <c r="P192" i="81"/>
  <c r="O192" i="81"/>
  <c r="N192" i="81"/>
  <c r="L192" i="81"/>
  <c r="H192" i="81"/>
  <c r="AB191" i="81"/>
  <c r="L202" i="82" s="1"/>
  <c r="AB202" i="82" s="1"/>
  <c r="L216" i="90" s="1"/>
  <c r="AB216" i="90" s="1"/>
  <c r="L226" i="93" s="1"/>
  <c r="AB226" i="93" s="1"/>
  <c r="L233" i="107" s="1"/>
  <c r="AB233" i="107" s="1"/>
  <c r="L236" i="108" s="1"/>
  <c r="AB236" i="108" s="1"/>
  <c r="L238" i="112" s="1"/>
  <c r="AB238" i="112" s="1"/>
  <c r="L243" i="113" s="1"/>
  <c r="AB243" i="113" s="1"/>
  <c r="L258" i="117" s="1"/>
  <c r="X191" i="81"/>
  <c r="H202" i="82" s="1"/>
  <c r="X202" i="82" s="1"/>
  <c r="H216" i="90" s="1"/>
  <c r="X216" i="90" s="1"/>
  <c r="H226" i="93" s="1"/>
  <c r="X226" i="93" s="1"/>
  <c r="H233" i="107" s="1"/>
  <c r="X233" i="107" s="1"/>
  <c r="H236" i="108" s="1"/>
  <c r="X236" i="108" s="1"/>
  <c r="H238" i="112" s="1"/>
  <c r="X238" i="112" s="1"/>
  <c r="H243" i="113" s="1"/>
  <c r="X243" i="113" s="1"/>
  <c r="H258" i="117" s="1"/>
  <c r="X258" i="117" s="1"/>
  <c r="H262" i="121" s="1"/>
  <c r="X262" i="121" s="1"/>
  <c r="H262" i="122" s="1"/>
  <c r="X262" i="122" s="1"/>
  <c r="M191" i="81"/>
  <c r="K191" i="81"/>
  <c r="AA191" i="81" s="1"/>
  <c r="K202" i="82" s="1"/>
  <c r="AA202" i="82" s="1"/>
  <c r="K216" i="90" s="1"/>
  <c r="AA216" i="90" s="1"/>
  <c r="K226" i="93" s="1"/>
  <c r="AA226" i="93" s="1"/>
  <c r="K233" i="107" s="1"/>
  <c r="AA233" i="107" s="1"/>
  <c r="K236" i="108" s="1"/>
  <c r="J191" i="81"/>
  <c r="Z191" i="81" s="1"/>
  <c r="J202" i="82" s="1"/>
  <c r="Z202" i="82" s="1"/>
  <c r="J216" i="90" s="1"/>
  <c r="Z216" i="90" s="1"/>
  <c r="J226" i="93" s="1"/>
  <c r="Z226" i="93" s="1"/>
  <c r="J233" i="107" s="1"/>
  <c r="Z233" i="107" s="1"/>
  <c r="J236" i="108" s="1"/>
  <c r="Z236" i="108" s="1"/>
  <c r="J238" i="112" s="1"/>
  <c r="Z238" i="112" s="1"/>
  <c r="J243" i="113" s="1"/>
  <c r="Z243" i="113" s="1"/>
  <c r="J258" i="117" s="1"/>
  <c r="Z258" i="117" s="1"/>
  <c r="J262" i="121" s="1"/>
  <c r="Z262" i="121" s="1"/>
  <c r="J262" i="122" s="1"/>
  <c r="Z262" i="122" s="1"/>
  <c r="G191" i="81"/>
  <c r="W191" i="81" s="1"/>
  <c r="G202" i="82" s="1"/>
  <c r="W202" i="82" s="1"/>
  <c r="G206" i="90" s="1"/>
  <c r="W206" i="90" s="1"/>
  <c r="G214" i="93" s="1"/>
  <c r="W214" i="93" s="1"/>
  <c r="G221" i="107" s="1"/>
  <c r="W221" i="107" s="1"/>
  <c r="G224" i="108" s="1"/>
  <c r="W224" i="108" s="1"/>
  <c r="G226" i="112" s="1"/>
  <c r="W226" i="112" s="1"/>
  <c r="G230" i="113" s="1"/>
  <c r="W230" i="113" s="1"/>
  <c r="G245" i="117" s="1"/>
  <c r="W245" i="117" s="1"/>
  <c r="G249" i="121" s="1"/>
  <c r="W249" i="121" s="1"/>
  <c r="G249" i="122" s="1"/>
  <c r="W249" i="122" s="1"/>
  <c r="F191" i="81"/>
  <c r="AB190" i="81"/>
  <c r="L201" i="82" s="1"/>
  <c r="AB201" i="82" s="1"/>
  <c r="L215" i="90" s="1"/>
  <c r="AB215" i="90" s="1"/>
  <c r="L225" i="93" s="1"/>
  <c r="AB225" i="93" s="1"/>
  <c r="L232" i="107" s="1"/>
  <c r="AB232" i="107" s="1"/>
  <c r="L235" i="108" s="1"/>
  <c r="AB235" i="108" s="1"/>
  <c r="L237" i="112" s="1"/>
  <c r="AB237" i="112" s="1"/>
  <c r="L242" i="113" s="1"/>
  <c r="AB242" i="113" s="1"/>
  <c r="L257" i="117" s="1"/>
  <c r="X190" i="81"/>
  <c r="V190" i="81"/>
  <c r="V201" i="82" s="1"/>
  <c r="F215" i="90" s="1"/>
  <c r="V215" i="90" s="1"/>
  <c r="F225" i="93" s="1"/>
  <c r="V225" i="93" s="1"/>
  <c r="F232" i="107" s="1"/>
  <c r="V232" i="107" s="1"/>
  <c r="F235" i="108" s="1"/>
  <c r="V235" i="108" s="1"/>
  <c r="F237" i="112" s="1"/>
  <c r="V237" i="112" s="1"/>
  <c r="F242" i="113" s="1"/>
  <c r="V242" i="113" s="1"/>
  <c r="F257" i="117" s="1"/>
  <c r="V257" i="117" s="1"/>
  <c r="F261" i="121" s="1"/>
  <c r="V261" i="121" s="1"/>
  <c r="F261" i="122" s="1"/>
  <c r="V261" i="122" s="1"/>
  <c r="M190" i="81"/>
  <c r="M192" i="81" s="1"/>
  <c r="K190" i="81"/>
  <c r="K192" i="81" s="1"/>
  <c r="J190" i="81"/>
  <c r="J192" i="81" s="1"/>
  <c r="G190" i="81"/>
  <c r="W189" i="81"/>
  <c r="G199" i="82" s="1"/>
  <c r="W199" i="82" s="1"/>
  <c r="G203" i="90" s="1"/>
  <c r="W203" i="90" s="1"/>
  <c r="G210" i="93" s="1"/>
  <c r="W210" i="93" s="1"/>
  <c r="G217" i="107" s="1"/>
  <c r="W217" i="107" s="1"/>
  <c r="G220" i="108" s="1"/>
  <c r="W220" i="108" s="1"/>
  <c r="G222" i="112" s="1"/>
  <c r="W222" i="112" s="1"/>
  <c r="G226" i="113" s="1"/>
  <c r="W226" i="113" s="1"/>
  <c r="G241" i="117" s="1"/>
  <c r="W241" i="117" s="1"/>
  <c r="G245" i="121" s="1"/>
  <c r="W245" i="121" s="1"/>
  <c r="G245" i="122" s="1"/>
  <c r="W245" i="122" s="1"/>
  <c r="M189" i="81"/>
  <c r="L189" i="81"/>
  <c r="AB189" i="81" s="1"/>
  <c r="L199" i="82" s="1"/>
  <c r="AB199" i="82" s="1"/>
  <c r="L213" i="90" s="1"/>
  <c r="AB213" i="90" s="1"/>
  <c r="L223" i="93" s="1"/>
  <c r="AB223" i="93" s="1"/>
  <c r="L230" i="107" s="1"/>
  <c r="AB230" i="107" s="1"/>
  <c r="L233" i="108" s="1"/>
  <c r="K189" i="81"/>
  <c r="AA189" i="81" s="1"/>
  <c r="K199" i="82" s="1"/>
  <c r="AA199" i="82" s="1"/>
  <c r="K213" i="90" s="1"/>
  <c r="AA213" i="90" s="1"/>
  <c r="K223" i="93" s="1"/>
  <c r="AA223" i="93" s="1"/>
  <c r="K230" i="107" s="1"/>
  <c r="AA230" i="107" s="1"/>
  <c r="K233" i="108" s="1"/>
  <c r="AA233" i="108" s="1"/>
  <c r="K235" i="112" s="1"/>
  <c r="AA235" i="112" s="1"/>
  <c r="K240" i="113" s="1"/>
  <c r="J189" i="81"/>
  <c r="H189" i="81"/>
  <c r="X189" i="81" s="1"/>
  <c r="H199" i="82" s="1"/>
  <c r="X199" i="82" s="1"/>
  <c r="H213" i="90" s="1"/>
  <c r="X213" i="90" s="1"/>
  <c r="H223" i="93" s="1"/>
  <c r="X223" i="93" s="1"/>
  <c r="H230" i="107" s="1"/>
  <c r="X230" i="107" s="1"/>
  <c r="H233" i="108" s="1"/>
  <c r="X233" i="108" s="1"/>
  <c r="H235" i="112" s="1"/>
  <c r="X235" i="112" s="1"/>
  <c r="H240" i="113" s="1"/>
  <c r="X240" i="113" s="1"/>
  <c r="H255" i="117" s="1"/>
  <c r="X255" i="117" s="1"/>
  <c r="H259" i="121" s="1"/>
  <c r="X259" i="121" s="1"/>
  <c r="H259" i="122" s="1"/>
  <c r="X259" i="122" s="1"/>
  <c r="F189" i="81"/>
  <c r="V189" i="81" s="1"/>
  <c r="V199" i="82" s="1"/>
  <c r="F213" i="90" s="1"/>
  <c r="V213" i="90" s="1"/>
  <c r="F223" i="93" s="1"/>
  <c r="V223" i="93" s="1"/>
  <c r="F230" i="107" s="1"/>
  <c r="V230" i="107" s="1"/>
  <c r="F233" i="108" s="1"/>
  <c r="V233" i="108" s="1"/>
  <c r="F235" i="112" s="1"/>
  <c r="V235" i="112" s="1"/>
  <c r="F240" i="113" s="1"/>
  <c r="V240" i="113" s="1"/>
  <c r="F255" i="117" s="1"/>
  <c r="V255" i="117" s="1"/>
  <c r="F259" i="121" s="1"/>
  <c r="V259" i="121" s="1"/>
  <c r="F259" i="122" s="1"/>
  <c r="V259" i="122" s="1"/>
  <c r="Y188" i="81"/>
  <c r="T188" i="81"/>
  <c r="S188" i="81"/>
  <c r="R188" i="81"/>
  <c r="P188" i="81"/>
  <c r="O188" i="81"/>
  <c r="N188" i="81"/>
  <c r="M187" i="81"/>
  <c r="L187" i="81"/>
  <c r="AB187" i="81" s="1"/>
  <c r="L194" i="82" s="1"/>
  <c r="AB194" i="82" s="1"/>
  <c r="L208" i="90" s="1"/>
  <c r="AB208" i="90" s="1"/>
  <c r="L216" i="93" s="1"/>
  <c r="AB216" i="93" s="1"/>
  <c r="L223" i="107" s="1"/>
  <c r="AB223" i="107" s="1"/>
  <c r="L226" i="108" s="1"/>
  <c r="K187" i="81"/>
  <c r="AA187" i="81" s="1"/>
  <c r="K194" i="82" s="1"/>
  <c r="AA194" i="82" s="1"/>
  <c r="K208" i="90" s="1"/>
  <c r="AA208" i="90" s="1"/>
  <c r="K216" i="93" s="1"/>
  <c r="AA216" i="93" s="1"/>
  <c r="K223" i="107" s="1"/>
  <c r="AA223" i="107" s="1"/>
  <c r="K226" i="108" s="1"/>
  <c r="AA226" i="108" s="1"/>
  <c r="K228" i="112" s="1"/>
  <c r="AA228" i="112" s="1"/>
  <c r="K232" i="113" s="1"/>
  <c r="AA232" i="113" s="1"/>
  <c r="K247" i="117" s="1"/>
  <c r="AA247" i="117" s="1"/>
  <c r="K251" i="121" s="1"/>
  <c r="AA251" i="121" s="1"/>
  <c r="K251" i="122" s="1"/>
  <c r="AA251" i="122" s="1"/>
  <c r="J187" i="81"/>
  <c r="H187" i="81"/>
  <c r="X187" i="81" s="1"/>
  <c r="H194" i="82" s="1"/>
  <c r="X194" i="82" s="1"/>
  <c r="H208" i="90" s="1"/>
  <c r="X208" i="90" s="1"/>
  <c r="H216" i="93" s="1"/>
  <c r="X216" i="93" s="1"/>
  <c r="H223" i="107" s="1"/>
  <c r="X223" i="107" s="1"/>
  <c r="H226" i="108" s="1"/>
  <c r="X226" i="108" s="1"/>
  <c r="H228" i="112" s="1"/>
  <c r="X228" i="112" s="1"/>
  <c r="H232" i="113" s="1"/>
  <c r="X232" i="113" s="1"/>
  <c r="H247" i="117" s="1"/>
  <c r="X247" i="117" s="1"/>
  <c r="H251" i="121" s="1"/>
  <c r="X251" i="121" s="1"/>
  <c r="H251" i="122" s="1"/>
  <c r="X251" i="122" s="1"/>
  <c r="G187" i="81"/>
  <c r="W187" i="81" s="1"/>
  <c r="G194" i="82" s="1"/>
  <c r="W194" i="82" s="1"/>
  <c r="G198" i="90" s="1"/>
  <c r="W198" i="90" s="1"/>
  <c r="G205" i="93" s="1"/>
  <c r="W205" i="93" s="1"/>
  <c r="G212" i="107" s="1"/>
  <c r="W212" i="107" s="1"/>
  <c r="G215" i="108" s="1"/>
  <c r="W215" i="108" s="1"/>
  <c r="G217" i="112" s="1"/>
  <c r="W217" i="112" s="1"/>
  <c r="G221" i="113" s="1"/>
  <c r="W221" i="113" s="1"/>
  <c r="G236" i="117" s="1"/>
  <c r="W236" i="117" s="1"/>
  <c r="G240" i="121" s="1"/>
  <c r="W240" i="121" s="1"/>
  <c r="G240" i="122" s="1"/>
  <c r="W240" i="122" s="1"/>
  <c r="F187" i="81"/>
  <c r="V187" i="81" s="1"/>
  <c r="V194" i="82" s="1"/>
  <c r="F208" i="90" s="1"/>
  <c r="V208" i="90" s="1"/>
  <c r="F216" i="93" s="1"/>
  <c r="V216" i="93" s="1"/>
  <c r="F223" i="107" s="1"/>
  <c r="V223" i="107" s="1"/>
  <c r="F226" i="108" s="1"/>
  <c r="V226" i="108" s="1"/>
  <c r="F228" i="112" s="1"/>
  <c r="V228" i="112" s="1"/>
  <c r="F232" i="113" s="1"/>
  <c r="V232" i="113" s="1"/>
  <c r="F247" i="117" s="1"/>
  <c r="V247" i="117" s="1"/>
  <c r="F251" i="121" s="1"/>
  <c r="V251" i="121" s="1"/>
  <c r="F251" i="122" s="1"/>
  <c r="V251" i="122" s="1"/>
  <c r="X186" i="81"/>
  <c r="M186" i="81"/>
  <c r="L186" i="81"/>
  <c r="AB186" i="81" s="1"/>
  <c r="L193" i="82" s="1"/>
  <c r="AB193" i="82" s="1"/>
  <c r="L207" i="90" s="1"/>
  <c r="AB207" i="90" s="1"/>
  <c r="L215" i="93" s="1"/>
  <c r="AB215" i="93" s="1"/>
  <c r="L222" i="107" s="1"/>
  <c r="AB222" i="107" s="1"/>
  <c r="L225" i="108" s="1"/>
  <c r="K186" i="81"/>
  <c r="AA186" i="81" s="1"/>
  <c r="J186" i="81"/>
  <c r="Z186" i="81" s="1"/>
  <c r="J193" i="82" s="1"/>
  <c r="G186" i="81"/>
  <c r="F186" i="81"/>
  <c r="V186" i="81" s="1"/>
  <c r="Y185" i="81"/>
  <c r="T185" i="81"/>
  <c r="S185" i="81"/>
  <c r="R185" i="81"/>
  <c r="P185" i="81"/>
  <c r="O185" i="81"/>
  <c r="N185" i="81"/>
  <c r="H185" i="81"/>
  <c r="X184" i="81"/>
  <c r="X185" i="81" s="1"/>
  <c r="H192" i="82" s="1"/>
  <c r="M184" i="81"/>
  <c r="M185" i="81" s="1"/>
  <c r="L184" i="81"/>
  <c r="AB184" i="81" s="1"/>
  <c r="K184" i="81"/>
  <c r="AA184" i="81" s="1"/>
  <c r="J184" i="81"/>
  <c r="Z184" i="81" s="1"/>
  <c r="G184" i="81"/>
  <c r="F184" i="81"/>
  <c r="V184" i="81" s="1"/>
  <c r="V190" i="82" s="1"/>
  <c r="F204" i="90" s="1"/>
  <c r="V204" i="90" s="1"/>
  <c r="F211" i="93" s="1"/>
  <c r="V211" i="93" s="1"/>
  <c r="F218" i="107" s="1"/>
  <c r="V218" i="107" s="1"/>
  <c r="F221" i="108" s="1"/>
  <c r="V221" i="108" s="1"/>
  <c r="F223" i="112" s="1"/>
  <c r="V223" i="112" s="1"/>
  <c r="F227" i="113" s="1"/>
  <c r="V227" i="113" s="1"/>
  <c r="F242" i="117" s="1"/>
  <c r="V242" i="117" s="1"/>
  <c r="F246" i="121" s="1"/>
  <c r="V246" i="121" s="1"/>
  <c r="F246" i="122" s="1"/>
  <c r="V246" i="122" s="1"/>
  <c r="Y183" i="81"/>
  <c r="T183" i="81"/>
  <c r="S183" i="81"/>
  <c r="R183" i="81"/>
  <c r="P183" i="81"/>
  <c r="O183" i="81"/>
  <c r="N183" i="81"/>
  <c r="I183" i="81"/>
  <c r="H183" i="81"/>
  <c r="X182" i="81"/>
  <c r="M182" i="81"/>
  <c r="M183" i="81" s="1"/>
  <c r="L182" i="81"/>
  <c r="L183" i="81" s="1"/>
  <c r="K182" i="81"/>
  <c r="K183" i="81" s="1"/>
  <c r="J182" i="81"/>
  <c r="J183" i="81" s="1"/>
  <c r="G182" i="81"/>
  <c r="W182" i="81" s="1"/>
  <c r="F182" i="81"/>
  <c r="V182" i="81" s="1"/>
  <c r="V187" i="82" s="1"/>
  <c r="F201" i="90" s="1"/>
  <c r="V201" i="90" s="1"/>
  <c r="F208" i="93" s="1"/>
  <c r="V208" i="93" s="1"/>
  <c r="F215" i="107" s="1"/>
  <c r="V215" i="107" s="1"/>
  <c r="F218" i="108" s="1"/>
  <c r="V218" i="108" s="1"/>
  <c r="F220" i="112" s="1"/>
  <c r="V220" i="112" s="1"/>
  <c r="F224" i="113" s="1"/>
  <c r="V224" i="113" s="1"/>
  <c r="F239" i="117" s="1"/>
  <c r="V239" i="117" s="1"/>
  <c r="F243" i="121" s="1"/>
  <c r="V243" i="121" s="1"/>
  <c r="F243" i="122" s="1"/>
  <c r="V243" i="122" s="1"/>
  <c r="Y181" i="81"/>
  <c r="T181" i="81"/>
  <c r="S181" i="81"/>
  <c r="R181" i="81"/>
  <c r="P181" i="81"/>
  <c r="O181" i="81"/>
  <c r="N181" i="81"/>
  <c r="L181" i="81"/>
  <c r="I181" i="81"/>
  <c r="AB180" i="81"/>
  <c r="L185" i="82" s="1"/>
  <c r="AB185" i="82" s="1"/>
  <c r="L199" i="90" s="1"/>
  <c r="AB199" i="90" s="1"/>
  <c r="L206" i="93" s="1"/>
  <c r="AB206" i="93" s="1"/>
  <c r="L213" i="107" s="1"/>
  <c r="AB213" i="107" s="1"/>
  <c r="L216" i="108" s="1"/>
  <c r="AB216" i="108" s="1"/>
  <c r="L218" i="112" s="1"/>
  <c r="AB218" i="112" s="1"/>
  <c r="L222" i="113" s="1"/>
  <c r="AB222" i="113" s="1"/>
  <c r="L237" i="117" s="1"/>
  <c r="M180" i="81"/>
  <c r="M181" i="81" s="1"/>
  <c r="K180" i="81"/>
  <c r="K181" i="81" s="1"/>
  <c r="J180" i="81"/>
  <c r="H180" i="81"/>
  <c r="H181" i="81" s="1"/>
  <c r="G180" i="81"/>
  <c r="F180" i="81"/>
  <c r="F181" i="81" s="1"/>
  <c r="Y179" i="81"/>
  <c r="T179" i="81"/>
  <c r="S179" i="81"/>
  <c r="R179" i="81"/>
  <c r="P179" i="81"/>
  <c r="O179" i="81"/>
  <c r="N179" i="81"/>
  <c r="I179" i="81"/>
  <c r="H179" i="81"/>
  <c r="X178" i="81"/>
  <c r="H183" i="82" s="1"/>
  <c r="X183" i="82" s="1"/>
  <c r="H197" i="90" s="1"/>
  <c r="X197" i="90" s="1"/>
  <c r="H204" i="93" s="1"/>
  <c r="X204" i="93" s="1"/>
  <c r="H211" i="107" s="1"/>
  <c r="X211" i="107" s="1"/>
  <c r="H214" i="108" s="1"/>
  <c r="X214" i="108" s="1"/>
  <c r="H216" i="112" s="1"/>
  <c r="X216" i="112" s="1"/>
  <c r="H220" i="113" s="1"/>
  <c r="X220" i="113" s="1"/>
  <c r="H235" i="117" s="1"/>
  <c r="X235" i="117" s="1"/>
  <c r="H239" i="121" s="1"/>
  <c r="X239" i="121" s="1"/>
  <c r="H239" i="122" s="1"/>
  <c r="X239" i="122" s="1"/>
  <c r="W178" i="81"/>
  <c r="G183" i="82" s="1"/>
  <c r="W183" i="82" s="1"/>
  <c r="G188" i="90" s="1"/>
  <c r="W188" i="90" s="1"/>
  <c r="G195" i="93" s="1"/>
  <c r="W195" i="93" s="1"/>
  <c r="G202" i="107" s="1"/>
  <c r="W202" i="107" s="1"/>
  <c r="G205" i="108" s="1"/>
  <c r="W205" i="108" s="1"/>
  <c r="G207" i="112" s="1"/>
  <c r="W207" i="112" s="1"/>
  <c r="G211" i="113" s="1"/>
  <c r="W211" i="113" s="1"/>
  <c r="G226" i="117" s="1"/>
  <c r="W226" i="117" s="1"/>
  <c r="G230" i="121" s="1"/>
  <c r="W230" i="121" s="1"/>
  <c r="G230" i="122" s="1"/>
  <c r="W230" i="122" s="1"/>
  <c r="V178" i="81"/>
  <c r="V183" i="82" s="1"/>
  <c r="F197" i="90" s="1"/>
  <c r="V197" i="90" s="1"/>
  <c r="F204" i="93" s="1"/>
  <c r="V204" i="93" s="1"/>
  <c r="F211" i="107" s="1"/>
  <c r="V211" i="107" s="1"/>
  <c r="F214" i="108" s="1"/>
  <c r="V214" i="108" s="1"/>
  <c r="F216" i="112" s="1"/>
  <c r="V216" i="112" s="1"/>
  <c r="F220" i="113" s="1"/>
  <c r="V220" i="113" s="1"/>
  <c r="F235" i="117" s="1"/>
  <c r="V235" i="117" s="1"/>
  <c r="F239" i="121" s="1"/>
  <c r="V239" i="121" s="1"/>
  <c r="F239" i="122" s="1"/>
  <c r="V239" i="122" s="1"/>
  <c r="M178" i="81"/>
  <c r="L178" i="81"/>
  <c r="AB178" i="81" s="1"/>
  <c r="L183" i="82" s="1"/>
  <c r="K178" i="81"/>
  <c r="AA178" i="81" s="1"/>
  <c r="K183" i="82" s="1"/>
  <c r="AA183" i="82" s="1"/>
  <c r="K197" i="90" s="1"/>
  <c r="AA197" i="90" s="1"/>
  <c r="K204" i="93" s="1"/>
  <c r="AA204" i="93" s="1"/>
  <c r="K211" i="107" s="1"/>
  <c r="AA211" i="107" s="1"/>
  <c r="K214" i="108" s="1"/>
  <c r="AA214" i="108" s="1"/>
  <c r="K216" i="112" s="1"/>
  <c r="AA216" i="112" s="1"/>
  <c r="K220" i="113" s="1"/>
  <c r="J178" i="81"/>
  <c r="Z178" i="81" s="1"/>
  <c r="X177" i="81"/>
  <c r="H182" i="82" s="1"/>
  <c r="X182" i="82" s="1"/>
  <c r="H196" i="90" s="1"/>
  <c r="X196" i="90" s="1"/>
  <c r="H203" i="93" s="1"/>
  <c r="X203" i="93" s="1"/>
  <c r="H210" i="107" s="1"/>
  <c r="X210" i="107" s="1"/>
  <c r="H213" i="108" s="1"/>
  <c r="X213" i="108" s="1"/>
  <c r="H215" i="112" s="1"/>
  <c r="X215" i="112" s="1"/>
  <c r="H219" i="113" s="1"/>
  <c r="X219" i="113" s="1"/>
  <c r="H234" i="117" s="1"/>
  <c r="X234" i="117" s="1"/>
  <c r="H238" i="121" s="1"/>
  <c r="X238" i="121" s="1"/>
  <c r="H238" i="122" s="1"/>
  <c r="X238" i="122" s="1"/>
  <c r="M177" i="81"/>
  <c r="L177" i="81"/>
  <c r="K177" i="81"/>
  <c r="J177" i="81"/>
  <c r="G177" i="81"/>
  <c r="G179" i="81" s="1"/>
  <c r="F177" i="81"/>
  <c r="Y176" i="81"/>
  <c r="T176" i="81"/>
  <c r="S176" i="81"/>
  <c r="R176" i="81"/>
  <c r="P176" i="81"/>
  <c r="O176" i="81"/>
  <c r="N176" i="81"/>
  <c r="L176" i="81"/>
  <c r="K176" i="81"/>
  <c r="J176" i="81"/>
  <c r="I176" i="81"/>
  <c r="H176" i="81"/>
  <c r="G176" i="81"/>
  <c r="F176" i="81"/>
  <c r="M175" i="81"/>
  <c r="M176" i="81" s="1"/>
  <c r="L175" i="81"/>
  <c r="AB175" i="81" s="1"/>
  <c r="L180" i="82" s="1"/>
  <c r="AB180" i="82" s="1"/>
  <c r="L194" i="90" s="1"/>
  <c r="AB194" i="90" s="1"/>
  <c r="L201" i="93" s="1"/>
  <c r="AB201" i="93" s="1"/>
  <c r="L208" i="107" s="1"/>
  <c r="AB208" i="107" s="1"/>
  <c r="L211" i="108" s="1"/>
  <c r="K175" i="81"/>
  <c r="AA175" i="81" s="1"/>
  <c r="K180" i="82" s="1"/>
  <c r="AA180" i="82" s="1"/>
  <c r="K194" i="90" s="1"/>
  <c r="AA194" i="90" s="1"/>
  <c r="K201" i="93" s="1"/>
  <c r="AA201" i="93" s="1"/>
  <c r="K208" i="107" s="1"/>
  <c r="AA208" i="107" s="1"/>
  <c r="K211" i="108" s="1"/>
  <c r="AA211" i="108" s="1"/>
  <c r="K213" i="112" s="1"/>
  <c r="AA213" i="112" s="1"/>
  <c r="K217" i="113" s="1"/>
  <c r="AA217" i="113" s="1"/>
  <c r="K232" i="117" s="1"/>
  <c r="AA232" i="117" s="1"/>
  <c r="K236" i="121" s="1"/>
  <c r="AA236" i="121" s="1"/>
  <c r="K236" i="122" s="1"/>
  <c r="AA236" i="122" s="1"/>
  <c r="J175" i="81"/>
  <c r="Z175" i="81" s="1"/>
  <c r="J180" i="82" s="1"/>
  <c r="Z180" i="82" s="1"/>
  <c r="J194" i="90" s="1"/>
  <c r="Z194" i="90" s="1"/>
  <c r="J201" i="93" s="1"/>
  <c r="Z201" i="93" s="1"/>
  <c r="J208" i="107" s="1"/>
  <c r="Z208" i="107" s="1"/>
  <c r="J211" i="108" s="1"/>
  <c r="Z211" i="108" s="1"/>
  <c r="J213" i="112" s="1"/>
  <c r="Z213" i="112" s="1"/>
  <c r="J217" i="113" s="1"/>
  <c r="Z217" i="113" s="1"/>
  <c r="J232" i="117" s="1"/>
  <c r="Z232" i="117" s="1"/>
  <c r="J236" i="121" s="1"/>
  <c r="Z236" i="121" s="1"/>
  <c r="J236" i="122" s="1"/>
  <c r="Z236" i="122" s="1"/>
  <c r="H175" i="81"/>
  <c r="X175" i="81" s="1"/>
  <c r="H180" i="82" s="1"/>
  <c r="G175" i="81"/>
  <c r="W175" i="81" s="1"/>
  <c r="G180" i="82" s="1"/>
  <c r="W180" i="82" s="1"/>
  <c r="G182" i="90" s="1"/>
  <c r="F175" i="81"/>
  <c r="V175" i="81" s="1"/>
  <c r="V180" i="82" s="1"/>
  <c r="F194" i="90" s="1"/>
  <c r="V194" i="90" s="1"/>
  <c r="F201" i="93" s="1"/>
  <c r="V201" i="93" s="1"/>
  <c r="F208" i="107" s="1"/>
  <c r="V208" i="107" s="1"/>
  <c r="F211" i="108" s="1"/>
  <c r="V211" i="108" s="1"/>
  <c r="F213" i="112" s="1"/>
  <c r="V213" i="112" s="1"/>
  <c r="F217" i="113" s="1"/>
  <c r="V217" i="113" s="1"/>
  <c r="F232" i="117" s="1"/>
  <c r="V232" i="117" s="1"/>
  <c r="F236" i="121" s="1"/>
  <c r="V236" i="121" s="1"/>
  <c r="F236" i="122" s="1"/>
  <c r="V236" i="122" s="1"/>
  <c r="Y174" i="81"/>
  <c r="T174" i="81"/>
  <c r="S174" i="81"/>
  <c r="R174" i="81"/>
  <c r="P174" i="81"/>
  <c r="O174" i="81"/>
  <c r="N174" i="81"/>
  <c r="L174" i="81"/>
  <c r="I174" i="81"/>
  <c r="H174" i="81"/>
  <c r="AB173" i="81"/>
  <c r="L178" i="82" s="1"/>
  <c r="AB178" i="82" s="1"/>
  <c r="L192" i="90" s="1"/>
  <c r="AB192" i="90" s="1"/>
  <c r="L199" i="93" s="1"/>
  <c r="AB199" i="93" s="1"/>
  <c r="L206" i="107" s="1"/>
  <c r="AB206" i="107" s="1"/>
  <c r="L209" i="108" s="1"/>
  <c r="AB209" i="108" s="1"/>
  <c r="L211" i="112" s="1"/>
  <c r="AB211" i="112" s="1"/>
  <c r="L215" i="113" s="1"/>
  <c r="AB215" i="113" s="1"/>
  <c r="L230" i="117" s="1"/>
  <c r="X173" i="81"/>
  <c r="M173" i="81"/>
  <c r="M174" i="81" s="1"/>
  <c r="K173" i="81"/>
  <c r="K174" i="81" s="1"/>
  <c r="J173" i="81"/>
  <c r="Z173" i="81" s="1"/>
  <c r="G173" i="81"/>
  <c r="W173" i="81" s="1"/>
  <c r="G178" i="82" s="1"/>
  <c r="W178" i="82" s="1"/>
  <c r="G180" i="90" s="1"/>
  <c r="W180" i="90" s="1"/>
  <c r="G184" i="93" s="1"/>
  <c r="W184" i="93" s="1"/>
  <c r="G191" i="107" s="1"/>
  <c r="W191" i="107" s="1"/>
  <c r="G194" i="108" s="1"/>
  <c r="W194" i="108" s="1"/>
  <c r="G196" i="112" s="1"/>
  <c r="W196" i="112" s="1"/>
  <c r="G200" i="113" s="1"/>
  <c r="W200" i="113" s="1"/>
  <c r="G214" i="117" s="1"/>
  <c r="W214" i="117" s="1"/>
  <c r="G213" i="121" s="1"/>
  <c r="W213" i="121" s="1"/>
  <c r="G213" i="122" s="1"/>
  <c r="W213" i="122" s="1"/>
  <c r="F173" i="81"/>
  <c r="V173" i="81" s="1"/>
  <c r="V178" i="82" s="1"/>
  <c r="F192" i="90" s="1"/>
  <c r="V192" i="90" s="1"/>
  <c r="F199" i="93" s="1"/>
  <c r="V199" i="93" s="1"/>
  <c r="F206" i="107" s="1"/>
  <c r="V206" i="107" s="1"/>
  <c r="F209" i="108" s="1"/>
  <c r="V209" i="108" s="1"/>
  <c r="F211" i="112" s="1"/>
  <c r="V211" i="112" s="1"/>
  <c r="F215" i="113" s="1"/>
  <c r="V215" i="113" s="1"/>
  <c r="F230" i="117" s="1"/>
  <c r="V230" i="117" s="1"/>
  <c r="F234" i="121" s="1"/>
  <c r="V234" i="121" s="1"/>
  <c r="F234" i="122" s="1"/>
  <c r="V234" i="122" s="1"/>
  <c r="T172" i="81"/>
  <c r="S172" i="81"/>
  <c r="R172" i="81"/>
  <c r="P172" i="81"/>
  <c r="O172" i="81"/>
  <c r="N172" i="81"/>
  <c r="I172" i="81"/>
  <c r="H172" i="81"/>
  <c r="X171" i="81"/>
  <c r="H176" i="82" s="1"/>
  <c r="X176" i="82" s="1"/>
  <c r="H190" i="90" s="1"/>
  <c r="X190" i="90" s="1"/>
  <c r="H197" i="93" s="1"/>
  <c r="X197" i="93" s="1"/>
  <c r="H204" i="107" s="1"/>
  <c r="X204" i="107" s="1"/>
  <c r="H207" i="108" s="1"/>
  <c r="X207" i="108" s="1"/>
  <c r="H209" i="112" s="1"/>
  <c r="X209" i="112" s="1"/>
  <c r="H213" i="113" s="1"/>
  <c r="X213" i="113" s="1"/>
  <c r="H228" i="117" s="1"/>
  <c r="M171" i="81"/>
  <c r="L171" i="81"/>
  <c r="AB171" i="81" s="1"/>
  <c r="L176" i="82" s="1"/>
  <c r="AB176" i="82" s="1"/>
  <c r="K171" i="81"/>
  <c r="K172" i="81" s="1"/>
  <c r="J171" i="81"/>
  <c r="Z171" i="81" s="1"/>
  <c r="J176" i="82" s="1"/>
  <c r="G171" i="81"/>
  <c r="W171" i="81" s="1"/>
  <c r="G176" i="82" s="1"/>
  <c r="W176" i="82" s="1"/>
  <c r="G178" i="90" s="1"/>
  <c r="F171" i="81"/>
  <c r="V171" i="81" s="1"/>
  <c r="V176" i="82" s="1"/>
  <c r="AA170" i="81"/>
  <c r="K175" i="82" s="1"/>
  <c r="AA175" i="82" s="1"/>
  <c r="K189" i="90" s="1"/>
  <c r="AA189" i="90" s="1"/>
  <c r="K196" i="93" s="1"/>
  <c r="AA196" i="93" s="1"/>
  <c r="K203" i="107" s="1"/>
  <c r="AA203" i="107" s="1"/>
  <c r="K206" i="108" s="1"/>
  <c r="AA206" i="108" s="1"/>
  <c r="K208" i="112" s="1"/>
  <c r="AA208" i="112" s="1"/>
  <c r="K212" i="113" s="1"/>
  <c r="AA212" i="113" s="1"/>
  <c r="K227" i="117" s="1"/>
  <c r="AA227" i="117" s="1"/>
  <c r="K231" i="121" s="1"/>
  <c r="AA231" i="121" s="1"/>
  <c r="K231" i="122" s="1"/>
  <c r="AA231" i="122" s="1"/>
  <c r="X170" i="81"/>
  <c r="M170" i="81"/>
  <c r="M172" i="81" s="1"/>
  <c r="L170" i="81"/>
  <c r="AB170" i="81" s="1"/>
  <c r="L175" i="82" s="1"/>
  <c r="J170" i="81"/>
  <c r="G170" i="81"/>
  <c r="F170" i="81"/>
  <c r="V170" i="81" s="1"/>
  <c r="T169" i="81"/>
  <c r="S169" i="81"/>
  <c r="R169" i="81"/>
  <c r="P169" i="81"/>
  <c r="O169" i="81"/>
  <c r="N169" i="81"/>
  <c r="K169" i="81"/>
  <c r="I169" i="81"/>
  <c r="AA168" i="81"/>
  <c r="K167" i="82" s="1"/>
  <c r="AA167" i="82" s="1"/>
  <c r="K178" i="90" s="1"/>
  <c r="AA178" i="90" s="1"/>
  <c r="K180" i="93" s="1"/>
  <c r="AA180" i="93" s="1"/>
  <c r="K187" i="107" s="1"/>
  <c r="AA187" i="107" s="1"/>
  <c r="K190" i="108" s="1"/>
  <c r="AA190" i="108" s="1"/>
  <c r="K192" i="112" s="1"/>
  <c r="AA192" i="112" s="1"/>
  <c r="K196" i="113" s="1"/>
  <c r="AA196" i="113" s="1"/>
  <c r="K208" i="117" s="1"/>
  <c r="V168" i="81"/>
  <c r="V167" i="82" s="1"/>
  <c r="F178" i="90" s="1"/>
  <c r="V178" i="90" s="1"/>
  <c r="F180" i="93" s="1"/>
  <c r="V180" i="93" s="1"/>
  <c r="F187" i="107" s="1"/>
  <c r="V187" i="107" s="1"/>
  <c r="F190" i="108" s="1"/>
  <c r="V190" i="108" s="1"/>
  <c r="F192" i="112" s="1"/>
  <c r="V192" i="112" s="1"/>
  <c r="F196" i="113" s="1"/>
  <c r="V196" i="113" s="1"/>
  <c r="F208" i="117" s="1"/>
  <c r="V208" i="117" s="1"/>
  <c r="F206" i="121" s="1"/>
  <c r="V206" i="121" s="1"/>
  <c r="F206" i="122" s="1"/>
  <c r="V206" i="122" s="1"/>
  <c r="M168" i="81"/>
  <c r="L168" i="81"/>
  <c r="J168" i="81"/>
  <c r="H168" i="81"/>
  <c r="G168" i="81"/>
  <c r="AA167" i="81"/>
  <c r="K166" i="82" s="1"/>
  <c r="AA166" i="82" s="1"/>
  <c r="K177" i="90" s="1"/>
  <c r="AA177" i="90" s="1"/>
  <c r="K179" i="93" s="1"/>
  <c r="AA179" i="93" s="1"/>
  <c r="K186" i="107" s="1"/>
  <c r="AA186" i="107" s="1"/>
  <c r="K189" i="108" s="1"/>
  <c r="AA189" i="108" s="1"/>
  <c r="K191" i="112" s="1"/>
  <c r="AA191" i="112" s="1"/>
  <c r="K195" i="113" s="1"/>
  <c r="AA195" i="113" s="1"/>
  <c r="K207" i="117" s="1"/>
  <c r="M167" i="81"/>
  <c r="L167" i="81"/>
  <c r="J167" i="81"/>
  <c r="Z167" i="81" s="1"/>
  <c r="J166" i="82" s="1"/>
  <c r="Z166" i="82" s="1"/>
  <c r="J177" i="90" s="1"/>
  <c r="Z177" i="90" s="1"/>
  <c r="J179" i="93" s="1"/>
  <c r="Z179" i="93" s="1"/>
  <c r="J186" i="107" s="1"/>
  <c r="Z186" i="107" s="1"/>
  <c r="J189" i="108" s="1"/>
  <c r="Z189" i="108" s="1"/>
  <c r="J191" i="112" s="1"/>
  <c r="Z191" i="112" s="1"/>
  <c r="J195" i="113" s="1"/>
  <c r="Z195" i="113" s="1"/>
  <c r="J207" i="117" s="1"/>
  <c r="Z207" i="117" s="1"/>
  <c r="J205" i="121" s="1"/>
  <c r="Z205" i="121" s="1"/>
  <c r="J205" i="122" s="1"/>
  <c r="Z205" i="122" s="1"/>
  <c r="H167" i="81"/>
  <c r="X167" i="81" s="1"/>
  <c r="H166" i="82" s="1"/>
  <c r="X166" i="82" s="1"/>
  <c r="H177" i="90" s="1"/>
  <c r="X177" i="90" s="1"/>
  <c r="H179" i="93" s="1"/>
  <c r="X179" i="93" s="1"/>
  <c r="H186" i="107" s="1"/>
  <c r="X186" i="107" s="1"/>
  <c r="H189" i="108" s="1"/>
  <c r="X189" i="108" s="1"/>
  <c r="H191" i="112" s="1"/>
  <c r="X191" i="112" s="1"/>
  <c r="H195" i="113" s="1"/>
  <c r="X195" i="113" s="1"/>
  <c r="H207" i="117" s="1"/>
  <c r="X207" i="117" s="1"/>
  <c r="H205" i="121" s="1"/>
  <c r="X205" i="121" s="1"/>
  <c r="H205" i="122" s="1"/>
  <c r="X205" i="122" s="1"/>
  <c r="G167" i="81"/>
  <c r="W167" i="81" s="1"/>
  <c r="G166" i="82" s="1"/>
  <c r="W166" i="82" s="1"/>
  <c r="G168" i="90" s="1"/>
  <c r="W168" i="90" s="1"/>
  <c r="G170" i="93" s="1"/>
  <c r="W170" i="93" s="1"/>
  <c r="G176" i="107" s="1"/>
  <c r="W176" i="107" s="1"/>
  <c r="G179" i="108" s="1"/>
  <c r="W179" i="108" s="1"/>
  <c r="G181" i="112" s="1"/>
  <c r="W181" i="112" s="1"/>
  <c r="G185" i="113" s="1"/>
  <c r="W185" i="113" s="1"/>
  <c r="G197" i="117" s="1"/>
  <c r="W197" i="117" s="1"/>
  <c r="G195" i="121" s="1"/>
  <c r="W195" i="121" s="1"/>
  <c r="G195" i="122" s="1"/>
  <c r="W195" i="122" s="1"/>
  <c r="F167" i="81"/>
  <c r="AA166" i="81"/>
  <c r="K165" i="82" s="1"/>
  <c r="M166" i="81"/>
  <c r="L166" i="81"/>
  <c r="J166" i="81"/>
  <c r="H166" i="81"/>
  <c r="G166" i="81"/>
  <c r="F166" i="81"/>
  <c r="V166" i="81" s="1"/>
  <c r="T165" i="81"/>
  <c r="S165" i="81"/>
  <c r="R165" i="81"/>
  <c r="P165" i="81"/>
  <c r="O165" i="81"/>
  <c r="N165" i="81"/>
  <c r="I165" i="81"/>
  <c r="H165" i="81"/>
  <c r="AB164" i="81"/>
  <c r="L163" i="82" s="1"/>
  <c r="AB163" i="82" s="1"/>
  <c r="L174" i="90" s="1"/>
  <c r="AB174" i="90" s="1"/>
  <c r="L176" i="93" s="1"/>
  <c r="AB176" i="93" s="1"/>
  <c r="L183" i="107" s="1"/>
  <c r="AB183" i="107" s="1"/>
  <c r="L186" i="108" s="1"/>
  <c r="AB186" i="108" s="1"/>
  <c r="L188" i="112" s="1"/>
  <c r="AB188" i="112" s="1"/>
  <c r="L192" i="113" s="1"/>
  <c r="AB192" i="113" s="1"/>
  <c r="L204" i="117" s="1"/>
  <c r="X164" i="81"/>
  <c r="H163" i="82" s="1"/>
  <c r="X163" i="82" s="1"/>
  <c r="H174" i="90" s="1"/>
  <c r="X174" i="90" s="1"/>
  <c r="H176" i="93" s="1"/>
  <c r="X176" i="93" s="1"/>
  <c r="H183" i="107" s="1"/>
  <c r="X183" i="107" s="1"/>
  <c r="H186" i="108" s="1"/>
  <c r="X186" i="108" s="1"/>
  <c r="H188" i="112" s="1"/>
  <c r="X188" i="112" s="1"/>
  <c r="H192" i="113" s="1"/>
  <c r="X192" i="113" s="1"/>
  <c r="H204" i="117" s="1"/>
  <c r="X204" i="117" s="1"/>
  <c r="H202" i="121" s="1"/>
  <c r="X202" i="121" s="1"/>
  <c r="H202" i="122" s="1"/>
  <c r="X202" i="122" s="1"/>
  <c r="V164" i="81"/>
  <c r="V163" i="82" s="1"/>
  <c r="F174" i="90" s="1"/>
  <c r="V174" i="90" s="1"/>
  <c r="F176" i="93" s="1"/>
  <c r="V176" i="93" s="1"/>
  <c r="F183" i="107" s="1"/>
  <c r="V183" i="107" s="1"/>
  <c r="F186" i="108" s="1"/>
  <c r="V186" i="108" s="1"/>
  <c r="F188" i="112" s="1"/>
  <c r="V188" i="112" s="1"/>
  <c r="F192" i="113" s="1"/>
  <c r="V192" i="113" s="1"/>
  <c r="F204" i="117" s="1"/>
  <c r="V204" i="117" s="1"/>
  <c r="F202" i="121" s="1"/>
  <c r="V202" i="121" s="1"/>
  <c r="F202" i="122" s="1"/>
  <c r="V202" i="122" s="1"/>
  <c r="M164" i="81"/>
  <c r="K164" i="81"/>
  <c r="J164" i="81"/>
  <c r="Z164" i="81" s="1"/>
  <c r="J163" i="82" s="1"/>
  <c r="Z163" i="82" s="1"/>
  <c r="J174" i="90" s="1"/>
  <c r="Z174" i="90" s="1"/>
  <c r="J176" i="93" s="1"/>
  <c r="Z176" i="93" s="1"/>
  <c r="J183" i="107" s="1"/>
  <c r="Z183" i="107" s="1"/>
  <c r="J186" i="108" s="1"/>
  <c r="Z186" i="108" s="1"/>
  <c r="J188" i="112" s="1"/>
  <c r="Z188" i="112" s="1"/>
  <c r="J192" i="113" s="1"/>
  <c r="Z192" i="113" s="1"/>
  <c r="J204" i="117" s="1"/>
  <c r="Z204" i="117" s="1"/>
  <c r="J202" i="121" s="1"/>
  <c r="Z202" i="121" s="1"/>
  <c r="J202" i="122" s="1"/>
  <c r="Z202" i="122" s="1"/>
  <c r="G164" i="81"/>
  <c r="W164" i="81" s="1"/>
  <c r="X163" i="81"/>
  <c r="M163" i="81"/>
  <c r="L163" i="81"/>
  <c r="L165" i="81" s="1"/>
  <c r="K163" i="81"/>
  <c r="J163" i="81"/>
  <c r="G163" i="81"/>
  <c r="W163" i="81" s="1"/>
  <c r="F163" i="81"/>
  <c r="V163" i="81" s="1"/>
  <c r="T161" i="81"/>
  <c r="S161" i="81"/>
  <c r="R161" i="81"/>
  <c r="P161" i="81"/>
  <c r="O161" i="81"/>
  <c r="N161" i="81"/>
  <c r="L161" i="81"/>
  <c r="H161" i="81"/>
  <c r="AB160" i="81"/>
  <c r="L159" i="82" s="1"/>
  <c r="AB159" i="82" s="1"/>
  <c r="L170" i="90" s="1"/>
  <c r="AB170" i="90" s="1"/>
  <c r="L172" i="93" s="1"/>
  <c r="AB172" i="93" s="1"/>
  <c r="L178" i="107" s="1"/>
  <c r="AB178" i="107" s="1"/>
  <c r="L181" i="108" s="1"/>
  <c r="AB181" i="108" s="1"/>
  <c r="L183" i="112" s="1"/>
  <c r="AB183" i="112" s="1"/>
  <c r="L187" i="113" s="1"/>
  <c r="AB187" i="113" s="1"/>
  <c r="L199" i="117" s="1"/>
  <c r="X160" i="81"/>
  <c r="H159" i="82" s="1"/>
  <c r="X159" i="82" s="1"/>
  <c r="H170" i="90" s="1"/>
  <c r="X170" i="90" s="1"/>
  <c r="H172" i="93" s="1"/>
  <c r="X172" i="93" s="1"/>
  <c r="H178" i="107" s="1"/>
  <c r="X178" i="107" s="1"/>
  <c r="H181" i="108" s="1"/>
  <c r="X181" i="108" s="1"/>
  <c r="H183" i="112" s="1"/>
  <c r="X183" i="112" s="1"/>
  <c r="H187" i="113" s="1"/>
  <c r="X187" i="113" s="1"/>
  <c r="H199" i="117" s="1"/>
  <c r="X199" i="117" s="1"/>
  <c r="H197" i="121" s="1"/>
  <c r="X197" i="121" s="1"/>
  <c r="H197" i="122" s="1"/>
  <c r="X197" i="122" s="1"/>
  <c r="M160" i="81"/>
  <c r="K160" i="81"/>
  <c r="AA160" i="81" s="1"/>
  <c r="K159" i="82" s="1"/>
  <c r="AA159" i="82" s="1"/>
  <c r="K170" i="90" s="1"/>
  <c r="AA170" i="90" s="1"/>
  <c r="K172" i="93" s="1"/>
  <c r="AA172" i="93" s="1"/>
  <c r="K178" i="107" s="1"/>
  <c r="AA178" i="107" s="1"/>
  <c r="K181" i="108" s="1"/>
  <c r="J160" i="81"/>
  <c r="Z160" i="81" s="1"/>
  <c r="J159" i="82" s="1"/>
  <c r="G160" i="81"/>
  <c r="F160" i="81"/>
  <c r="V160" i="81" s="1"/>
  <c r="V159" i="82" s="1"/>
  <c r="F170" i="90" s="1"/>
  <c r="V170" i="90" s="1"/>
  <c r="F172" i="93" s="1"/>
  <c r="V172" i="93" s="1"/>
  <c r="F178" i="107" s="1"/>
  <c r="V178" i="107" s="1"/>
  <c r="F181" i="108" s="1"/>
  <c r="V181" i="108" s="1"/>
  <c r="F183" i="112" s="1"/>
  <c r="V183" i="112" s="1"/>
  <c r="F187" i="113" s="1"/>
  <c r="V187" i="113" s="1"/>
  <c r="F199" i="117" s="1"/>
  <c r="V199" i="117" s="1"/>
  <c r="F197" i="121" s="1"/>
  <c r="V197" i="121" s="1"/>
  <c r="F197" i="122" s="1"/>
  <c r="V197" i="122" s="1"/>
  <c r="AB159" i="81"/>
  <c r="L158" i="82" s="1"/>
  <c r="AB158" i="82" s="1"/>
  <c r="L169" i="90" s="1"/>
  <c r="AB169" i="90" s="1"/>
  <c r="L171" i="93" s="1"/>
  <c r="AB171" i="93" s="1"/>
  <c r="L177" i="107" s="1"/>
  <c r="AB177" i="107" s="1"/>
  <c r="L180" i="108" s="1"/>
  <c r="AB180" i="108" s="1"/>
  <c r="L182" i="112" s="1"/>
  <c r="AB182" i="112" s="1"/>
  <c r="L186" i="113" s="1"/>
  <c r="AB186" i="113" s="1"/>
  <c r="L198" i="117" s="1"/>
  <c r="X159" i="81"/>
  <c r="H158" i="82" s="1"/>
  <c r="X158" i="82" s="1"/>
  <c r="H169" i="90" s="1"/>
  <c r="X169" i="90" s="1"/>
  <c r="H171" i="93" s="1"/>
  <c r="X171" i="93" s="1"/>
  <c r="H177" i="107" s="1"/>
  <c r="X177" i="107" s="1"/>
  <c r="H180" i="108" s="1"/>
  <c r="X180" i="108" s="1"/>
  <c r="H182" i="112" s="1"/>
  <c r="X182" i="112" s="1"/>
  <c r="H186" i="113" s="1"/>
  <c r="X186" i="113" s="1"/>
  <c r="H198" i="117" s="1"/>
  <c r="X198" i="117" s="1"/>
  <c r="H196" i="121" s="1"/>
  <c r="X196" i="121" s="1"/>
  <c r="H196" i="122" s="1"/>
  <c r="X196" i="122" s="1"/>
  <c r="V159" i="81"/>
  <c r="V158" i="82" s="1"/>
  <c r="F169" i="90" s="1"/>
  <c r="V169" i="90" s="1"/>
  <c r="F171" i="93" s="1"/>
  <c r="V171" i="93" s="1"/>
  <c r="F177" i="107" s="1"/>
  <c r="V177" i="107" s="1"/>
  <c r="F180" i="108" s="1"/>
  <c r="V180" i="108" s="1"/>
  <c r="F182" i="112" s="1"/>
  <c r="V182" i="112" s="1"/>
  <c r="F186" i="113" s="1"/>
  <c r="V186" i="113" s="1"/>
  <c r="F198" i="117" s="1"/>
  <c r="V198" i="117" s="1"/>
  <c r="F196" i="121" s="1"/>
  <c r="V196" i="121" s="1"/>
  <c r="F196" i="122" s="1"/>
  <c r="V196" i="122" s="1"/>
  <c r="M159" i="81"/>
  <c r="K159" i="81"/>
  <c r="AA159" i="81" s="1"/>
  <c r="K158" i="82" s="1"/>
  <c r="J159" i="81"/>
  <c r="Z159" i="81" s="1"/>
  <c r="J158" i="82" s="1"/>
  <c r="Z158" i="82" s="1"/>
  <c r="J169" i="90" s="1"/>
  <c r="Z169" i="90" s="1"/>
  <c r="J171" i="93" s="1"/>
  <c r="Z171" i="93" s="1"/>
  <c r="J177" i="107" s="1"/>
  <c r="Z177" i="107" s="1"/>
  <c r="J180" i="108" s="1"/>
  <c r="Z180" i="108" s="1"/>
  <c r="J182" i="112" s="1"/>
  <c r="Z182" i="112" s="1"/>
  <c r="J186" i="113" s="1"/>
  <c r="Z186" i="113" s="1"/>
  <c r="J198" i="117" s="1"/>
  <c r="Z198" i="117" s="1"/>
  <c r="J196" i="121" s="1"/>
  <c r="Z196" i="121" s="1"/>
  <c r="J196" i="122" s="1"/>
  <c r="Z196" i="122" s="1"/>
  <c r="G159" i="81"/>
  <c r="W159" i="81" s="1"/>
  <c r="G158" i="82" s="1"/>
  <c r="W158" i="82" s="1"/>
  <c r="G160" i="90" s="1"/>
  <c r="W160" i="90" s="1"/>
  <c r="G160" i="93" s="1"/>
  <c r="W160" i="93" s="1"/>
  <c r="G166" i="107" s="1"/>
  <c r="W166" i="107" s="1"/>
  <c r="G168" i="108" s="1"/>
  <c r="W168" i="108" s="1"/>
  <c r="G170" i="112" s="1"/>
  <c r="W170" i="112" s="1"/>
  <c r="G174" i="113" s="1"/>
  <c r="W174" i="113" s="1"/>
  <c r="G186" i="117" s="1"/>
  <c r="W186" i="117" s="1"/>
  <c r="G184" i="121" s="1"/>
  <c r="W184" i="121" s="1"/>
  <c r="G184" i="122" s="1"/>
  <c r="W184" i="122" s="1"/>
  <c r="AB158" i="81"/>
  <c r="L157" i="82" s="1"/>
  <c r="AB157" i="82" s="1"/>
  <c r="L168" i="90" s="1"/>
  <c r="AB168" i="90" s="1"/>
  <c r="L170" i="93" s="1"/>
  <c r="AB170" i="93" s="1"/>
  <c r="L176" i="107" s="1"/>
  <c r="AB176" i="107" s="1"/>
  <c r="L179" i="108" s="1"/>
  <c r="AB179" i="108" s="1"/>
  <c r="L181" i="112" s="1"/>
  <c r="AB181" i="112" s="1"/>
  <c r="L185" i="113" s="1"/>
  <c r="AB185" i="113" s="1"/>
  <c r="L197" i="117" s="1"/>
  <c r="X158" i="81"/>
  <c r="H157" i="82" s="1"/>
  <c r="X157" i="82" s="1"/>
  <c r="H168" i="90" s="1"/>
  <c r="X168" i="90" s="1"/>
  <c r="H170" i="93" s="1"/>
  <c r="X170" i="93" s="1"/>
  <c r="H176" i="107" s="1"/>
  <c r="X176" i="107" s="1"/>
  <c r="H179" i="108" s="1"/>
  <c r="X179" i="108" s="1"/>
  <c r="H181" i="112" s="1"/>
  <c r="X181" i="112" s="1"/>
  <c r="H185" i="113" s="1"/>
  <c r="X185" i="113" s="1"/>
  <c r="H197" i="117" s="1"/>
  <c r="X197" i="117" s="1"/>
  <c r="H195" i="121" s="1"/>
  <c r="X195" i="121" s="1"/>
  <c r="H195" i="122" s="1"/>
  <c r="X195" i="122" s="1"/>
  <c r="V158" i="81"/>
  <c r="V157" i="82" s="1"/>
  <c r="F168" i="90" s="1"/>
  <c r="V168" i="90" s="1"/>
  <c r="F170" i="93" s="1"/>
  <c r="V170" i="93" s="1"/>
  <c r="F176" i="107" s="1"/>
  <c r="V176" i="107" s="1"/>
  <c r="F179" i="108" s="1"/>
  <c r="V179" i="108" s="1"/>
  <c r="F181" i="112" s="1"/>
  <c r="V181" i="112" s="1"/>
  <c r="F185" i="113" s="1"/>
  <c r="V185" i="113" s="1"/>
  <c r="F197" i="117" s="1"/>
  <c r="V197" i="117" s="1"/>
  <c r="F195" i="121" s="1"/>
  <c r="V195" i="121" s="1"/>
  <c r="F195" i="122" s="1"/>
  <c r="V195" i="122" s="1"/>
  <c r="M158" i="81"/>
  <c r="K158" i="81"/>
  <c r="AA158" i="81" s="1"/>
  <c r="K157" i="82" s="1"/>
  <c r="J158" i="81"/>
  <c r="Z158" i="81" s="1"/>
  <c r="J157" i="82" s="1"/>
  <c r="Z157" i="82" s="1"/>
  <c r="J168" i="90" s="1"/>
  <c r="Z168" i="90" s="1"/>
  <c r="J170" i="93" s="1"/>
  <c r="Z170" i="93" s="1"/>
  <c r="J176" i="107" s="1"/>
  <c r="Z176" i="107" s="1"/>
  <c r="J179" i="108" s="1"/>
  <c r="Z179" i="108" s="1"/>
  <c r="J181" i="112" s="1"/>
  <c r="Z181" i="112" s="1"/>
  <c r="J185" i="113" s="1"/>
  <c r="Z185" i="113" s="1"/>
  <c r="J197" i="117" s="1"/>
  <c r="Z197" i="117" s="1"/>
  <c r="J195" i="121" s="1"/>
  <c r="Z195" i="121" s="1"/>
  <c r="J195" i="122" s="1"/>
  <c r="Z195" i="122" s="1"/>
  <c r="G158" i="81"/>
  <c r="W158" i="81" s="1"/>
  <c r="G157" i="82" s="1"/>
  <c r="W157" i="82" s="1"/>
  <c r="G159" i="90" s="1"/>
  <c r="W159" i="90" s="1"/>
  <c r="G159" i="93" s="1"/>
  <c r="W159" i="93" s="1"/>
  <c r="G165" i="107" s="1"/>
  <c r="W165" i="107" s="1"/>
  <c r="G167" i="108" s="1"/>
  <c r="W167" i="108" s="1"/>
  <c r="G169" i="112" s="1"/>
  <c r="W169" i="112" s="1"/>
  <c r="G173" i="113" s="1"/>
  <c r="W173" i="113" s="1"/>
  <c r="G185" i="117" s="1"/>
  <c r="W185" i="117" s="1"/>
  <c r="G183" i="121" s="1"/>
  <c r="W183" i="121" s="1"/>
  <c r="G183" i="122" s="1"/>
  <c r="W183" i="122" s="1"/>
  <c r="AB157" i="81"/>
  <c r="L156" i="82" s="1"/>
  <c r="AB156" i="82" s="1"/>
  <c r="L167" i="90" s="1"/>
  <c r="AB167" i="90" s="1"/>
  <c r="L169" i="93" s="1"/>
  <c r="AB169" i="93" s="1"/>
  <c r="L175" i="107" s="1"/>
  <c r="AB175" i="107" s="1"/>
  <c r="L178" i="108" s="1"/>
  <c r="AB178" i="108" s="1"/>
  <c r="L180" i="112" s="1"/>
  <c r="AB180" i="112" s="1"/>
  <c r="L184" i="113" s="1"/>
  <c r="AB184" i="113" s="1"/>
  <c r="L196" i="117" s="1"/>
  <c r="X157" i="81"/>
  <c r="H156" i="82" s="1"/>
  <c r="X156" i="82" s="1"/>
  <c r="H167" i="90" s="1"/>
  <c r="X167" i="90" s="1"/>
  <c r="H169" i="93" s="1"/>
  <c r="X169" i="93" s="1"/>
  <c r="H175" i="107" s="1"/>
  <c r="X175" i="107" s="1"/>
  <c r="H178" i="108" s="1"/>
  <c r="X178" i="108" s="1"/>
  <c r="H180" i="112" s="1"/>
  <c r="X180" i="112" s="1"/>
  <c r="H184" i="113" s="1"/>
  <c r="X184" i="113" s="1"/>
  <c r="H196" i="117" s="1"/>
  <c r="X196" i="117" s="1"/>
  <c r="H194" i="121" s="1"/>
  <c r="X194" i="121" s="1"/>
  <c r="H194" i="122" s="1"/>
  <c r="X194" i="122" s="1"/>
  <c r="V157" i="81"/>
  <c r="V156" i="82" s="1"/>
  <c r="F167" i="90" s="1"/>
  <c r="V167" i="90" s="1"/>
  <c r="F169" i="93" s="1"/>
  <c r="V169" i="93" s="1"/>
  <c r="F175" i="107" s="1"/>
  <c r="V175" i="107" s="1"/>
  <c r="F178" i="108" s="1"/>
  <c r="V178" i="108" s="1"/>
  <c r="F180" i="112" s="1"/>
  <c r="V180" i="112" s="1"/>
  <c r="F184" i="113" s="1"/>
  <c r="V184" i="113" s="1"/>
  <c r="F196" i="117" s="1"/>
  <c r="V196" i="117" s="1"/>
  <c r="F194" i="121" s="1"/>
  <c r="V194" i="121" s="1"/>
  <c r="F194" i="122" s="1"/>
  <c r="V194" i="122" s="1"/>
  <c r="M157" i="81"/>
  <c r="K157" i="81"/>
  <c r="AA157" i="81" s="1"/>
  <c r="K156" i="82" s="1"/>
  <c r="J157" i="81"/>
  <c r="Z157" i="81" s="1"/>
  <c r="J156" i="82" s="1"/>
  <c r="Z156" i="82" s="1"/>
  <c r="J167" i="90" s="1"/>
  <c r="Z167" i="90" s="1"/>
  <c r="J169" i="93" s="1"/>
  <c r="Z169" i="93" s="1"/>
  <c r="J175" i="107" s="1"/>
  <c r="Z175" i="107" s="1"/>
  <c r="J178" i="108" s="1"/>
  <c r="Z178" i="108" s="1"/>
  <c r="J180" i="112" s="1"/>
  <c r="Z180" i="112" s="1"/>
  <c r="J184" i="113" s="1"/>
  <c r="Z184" i="113" s="1"/>
  <c r="J196" i="117" s="1"/>
  <c r="Z196" i="117" s="1"/>
  <c r="J194" i="121" s="1"/>
  <c r="Z194" i="121" s="1"/>
  <c r="J194" i="122" s="1"/>
  <c r="Z194" i="122" s="1"/>
  <c r="G157" i="81"/>
  <c r="W157" i="81" s="1"/>
  <c r="G156" i="82" s="1"/>
  <c r="W156" i="82" s="1"/>
  <c r="G158" i="90" s="1"/>
  <c r="W158" i="90" s="1"/>
  <c r="G158" i="93" s="1"/>
  <c r="W158" i="93" s="1"/>
  <c r="G164" i="107" s="1"/>
  <c r="W164" i="107" s="1"/>
  <c r="G166" i="108" s="1"/>
  <c r="W166" i="108" s="1"/>
  <c r="G168" i="112" s="1"/>
  <c r="W168" i="112" s="1"/>
  <c r="G172" i="113" s="1"/>
  <c r="W172" i="113" s="1"/>
  <c r="G184" i="117" s="1"/>
  <c r="W184" i="117" s="1"/>
  <c r="G182" i="121" s="1"/>
  <c r="W182" i="121" s="1"/>
  <c r="G182" i="122" s="1"/>
  <c r="W182" i="122" s="1"/>
  <c r="AB156" i="81"/>
  <c r="L155" i="82" s="1"/>
  <c r="AB155" i="82" s="1"/>
  <c r="L166" i="90" s="1"/>
  <c r="AB166" i="90" s="1"/>
  <c r="L168" i="93" s="1"/>
  <c r="AB168" i="93" s="1"/>
  <c r="L174" i="107" s="1"/>
  <c r="AB174" i="107" s="1"/>
  <c r="L177" i="108" s="1"/>
  <c r="AB177" i="108" s="1"/>
  <c r="L179" i="112" s="1"/>
  <c r="AB179" i="112" s="1"/>
  <c r="L183" i="113" s="1"/>
  <c r="AB183" i="113" s="1"/>
  <c r="L195" i="117" s="1"/>
  <c r="X156" i="81"/>
  <c r="H155" i="82" s="1"/>
  <c r="X155" i="82" s="1"/>
  <c r="H166" i="90" s="1"/>
  <c r="X166" i="90" s="1"/>
  <c r="H168" i="93" s="1"/>
  <c r="X168" i="93" s="1"/>
  <c r="H174" i="107" s="1"/>
  <c r="X174" i="107" s="1"/>
  <c r="H177" i="108" s="1"/>
  <c r="X177" i="108" s="1"/>
  <c r="H179" i="112" s="1"/>
  <c r="X179" i="112" s="1"/>
  <c r="H183" i="113" s="1"/>
  <c r="X183" i="113" s="1"/>
  <c r="H195" i="117" s="1"/>
  <c r="X195" i="117" s="1"/>
  <c r="H193" i="121" s="1"/>
  <c r="X193" i="121" s="1"/>
  <c r="H193" i="122" s="1"/>
  <c r="X193" i="122" s="1"/>
  <c r="V156" i="81"/>
  <c r="V155" i="82" s="1"/>
  <c r="F166" i="90" s="1"/>
  <c r="V166" i="90" s="1"/>
  <c r="F168" i="93" s="1"/>
  <c r="V168" i="93" s="1"/>
  <c r="F174" i="107" s="1"/>
  <c r="V174" i="107" s="1"/>
  <c r="F177" i="108" s="1"/>
  <c r="V177" i="108" s="1"/>
  <c r="F179" i="112" s="1"/>
  <c r="V179" i="112" s="1"/>
  <c r="F183" i="113" s="1"/>
  <c r="V183" i="113" s="1"/>
  <c r="F195" i="117" s="1"/>
  <c r="V195" i="117" s="1"/>
  <c r="F193" i="121" s="1"/>
  <c r="V193" i="121" s="1"/>
  <c r="F193" i="122" s="1"/>
  <c r="V193" i="122" s="1"/>
  <c r="M156" i="81"/>
  <c r="K156" i="81"/>
  <c r="AA156" i="81" s="1"/>
  <c r="K155" i="82" s="1"/>
  <c r="J156" i="81"/>
  <c r="Z156" i="81" s="1"/>
  <c r="J155" i="82" s="1"/>
  <c r="Z155" i="82" s="1"/>
  <c r="J166" i="90" s="1"/>
  <c r="Z166" i="90" s="1"/>
  <c r="J168" i="93" s="1"/>
  <c r="Z168" i="93" s="1"/>
  <c r="J174" i="107" s="1"/>
  <c r="Z174" i="107" s="1"/>
  <c r="J177" i="108" s="1"/>
  <c r="Z177" i="108" s="1"/>
  <c r="J179" i="112" s="1"/>
  <c r="Z179" i="112" s="1"/>
  <c r="J183" i="113" s="1"/>
  <c r="Z183" i="113" s="1"/>
  <c r="J195" i="117" s="1"/>
  <c r="Z195" i="117" s="1"/>
  <c r="J193" i="121" s="1"/>
  <c r="Z193" i="121" s="1"/>
  <c r="J193" i="122" s="1"/>
  <c r="Z193" i="122" s="1"/>
  <c r="G156" i="81"/>
  <c r="W156" i="81" s="1"/>
  <c r="G155" i="82" s="1"/>
  <c r="W155" i="82" s="1"/>
  <c r="G157" i="90" s="1"/>
  <c r="W157" i="90" s="1"/>
  <c r="G157" i="93" s="1"/>
  <c r="W157" i="93" s="1"/>
  <c r="G163" i="107" s="1"/>
  <c r="W163" i="107" s="1"/>
  <c r="G165" i="108" s="1"/>
  <c r="W165" i="108" s="1"/>
  <c r="G167" i="112" s="1"/>
  <c r="W167" i="112" s="1"/>
  <c r="G171" i="113" s="1"/>
  <c r="W171" i="113" s="1"/>
  <c r="G183" i="117" s="1"/>
  <c r="W183" i="117" s="1"/>
  <c r="G181" i="121" s="1"/>
  <c r="W181" i="121" s="1"/>
  <c r="G181" i="122" s="1"/>
  <c r="W181" i="122" s="1"/>
  <c r="AB155" i="81"/>
  <c r="X155" i="81"/>
  <c r="H154" i="82" s="1"/>
  <c r="X154" i="82" s="1"/>
  <c r="H165" i="90" s="1"/>
  <c r="X165" i="90" s="1"/>
  <c r="H167" i="93" s="1"/>
  <c r="X167" i="93" s="1"/>
  <c r="H173" i="107" s="1"/>
  <c r="X173" i="107" s="1"/>
  <c r="H176" i="108" s="1"/>
  <c r="X176" i="108" s="1"/>
  <c r="H178" i="112" s="1"/>
  <c r="X178" i="112" s="1"/>
  <c r="H182" i="113" s="1"/>
  <c r="X182" i="113" s="1"/>
  <c r="H194" i="117" s="1"/>
  <c r="X194" i="117" s="1"/>
  <c r="H192" i="121" s="1"/>
  <c r="X192" i="121" s="1"/>
  <c r="H192" i="122" s="1"/>
  <c r="X192" i="122" s="1"/>
  <c r="V155" i="81"/>
  <c r="V154" i="82" s="1"/>
  <c r="F165" i="90" s="1"/>
  <c r="V165" i="90" s="1"/>
  <c r="F167" i="93" s="1"/>
  <c r="V167" i="93" s="1"/>
  <c r="F173" i="107" s="1"/>
  <c r="V173" i="107" s="1"/>
  <c r="F176" i="108" s="1"/>
  <c r="V176" i="108" s="1"/>
  <c r="F178" i="112" s="1"/>
  <c r="V178" i="112" s="1"/>
  <c r="F182" i="113" s="1"/>
  <c r="V182" i="113" s="1"/>
  <c r="F194" i="117" s="1"/>
  <c r="V194" i="117" s="1"/>
  <c r="F192" i="121" s="1"/>
  <c r="V192" i="121" s="1"/>
  <c r="F192" i="122" s="1"/>
  <c r="V192" i="122" s="1"/>
  <c r="M155" i="81"/>
  <c r="K155" i="81"/>
  <c r="J155" i="81"/>
  <c r="G155" i="81"/>
  <c r="T154" i="81"/>
  <c r="S154" i="81"/>
  <c r="R154" i="81"/>
  <c r="P154" i="81"/>
  <c r="O154" i="81"/>
  <c r="N154" i="81"/>
  <c r="H154" i="81"/>
  <c r="AA153" i="81"/>
  <c r="K152" i="82" s="1"/>
  <c r="AA152" i="82" s="1"/>
  <c r="K161" i="90" s="1"/>
  <c r="AA161" i="90" s="1"/>
  <c r="K161" i="93" s="1"/>
  <c r="AA161" i="93" s="1"/>
  <c r="K167" i="107" s="1"/>
  <c r="AA167" i="107" s="1"/>
  <c r="K169" i="108" s="1"/>
  <c r="AA169" i="108" s="1"/>
  <c r="K171" i="112" s="1"/>
  <c r="AA171" i="112" s="1"/>
  <c r="K175" i="113" s="1"/>
  <c r="AA175" i="113" s="1"/>
  <c r="K187" i="117" s="1"/>
  <c r="AA187" i="117" s="1"/>
  <c r="K185" i="121" s="1"/>
  <c r="AA185" i="121" s="1"/>
  <c r="K185" i="122" s="1"/>
  <c r="AA185" i="122" s="1"/>
  <c r="X153" i="81"/>
  <c r="M153" i="81"/>
  <c r="L153" i="81"/>
  <c r="AB153" i="81" s="1"/>
  <c r="L152" i="82" s="1"/>
  <c r="AB152" i="82" s="1"/>
  <c r="L161" i="90" s="1"/>
  <c r="AB161" i="90" s="1"/>
  <c r="L161" i="93" s="1"/>
  <c r="AB161" i="93" s="1"/>
  <c r="L167" i="107" s="1"/>
  <c r="AB167" i="107" s="1"/>
  <c r="L169" i="108" s="1"/>
  <c r="J153" i="81"/>
  <c r="Z153" i="81" s="1"/>
  <c r="J152" i="82" s="1"/>
  <c r="Z152" i="82" s="1"/>
  <c r="J161" i="90" s="1"/>
  <c r="Z161" i="90" s="1"/>
  <c r="J161" i="93" s="1"/>
  <c r="Z161" i="93" s="1"/>
  <c r="J167" i="107" s="1"/>
  <c r="Z167" i="107" s="1"/>
  <c r="J169" i="108" s="1"/>
  <c r="Z169" i="108" s="1"/>
  <c r="J171" i="112" s="1"/>
  <c r="Z171" i="112" s="1"/>
  <c r="J175" i="113" s="1"/>
  <c r="Z175" i="113" s="1"/>
  <c r="J187" i="117" s="1"/>
  <c r="Z187" i="117" s="1"/>
  <c r="J185" i="121" s="1"/>
  <c r="Z185" i="121" s="1"/>
  <c r="J185" i="122" s="1"/>
  <c r="Z185" i="122" s="1"/>
  <c r="G153" i="81"/>
  <c r="W153" i="81" s="1"/>
  <c r="G152" i="82" s="1"/>
  <c r="W152" i="82" s="1"/>
  <c r="G154" i="90" s="1"/>
  <c r="W154" i="90" s="1"/>
  <c r="G154" i="93" s="1"/>
  <c r="W154" i="93" s="1"/>
  <c r="G160" i="107" s="1"/>
  <c r="W160" i="107" s="1"/>
  <c r="G162" i="108" s="1"/>
  <c r="W162" i="108" s="1"/>
  <c r="G164" i="112" s="1"/>
  <c r="W164" i="112" s="1"/>
  <c r="G168" i="113" s="1"/>
  <c r="W168" i="113" s="1"/>
  <c r="G180" i="117" s="1"/>
  <c r="W180" i="117" s="1"/>
  <c r="G178" i="121" s="1"/>
  <c r="W178" i="121" s="1"/>
  <c r="G178" i="122" s="1"/>
  <c r="W178" i="122" s="1"/>
  <c r="F153" i="81"/>
  <c r="V153" i="81" s="1"/>
  <c r="V152" i="82" s="1"/>
  <c r="F161" i="90" s="1"/>
  <c r="V161" i="90" s="1"/>
  <c r="F161" i="93" s="1"/>
  <c r="V161" i="93" s="1"/>
  <c r="F167" i="107" s="1"/>
  <c r="V167" i="107" s="1"/>
  <c r="F169" i="108" s="1"/>
  <c r="V169" i="108" s="1"/>
  <c r="F171" i="112" s="1"/>
  <c r="V171" i="112" s="1"/>
  <c r="F175" i="113" s="1"/>
  <c r="V175" i="113" s="1"/>
  <c r="F187" i="117" s="1"/>
  <c r="V187" i="117" s="1"/>
  <c r="F185" i="121" s="1"/>
  <c r="V185" i="121" s="1"/>
  <c r="F185" i="122" s="1"/>
  <c r="V185" i="122" s="1"/>
  <c r="X152" i="81"/>
  <c r="H150" i="82" s="1"/>
  <c r="X150" i="82" s="1"/>
  <c r="H159" i="90" s="1"/>
  <c r="X159" i="90" s="1"/>
  <c r="H159" i="93" s="1"/>
  <c r="X159" i="93" s="1"/>
  <c r="H165" i="107" s="1"/>
  <c r="X165" i="107" s="1"/>
  <c r="H167" i="108" s="1"/>
  <c r="X167" i="108" s="1"/>
  <c r="H169" i="112" s="1"/>
  <c r="X169" i="112" s="1"/>
  <c r="H173" i="113" s="1"/>
  <c r="X173" i="113" s="1"/>
  <c r="H185" i="117" s="1"/>
  <c r="X185" i="117" s="1"/>
  <c r="H183" i="121" s="1"/>
  <c r="X183" i="121" s="1"/>
  <c r="H183" i="122" s="1"/>
  <c r="X183" i="122" s="1"/>
  <c r="V152" i="81"/>
  <c r="V151" i="82" s="1"/>
  <c r="F160" i="90" s="1"/>
  <c r="V160" i="90" s="1"/>
  <c r="F160" i="93" s="1"/>
  <c r="V160" i="93" s="1"/>
  <c r="F166" i="107" s="1"/>
  <c r="V166" i="107" s="1"/>
  <c r="F168" i="108" s="1"/>
  <c r="V168" i="108" s="1"/>
  <c r="F170" i="112" s="1"/>
  <c r="V170" i="112" s="1"/>
  <c r="F174" i="113" s="1"/>
  <c r="V174" i="113" s="1"/>
  <c r="F186" i="117" s="1"/>
  <c r="V186" i="117" s="1"/>
  <c r="F184" i="121" s="1"/>
  <c r="V184" i="121" s="1"/>
  <c r="F184" i="122" s="1"/>
  <c r="V184" i="122" s="1"/>
  <c r="M152" i="81"/>
  <c r="L152" i="81"/>
  <c r="AB152" i="81" s="1"/>
  <c r="K152" i="81"/>
  <c r="AA152" i="81" s="1"/>
  <c r="J152" i="81"/>
  <c r="G152" i="81"/>
  <c r="W152" i="81" s="1"/>
  <c r="X151" i="81"/>
  <c r="H149" i="82" s="1"/>
  <c r="X149" i="82" s="1"/>
  <c r="H158" i="90" s="1"/>
  <c r="X158" i="90" s="1"/>
  <c r="H158" i="93" s="1"/>
  <c r="X158" i="93" s="1"/>
  <c r="H164" i="107" s="1"/>
  <c r="X164" i="107" s="1"/>
  <c r="H166" i="108" s="1"/>
  <c r="X166" i="108" s="1"/>
  <c r="H168" i="112" s="1"/>
  <c r="X168" i="112" s="1"/>
  <c r="H172" i="113" s="1"/>
  <c r="X172" i="113" s="1"/>
  <c r="H184" i="117" s="1"/>
  <c r="X184" i="117" s="1"/>
  <c r="H182" i="121" s="1"/>
  <c r="X182" i="121" s="1"/>
  <c r="H182" i="122" s="1"/>
  <c r="X182" i="122" s="1"/>
  <c r="M151" i="81"/>
  <c r="L151" i="81"/>
  <c r="AB151" i="81" s="1"/>
  <c r="L149" i="82" s="1"/>
  <c r="AB149" i="82" s="1"/>
  <c r="L158" i="90" s="1"/>
  <c r="AB158" i="90" s="1"/>
  <c r="L158" i="93" s="1"/>
  <c r="AB158" i="93" s="1"/>
  <c r="L164" i="107" s="1"/>
  <c r="AB164" i="107" s="1"/>
  <c r="L166" i="108" s="1"/>
  <c r="K151" i="81"/>
  <c r="AA151" i="81" s="1"/>
  <c r="K149" i="82" s="1"/>
  <c r="AA149" i="82" s="1"/>
  <c r="K158" i="90" s="1"/>
  <c r="AA158" i="90" s="1"/>
  <c r="K158" i="93" s="1"/>
  <c r="AA158" i="93" s="1"/>
  <c r="K164" i="107" s="1"/>
  <c r="AA164" i="107" s="1"/>
  <c r="K166" i="108" s="1"/>
  <c r="AA166" i="108" s="1"/>
  <c r="K168" i="112" s="1"/>
  <c r="AA168" i="112" s="1"/>
  <c r="K172" i="113" s="1"/>
  <c r="AA172" i="113" s="1"/>
  <c r="K184" i="117" s="1"/>
  <c r="AA184" i="117" s="1"/>
  <c r="K182" i="121" s="1"/>
  <c r="AA182" i="121" s="1"/>
  <c r="K182" i="122" s="1"/>
  <c r="AA182" i="122" s="1"/>
  <c r="J151" i="81"/>
  <c r="G151" i="81"/>
  <c r="W151" i="81" s="1"/>
  <c r="G149" i="82" s="1"/>
  <c r="W149" i="82" s="1"/>
  <c r="G151" i="90" s="1"/>
  <c r="W151" i="90" s="1"/>
  <c r="G151" i="93" s="1"/>
  <c r="W151" i="93" s="1"/>
  <c r="G157" i="107" s="1"/>
  <c r="W157" i="107" s="1"/>
  <c r="G159" i="108" s="1"/>
  <c r="W159" i="108" s="1"/>
  <c r="G161" i="112" s="1"/>
  <c r="W161" i="112" s="1"/>
  <c r="G165" i="113" s="1"/>
  <c r="W165" i="113" s="1"/>
  <c r="G177" i="117" s="1"/>
  <c r="W177" i="117" s="1"/>
  <c r="G175" i="121" s="1"/>
  <c r="W175" i="121" s="1"/>
  <c r="G175" i="122" s="1"/>
  <c r="W175" i="122" s="1"/>
  <c r="F151" i="81"/>
  <c r="V151" i="81" s="1"/>
  <c r="V149" i="82" s="1"/>
  <c r="F158" i="90" s="1"/>
  <c r="V158" i="90" s="1"/>
  <c r="F158" i="93" s="1"/>
  <c r="V158" i="93" s="1"/>
  <c r="F164" i="107" s="1"/>
  <c r="V164" i="107" s="1"/>
  <c r="F166" i="108" s="1"/>
  <c r="V166" i="108" s="1"/>
  <c r="F168" i="112" s="1"/>
  <c r="V168" i="112" s="1"/>
  <c r="F172" i="113" s="1"/>
  <c r="V172" i="113" s="1"/>
  <c r="F184" i="117" s="1"/>
  <c r="V184" i="117" s="1"/>
  <c r="F182" i="121" s="1"/>
  <c r="V182" i="121" s="1"/>
  <c r="F182" i="122" s="1"/>
  <c r="V182" i="122" s="1"/>
  <c r="X150" i="81"/>
  <c r="H148" i="82" s="1"/>
  <c r="X148" i="82" s="1"/>
  <c r="H157" i="90" s="1"/>
  <c r="X157" i="90" s="1"/>
  <c r="H157" i="93" s="1"/>
  <c r="X157" i="93" s="1"/>
  <c r="H163" i="107" s="1"/>
  <c r="X163" i="107" s="1"/>
  <c r="H165" i="108" s="1"/>
  <c r="X165" i="108" s="1"/>
  <c r="H167" i="112" s="1"/>
  <c r="X167" i="112" s="1"/>
  <c r="H171" i="113" s="1"/>
  <c r="X171" i="113" s="1"/>
  <c r="H183" i="117" s="1"/>
  <c r="X183" i="117" s="1"/>
  <c r="H181" i="121" s="1"/>
  <c r="X181" i="121" s="1"/>
  <c r="H181" i="122" s="1"/>
  <c r="X181" i="122" s="1"/>
  <c r="M150" i="81"/>
  <c r="L150" i="81"/>
  <c r="K150" i="81"/>
  <c r="AA150" i="81" s="1"/>
  <c r="K148" i="82" s="1"/>
  <c r="AA148" i="82" s="1"/>
  <c r="K157" i="90" s="1"/>
  <c r="AA157" i="90" s="1"/>
  <c r="K157" i="93" s="1"/>
  <c r="AA157" i="93" s="1"/>
  <c r="K163" i="107" s="1"/>
  <c r="AA163" i="107" s="1"/>
  <c r="K165" i="108" s="1"/>
  <c r="AA165" i="108" s="1"/>
  <c r="K167" i="112" s="1"/>
  <c r="AA167" i="112" s="1"/>
  <c r="K171" i="113" s="1"/>
  <c r="AA171" i="113" s="1"/>
  <c r="K183" i="117" s="1"/>
  <c r="AA183" i="117" s="1"/>
  <c r="K181" i="121" s="1"/>
  <c r="AA181" i="121" s="1"/>
  <c r="K181" i="122" s="1"/>
  <c r="AA181" i="122" s="1"/>
  <c r="J150" i="81"/>
  <c r="Z150" i="81" s="1"/>
  <c r="J148" i="82" s="1"/>
  <c r="G150" i="81"/>
  <c r="W150" i="81" s="1"/>
  <c r="G148" i="82" s="1"/>
  <c r="W148" i="82" s="1"/>
  <c r="G150" i="90" s="1"/>
  <c r="W150" i="90" s="1"/>
  <c r="G150" i="93" s="1"/>
  <c r="W150" i="93" s="1"/>
  <c r="G156" i="107" s="1"/>
  <c r="W156" i="107" s="1"/>
  <c r="G158" i="108" s="1"/>
  <c r="W158" i="108" s="1"/>
  <c r="G160" i="112" s="1"/>
  <c r="W160" i="112" s="1"/>
  <c r="G164" i="113" s="1"/>
  <c r="W164" i="113" s="1"/>
  <c r="G176" i="117" s="1"/>
  <c r="W176" i="117" s="1"/>
  <c r="G174" i="121" s="1"/>
  <c r="W174" i="121" s="1"/>
  <c r="G174" i="122" s="1"/>
  <c r="W174" i="122" s="1"/>
  <c r="F150" i="81"/>
  <c r="V150" i="81" s="1"/>
  <c r="V148" i="82" s="1"/>
  <c r="F157" i="90" s="1"/>
  <c r="V157" i="90" s="1"/>
  <c r="F157" i="93" s="1"/>
  <c r="V157" i="93" s="1"/>
  <c r="F163" i="107" s="1"/>
  <c r="V163" i="107" s="1"/>
  <c r="F165" i="108" s="1"/>
  <c r="V165" i="108" s="1"/>
  <c r="F167" i="112" s="1"/>
  <c r="V167" i="112" s="1"/>
  <c r="F171" i="113" s="1"/>
  <c r="V171" i="113" s="1"/>
  <c r="F183" i="117" s="1"/>
  <c r="V183" i="117" s="1"/>
  <c r="F181" i="121" s="1"/>
  <c r="V181" i="121" s="1"/>
  <c r="F181" i="122" s="1"/>
  <c r="V181" i="122" s="1"/>
  <c r="X149" i="81"/>
  <c r="H147" i="82" s="1"/>
  <c r="X147" i="82" s="1"/>
  <c r="H156" i="90" s="1"/>
  <c r="X156" i="90" s="1"/>
  <c r="H156" i="93" s="1"/>
  <c r="X156" i="93" s="1"/>
  <c r="H162" i="107" s="1"/>
  <c r="X162" i="107" s="1"/>
  <c r="H164" i="108" s="1"/>
  <c r="X164" i="108" s="1"/>
  <c r="H166" i="112" s="1"/>
  <c r="X166" i="112" s="1"/>
  <c r="H170" i="113" s="1"/>
  <c r="X170" i="113" s="1"/>
  <c r="H182" i="117" s="1"/>
  <c r="X182" i="117" s="1"/>
  <c r="H180" i="121" s="1"/>
  <c r="X180" i="121" s="1"/>
  <c r="H180" i="122" s="1"/>
  <c r="X180" i="122" s="1"/>
  <c r="M149" i="81"/>
  <c r="L149" i="81"/>
  <c r="AB149" i="81" s="1"/>
  <c r="L147" i="82" s="1"/>
  <c r="K149" i="81"/>
  <c r="AA149" i="81" s="1"/>
  <c r="K147" i="82" s="1"/>
  <c r="AA147" i="82" s="1"/>
  <c r="K156" i="90" s="1"/>
  <c r="AA156" i="90" s="1"/>
  <c r="K156" i="93" s="1"/>
  <c r="AA156" i="93" s="1"/>
  <c r="K162" i="107" s="1"/>
  <c r="AA162" i="107" s="1"/>
  <c r="K164" i="108" s="1"/>
  <c r="AA164" i="108" s="1"/>
  <c r="K166" i="112" s="1"/>
  <c r="AA166" i="112" s="1"/>
  <c r="K170" i="113" s="1"/>
  <c r="AA170" i="113" s="1"/>
  <c r="K182" i="117" s="1"/>
  <c r="AA182" i="117" s="1"/>
  <c r="K180" i="121" s="1"/>
  <c r="AA180" i="121" s="1"/>
  <c r="K180" i="122" s="1"/>
  <c r="AA180" i="122" s="1"/>
  <c r="J149" i="81"/>
  <c r="Z149" i="81" s="1"/>
  <c r="J147" i="82" s="1"/>
  <c r="Z147" i="82" s="1"/>
  <c r="J156" i="90" s="1"/>
  <c r="Z156" i="90" s="1"/>
  <c r="J156" i="93" s="1"/>
  <c r="Z156" i="93" s="1"/>
  <c r="J162" i="107" s="1"/>
  <c r="Z162" i="107" s="1"/>
  <c r="J164" i="108" s="1"/>
  <c r="Z164" i="108" s="1"/>
  <c r="J166" i="112" s="1"/>
  <c r="Z166" i="112" s="1"/>
  <c r="J170" i="113" s="1"/>
  <c r="Z170" i="113" s="1"/>
  <c r="J182" i="117" s="1"/>
  <c r="Z182" i="117" s="1"/>
  <c r="J180" i="121" s="1"/>
  <c r="Z180" i="121" s="1"/>
  <c r="J180" i="122" s="1"/>
  <c r="Z180" i="122" s="1"/>
  <c r="G149" i="81"/>
  <c r="W149" i="81" s="1"/>
  <c r="G147" i="82" s="1"/>
  <c r="W147" i="82" s="1"/>
  <c r="F149" i="81"/>
  <c r="V149" i="81" s="1"/>
  <c r="X148" i="81"/>
  <c r="H146" i="82" s="1"/>
  <c r="X146" i="82" s="1"/>
  <c r="H155" i="90" s="1"/>
  <c r="X155" i="90" s="1"/>
  <c r="H155" i="93" s="1"/>
  <c r="X155" i="93" s="1"/>
  <c r="H161" i="107" s="1"/>
  <c r="X161" i="107" s="1"/>
  <c r="H163" i="108" s="1"/>
  <c r="X163" i="108" s="1"/>
  <c r="H165" i="112" s="1"/>
  <c r="X165" i="112" s="1"/>
  <c r="H169" i="113" s="1"/>
  <c r="X169" i="113" s="1"/>
  <c r="H181" i="117" s="1"/>
  <c r="X181" i="117" s="1"/>
  <c r="H179" i="121" s="1"/>
  <c r="X179" i="121" s="1"/>
  <c r="H179" i="122" s="1"/>
  <c r="X179" i="122" s="1"/>
  <c r="M148" i="81"/>
  <c r="L148" i="81"/>
  <c r="K148" i="81"/>
  <c r="AA148" i="81" s="1"/>
  <c r="K146" i="82" s="1"/>
  <c r="AA146" i="82" s="1"/>
  <c r="K155" i="90" s="1"/>
  <c r="AA155" i="90" s="1"/>
  <c r="K155" i="93" s="1"/>
  <c r="AA155" i="93" s="1"/>
  <c r="K161" i="107" s="1"/>
  <c r="AA161" i="107" s="1"/>
  <c r="K163" i="108" s="1"/>
  <c r="AA163" i="108" s="1"/>
  <c r="K165" i="112" s="1"/>
  <c r="AA165" i="112" s="1"/>
  <c r="K169" i="113" s="1"/>
  <c r="AA169" i="113" s="1"/>
  <c r="K181" i="117" s="1"/>
  <c r="AA181" i="117" s="1"/>
  <c r="K179" i="121" s="1"/>
  <c r="AA179" i="121" s="1"/>
  <c r="K179" i="122" s="1"/>
  <c r="AA179" i="122" s="1"/>
  <c r="J148" i="81"/>
  <c r="Z148" i="81" s="1"/>
  <c r="J146" i="82" s="1"/>
  <c r="G148" i="81"/>
  <c r="W148" i="81" s="1"/>
  <c r="G146" i="82" s="1"/>
  <c r="W146" i="82" s="1"/>
  <c r="F148" i="81"/>
  <c r="V148" i="81" s="1"/>
  <c r="V146" i="82" s="1"/>
  <c r="F155" i="90" s="1"/>
  <c r="V155" i="90" s="1"/>
  <c r="F155" i="93" s="1"/>
  <c r="V155" i="93" s="1"/>
  <c r="F161" i="107" s="1"/>
  <c r="V161" i="107" s="1"/>
  <c r="F163" i="108" s="1"/>
  <c r="V163" i="108" s="1"/>
  <c r="F165" i="112" s="1"/>
  <c r="V165" i="112" s="1"/>
  <c r="F169" i="113" s="1"/>
  <c r="V169" i="113" s="1"/>
  <c r="F181" i="117" s="1"/>
  <c r="V181" i="117" s="1"/>
  <c r="F179" i="121" s="1"/>
  <c r="V179" i="121" s="1"/>
  <c r="F179" i="122" s="1"/>
  <c r="V179" i="122" s="1"/>
  <c r="X147" i="81"/>
  <c r="H145" i="82" s="1"/>
  <c r="X145" i="82" s="1"/>
  <c r="H154" i="90" s="1"/>
  <c r="X154" i="90" s="1"/>
  <c r="H154" i="93" s="1"/>
  <c r="X154" i="93" s="1"/>
  <c r="H160" i="107" s="1"/>
  <c r="X160" i="107" s="1"/>
  <c r="H162" i="108" s="1"/>
  <c r="X162" i="108" s="1"/>
  <c r="H164" i="112" s="1"/>
  <c r="X164" i="112" s="1"/>
  <c r="H168" i="113" s="1"/>
  <c r="X168" i="113" s="1"/>
  <c r="H180" i="117" s="1"/>
  <c r="X180" i="117" s="1"/>
  <c r="H178" i="121" s="1"/>
  <c r="X178" i="121" s="1"/>
  <c r="H178" i="122" s="1"/>
  <c r="X178" i="122" s="1"/>
  <c r="M147" i="81"/>
  <c r="L147" i="81"/>
  <c r="AB147" i="81" s="1"/>
  <c r="L145" i="82" s="1"/>
  <c r="AB145" i="82" s="1"/>
  <c r="L154" i="90" s="1"/>
  <c r="AB154" i="90" s="1"/>
  <c r="L154" i="93" s="1"/>
  <c r="AB154" i="93" s="1"/>
  <c r="L160" i="107" s="1"/>
  <c r="AB160" i="107" s="1"/>
  <c r="L162" i="108" s="1"/>
  <c r="K147" i="81"/>
  <c r="AA147" i="81" s="1"/>
  <c r="K145" i="82" s="1"/>
  <c r="AA145" i="82" s="1"/>
  <c r="K154" i="90" s="1"/>
  <c r="AA154" i="90" s="1"/>
  <c r="K154" i="93" s="1"/>
  <c r="AA154" i="93" s="1"/>
  <c r="K160" i="107" s="1"/>
  <c r="AA160" i="107" s="1"/>
  <c r="K162" i="108" s="1"/>
  <c r="AA162" i="108" s="1"/>
  <c r="K164" i="112" s="1"/>
  <c r="AA164" i="112" s="1"/>
  <c r="K168" i="113" s="1"/>
  <c r="AA168" i="113" s="1"/>
  <c r="K180" i="117" s="1"/>
  <c r="AA180" i="117" s="1"/>
  <c r="K178" i="121" s="1"/>
  <c r="AA178" i="121" s="1"/>
  <c r="K178" i="122" s="1"/>
  <c r="AA178" i="122" s="1"/>
  <c r="J147" i="81"/>
  <c r="G147" i="81"/>
  <c r="W147" i="81" s="1"/>
  <c r="G145" i="82" s="1"/>
  <c r="W145" i="82" s="1"/>
  <c r="F147" i="81"/>
  <c r="V147" i="81" s="1"/>
  <c r="X146" i="81"/>
  <c r="H144" i="82" s="1"/>
  <c r="X144" i="82" s="1"/>
  <c r="H153" i="90" s="1"/>
  <c r="X153" i="90" s="1"/>
  <c r="H153" i="93" s="1"/>
  <c r="X153" i="93" s="1"/>
  <c r="H159" i="107" s="1"/>
  <c r="X159" i="107" s="1"/>
  <c r="H161" i="108" s="1"/>
  <c r="X161" i="108" s="1"/>
  <c r="H163" i="112" s="1"/>
  <c r="X163" i="112" s="1"/>
  <c r="H167" i="113" s="1"/>
  <c r="X167" i="113" s="1"/>
  <c r="H179" i="117" s="1"/>
  <c r="X179" i="117" s="1"/>
  <c r="H177" i="121" s="1"/>
  <c r="X177" i="121" s="1"/>
  <c r="H177" i="122" s="1"/>
  <c r="X177" i="122" s="1"/>
  <c r="M146" i="81"/>
  <c r="L146" i="81"/>
  <c r="K146" i="81"/>
  <c r="AA146" i="81" s="1"/>
  <c r="K144" i="82" s="1"/>
  <c r="AA144" i="82" s="1"/>
  <c r="K153" i="90" s="1"/>
  <c r="AA153" i="90" s="1"/>
  <c r="K153" i="93" s="1"/>
  <c r="AA153" i="93" s="1"/>
  <c r="K159" i="107" s="1"/>
  <c r="AA159" i="107" s="1"/>
  <c r="K161" i="108" s="1"/>
  <c r="AA161" i="108" s="1"/>
  <c r="K163" i="112" s="1"/>
  <c r="AA163" i="112" s="1"/>
  <c r="K167" i="113" s="1"/>
  <c r="AA167" i="113" s="1"/>
  <c r="K179" i="117" s="1"/>
  <c r="AA179" i="117" s="1"/>
  <c r="K177" i="121" s="1"/>
  <c r="AA177" i="121" s="1"/>
  <c r="K177" i="122" s="1"/>
  <c r="AA177" i="122" s="1"/>
  <c r="J146" i="81"/>
  <c r="Z146" i="81" s="1"/>
  <c r="J144" i="82" s="1"/>
  <c r="G146" i="81"/>
  <c r="W146" i="81" s="1"/>
  <c r="G144" i="82" s="1"/>
  <c r="W144" i="82" s="1"/>
  <c r="G149" i="90" s="1"/>
  <c r="W149" i="90" s="1"/>
  <c r="G149" i="93" s="1"/>
  <c r="W149" i="93" s="1"/>
  <c r="G154" i="107" s="1"/>
  <c r="W154" i="107" s="1"/>
  <c r="G156" i="108" s="1"/>
  <c r="W156" i="108" s="1"/>
  <c r="G158" i="112" s="1"/>
  <c r="W158" i="112" s="1"/>
  <c r="G162" i="113" s="1"/>
  <c r="W162" i="113" s="1"/>
  <c r="G173" i="117" s="1"/>
  <c r="W173" i="117" s="1"/>
  <c r="G171" i="121" s="1"/>
  <c r="W171" i="121" s="1"/>
  <c r="G171" i="122" s="1"/>
  <c r="W171" i="122" s="1"/>
  <c r="F146" i="81"/>
  <c r="V146" i="81" s="1"/>
  <c r="V144" i="82" s="1"/>
  <c r="F153" i="90" s="1"/>
  <c r="V153" i="90" s="1"/>
  <c r="F153" i="93" s="1"/>
  <c r="V153" i="93" s="1"/>
  <c r="F159" i="107" s="1"/>
  <c r="V159" i="107" s="1"/>
  <c r="F161" i="108" s="1"/>
  <c r="V161" i="108" s="1"/>
  <c r="F163" i="112" s="1"/>
  <c r="V163" i="112" s="1"/>
  <c r="F167" i="113" s="1"/>
  <c r="V167" i="113" s="1"/>
  <c r="F179" i="117" s="1"/>
  <c r="V179" i="117" s="1"/>
  <c r="F177" i="121" s="1"/>
  <c r="V177" i="121" s="1"/>
  <c r="F177" i="122" s="1"/>
  <c r="V177" i="122" s="1"/>
  <c r="X145" i="81"/>
  <c r="H143" i="82" s="1"/>
  <c r="X143" i="82" s="1"/>
  <c r="H152" i="90" s="1"/>
  <c r="X152" i="90" s="1"/>
  <c r="H152" i="93" s="1"/>
  <c r="X152" i="93" s="1"/>
  <c r="H158" i="107" s="1"/>
  <c r="X158" i="107" s="1"/>
  <c r="H160" i="108" s="1"/>
  <c r="X160" i="108" s="1"/>
  <c r="H162" i="112" s="1"/>
  <c r="X162" i="112" s="1"/>
  <c r="H166" i="113" s="1"/>
  <c r="X166" i="113" s="1"/>
  <c r="H178" i="117" s="1"/>
  <c r="X178" i="117" s="1"/>
  <c r="H176" i="121" s="1"/>
  <c r="X176" i="121" s="1"/>
  <c r="H176" i="122" s="1"/>
  <c r="X176" i="122" s="1"/>
  <c r="M145" i="81"/>
  <c r="L145" i="81"/>
  <c r="AB145" i="81" s="1"/>
  <c r="L143" i="82" s="1"/>
  <c r="AB143" i="82" s="1"/>
  <c r="L152" i="90" s="1"/>
  <c r="AB152" i="90" s="1"/>
  <c r="L152" i="93" s="1"/>
  <c r="AB152" i="93" s="1"/>
  <c r="L158" i="107" s="1"/>
  <c r="AB158" i="107" s="1"/>
  <c r="L160" i="108" s="1"/>
  <c r="K145" i="81"/>
  <c r="AA145" i="81" s="1"/>
  <c r="K143" i="82" s="1"/>
  <c r="AA143" i="82" s="1"/>
  <c r="K152" i="90" s="1"/>
  <c r="AA152" i="90" s="1"/>
  <c r="K152" i="93" s="1"/>
  <c r="AA152" i="93" s="1"/>
  <c r="K158" i="107" s="1"/>
  <c r="AA158" i="107" s="1"/>
  <c r="K160" i="108" s="1"/>
  <c r="AA160" i="108" s="1"/>
  <c r="K162" i="112" s="1"/>
  <c r="AA162" i="112" s="1"/>
  <c r="K166" i="113" s="1"/>
  <c r="AA166" i="113" s="1"/>
  <c r="K178" i="117" s="1"/>
  <c r="AA178" i="117" s="1"/>
  <c r="K176" i="121" s="1"/>
  <c r="AA176" i="121" s="1"/>
  <c r="K176" i="122" s="1"/>
  <c r="AA176" i="122" s="1"/>
  <c r="J145" i="81"/>
  <c r="Z145" i="81" s="1"/>
  <c r="J143" i="82" s="1"/>
  <c r="Z143" i="82" s="1"/>
  <c r="J152" i="90" s="1"/>
  <c r="Z152" i="90" s="1"/>
  <c r="J152" i="93" s="1"/>
  <c r="Z152" i="93" s="1"/>
  <c r="J158" i="107" s="1"/>
  <c r="Z158" i="107" s="1"/>
  <c r="J160" i="108" s="1"/>
  <c r="Z160" i="108" s="1"/>
  <c r="J162" i="112" s="1"/>
  <c r="Z162" i="112" s="1"/>
  <c r="J166" i="113" s="1"/>
  <c r="Z166" i="113" s="1"/>
  <c r="J178" i="117" s="1"/>
  <c r="Z178" i="117" s="1"/>
  <c r="J176" i="121" s="1"/>
  <c r="Z176" i="121" s="1"/>
  <c r="J176" i="122" s="1"/>
  <c r="Z176" i="122" s="1"/>
  <c r="G145" i="81"/>
  <c r="W145" i="81" s="1"/>
  <c r="G143" i="82" s="1"/>
  <c r="W143" i="82" s="1"/>
  <c r="G148" i="90" s="1"/>
  <c r="W148" i="90" s="1"/>
  <c r="G148" i="93" s="1"/>
  <c r="W148" i="93" s="1"/>
  <c r="G153" i="107" s="1"/>
  <c r="W153" i="107" s="1"/>
  <c r="G155" i="108" s="1"/>
  <c r="W155" i="108" s="1"/>
  <c r="G157" i="112" s="1"/>
  <c r="W157" i="112" s="1"/>
  <c r="G161" i="113" s="1"/>
  <c r="W161" i="113" s="1"/>
  <c r="G172" i="117" s="1"/>
  <c r="W172" i="117" s="1"/>
  <c r="G170" i="121" s="1"/>
  <c r="W170" i="121" s="1"/>
  <c r="G170" i="122" s="1"/>
  <c r="W170" i="122" s="1"/>
  <c r="F145" i="81"/>
  <c r="V145" i="81" s="1"/>
  <c r="X144" i="81"/>
  <c r="H142" i="82" s="1"/>
  <c r="X142" i="82" s="1"/>
  <c r="H151" i="90" s="1"/>
  <c r="X151" i="90" s="1"/>
  <c r="H151" i="93" s="1"/>
  <c r="X151" i="93" s="1"/>
  <c r="H157" i="107" s="1"/>
  <c r="X157" i="107" s="1"/>
  <c r="H159" i="108" s="1"/>
  <c r="X159" i="108" s="1"/>
  <c r="H161" i="112" s="1"/>
  <c r="X161" i="112" s="1"/>
  <c r="H165" i="113" s="1"/>
  <c r="X165" i="113" s="1"/>
  <c r="H177" i="117" s="1"/>
  <c r="X177" i="117" s="1"/>
  <c r="H175" i="121" s="1"/>
  <c r="X175" i="121" s="1"/>
  <c r="H175" i="122" s="1"/>
  <c r="X175" i="122" s="1"/>
  <c r="M144" i="81"/>
  <c r="L144" i="81"/>
  <c r="K144" i="81"/>
  <c r="AA144" i="81" s="1"/>
  <c r="J144" i="81"/>
  <c r="Z144" i="81" s="1"/>
  <c r="J142" i="82" s="1"/>
  <c r="G144" i="81"/>
  <c r="F144" i="81"/>
  <c r="T143" i="81"/>
  <c r="S143" i="81"/>
  <c r="R143" i="81"/>
  <c r="P143" i="81"/>
  <c r="O143" i="81"/>
  <c r="N143" i="81"/>
  <c r="X142" i="81"/>
  <c r="H140" i="82" s="1"/>
  <c r="X140" i="82" s="1"/>
  <c r="H149" i="90" s="1"/>
  <c r="X149" i="90" s="1"/>
  <c r="H149" i="93" s="1"/>
  <c r="X149" i="93" s="1"/>
  <c r="H154" i="107" s="1"/>
  <c r="X154" i="107" s="1"/>
  <c r="H156" i="108" s="1"/>
  <c r="X156" i="108" s="1"/>
  <c r="H158" i="112" s="1"/>
  <c r="X158" i="112" s="1"/>
  <c r="H162" i="113" s="1"/>
  <c r="X162" i="113" s="1"/>
  <c r="H173" i="117" s="1"/>
  <c r="X173" i="117" s="1"/>
  <c r="H171" i="121" s="1"/>
  <c r="X171" i="121" s="1"/>
  <c r="H171" i="122" s="1"/>
  <c r="X171" i="122" s="1"/>
  <c r="M142" i="81"/>
  <c r="L142" i="81"/>
  <c r="K142" i="81"/>
  <c r="AA142" i="81" s="1"/>
  <c r="K140" i="82" s="1"/>
  <c r="AA140" i="82" s="1"/>
  <c r="K149" i="90" s="1"/>
  <c r="AA149" i="90" s="1"/>
  <c r="K149" i="93" s="1"/>
  <c r="AA149" i="93" s="1"/>
  <c r="K154" i="107" s="1"/>
  <c r="AA154" i="107" s="1"/>
  <c r="K156" i="108" s="1"/>
  <c r="AA156" i="108" s="1"/>
  <c r="K158" i="112" s="1"/>
  <c r="AA158" i="112" s="1"/>
  <c r="K162" i="113" s="1"/>
  <c r="AA162" i="113" s="1"/>
  <c r="K173" i="117" s="1"/>
  <c r="AA173" i="117" s="1"/>
  <c r="K171" i="121" s="1"/>
  <c r="AA171" i="121" s="1"/>
  <c r="K171" i="122" s="1"/>
  <c r="AA171" i="122" s="1"/>
  <c r="J142" i="81"/>
  <c r="Z142" i="81" s="1"/>
  <c r="J140" i="82" s="1"/>
  <c r="Z140" i="82" s="1"/>
  <c r="J149" i="90" s="1"/>
  <c r="Z149" i="90" s="1"/>
  <c r="J149" i="93" s="1"/>
  <c r="Z149" i="93" s="1"/>
  <c r="J154" i="107" s="1"/>
  <c r="Z154" i="107" s="1"/>
  <c r="J156" i="108" s="1"/>
  <c r="Z156" i="108" s="1"/>
  <c r="J158" i="112" s="1"/>
  <c r="Z158" i="112" s="1"/>
  <c r="J162" i="113" s="1"/>
  <c r="Z162" i="113" s="1"/>
  <c r="J173" i="117" s="1"/>
  <c r="Z173" i="117" s="1"/>
  <c r="J171" i="121" s="1"/>
  <c r="Z171" i="121" s="1"/>
  <c r="J171" i="122" s="1"/>
  <c r="Z171" i="122" s="1"/>
  <c r="G142" i="81"/>
  <c r="W142" i="81" s="1"/>
  <c r="G140" i="82" s="1"/>
  <c r="W140" i="82" s="1"/>
  <c r="G145" i="90" s="1"/>
  <c r="W145" i="90" s="1"/>
  <c r="G145" i="93" s="1"/>
  <c r="W145" i="93" s="1"/>
  <c r="G150" i="107" s="1"/>
  <c r="W150" i="107" s="1"/>
  <c r="G152" i="108" s="1"/>
  <c r="W152" i="108" s="1"/>
  <c r="G154" i="112" s="1"/>
  <c r="W154" i="112" s="1"/>
  <c r="G158" i="113" s="1"/>
  <c r="W158" i="113" s="1"/>
  <c r="G169" i="117" s="1"/>
  <c r="W169" i="117" s="1"/>
  <c r="G167" i="121" s="1"/>
  <c r="W167" i="121" s="1"/>
  <c r="G167" i="122" s="1"/>
  <c r="W167" i="122" s="1"/>
  <c r="F142" i="81"/>
  <c r="V142" i="81" s="1"/>
  <c r="V140" i="82" s="1"/>
  <c r="F149" i="90" s="1"/>
  <c r="V149" i="90" s="1"/>
  <c r="F149" i="93" s="1"/>
  <c r="V149" i="93" s="1"/>
  <c r="F154" i="107" s="1"/>
  <c r="V154" i="107" s="1"/>
  <c r="F156" i="108" s="1"/>
  <c r="V156" i="108" s="1"/>
  <c r="F158" i="112" s="1"/>
  <c r="V158" i="112" s="1"/>
  <c r="F162" i="113" s="1"/>
  <c r="V162" i="113" s="1"/>
  <c r="F173" i="117" s="1"/>
  <c r="V173" i="117" s="1"/>
  <c r="F171" i="121" s="1"/>
  <c r="V171" i="121" s="1"/>
  <c r="F171" i="122" s="1"/>
  <c r="V171" i="122" s="1"/>
  <c r="M141" i="81"/>
  <c r="L141" i="81"/>
  <c r="AB141" i="81" s="1"/>
  <c r="L139" i="82" s="1"/>
  <c r="AB139" i="82" s="1"/>
  <c r="L148" i="90" s="1"/>
  <c r="AB148" i="90" s="1"/>
  <c r="L148" i="93" s="1"/>
  <c r="AB148" i="93" s="1"/>
  <c r="L153" i="107" s="1"/>
  <c r="AB153" i="107" s="1"/>
  <c r="L155" i="108" s="1"/>
  <c r="K141" i="81"/>
  <c r="AA141" i="81" s="1"/>
  <c r="K139" i="82" s="1"/>
  <c r="AA139" i="82" s="1"/>
  <c r="K148" i="90" s="1"/>
  <c r="AA148" i="90" s="1"/>
  <c r="K148" i="93" s="1"/>
  <c r="AA148" i="93" s="1"/>
  <c r="K153" i="107" s="1"/>
  <c r="AA153" i="107" s="1"/>
  <c r="K155" i="108" s="1"/>
  <c r="AA155" i="108" s="1"/>
  <c r="K157" i="112" s="1"/>
  <c r="AA157" i="112" s="1"/>
  <c r="K161" i="113" s="1"/>
  <c r="AA161" i="113" s="1"/>
  <c r="K172" i="117" s="1"/>
  <c r="AA172" i="117" s="1"/>
  <c r="K170" i="121" s="1"/>
  <c r="AA170" i="121" s="1"/>
  <c r="K170" i="122" s="1"/>
  <c r="AA170" i="122" s="1"/>
  <c r="J141" i="81"/>
  <c r="Z141" i="81" s="1"/>
  <c r="J139" i="82" s="1"/>
  <c r="Z139" i="82" s="1"/>
  <c r="J148" i="90" s="1"/>
  <c r="Z148" i="90" s="1"/>
  <c r="J148" i="93" s="1"/>
  <c r="Z148" i="93" s="1"/>
  <c r="J153" i="107" s="1"/>
  <c r="Z153" i="107" s="1"/>
  <c r="J155" i="108" s="1"/>
  <c r="Z155" i="108" s="1"/>
  <c r="J157" i="112" s="1"/>
  <c r="Z157" i="112" s="1"/>
  <c r="J161" i="113" s="1"/>
  <c r="Z161" i="113" s="1"/>
  <c r="J172" i="117" s="1"/>
  <c r="Z172" i="117" s="1"/>
  <c r="J170" i="121" s="1"/>
  <c r="Z170" i="121" s="1"/>
  <c r="J170" i="122" s="1"/>
  <c r="Z170" i="122" s="1"/>
  <c r="H141" i="81"/>
  <c r="X141" i="81" s="1"/>
  <c r="H139" i="82" s="1"/>
  <c r="X139" i="82" s="1"/>
  <c r="H148" i="90" s="1"/>
  <c r="X148" i="90" s="1"/>
  <c r="H148" i="93" s="1"/>
  <c r="X148" i="93" s="1"/>
  <c r="H153" i="107" s="1"/>
  <c r="X153" i="107" s="1"/>
  <c r="H155" i="108" s="1"/>
  <c r="X155" i="108" s="1"/>
  <c r="H157" i="112" s="1"/>
  <c r="X157" i="112" s="1"/>
  <c r="H161" i="113" s="1"/>
  <c r="X161" i="113" s="1"/>
  <c r="H172" i="117" s="1"/>
  <c r="X172" i="117" s="1"/>
  <c r="H170" i="121" s="1"/>
  <c r="X170" i="121" s="1"/>
  <c r="H170" i="122" s="1"/>
  <c r="X170" i="122" s="1"/>
  <c r="G141" i="81"/>
  <c r="W141" i="81" s="1"/>
  <c r="G139" i="82" s="1"/>
  <c r="W139" i="82" s="1"/>
  <c r="G144" i="90" s="1"/>
  <c r="W144" i="90" s="1"/>
  <c r="G144" i="93" s="1"/>
  <c r="W144" i="93" s="1"/>
  <c r="G149" i="107" s="1"/>
  <c r="W149" i="107" s="1"/>
  <c r="G151" i="108" s="1"/>
  <c r="W151" i="108" s="1"/>
  <c r="G153" i="112" s="1"/>
  <c r="W153" i="112" s="1"/>
  <c r="G157" i="113" s="1"/>
  <c r="W157" i="113" s="1"/>
  <c r="G168" i="117" s="1"/>
  <c r="W168" i="117" s="1"/>
  <c r="G166" i="121" s="1"/>
  <c r="W166" i="121" s="1"/>
  <c r="G166" i="122" s="1"/>
  <c r="W166" i="122" s="1"/>
  <c r="F141" i="81"/>
  <c r="V141" i="81" s="1"/>
  <c r="X140" i="81"/>
  <c r="H138" i="82" s="1"/>
  <c r="X138" i="82" s="1"/>
  <c r="H147" i="90" s="1"/>
  <c r="X147" i="90" s="1"/>
  <c r="H147" i="93" s="1"/>
  <c r="X147" i="93" s="1"/>
  <c r="H152" i="107" s="1"/>
  <c r="X152" i="107" s="1"/>
  <c r="H154" i="108" s="1"/>
  <c r="X154" i="108" s="1"/>
  <c r="H156" i="112" s="1"/>
  <c r="X156" i="112" s="1"/>
  <c r="H160" i="113" s="1"/>
  <c r="X160" i="113" s="1"/>
  <c r="H171" i="117" s="1"/>
  <c r="X171" i="117" s="1"/>
  <c r="H169" i="121" s="1"/>
  <c r="X169" i="121" s="1"/>
  <c r="H169" i="122" s="1"/>
  <c r="X169" i="122" s="1"/>
  <c r="M140" i="81"/>
  <c r="L140" i="81"/>
  <c r="AB140" i="81" s="1"/>
  <c r="L138" i="82" s="1"/>
  <c r="AB138" i="82" s="1"/>
  <c r="L147" i="90" s="1"/>
  <c r="AB147" i="90" s="1"/>
  <c r="L147" i="93" s="1"/>
  <c r="AB147" i="93" s="1"/>
  <c r="L152" i="107" s="1"/>
  <c r="AB152" i="107" s="1"/>
  <c r="L154" i="108" s="1"/>
  <c r="K140" i="81"/>
  <c r="AA140" i="81" s="1"/>
  <c r="K138" i="82" s="1"/>
  <c r="AA138" i="82" s="1"/>
  <c r="K147" i="90" s="1"/>
  <c r="AA147" i="90" s="1"/>
  <c r="K147" i="93" s="1"/>
  <c r="AA147" i="93" s="1"/>
  <c r="K152" i="107" s="1"/>
  <c r="AA152" i="107" s="1"/>
  <c r="K154" i="108" s="1"/>
  <c r="AA154" i="108" s="1"/>
  <c r="K156" i="112" s="1"/>
  <c r="AA156" i="112" s="1"/>
  <c r="K160" i="113" s="1"/>
  <c r="AA160" i="113" s="1"/>
  <c r="K171" i="117" s="1"/>
  <c r="AA171" i="117" s="1"/>
  <c r="K169" i="121" s="1"/>
  <c r="AA169" i="121" s="1"/>
  <c r="K169" i="122" s="1"/>
  <c r="AA169" i="122" s="1"/>
  <c r="J140" i="81"/>
  <c r="Z140" i="81" s="1"/>
  <c r="J138" i="82" s="1"/>
  <c r="G140" i="81"/>
  <c r="W140" i="81" s="1"/>
  <c r="G138" i="82" s="1"/>
  <c r="W138" i="82" s="1"/>
  <c r="G143" i="90" s="1"/>
  <c r="W143" i="90" s="1"/>
  <c r="G143" i="93" s="1"/>
  <c r="W143" i="93" s="1"/>
  <c r="G148" i="107" s="1"/>
  <c r="W148" i="107" s="1"/>
  <c r="G150" i="108" s="1"/>
  <c r="W150" i="108" s="1"/>
  <c r="G152" i="112" s="1"/>
  <c r="W152" i="112" s="1"/>
  <c r="G156" i="113" s="1"/>
  <c r="W156" i="113" s="1"/>
  <c r="G167" i="117" s="1"/>
  <c r="W167" i="117" s="1"/>
  <c r="G165" i="121" s="1"/>
  <c r="W165" i="121" s="1"/>
  <c r="G165" i="122" s="1"/>
  <c r="W165" i="122" s="1"/>
  <c r="F140" i="81"/>
  <c r="V140" i="81" s="1"/>
  <c r="X139" i="81"/>
  <c r="H137" i="82" s="1"/>
  <c r="X137" i="82" s="1"/>
  <c r="H146" i="90" s="1"/>
  <c r="X146" i="90" s="1"/>
  <c r="H146" i="93" s="1"/>
  <c r="X146" i="93" s="1"/>
  <c r="H151" i="107" s="1"/>
  <c r="X151" i="107" s="1"/>
  <c r="H153" i="108" s="1"/>
  <c r="X153" i="108" s="1"/>
  <c r="H155" i="112" s="1"/>
  <c r="X155" i="112" s="1"/>
  <c r="H159" i="113" s="1"/>
  <c r="X159" i="113" s="1"/>
  <c r="H170" i="117" s="1"/>
  <c r="X170" i="117" s="1"/>
  <c r="H168" i="121" s="1"/>
  <c r="X168" i="121" s="1"/>
  <c r="H168" i="122" s="1"/>
  <c r="X168" i="122" s="1"/>
  <c r="M139" i="81"/>
  <c r="L139" i="81"/>
  <c r="AB139" i="81" s="1"/>
  <c r="L137" i="82" s="1"/>
  <c r="AB137" i="82" s="1"/>
  <c r="L146" i="90" s="1"/>
  <c r="AB146" i="90" s="1"/>
  <c r="L146" i="93" s="1"/>
  <c r="AB146" i="93" s="1"/>
  <c r="L151" i="107" s="1"/>
  <c r="AB151" i="107" s="1"/>
  <c r="L153" i="108" s="1"/>
  <c r="K139" i="81"/>
  <c r="AA139" i="81" s="1"/>
  <c r="K137" i="82" s="1"/>
  <c r="AA137" i="82" s="1"/>
  <c r="K146" i="90" s="1"/>
  <c r="AA146" i="90" s="1"/>
  <c r="K146" i="93" s="1"/>
  <c r="AA146" i="93" s="1"/>
  <c r="K151" i="107" s="1"/>
  <c r="AA151" i="107" s="1"/>
  <c r="K153" i="108" s="1"/>
  <c r="AA153" i="108" s="1"/>
  <c r="K155" i="112" s="1"/>
  <c r="AA155" i="112" s="1"/>
  <c r="K159" i="113" s="1"/>
  <c r="J139" i="81"/>
  <c r="Z139" i="81" s="1"/>
  <c r="J137" i="82" s="1"/>
  <c r="Z137" i="82" s="1"/>
  <c r="J146" i="90" s="1"/>
  <c r="Z146" i="90" s="1"/>
  <c r="J146" i="93" s="1"/>
  <c r="Z146" i="93" s="1"/>
  <c r="J151" i="107" s="1"/>
  <c r="Z151" i="107" s="1"/>
  <c r="J153" i="108" s="1"/>
  <c r="Z153" i="108" s="1"/>
  <c r="J155" i="112" s="1"/>
  <c r="Z155" i="112" s="1"/>
  <c r="J159" i="113" s="1"/>
  <c r="Z159" i="113" s="1"/>
  <c r="J170" i="117" s="1"/>
  <c r="Z170" i="117" s="1"/>
  <c r="J168" i="121" s="1"/>
  <c r="Z168" i="121" s="1"/>
  <c r="J168" i="122" s="1"/>
  <c r="Z168" i="122" s="1"/>
  <c r="G139" i="81"/>
  <c r="W139" i="81" s="1"/>
  <c r="G137" i="82" s="1"/>
  <c r="W137" i="82" s="1"/>
  <c r="G142" i="90" s="1"/>
  <c r="W142" i="90" s="1"/>
  <c r="G142" i="93" s="1"/>
  <c r="W142" i="93" s="1"/>
  <c r="G145" i="107" s="1"/>
  <c r="W145" i="107" s="1"/>
  <c r="G147" i="108" s="1"/>
  <c r="W147" i="108" s="1"/>
  <c r="G149" i="112" s="1"/>
  <c r="W149" i="112" s="1"/>
  <c r="G153" i="113" s="1"/>
  <c r="W153" i="113" s="1"/>
  <c r="G164" i="117" s="1"/>
  <c r="W164" i="117" s="1"/>
  <c r="G162" i="121" s="1"/>
  <c r="W162" i="121" s="1"/>
  <c r="G162" i="122" s="1"/>
  <c r="W162" i="122" s="1"/>
  <c r="F139" i="81"/>
  <c r="V139" i="81" s="1"/>
  <c r="V137" i="82" s="1"/>
  <c r="F146" i="90" s="1"/>
  <c r="V146" i="90" s="1"/>
  <c r="F146" i="93" s="1"/>
  <c r="V146" i="93" s="1"/>
  <c r="F151" i="107" s="1"/>
  <c r="V151" i="107" s="1"/>
  <c r="F153" i="108" s="1"/>
  <c r="V153" i="108" s="1"/>
  <c r="F155" i="112" s="1"/>
  <c r="V155" i="112" s="1"/>
  <c r="F159" i="113" s="1"/>
  <c r="V159" i="113" s="1"/>
  <c r="F170" i="117" s="1"/>
  <c r="V170" i="117" s="1"/>
  <c r="F168" i="121" s="1"/>
  <c r="V168" i="121" s="1"/>
  <c r="F168" i="122" s="1"/>
  <c r="V168" i="122" s="1"/>
  <c r="X138" i="81"/>
  <c r="H136" i="82" s="1"/>
  <c r="X136" i="82" s="1"/>
  <c r="H145" i="90" s="1"/>
  <c r="X145" i="90" s="1"/>
  <c r="H145" i="93" s="1"/>
  <c r="X145" i="93" s="1"/>
  <c r="H150" i="107" s="1"/>
  <c r="X150" i="107" s="1"/>
  <c r="H152" i="108" s="1"/>
  <c r="X152" i="108" s="1"/>
  <c r="H154" i="112" s="1"/>
  <c r="X154" i="112" s="1"/>
  <c r="H158" i="113" s="1"/>
  <c r="X158" i="113" s="1"/>
  <c r="H169" i="117" s="1"/>
  <c r="X169" i="117" s="1"/>
  <c r="H167" i="121" s="1"/>
  <c r="X167" i="121" s="1"/>
  <c r="H167" i="122" s="1"/>
  <c r="X167" i="122" s="1"/>
  <c r="M138" i="81"/>
  <c r="L138" i="81"/>
  <c r="K138" i="81"/>
  <c r="AA138" i="81" s="1"/>
  <c r="K136" i="82" s="1"/>
  <c r="AA136" i="82" s="1"/>
  <c r="K145" i="90" s="1"/>
  <c r="AA145" i="90" s="1"/>
  <c r="K145" i="93" s="1"/>
  <c r="AA145" i="93" s="1"/>
  <c r="K150" i="107" s="1"/>
  <c r="AA150" i="107" s="1"/>
  <c r="K152" i="108" s="1"/>
  <c r="AA152" i="108" s="1"/>
  <c r="K154" i="112" s="1"/>
  <c r="AA154" i="112" s="1"/>
  <c r="K158" i="113" s="1"/>
  <c r="AA158" i="113" s="1"/>
  <c r="K169" i="117" s="1"/>
  <c r="AA169" i="117" s="1"/>
  <c r="K167" i="121" s="1"/>
  <c r="AA167" i="121" s="1"/>
  <c r="K167" i="122" s="1"/>
  <c r="AA167" i="122" s="1"/>
  <c r="J138" i="81"/>
  <c r="Z138" i="81" s="1"/>
  <c r="J136" i="82" s="1"/>
  <c r="G138" i="81"/>
  <c r="W138" i="81" s="1"/>
  <c r="G136" i="82" s="1"/>
  <c r="W136" i="82" s="1"/>
  <c r="G141" i="90" s="1"/>
  <c r="W141" i="90" s="1"/>
  <c r="G141" i="93" s="1"/>
  <c r="W141" i="93" s="1"/>
  <c r="G144" i="107" s="1"/>
  <c r="W144" i="107" s="1"/>
  <c r="G146" i="108" s="1"/>
  <c r="W146" i="108" s="1"/>
  <c r="G148" i="112" s="1"/>
  <c r="W148" i="112" s="1"/>
  <c r="G152" i="113" s="1"/>
  <c r="W152" i="113" s="1"/>
  <c r="G163" i="117" s="1"/>
  <c r="W163" i="117" s="1"/>
  <c r="G161" i="121" s="1"/>
  <c r="W161" i="121" s="1"/>
  <c r="G161" i="122" s="1"/>
  <c r="W161" i="122" s="1"/>
  <c r="F138" i="81"/>
  <c r="V138" i="81" s="1"/>
  <c r="V136" i="82" s="1"/>
  <c r="F145" i="90" s="1"/>
  <c r="V145" i="90" s="1"/>
  <c r="F145" i="93" s="1"/>
  <c r="V145" i="93" s="1"/>
  <c r="F150" i="107" s="1"/>
  <c r="V150" i="107" s="1"/>
  <c r="F152" i="108" s="1"/>
  <c r="V152" i="108" s="1"/>
  <c r="F154" i="112" s="1"/>
  <c r="V154" i="112" s="1"/>
  <c r="F158" i="113" s="1"/>
  <c r="V158" i="113" s="1"/>
  <c r="F169" i="117" s="1"/>
  <c r="V169" i="117" s="1"/>
  <c r="F167" i="121" s="1"/>
  <c r="V167" i="121" s="1"/>
  <c r="F167" i="122" s="1"/>
  <c r="V167" i="122" s="1"/>
  <c r="X137" i="81"/>
  <c r="H135" i="82" s="1"/>
  <c r="X135" i="82" s="1"/>
  <c r="H144" i="90" s="1"/>
  <c r="X144" i="90" s="1"/>
  <c r="H144" i="93" s="1"/>
  <c r="X144" i="93" s="1"/>
  <c r="H149" i="107" s="1"/>
  <c r="X149" i="107" s="1"/>
  <c r="H151" i="108" s="1"/>
  <c r="X151" i="108" s="1"/>
  <c r="H153" i="112" s="1"/>
  <c r="X153" i="112" s="1"/>
  <c r="H157" i="113" s="1"/>
  <c r="X157" i="113" s="1"/>
  <c r="H168" i="117" s="1"/>
  <c r="X168" i="117" s="1"/>
  <c r="H166" i="121" s="1"/>
  <c r="X166" i="121" s="1"/>
  <c r="H166" i="122" s="1"/>
  <c r="X166" i="122" s="1"/>
  <c r="M137" i="81"/>
  <c r="L137" i="81"/>
  <c r="AB137" i="81" s="1"/>
  <c r="L135" i="82" s="1"/>
  <c r="K137" i="81"/>
  <c r="J137" i="81"/>
  <c r="G137" i="81"/>
  <c r="F137" i="81"/>
  <c r="V137" i="81" s="1"/>
  <c r="V135" i="82" s="1"/>
  <c r="F144" i="90" s="1"/>
  <c r="V144" i="90" s="1"/>
  <c r="F144" i="93" s="1"/>
  <c r="V144" i="93" s="1"/>
  <c r="F149" i="107" s="1"/>
  <c r="V149" i="107" s="1"/>
  <c r="F151" i="108" s="1"/>
  <c r="V151" i="108" s="1"/>
  <c r="F153" i="112" s="1"/>
  <c r="V153" i="112" s="1"/>
  <c r="F157" i="113" s="1"/>
  <c r="V157" i="113" s="1"/>
  <c r="F168" i="117" s="1"/>
  <c r="V168" i="117" s="1"/>
  <c r="F166" i="121" s="1"/>
  <c r="V166" i="121" s="1"/>
  <c r="F166" i="122" s="1"/>
  <c r="V166" i="122" s="1"/>
  <c r="AB135" i="81"/>
  <c r="L133" i="82" s="1"/>
  <c r="AB133" i="82" s="1"/>
  <c r="L142" i="90" s="1"/>
  <c r="AB142" i="90" s="1"/>
  <c r="L142" i="93" s="1"/>
  <c r="AB142" i="93" s="1"/>
  <c r="L145" i="107" s="1"/>
  <c r="X135" i="81"/>
  <c r="H133" i="82" s="1"/>
  <c r="X133" i="82" s="1"/>
  <c r="H142" i="90" s="1"/>
  <c r="X142" i="90" s="1"/>
  <c r="H142" i="93" s="1"/>
  <c r="X142" i="93" s="1"/>
  <c r="H145" i="107" s="1"/>
  <c r="V135" i="81"/>
  <c r="V133" i="82" s="1"/>
  <c r="F142" i="90" s="1"/>
  <c r="V142" i="90" s="1"/>
  <c r="F142" i="93" s="1"/>
  <c r="V142" i="93" s="1"/>
  <c r="F145" i="107" s="1"/>
  <c r="V145" i="107" s="1"/>
  <c r="F147" i="108" s="1"/>
  <c r="V147" i="108" s="1"/>
  <c r="F149" i="112" s="1"/>
  <c r="V149" i="112" s="1"/>
  <c r="F153" i="113" s="1"/>
  <c r="V153" i="113" s="1"/>
  <c r="F164" i="117" s="1"/>
  <c r="V164" i="117" s="1"/>
  <c r="F162" i="121" s="1"/>
  <c r="V162" i="121" s="1"/>
  <c r="F162" i="122" s="1"/>
  <c r="V162" i="122" s="1"/>
  <c r="M135" i="81"/>
  <c r="K135" i="81"/>
  <c r="AA135" i="81" s="1"/>
  <c r="K133" i="82" s="1"/>
  <c r="AA133" i="82" s="1"/>
  <c r="K142" i="90" s="1"/>
  <c r="AA142" i="90" s="1"/>
  <c r="K142" i="93" s="1"/>
  <c r="AA142" i="93" s="1"/>
  <c r="K145" i="107" s="1"/>
  <c r="AA145" i="107" s="1"/>
  <c r="J135" i="81"/>
  <c r="Z135" i="81" s="1"/>
  <c r="J133" i="82" s="1"/>
  <c r="Z133" i="82" s="1"/>
  <c r="J142" i="90" s="1"/>
  <c r="Z142" i="90" s="1"/>
  <c r="J142" i="93" s="1"/>
  <c r="Z142" i="93" s="1"/>
  <c r="J145" i="107" s="1"/>
  <c r="Z145" i="107" s="1"/>
  <c r="J147" i="108" s="1"/>
  <c r="Z147" i="108" s="1"/>
  <c r="J149" i="112" s="1"/>
  <c r="Z149" i="112" s="1"/>
  <c r="J153" i="113" s="1"/>
  <c r="Z153" i="113" s="1"/>
  <c r="J164" i="117" s="1"/>
  <c r="Z164" i="117" s="1"/>
  <c r="J162" i="121" s="1"/>
  <c r="Z162" i="121" s="1"/>
  <c r="J162" i="122" s="1"/>
  <c r="Z162" i="122" s="1"/>
  <c r="G135" i="81"/>
  <c r="T134" i="81"/>
  <c r="S134" i="81"/>
  <c r="R134" i="81"/>
  <c r="P134" i="81"/>
  <c r="O134" i="81"/>
  <c r="N134" i="81"/>
  <c r="X133" i="81"/>
  <c r="H131" i="82" s="1"/>
  <c r="X131" i="82" s="1"/>
  <c r="H139" i="90" s="1"/>
  <c r="X139" i="90" s="1"/>
  <c r="H139" i="93" s="1"/>
  <c r="X139" i="93" s="1"/>
  <c r="H140" i="107" s="1"/>
  <c r="X140" i="107" s="1"/>
  <c r="H141" i="108" s="1"/>
  <c r="X141" i="108" s="1"/>
  <c r="H141" i="112" s="1"/>
  <c r="X141" i="112" s="1"/>
  <c r="H143" i="113" s="1"/>
  <c r="X143" i="113" s="1"/>
  <c r="H154" i="117" s="1"/>
  <c r="X154" i="117" s="1"/>
  <c r="H152" i="121" s="1"/>
  <c r="X152" i="121" s="1"/>
  <c r="H152" i="122" s="1"/>
  <c r="X152" i="122" s="1"/>
  <c r="M133" i="81"/>
  <c r="L133" i="81"/>
  <c r="K133" i="81"/>
  <c r="J133" i="81"/>
  <c r="G133" i="81"/>
  <c r="F133" i="81"/>
  <c r="X132" i="81"/>
  <c r="H130" i="82" s="1"/>
  <c r="X130" i="82" s="1"/>
  <c r="H138" i="90" s="1"/>
  <c r="X138" i="90" s="1"/>
  <c r="H138" i="93" s="1"/>
  <c r="X138" i="93" s="1"/>
  <c r="H139" i="107" s="1"/>
  <c r="X139" i="107" s="1"/>
  <c r="H140" i="108" s="1"/>
  <c r="X140" i="108" s="1"/>
  <c r="H140" i="112" s="1"/>
  <c r="X140" i="112" s="1"/>
  <c r="H142" i="113" s="1"/>
  <c r="X142" i="113" s="1"/>
  <c r="H153" i="117" s="1"/>
  <c r="X153" i="117" s="1"/>
  <c r="H151" i="121" s="1"/>
  <c r="X151" i="121" s="1"/>
  <c r="H151" i="122" s="1"/>
  <c r="X151" i="122" s="1"/>
  <c r="M132" i="81"/>
  <c r="L132" i="81"/>
  <c r="K132" i="81"/>
  <c r="AA132" i="81" s="1"/>
  <c r="K130" i="82" s="1"/>
  <c r="AA130" i="82" s="1"/>
  <c r="K138" i="90" s="1"/>
  <c r="AA138" i="90" s="1"/>
  <c r="K138" i="93" s="1"/>
  <c r="AA138" i="93" s="1"/>
  <c r="K139" i="107" s="1"/>
  <c r="J132" i="81"/>
  <c r="Z132" i="81" s="1"/>
  <c r="J130" i="82" s="1"/>
  <c r="Z130" i="82" s="1"/>
  <c r="J138" i="90" s="1"/>
  <c r="Z138" i="90" s="1"/>
  <c r="J138" i="93" s="1"/>
  <c r="Z138" i="93" s="1"/>
  <c r="J139" i="107" s="1"/>
  <c r="Z139" i="107" s="1"/>
  <c r="J140" i="108" s="1"/>
  <c r="Z140" i="108" s="1"/>
  <c r="J140" i="112" s="1"/>
  <c r="Z140" i="112" s="1"/>
  <c r="J142" i="113" s="1"/>
  <c r="Z142" i="113" s="1"/>
  <c r="J153" i="117" s="1"/>
  <c r="Z153" i="117" s="1"/>
  <c r="J151" i="121" s="1"/>
  <c r="Z151" i="121" s="1"/>
  <c r="J151" i="122" s="1"/>
  <c r="Z151" i="122" s="1"/>
  <c r="G132" i="81"/>
  <c r="W132" i="81" s="1"/>
  <c r="G130" i="82" s="1"/>
  <c r="W130" i="82" s="1"/>
  <c r="G135" i="90" s="1"/>
  <c r="W135" i="90" s="1"/>
  <c r="G135" i="93" s="1"/>
  <c r="W135" i="93" s="1"/>
  <c r="G136" i="107" s="1"/>
  <c r="W136" i="107" s="1"/>
  <c r="G137" i="108" s="1"/>
  <c r="W137" i="108" s="1"/>
  <c r="G137" i="112" s="1"/>
  <c r="W137" i="112" s="1"/>
  <c r="G139" i="113" s="1"/>
  <c r="W139" i="113" s="1"/>
  <c r="G150" i="117" s="1"/>
  <c r="W150" i="117" s="1"/>
  <c r="G148" i="121" s="1"/>
  <c r="W148" i="121" s="1"/>
  <c r="G148" i="122" s="1"/>
  <c r="W148" i="122" s="1"/>
  <c r="F132" i="81"/>
  <c r="V132" i="81" s="1"/>
  <c r="V130" i="82" s="1"/>
  <c r="F138" i="90" s="1"/>
  <c r="V138" i="90" s="1"/>
  <c r="F138" i="93" s="1"/>
  <c r="V138" i="93" s="1"/>
  <c r="F139" i="107" s="1"/>
  <c r="V139" i="107" s="1"/>
  <c r="F140" i="108" s="1"/>
  <c r="V140" i="108" s="1"/>
  <c r="F140" i="112" s="1"/>
  <c r="V140" i="112" s="1"/>
  <c r="F142" i="113" s="1"/>
  <c r="V142" i="113" s="1"/>
  <c r="F153" i="117" s="1"/>
  <c r="V153" i="117" s="1"/>
  <c r="F151" i="121" s="1"/>
  <c r="V151" i="121" s="1"/>
  <c r="F151" i="122" s="1"/>
  <c r="V151" i="122" s="1"/>
  <c r="X131" i="81"/>
  <c r="H129" i="82" s="1"/>
  <c r="X129" i="82" s="1"/>
  <c r="H137" i="90" s="1"/>
  <c r="X137" i="90" s="1"/>
  <c r="H137" i="93" s="1"/>
  <c r="X137" i="93" s="1"/>
  <c r="H138" i="107" s="1"/>
  <c r="X138" i="107" s="1"/>
  <c r="H139" i="108" s="1"/>
  <c r="X139" i="108" s="1"/>
  <c r="H139" i="112" s="1"/>
  <c r="X139" i="112" s="1"/>
  <c r="H141" i="113" s="1"/>
  <c r="X141" i="113" s="1"/>
  <c r="H152" i="117" s="1"/>
  <c r="X152" i="117" s="1"/>
  <c r="H150" i="121" s="1"/>
  <c r="X150" i="121" s="1"/>
  <c r="H150" i="122" s="1"/>
  <c r="X150" i="122" s="1"/>
  <c r="M131" i="81"/>
  <c r="L131" i="81"/>
  <c r="AB131" i="81" s="1"/>
  <c r="L129" i="82" s="1"/>
  <c r="AB129" i="82" s="1"/>
  <c r="L137" i="90" s="1"/>
  <c r="AB137" i="90" s="1"/>
  <c r="L137" i="93" s="1"/>
  <c r="AB137" i="93" s="1"/>
  <c r="L138" i="107" s="1"/>
  <c r="AB138" i="107" s="1"/>
  <c r="L139" i="108" s="1"/>
  <c r="K131" i="81"/>
  <c r="AA131" i="81" s="1"/>
  <c r="K129" i="82" s="1"/>
  <c r="AA129" i="82" s="1"/>
  <c r="K137" i="90" s="1"/>
  <c r="AA137" i="90" s="1"/>
  <c r="K137" i="93" s="1"/>
  <c r="AA137" i="93" s="1"/>
  <c r="K138" i="107" s="1"/>
  <c r="J131" i="81"/>
  <c r="G131" i="81"/>
  <c r="W131" i="81" s="1"/>
  <c r="G129" i="82" s="1"/>
  <c r="W129" i="82" s="1"/>
  <c r="G134" i="90" s="1"/>
  <c r="W134" i="90" s="1"/>
  <c r="G134" i="93" s="1"/>
  <c r="W134" i="93" s="1"/>
  <c r="G135" i="107" s="1"/>
  <c r="W135" i="107" s="1"/>
  <c r="G136" i="108" s="1"/>
  <c r="W136" i="108" s="1"/>
  <c r="G136" i="112" s="1"/>
  <c r="W136" i="112" s="1"/>
  <c r="G138" i="113" s="1"/>
  <c r="W138" i="113" s="1"/>
  <c r="G149" i="117" s="1"/>
  <c r="W149" i="117" s="1"/>
  <c r="G147" i="121" s="1"/>
  <c r="W147" i="121" s="1"/>
  <c r="G147" i="122" s="1"/>
  <c r="W147" i="122" s="1"/>
  <c r="F131" i="81"/>
  <c r="V131" i="81" s="1"/>
  <c r="V129" i="82" s="1"/>
  <c r="F137" i="90" s="1"/>
  <c r="V137" i="90" s="1"/>
  <c r="F137" i="93" s="1"/>
  <c r="V137" i="93" s="1"/>
  <c r="F138" i="107" s="1"/>
  <c r="V138" i="107" s="1"/>
  <c r="F139" i="108" s="1"/>
  <c r="V139" i="108" s="1"/>
  <c r="F139" i="112" s="1"/>
  <c r="V139" i="112" s="1"/>
  <c r="F141" i="113" s="1"/>
  <c r="V141" i="113" s="1"/>
  <c r="F152" i="117" s="1"/>
  <c r="V152" i="117" s="1"/>
  <c r="F150" i="121" s="1"/>
  <c r="V150" i="121" s="1"/>
  <c r="F150" i="122" s="1"/>
  <c r="V150" i="122" s="1"/>
  <c r="M130" i="81"/>
  <c r="L130" i="81"/>
  <c r="K130" i="81"/>
  <c r="J130" i="81"/>
  <c r="H130" i="81"/>
  <c r="X130" i="81" s="1"/>
  <c r="G130" i="81"/>
  <c r="F130" i="81"/>
  <c r="X129" i="81"/>
  <c r="H127" i="82" s="1"/>
  <c r="X127" i="82" s="1"/>
  <c r="H135" i="90" s="1"/>
  <c r="X135" i="90" s="1"/>
  <c r="H135" i="93" s="1"/>
  <c r="X135" i="93" s="1"/>
  <c r="H136" i="107" s="1"/>
  <c r="X136" i="107" s="1"/>
  <c r="H137" i="108" s="1"/>
  <c r="X137" i="108" s="1"/>
  <c r="H137" i="112" s="1"/>
  <c r="X137" i="112" s="1"/>
  <c r="H139" i="113" s="1"/>
  <c r="X139" i="113" s="1"/>
  <c r="H150" i="117" s="1"/>
  <c r="X150" i="117" s="1"/>
  <c r="H148" i="121" s="1"/>
  <c r="X148" i="121" s="1"/>
  <c r="H148" i="122" s="1"/>
  <c r="X148" i="122" s="1"/>
  <c r="M129" i="81"/>
  <c r="L129" i="81"/>
  <c r="AB129" i="81" s="1"/>
  <c r="L127" i="82" s="1"/>
  <c r="AB127" i="82" s="1"/>
  <c r="L135" i="90" s="1"/>
  <c r="AB135" i="90" s="1"/>
  <c r="L135" i="93" s="1"/>
  <c r="AB135" i="93" s="1"/>
  <c r="L136" i="107" s="1"/>
  <c r="AB136" i="107" s="1"/>
  <c r="L137" i="108" s="1"/>
  <c r="K129" i="81"/>
  <c r="AA129" i="81" s="1"/>
  <c r="K127" i="82" s="1"/>
  <c r="AA127" i="82" s="1"/>
  <c r="K135" i="90" s="1"/>
  <c r="AA135" i="90" s="1"/>
  <c r="K135" i="93" s="1"/>
  <c r="AA135" i="93" s="1"/>
  <c r="K136" i="107" s="1"/>
  <c r="J129" i="81"/>
  <c r="Z129" i="81" s="1"/>
  <c r="G129" i="81"/>
  <c r="W129" i="81" s="1"/>
  <c r="G127" i="82" s="1"/>
  <c r="W127" i="82" s="1"/>
  <c r="G132" i="90" s="1"/>
  <c r="W132" i="90" s="1"/>
  <c r="G132" i="93" s="1"/>
  <c r="W132" i="93" s="1"/>
  <c r="G133" i="107" s="1"/>
  <c r="W133" i="107" s="1"/>
  <c r="G134" i="108" s="1"/>
  <c r="W134" i="108" s="1"/>
  <c r="G134" i="112" s="1"/>
  <c r="W134" i="112" s="1"/>
  <c r="G136" i="113" s="1"/>
  <c r="W136" i="113" s="1"/>
  <c r="G147" i="117" s="1"/>
  <c r="W147" i="117" s="1"/>
  <c r="G145" i="121" s="1"/>
  <c r="W145" i="121" s="1"/>
  <c r="G145" i="122" s="1"/>
  <c r="W145" i="122" s="1"/>
  <c r="F129" i="81"/>
  <c r="V129" i="81" s="1"/>
  <c r="V127" i="82" s="1"/>
  <c r="F135" i="90" s="1"/>
  <c r="V135" i="90" s="1"/>
  <c r="F135" i="93" s="1"/>
  <c r="V135" i="93" s="1"/>
  <c r="F136" i="107" s="1"/>
  <c r="V136" i="107" s="1"/>
  <c r="F137" i="108" s="1"/>
  <c r="V137" i="108" s="1"/>
  <c r="F137" i="112" s="1"/>
  <c r="V137" i="112" s="1"/>
  <c r="F139" i="113" s="1"/>
  <c r="V139" i="113" s="1"/>
  <c r="F150" i="117" s="1"/>
  <c r="V150" i="117" s="1"/>
  <c r="F148" i="121" s="1"/>
  <c r="V148" i="121" s="1"/>
  <c r="F148" i="122" s="1"/>
  <c r="V148" i="122" s="1"/>
  <c r="X128" i="81"/>
  <c r="H126" i="82" s="1"/>
  <c r="X126" i="82" s="1"/>
  <c r="H134" i="90" s="1"/>
  <c r="X134" i="90" s="1"/>
  <c r="H134" i="93" s="1"/>
  <c r="X134" i="93" s="1"/>
  <c r="H135" i="107" s="1"/>
  <c r="X135" i="107" s="1"/>
  <c r="H136" i="108" s="1"/>
  <c r="X136" i="108" s="1"/>
  <c r="H136" i="112" s="1"/>
  <c r="X136" i="112" s="1"/>
  <c r="H138" i="113" s="1"/>
  <c r="X138" i="113" s="1"/>
  <c r="H149" i="117" s="1"/>
  <c r="X149" i="117" s="1"/>
  <c r="H147" i="121" s="1"/>
  <c r="X147" i="121" s="1"/>
  <c r="H147" i="122" s="1"/>
  <c r="X147" i="122" s="1"/>
  <c r="M128" i="81"/>
  <c r="L128" i="81"/>
  <c r="K128" i="81"/>
  <c r="AA128" i="81" s="1"/>
  <c r="K126" i="82" s="1"/>
  <c r="AA126" i="82" s="1"/>
  <c r="K134" i="90" s="1"/>
  <c r="AA134" i="90" s="1"/>
  <c r="K134" i="93" s="1"/>
  <c r="AA134" i="93" s="1"/>
  <c r="K135" i="107" s="1"/>
  <c r="J128" i="81"/>
  <c r="Z128" i="81" s="1"/>
  <c r="J126" i="82" s="1"/>
  <c r="Z126" i="82" s="1"/>
  <c r="J134" i="90" s="1"/>
  <c r="Z134" i="90" s="1"/>
  <c r="J134" i="93" s="1"/>
  <c r="Z134" i="93" s="1"/>
  <c r="J135" i="107" s="1"/>
  <c r="Z135" i="107" s="1"/>
  <c r="J136" i="108" s="1"/>
  <c r="Z136" i="108" s="1"/>
  <c r="J136" i="112" s="1"/>
  <c r="Z136" i="112" s="1"/>
  <c r="J138" i="113" s="1"/>
  <c r="Z138" i="113" s="1"/>
  <c r="J149" i="117" s="1"/>
  <c r="Z149" i="117" s="1"/>
  <c r="J147" i="121" s="1"/>
  <c r="Z147" i="121" s="1"/>
  <c r="J147" i="122" s="1"/>
  <c r="Z147" i="122" s="1"/>
  <c r="G128" i="81"/>
  <c r="W128" i="81" s="1"/>
  <c r="G126" i="82" s="1"/>
  <c r="W126" i="82" s="1"/>
  <c r="G131" i="90" s="1"/>
  <c r="W131" i="90" s="1"/>
  <c r="G131" i="93" s="1"/>
  <c r="W131" i="93" s="1"/>
  <c r="G132" i="107" s="1"/>
  <c r="W132" i="107" s="1"/>
  <c r="G133" i="108" s="1"/>
  <c r="W133" i="108" s="1"/>
  <c r="G133" i="112" s="1"/>
  <c r="W133" i="112" s="1"/>
  <c r="G135" i="113" s="1"/>
  <c r="W135" i="113" s="1"/>
  <c r="G146" i="117" s="1"/>
  <c r="W146" i="117" s="1"/>
  <c r="G144" i="121" s="1"/>
  <c r="W144" i="121" s="1"/>
  <c r="G144" i="122" s="1"/>
  <c r="W144" i="122" s="1"/>
  <c r="F128" i="81"/>
  <c r="V128" i="81" s="1"/>
  <c r="V126" i="82" s="1"/>
  <c r="F134" i="90" s="1"/>
  <c r="V134" i="90" s="1"/>
  <c r="F134" i="93" s="1"/>
  <c r="V134" i="93" s="1"/>
  <c r="F135" i="107" s="1"/>
  <c r="V135" i="107" s="1"/>
  <c r="F136" i="108" s="1"/>
  <c r="V136" i="108" s="1"/>
  <c r="F136" i="112" s="1"/>
  <c r="V136" i="112" s="1"/>
  <c r="F138" i="113" s="1"/>
  <c r="V138" i="113" s="1"/>
  <c r="F149" i="117" s="1"/>
  <c r="V149" i="117" s="1"/>
  <c r="F147" i="121" s="1"/>
  <c r="V147" i="121" s="1"/>
  <c r="F147" i="122" s="1"/>
  <c r="V147" i="122" s="1"/>
  <c r="X127" i="81"/>
  <c r="H125" i="82" s="1"/>
  <c r="X125" i="82" s="1"/>
  <c r="H133" i="90" s="1"/>
  <c r="X133" i="90" s="1"/>
  <c r="H133" i="93" s="1"/>
  <c r="X133" i="93" s="1"/>
  <c r="H134" i="107" s="1"/>
  <c r="X134" i="107" s="1"/>
  <c r="H135" i="108" s="1"/>
  <c r="X135" i="108" s="1"/>
  <c r="H135" i="112" s="1"/>
  <c r="X135" i="112" s="1"/>
  <c r="H137" i="113" s="1"/>
  <c r="X137" i="113" s="1"/>
  <c r="H148" i="117" s="1"/>
  <c r="X148" i="117" s="1"/>
  <c r="H146" i="121" s="1"/>
  <c r="X146" i="121" s="1"/>
  <c r="H146" i="122" s="1"/>
  <c r="X146" i="122" s="1"/>
  <c r="M127" i="81"/>
  <c r="L127" i="81"/>
  <c r="AB127" i="81" s="1"/>
  <c r="L125" i="82" s="1"/>
  <c r="AB125" i="82" s="1"/>
  <c r="L133" i="90" s="1"/>
  <c r="AB133" i="90" s="1"/>
  <c r="L133" i="93" s="1"/>
  <c r="AB133" i="93" s="1"/>
  <c r="L134" i="107" s="1"/>
  <c r="AB134" i="107" s="1"/>
  <c r="L135" i="108" s="1"/>
  <c r="K127" i="81"/>
  <c r="AA127" i="81" s="1"/>
  <c r="K125" i="82" s="1"/>
  <c r="AA125" i="82" s="1"/>
  <c r="K133" i="90" s="1"/>
  <c r="AA133" i="90" s="1"/>
  <c r="K133" i="93" s="1"/>
  <c r="AA133" i="93" s="1"/>
  <c r="K134" i="107" s="1"/>
  <c r="J127" i="81"/>
  <c r="Z127" i="81" s="1"/>
  <c r="J125" i="82" s="1"/>
  <c r="G127" i="81"/>
  <c r="W127" i="81" s="1"/>
  <c r="G125" i="82" s="1"/>
  <c r="W125" i="82" s="1"/>
  <c r="G130" i="90" s="1"/>
  <c r="W130" i="90" s="1"/>
  <c r="G130" i="93" s="1"/>
  <c r="W130" i="93" s="1"/>
  <c r="G131" i="107" s="1"/>
  <c r="W131" i="107" s="1"/>
  <c r="G132" i="108" s="1"/>
  <c r="W132" i="108" s="1"/>
  <c r="G132" i="112" s="1"/>
  <c r="W132" i="112" s="1"/>
  <c r="G134" i="113" s="1"/>
  <c r="W134" i="113" s="1"/>
  <c r="G145" i="117" s="1"/>
  <c r="W145" i="117" s="1"/>
  <c r="G143" i="121" s="1"/>
  <c r="W143" i="121" s="1"/>
  <c r="G143" i="122" s="1"/>
  <c r="W143" i="122" s="1"/>
  <c r="F127" i="81"/>
  <c r="V127" i="81" s="1"/>
  <c r="X126" i="81"/>
  <c r="H124" i="82" s="1"/>
  <c r="X124" i="82" s="1"/>
  <c r="H132" i="90" s="1"/>
  <c r="X132" i="90" s="1"/>
  <c r="H132" i="93" s="1"/>
  <c r="X132" i="93" s="1"/>
  <c r="H133" i="107" s="1"/>
  <c r="X133" i="107" s="1"/>
  <c r="H134" i="108" s="1"/>
  <c r="X134" i="108" s="1"/>
  <c r="H134" i="112" s="1"/>
  <c r="X134" i="112" s="1"/>
  <c r="H136" i="113" s="1"/>
  <c r="X136" i="113" s="1"/>
  <c r="H147" i="117" s="1"/>
  <c r="X147" i="117" s="1"/>
  <c r="H145" i="121" s="1"/>
  <c r="X145" i="121" s="1"/>
  <c r="H145" i="122" s="1"/>
  <c r="X145" i="122" s="1"/>
  <c r="M126" i="81"/>
  <c r="L126" i="81"/>
  <c r="K126" i="81"/>
  <c r="AA126" i="81" s="1"/>
  <c r="K124" i="82" s="1"/>
  <c r="AA124" i="82" s="1"/>
  <c r="K132" i="90" s="1"/>
  <c r="AA132" i="90" s="1"/>
  <c r="K132" i="93" s="1"/>
  <c r="AA132" i="93" s="1"/>
  <c r="K133" i="107" s="1"/>
  <c r="J126" i="81"/>
  <c r="Z126" i="81" s="1"/>
  <c r="J124" i="82" s="1"/>
  <c r="Z124" i="82" s="1"/>
  <c r="J132" i="90" s="1"/>
  <c r="Z132" i="90" s="1"/>
  <c r="J132" i="93" s="1"/>
  <c r="Z132" i="93" s="1"/>
  <c r="J133" i="107" s="1"/>
  <c r="Z133" i="107" s="1"/>
  <c r="J134" i="108" s="1"/>
  <c r="Z134" i="108" s="1"/>
  <c r="J134" i="112" s="1"/>
  <c r="Z134" i="112" s="1"/>
  <c r="J136" i="113" s="1"/>
  <c r="Z136" i="113" s="1"/>
  <c r="J147" i="117" s="1"/>
  <c r="Z147" i="117" s="1"/>
  <c r="J145" i="121" s="1"/>
  <c r="Z145" i="121" s="1"/>
  <c r="J145" i="122" s="1"/>
  <c r="Z145" i="122" s="1"/>
  <c r="G126" i="81"/>
  <c r="W126" i="81" s="1"/>
  <c r="G124" i="82" s="1"/>
  <c r="W124" i="82" s="1"/>
  <c r="G129" i="90" s="1"/>
  <c r="W129" i="90" s="1"/>
  <c r="G129" i="93" s="1"/>
  <c r="W129" i="93" s="1"/>
  <c r="G130" i="107" s="1"/>
  <c r="W130" i="107" s="1"/>
  <c r="G131" i="108" s="1"/>
  <c r="W131" i="108" s="1"/>
  <c r="G131" i="112" s="1"/>
  <c r="W131" i="112" s="1"/>
  <c r="G133" i="113" s="1"/>
  <c r="W133" i="113" s="1"/>
  <c r="G144" i="117" s="1"/>
  <c r="W144" i="117" s="1"/>
  <c r="G142" i="121" s="1"/>
  <c r="W142" i="121" s="1"/>
  <c r="G142" i="122" s="1"/>
  <c r="W142" i="122" s="1"/>
  <c r="F126" i="81"/>
  <c r="V126" i="81" s="1"/>
  <c r="V124" i="82" s="1"/>
  <c r="F132" i="90" s="1"/>
  <c r="V132" i="90" s="1"/>
  <c r="F132" i="93" s="1"/>
  <c r="V132" i="93" s="1"/>
  <c r="F133" i="107" s="1"/>
  <c r="V133" i="107" s="1"/>
  <c r="F134" i="108" s="1"/>
  <c r="V134" i="108" s="1"/>
  <c r="F134" i="112" s="1"/>
  <c r="V134" i="112" s="1"/>
  <c r="F136" i="113" s="1"/>
  <c r="V136" i="113" s="1"/>
  <c r="F147" i="117" s="1"/>
  <c r="V147" i="117" s="1"/>
  <c r="F145" i="121" s="1"/>
  <c r="V145" i="121" s="1"/>
  <c r="F145" i="122" s="1"/>
  <c r="V145" i="122" s="1"/>
  <c r="M125" i="81"/>
  <c r="L125" i="81"/>
  <c r="AB125" i="81" s="1"/>
  <c r="L123" i="82" s="1"/>
  <c r="K125" i="81"/>
  <c r="AA125" i="81" s="1"/>
  <c r="K123" i="82" s="1"/>
  <c r="AA123" i="82" s="1"/>
  <c r="K131" i="90" s="1"/>
  <c r="AA131" i="90" s="1"/>
  <c r="K131" i="93" s="1"/>
  <c r="AA131" i="93" s="1"/>
  <c r="K132" i="107" s="1"/>
  <c r="J125" i="81"/>
  <c r="Z125" i="81" s="1"/>
  <c r="J123" i="82" s="1"/>
  <c r="Z123" i="82" s="1"/>
  <c r="J131" i="90" s="1"/>
  <c r="Z131" i="90" s="1"/>
  <c r="J131" i="93" s="1"/>
  <c r="Z131" i="93" s="1"/>
  <c r="J132" i="107" s="1"/>
  <c r="Z132" i="107" s="1"/>
  <c r="J133" i="108" s="1"/>
  <c r="Z133" i="108" s="1"/>
  <c r="J133" i="112" s="1"/>
  <c r="Z133" i="112" s="1"/>
  <c r="J135" i="113" s="1"/>
  <c r="Z135" i="113" s="1"/>
  <c r="J146" i="117" s="1"/>
  <c r="Z146" i="117" s="1"/>
  <c r="J144" i="121" s="1"/>
  <c r="Z144" i="121" s="1"/>
  <c r="J144" i="122" s="1"/>
  <c r="Z144" i="122" s="1"/>
  <c r="H125" i="81"/>
  <c r="X125" i="81" s="1"/>
  <c r="H123" i="82" s="1"/>
  <c r="X123" i="82" s="1"/>
  <c r="H131" i="90" s="1"/>
  <c r="X131" i="90" s="1"/>
  <c r="H131" i="93" s="1"/>
  <c r="X131" i="93" s="1"/>
  <c r="H132" i="107" s="1"/>
  <c r="X132" i="107" s="1"/>
  <c r="H133" i="108" s="1"/>
  <c r="X133" i="108" s="1"/>
  <c r="H133" i="112" s="1"/>
  <c r="X133" i="112" s="1"/>
  <c r="H135" i="113" s="1"/>
  <c r="X135" i="113" s="1"/>
  <c r="H146" i="117" s="1"/>
  <c r="X146" i="117" s="1"/>
  <c r="H144" i="121" s="1"/>
  <c r="X144" i="121" s="1"/>
  <c r="H144" i="122" s="1"/>
  <c r="X144" i="122" s="1"/>
  <c r="G125" i="81"/>
  <c r="W125" i="81" s="1"/>
  <c r="G123" i="82" s="1"/>
  <c r="W123" i="82" s="1"/>
  <c r="G128" i="90" s="1"/>
  <c r="W128" i="90" s="1"/>
  <c r="G128" i="93" s="1"/>
  <c r="W128" i="93" s="1"/>
  <c r="G129" i="107" s="1"/>
  <c r="W129" i="107" s="1"/>
  <c r="G130" i="108" s="1"/>
  <c r="W130" i="108" s="1"/>
  <c r="G130" i="112" s="1"/>
  <c r="W130" i="112" s="1"/>
  <c r="G132" i="113" s="1"/>
  <c r="W132" i="113" s="1"/>
  <c r="G143" i="117" s="1"/>
  <c r="W143" i="117" s="1"/>
  <c r="G141" i="121" s="1"/>
  <c r="W141" i="121" s="1"/>
  <c r="G141" i="122" s="1"/>
  <c r="W141" i="122" s="1"/>
  <c r="F125" i="81"/>
  <c r="V125" i="81" s="1"/>
  <c r="V123" i="82" s="1"/>
  <c r="F131" i="90" s="1"/>
  <c r="V131" i="90" s="1"/>
  <c r="F131" i="93" s="1"/>
  <c r="V131" i="93" s="1"/>
  <c r="F132" i="107" s="1"/>
  <c r="V132" i="107" s="1"/>
  <c r="F133" i="108" s="1"/>
  <c r="V133" i="108" s="1"/>
  <c r="F133" i="112" s="1"/>
  <c r="V133" i="112" s="1"/>
  <c r="F135" i="113" s="1"/>
  <c r="V135" i="113" s="1"/>
  <c r="F146" i="117" s="1"/>
  <c r="V146" i="117" s="1"/>
  <c r="F144" i="121" s="1"/>
  <c r="V144" i="121" s="1"/>
  <c r="F144" i="122" s="1"/>
  <c r="V144" i="122" s="1"/>
  <c r="X124" i="81"/>
  <c r="H122" i="82" s="1"/>
  <c r="X122" i="82" s="1"/>
  <c r="H130" i="90" s="1"/>
  <c r="X130" i="90" s="1"/>
  <c r="H130" i="93" s="1"/>
  <c r="X130" i="93" s="1"/>
  <c r="H131" i="107" s="1"/>
  <c r="X131" i="107" s="1"/>
  <c r="H132" i="108" s="1"/>
  <c r="X132" i="108" s="1"/>
  <c r="H132" i="112" s="1"/>
  <c r="X132" i="112" s="1"/>
  <c r="H134" i="113" s="1"/>
  <c r="X134" i="113" s="1"/>
  <c r="H145" i="117" s="1"/>
  <c r="X145" i="117" s="1"/>
  <c r="H143" i="121" s="1"/>
  <c r="X143" i="121" s="1"/>
  <c r="H143" i="122" s="1"/>
  <c r="X143" i="122" s="1"/>
  <c r="M124" i="81"/>
  <c r="L124" i="81"/>
  <c r="AB124" i="81" s="1"/>
  <c r="L122" i="82" s="1"/>
  <c r="AB122" i="82" s="1"/>
  <c r="L130" i="90" s="1"/>
  <c r="AB130" i="90" s="1"/>
  <c r="L130" i="93" s="1"/>
  <c r="AB130" i="93" s="1"/>
  <c r="L131" i="107" s="1"/>
  <c r="AB131" i="107" s="1"/>
  <c r="L132" i="108" s="1"/>
  <c r="K124" i="81"/>
  <c r="AA124" i="81" s="1"/>
  <c r="K122" i="82" s="1"/>
  <c r="AA122" i="82" s="1"/>
  <c r="K130" i="90" s="1"/>
  <c r="AA130" i="90" s="1"/>
  <c r="K130" i="93" s="1"/>
  <c r="AA130" i="93" s="1"/>
  <c r="K131" i="107" s="1"/>
  <c r="J124" i="81"/>
  <c r="Z124" i="81" s="1"/>
  <c r="J122" i="82" s="1"/>
  <c r="G124" i="81"/>
  <c r="W124" i="81" s="1"/>
  <c r="G122" i="82" s="1"/>
  <c r="W122" i="82" s="1"/>
  <c r="G127" i="90" s="1"/>
  <c r="W127" i="90" s="1"/>
  <c r="G127" i="93" s="1"/>
  <c r="W127" i="93" s="1"/>
  <c r="G128" i="107" s="1"/>
  <c r="W128" i="107" s="1"/>
  <c r="G129" i="108" s="1"/>
  <c r="W129" i="108" s="1"/>
  <c r="G129" i="112" s="1"/>
  <c r="W129" i="112" s="1"/>
  <c r="G131" i="113" s="1"/>
  <c r="W131" i="113" s="1"/>
  <c r="G142" i="117" s="1"/>
  <c r="W142" i="117" s="1"/>
  <c r="G140" i="121" s="1"/>
  <c r="W140" i="121" s="1"/>
  <c r="G140" i="122" s="1"/>
  <c r="W140" i="122" s="1"/>
  <c r="F124" i="81"/>
  <c r="V124" i="81" s="1"/>
  <c r="V122" i="82" s="1"/>
  <c r="F130" i="90" s="1"/>
  <c r="V130" i="90" s="1"/>
  <c r="F130" i="93" s="1"/>
  <c r="V130" i="93" s="1"/>
  <c r="F131" i="107" s="1"/>
  <c r="V131" i="107" s="1"/>
  <c r="F132" i="108" s="1"/>
  <c r="V132" i="108" s="1"/>
  <c r="F132" i="112" s="1"/>
  <c r="V132" i="112" s="1"/>
  <c r="F134" i="113" s="1"/>
  <c r="V134" i="113" s="1"/>
  <c r="F145" i="117" s="1"/>
  <c r="V145" i="117" s="1"/>
  <c r="F143" i="121" s="1"/>
  <c r="V143" i="121" s="1"/>
  <c r="F143" i="122" s="1"/>
  <c r="V143" i="122" s="1"/>
  <c r="X123" i="81"/>
  <c r="H121" i="82" s="1"/>
  <c r="X121" i="82" s="1"/>
  <c r="H129" i="90" s="1"/>
  <c r="X129" i="90" s="1"/>
  <c r="H129" i="93" s="1"/>
  <c r="X129" i="93" s="1"/>
  <c r="H130" i="107" s="1"/>
  <c r="X130" i="107" s="1"/>
  <c r="H131" i="108" s="1"/>
  <c r="X131" i="108" s="1"/>
  <c r="H131" i="112" s="1"/>
  <c r="X131" i="112" s="1"/>
  <c r="H133" i="113" s="1"/>
  <c r="X133" i="113" s="1"/>
  <c r="H144" i="117" s="1"/>
  <c r="X144" i="117" s="1"/>
  <c r="H142" i="121" s="1"/>
  <c r="X142" i="121" s="1"/>
  <c r="H142" i="122" s="1"/>
  <c r="X142" i="122" s="1"/>
  <c r="M123" i="81"/>
  <c r="L123" i="81"/>
  <c r="AB123" i="81" s="1"/>
  <c r="L121" i="82" s="1"/>
  <c r="AB121" i="82" s="1"/>
  <c r="L129" i="90" s="1"/>
  <c r="AB129" i="90" s="1"/>
  <c r="L129" i="93" s="1"/>
  <c r="AB129" i="93" s="1"/>
  <c r="L130" i="107" s="1"/>
  <c r="AB130" i="107" s="1"/>
  <c r="L131" i="108" s="1"/>
  <c r="K123" i="81"/>
  <c r="AA123" i="81" s="1"/>
  <c r="K121" i="82" s="1"/>
  <c r="AA121" i="82" s="1"/>
  <c r="K129" i="90" s="1"/>
  <c r="AA129" i="90" s="1"/>
  <c r="K129" i="93" s="1"/>
  <c r="AA129" i="93" s="1"/>
  <c r="K130" i="107" s="1"/>
  <c r="J123" i="81"/>
  <c r="Z123" i="81" s="1"/>
  <c r="J121" i="82" s="1"/>
  <c r="Z121" i="82" s="1"/>
  <c r="J129" i="90" s="1"/>
  <c r="Z129" i="90" s="1"/>
  <c r="J129" i="93" s="1"/>
  <c r="Z129" i="93" s="1"/>
  <c r="J130" i="107" s="1"/>
  <c r="Z130" i="107" s="1"/>
  <c r="J131" i="108" s="1"/>
  <c r="Z131" i="108" s="1"/>
  <c r="J131" i="112" s="1"/>
  <c r="Z131" i="112" s="1"/>
  <c r="J133" i="113" s="1"/>
  <c r="Z133" i="113" s="1"/>
  <c r="J144" i="117" s="1"/>
  <c r="Z144" i="117" s="1"/>
  <c r="J142" i="121" s="1"/>
  <c r="Z142" i="121" s="1"/>
  <c r="J142" i="122" s="1"/>
  <c r="Z142" i="122" s="1"/>
  <c r="G123" i="81"/>
  <c r="W123" i="81" s="1"/>
  <c r="G121" i="82" s="1"/>
  <c r="W121" i="82" s="1"/>
  <c r="G126" i="90" s="1"/>
  <c r="W126" i="90" s="1"/>
  <c r="G126" i="93" s="1"/>
  <c r="W126" i="93" s="1"/>
  <c r="G127" i="107" s="1"/>
  <c r="W127" i="107" s="1"/>
  <c r="G128" i="108" s="1"/>
  <c r="W128" i="108" s="1"/>
  <c r="G128" i="112" s="1"/>
  <c r="W128" i="112" s="1"/>
  <c r="G130" i="113" s="1"/>
  <c r="W130" i="113" s="1"/>
  <c r="G141" i="117" s="1"/>
  <c r="W141" i="117" s="1"/>
  <c r="G139" i="121" s="1"/>
  <c r="W139" i="121" s="1"/>
  <c r="G139" i="122" s="1"/>
  <c r="W139" i="122" s="1"/>
  <c r="F123" i="81"/>
  <c r="X122" i="81"/>
  <c r="H120" i="82" s="1"/>
  <c r="X120" i="82" s="1"/>
  <c r="H128" i="90" s="1"/>
  <c r="X128" i="90" s="1"/>
  <c r="H128" i="93" s="1"/>
  <c r="X128" i="93" s="1"/>
  <c r="H129" i="107" s="1"/>
  <c r="X129" i="107" s="1"/>
  <c r="H130" i="108" s="1"/>
  <c r="X130" i="108" s="1"/>
  <c r="H130" i="112" s="1"/>
  <c r="X130" i="112" s="1"/>
  <c r="H132" i="113" s="1"/>
  <c r="X132" i="113" s="1"/>
  <c r="H143" i="117" s="1"/>
  <c r="X143" i="117" s="1"/>
  <c r="H141" i="121" s="1"/>
  <c r="X141" i="121" s="1"/>
  <c r="H141" i="122" s="1"/>
  <c r="X141" i="122" s="1"/>
  <c r="M122" i="81"/>
  <c r="L122" i="81"/>
  <c r="AB122" i="81" s="1"/>
  <c r="L120" i="82" s="1"/>
  <c r="AB120" i="82" s="1"/>
  <c r="L128" i="90" s="1"/>
  <c r="AB128" i="90" s="1"/>
  <c r="L128" i="93" s="1"/>
  <c r="AB128" i="93" s="1"/>
  <c r="L129" i="107" s="1"/>
  <c r="AB129" i="107" s="1"/>
  <c r="L130" i="108" s="1"/>
  <c r="K122" i="81"/>
  <c r="AA122" i="81" s="1"/>
  <c r="K120" i="82" s="1"/>
  <c r="AA120" i="82" s="1"/>
  <c r="K128" i="90" s="1"/>
  <c r="AA128" i="90" s="1"/>
  <c r="K128" i="93" s="1"/>
  <c r="AA128" i="93" s="1"/>
  <c r="K129" i="107" s="1"/>
  <c r="J122" i="81"/>
  <c r="Z122" i="81" s="1"/>
  <c r="J120" i="82" s="1"/>
  <c r="G122" i="81"/>
  <c r="W122" i="81" s="1"/>
  <c r="G120" i="82" s="1"/>
  <c r="W120" i="82" s="1"/>
  <c r="G125" i="90" s="1"/>
  <c r="W125" i="90" s="1"/>
  <c r="G125" i="93" s="1"/>
  <c r="W125" i="93" s="1"/>
  <c r="G126" i="107" s="1"/>
  <c r="W126" i="107" s="1"/>
  <c r="G127" i="108" s="1"/>
  <c r="W127" i="108" s="1"/>
  <c r="G127" i="112" s="1"/>
  <c r="W127" i="112" s="1"/>
  <c r="G129" i="113" s="1"/>
  <c r="W129" i="113" s="1"/>
  <c r="G140" i="117" s="1"/>
  <c r="W140" i="117" s="1"/>
  <c r="G138" i="121" s="1"/>
  <c r="W138" i="121" s="1"/>
  <c r="G138" i="122" s="1"/>
  <c r="W138" i="122" s="1"/>
  <c r="F122" i="81"/>
  <c r="V122" i="81" s="1"/>
  <c r="V120" i="82" s="1"/>
  <c r="F128" i="90" s="1"/>
  <c r="V128" i="90" s="1"/>
  <c r="F128" i="93" s="1"/>
  <c r="V128" i="93" s="1"/>
  <c r="F129" i="107" s="1"/>
  <c r="V129" i="107" s="1"/>
  <c r="F130" i="108" s="1"/>
  <c r="V130" i="108" s="1"/>
  <c r="F130" i="112" s="1"/>
  <c r="V130" i="112" s="1"/>
  <c r="F132" i="113" s="1"/>
  <c r="V132" i="113" s="1"/>
  <c r="F143" i="117" s="1"/>
  <c r="V143" i="117" s="1"/>
  <c r="F141" i="121" s="1"/>
  <c r="V141" i="121" s="1"/>
  <c r="F141" i="122" s="1"/>
  <c r="V141" i="122" s="1"/>
  <c r="X121" i="81"/>
  <c r="H119" i="82" s="1"/>
  <c r="X119" i="82" s="1"/>
  <c r="H127" i="90" s="1"/>
  <c r="X127" i="90" s="1"/>
  <c r="H127" i="93" s="1"/>
  <c r="X127" i="93" s="1"/>
  <c r="H128" i="107" s="1"/>
  <c r="X128" i="107" s="1"/>
  <c r="H129" i="108" s="1"/>
  <c r="X129" i="108" s="1"/>
  <c r="H129" i="112" s="1"/>
  <c r="X129" i="112" s="1"/>
  <c r="H131" i="113" s="1"/>
  <c r="X131" i="113" s="1"/>
  <c r="H142" i="117" s="1"/>
  <c r="X142" i="117" s="1"/>
  <c r="H140" i="121" s="1"/>
  <c r="X140" i="121" s="1"/>
  <c r="H140" i="122" s="1"/>
  <c r="X140" i="122" s="1"/>
  <c r="M121" i="81"/>
  <c r="L121" i="81"/>
  <c r="AB121" i="81" s="1"/>
  <c r="L119" i="82" s="1"/>
  <c r="AB119" i="82" s="1"/>
  <c r="L127" i="90" s="1"/>
  <c r="AB127" i="90" s="1"/>
  <c r="L127" i="93" s="1"/>
  <c r="AB127" i="93" s="1"/>
  <c r="L128" i="107" s="1"/>
  <c r="AB128" i="107" s="1"/>
  <c r="L129" i="108" s="1"/>
  <c r="K121" i="81"/>
  <c r="AA121" i="81" s="1"/>
  <c r="K119" i="82" s="1"/>
  <c r="AA119" i="82" s="1"/>
  <c r="K127" i="90" s="1"/>
  <c r="AA127" i="90" s="1"/>
  <c r="K127" i="93" s="1"/>
  <c r="AA127" i="93" s="1"/>
  <c r="K128" i="107" s="1"/>
  <c r="J121" i="81"/>
  <c r="Z121" i="81" s="1"/>
  <c r="J119" i="82" s="1"/>
  <c r="Z119" i="82" s="1"/>
  <c r="J127" i="90" s="1"/>
  <c r="Z127" i="90" s="1"/>
  <c r="J127" i="93" s="1"/>
  <c r="Z127" i="93" s="1"/>
  <c r="J128" i="107" s="1"/>
  <c r="Z128" i="107" s="1"/>
  <c r="J129" i="108" s="1"/>
  <c r="Z129" i="108" s="1"/>
  <c r="J129" i="112" s="1"/>
  <c r="Z129" i="112" s="1"/>
  <c r="J131" i="113" s="1"/>
  <c r="Z131" i="113" s="1"/>
  <c r="J142" i="117" s="1"/>
  <c r="Z142" i="117" s="1"/>
  <c r="J140" i="121" s="1"/>
  <c r="Z140" i="121" s="1"/>
  <c r="J140" i="122" s="1"/>
  <c r="Z140" i="122" s="1"/>
  <c r="G121" i="81"/>
  <c r="W121" i="81" s="1"/>
  <c r="G119" i="82" s="1"/>
  <c r="W119" i="82" s="1"/>
  <c r="G124" i="90" s="1"/>
  <c r="W124" i="90" s="1"/>
  <c r="G124" i="93" s="1"/>
  <c r="W124" i="93" s="1"/>
  <c r="G125" i="107" s="1"/>
  <c r="W125" i="107" s="1"/>
  <c r="G126" i="108" s="1"/>
  <c r="W126" i="108" s="1"/>
  <c r="G126" i="112" s="1"/>
  <c r="W126" i="112" s="1"/>
  <c r="G128" i="113" s="1"/>
  <c r="W128" i="113" s="1"/>
  <c r="G139" i="117" s="1"/>
  <c r="W139" i="117" s="1"/>
  <c r="G137" i="121" s="1"/>
  <c r="W137" i="121" s="1"/>
  <c r="G137" i="122" s="1"/>
  <c r="W137" i="122" s="1"/>
  <c r="F121" i="81"/>
  <c r="V121" i="81" s="1"/>
  <c r="V119" i="82" s="1"/>
  <c r="F127" i="90" s="1"/>
  <c r="V127" i="90" s="1"/>
  <c r="F127" i="93" s="1"/>
  <c r="V127" i="93" s="1"/>
  <c r="F128" i="107" s="1"/>
  <c r="V128" i="107" s="1"/>
  <c r="F129" i="108" s="1"/>
  <c r="V129" i="108" s="1"/>
  <c r="F129" i="112" s="1"/>
  <c r="V129" i="112" s="1"/>
  <c r="F131" i="113" s="1"/>
  <c r="V131" i="113" s="1"/>
  <c r="F142" i="117" s="1"/>
  <c r="V142" i="117" s="1"/>
  <c r="F140" i="121" s="1"/>
  <c r="V140" i="121" s="1"/>
  <c r="F140" i="122" s="1"/>
  <c r="V140" i="122" s="1"/>
  <c r="X120" i="81"/>
  <c r="H118" i="82" s="1"/>
  <c r="X118" i="82" s="1"/>
  <c r="H126" i="90" s="1"/>
  <c r="X126" i="90" s="1"/>
  <c r="H126" i="93" s="1"/>
  <c r="X126" i="93" s="1"/>
  <c r="H127" i="107" s="1"/>
  <c r="X127" i="107" s="1"/>
  <c r="H128" i="108" s="1"/>
  <c r="X128" i="108" s="1"/>
  <c r="H128" i="112" s="1"/>
  <c r="X128" i="112" s="1"/>
  <c r="H130" i="113" s="1"/>
  <c r="X130" i="113" s="1"/>
  <c r="H141" i="117" s="1"/>
  <c r="X141" i="117" s="1"/>
  <c r="H139" i="121" s="1"/>
  <c r="X139" i="121" s="1"/>
  <c r="H139" i="122" s="1"/>
  <c r="X139" i="122" s="1"/>
  <c r="M120" i="81"/>
  <c r="L120" i="81"/>
  <c r="AB120" i="81" s="1"/>
  <c r="L118" i="82" s="1"/>
  <c r="AB118" i="82" s="1"/>
  <c r="L126" i="90" s="1"/>
  <c r="AB126" i="90" s="1"/>
  <c r="L126" i="93" s="1"/>
  <c r="AB126" i="93" s="1"/>
  <c r="L127" i="107" s="1"/>
  <c r="AB127" i="107" s="1"/>
  <c r="L128" i="108" s="1"/>
  <c r="K120" i="81"/>
  <c r="AA120" i="81" s="1"/>
  <c r="K118" i="82" s="1"/>
  <c r="AA118" i="82" s="1"/>
  <c r="K126" i="90" s="1"/>
  <c r="AA126" i="90" s="1"/>
  <c r="K126" i="93" s="1"/>
  <c r="AA126" i="93" s="1"/>
  <c r="K127" i="107" s="1"/>
  <c r="J120" i="81"/>
  <c r="Z120" i="81" s="1"/>
  <c r="J118" i="82" s="1"/>
  <c r="G120" i="81"/>
  <c r="W120" i="81" s="1"/>
  <c r="G118" i="82" s="1"/>
  <c r="W118" i="82" s="1"/>
  <c r="G123" i="90" s="1"/>
  <c r="W123" i="90" s="1"/>
  <c r="G123" i="93" s="1"/>
  <c r="W123" i="93" s="1"/>
  <c r="G124" i="107" s="1"/>
  <c r="W124" i="107" s="1"/>
  <c r="G125" i="108" s="1"/>
  <c r="W125" i="108" s="1"/>
  <c r="G125" i="112" s="1"/>
  <c r="W125" i="112" s="1"/>
  <c r="G127" i="113" s="1"/>
  <c r="W127" i="113" s="1"/>
  <c r="G138" i="117" s="1"/>
  <c r="W138" i="117" s="1"/>
  <c r="G136" i="121" s="1"/>
  <c r="W136" i="121" s="1"/>
  <c r="G136" i="122" s="1"/>
  <c r="W136" i="122" s="1"/>
  <c r="F120" i="81"/>
  <c r="V120" i="81" s="1"/>
  <c r="X119" i="81"/>
  <c r="H117" i="82" s="1"/>
  <c r="X117" i="82" s="1"/>
  <c r="H125" i="90" s="1"/>
  <c r="X125" i="90" s="1"/>
  <c r="H125" i="93" s="1"/>
  <c r="X125" i="93" s="1"/>
  <c r="H126" i="107" s="1"/>
  <c r="X126" i="107" s="1"/>
  <c r="H127" i="108" s="1"/>
  <c r="X127" i="108" s="1"/>
  <c r="H127" i="112" s="1"/>
  <c r="X127" i="112" s="1"/>
  <c r="H129" i="113" s="1"/>
  <c r="X129" i="113" s="1"/>
  <c r="H140" i="117" s="1"/>
  <c r="X140" i="117" s="1"/>
  <c r="H138" i="121" s="1"/>
  <c r="X138" i="121" s="1"/>
  <c r="H138" i="122" s="1"/>
  <c r="X138" i="122" s="1"/>
  <c r="M119" i="81"/>
  <c r="L119" i="81"/>
  <c r="AB119" i="81" s="1"/>
  <c r="L117" i="82" s="1"/>
  <c r="K119" i="81"/>
  <c r="AA119" i="81" s="1"/>
  <c r="K117" i="82" s="1"/>
  <c r="AA117" i="82" s="1"/>
  <c r="K125" i="90" s="1"/>
  <c r="AA125" i="90" s="1"/>
  <c r="K125" i="93" s="1"/>
  <c r="AA125" i="93" s="1"/>
  <c r="K126" i="107" s="1"/>
  <c r="J119" i="81"/>
  <c r="Z119" i="81" s="1"/>
  <c r="J117" i="82" s="1"/>
  <c r="Z117" i="82" s="1"/>
  <c r="J125" i="90" s="1"/>
  <c r="Z125" i="90" s="1"/>
  <c r="J125" i="93" s="1"/>
  <c r="Z125" i="93" s="1"/>
  <c r="J126" i="107" s="1"/>
  <c r="Z126" i="107" s="1"/>
  <c r="J127" i="108" s="1"/>
  <c r="Z127" i="108" s="1"/>
  <c r="J127" i="112" s="1"/>
  <c r="Z127" i="112" s="1"/>
  <c r="J129" i="113" s="1"/>
  <c r="Z129" i="113" s="1"/>
  <c r="J140" i="117" s="1"/>
  <c r="Z140" i="117" s="1"/>
  <c r="J138" i="121" s="1"/>
  <c r="Z138" i="121" s="1"/>
  <c r="J138" i="122" s="1"/>
  <c r="Z138" i="122" s="1"/>
  <c r="G119" i="81"/>
  <c r="W119" i="81" s="1"/>
  <c r="G117" i="82" s="1"/>
  <c r="W117" i="82" s="1"/>
  <c r="G122" i="90" s="1"/>
  <c r="W122" i="90" s="1"/>
  <c r="G122" i="93" s="1"/>
  <c r="W122" i="93" s="1"/>
  <c r="G123" i="107" s="1"/>
  <c r="W123" i="107" s="1"/>
  <c r="G124" i="108" s="1"/>
  <c r="W124" i="108" s="1"/>
  <c r="G124" i="112" s="1"/>
  <c r="W124" i="112" s="1"/>
  <c r="G126" i="113" s="1"/>
  <c r="W126" i="113" s="1"/>
  <c r="G137" i="117" s="1"/>
  <c r="W137" i="117" s="1"/>
  <c r="G135" i="121" s="1"/>
  <c r="W135" i="121" s="1"/>
  <c r="G135" i="122" s="1"/>
  <c r="W135" i="122" s="1"/>
  <c r="F119" i="81"/>
  <c r="V119" i="81" s="1"/>
  <c r="V117" i="82" s="1"/>
  <c r="F125" i="90" s="1"/>
  <c r="V125" i="90" s="1"/>
  <c r="F125" i="93" s="1"/>
  <c r="V125" i="93" s="1"/>
  <c r="F126" i="107" s="1"/>
  <c r="V126" i="107" s="1"/>
  <c r="F127" i="108" s="1"/>
  <c r="V127" i="108" s="1"/>
  <c r="F127" i="112" s="1"/>
  <c r="V127" i="112" s="1"/>
  <c r="F129" i="113" s="1"/>
  <c r="V129" i="113" s="1"/>
  <c r="F140" i="117" s="1"/>
  <c r="V140" i="117" s="1"/>
  <c r="F138" i="121" s="1"/>
  <c r="V138" i="121" s="1"/>
  <c r="F138" i="122" s="1"/>
  <c r="V138" i="122" s="1"/>
  <c r="X118" i="81"/>
  <c r="H116" i="82" s="1"/>
  <c r="X116" i="82" s="1"/>
  <c r="H124" i="90" s="1"/>
  <c r="X124" i="90" s="1"/>
  <c r="H124" i="93" s="1"/>
  <c r="X124" i="93" s="1"/>
  <c r="H125" i="107" s="1"/>
  <c r="X125" i="107" s="1"/>
  <c r="H126" i="108" s="1"/>
  <c r="X126" i="108" s="1"/>
  <c r="H126" i="112" s="1"/>
  <c r="X126" i="112" s="1"/>
  <c r="H128" i="113" s="1"/>
  <c r="X128" i="113" s="1"/>
  <c r="H139" i="117" s="1"/>
  <c r="X139" i="117" s="1"/>
  <c r="H137" i="121" s="1"/>
  <c r="X137" i="121" s="1"/>
  <c r="H137" i="122" s="1"/>
  <c r="X137" i="122" s="1"/>
  <c r="M118" i="81"/>
  <c r="L118" i="81"/>
  <c r="AB118" i="81" s="1"/>
  <c r="L116" i="82" s="1"/>
  <c r="AB116" i="82" s="1"/>
  <c r="L124" i="90" s="1"/>
  <c r="AB124" i="90" s="1"/>
  <c r="L124" i="93" s="1"/>
  <c r="AB124" i="93" s="1"/>
  <c r="L125" i="107" s="1"/>
  <c r="AB125" i="107" s="1"/>
  <c r="L126" i="108" s="1"/>
  <c r="K118" i="81"/>
  <c r="AA118" i="81" s="1"/>
  <c r="K116" i="82" s="1"/>
  <c r="AA116" i="82" s="1"/>
  <c r="K124" i="90" s="1"/>
  <c r="AA124" i="90" s="1"/>
  <c r="K124" i="93" s="1"/>
  <c r="AA124" i="93" s="1"/>
  <c r="K125" i="107" s="1"/>
  <c r="J118" i="81"/>
  <c r="Z118" i="81" s="1"/>
  <c r="J116" i="82" s="1"/>
  <c r="G118" i="81"/>
  <c r="W118" i="81" s="1"/>
  <c r="G116" i="82" s="1"/>
  <c r="W116" i="82" s="1"/>
  <c r="G121" i="90" s="1"/>
  <c r="W121" i="90" s="1"/>
  <c r="G121" i="93" s="1"/>
  <c r="W121" i="93" s="1"/>
  <c r="G122" i="107" s="1"/>
  <c r="W122" i="107" s="1"/>
  <c r="G123" i="108" s="1"/>
  <c r="W123" i="108" s="1"/>
  <c r="G123" i="112" s="1"/>
  <c r="W123" i="112" s="1"/>
  <c r="G125" i="113" s="1"/>
  <c r="W125" i="113" s="1"/>
  <c r="G136" i="117" s="1"/>
  <c r="W136" i="117" s="1"/>
  <c r="G134" i="121" s="1"/>
  <c r="W134" i="121" s="1"/>
  <c r="G134" i="122" s="1"/>
  <c r="W134" i="122" s="1"/>
  <c r="F118" i="81"/>
  <c r="V118" i="81" s="1"/>
  <c r="V116" i="82" s="1"/>
  <c r="F124" i="90" s="1"/>
  <c r="V124" i="90" s="1"/>
  <c r="F124" i="93" s="1"/>
  <c r="V124" i="93" s="1"/>
  <c r="F125" i="107" s="1"/>
  <c r="V125" i="107" s="1"/>
  <c r="F126" i="108" s="1"/>
  <c r="V126" i="108" s="1"/>
  <c r="F126" i="112" s="1"/>
  <c r="V126" i="112" s="1"/>
  <c r="F128" i="113" s="1"/>
  <c r="V128" i="113" s="1"/>
  <c r="F139" i="117" s="1"/>
  <c r="V139" i="117" s="1"/>
  <c r="F137" i="121" s="1"/>
  <c r="V137" i="121" s="1"/>
  <c r="F137" i="122" s="1"/>
  <c r="V137" i="122" s="1"/>
  <c r="X117" i="81"/>
  <c r="H115" i="82" s="1"/>
  <c r="X115" i="82" s="1"/>
  <c r="H123" i="90" s="1"/>
  <c r="X123" i="90" s="1"/>
  <c r="H123" i="93" s="1"/>
  <c r="X123" i="93" s="1"/>
  <c r="H124" i="107" s="1"/>
  <c r="X124" i="107" s="1"/>
  <c r="H125" i="108" s="1"/>
  <c r="X125" i="108" s="1"/>
  <c r="H125" i="112" s="1"/>
  <c r="X125" i="112" s="1"/>
  <c r="H127" i="113" s="1"/>
  <c r="X127" i="113" s="1"/>
  <c r="H138" i="117" s="1"/>
  <c r="X138" i="117" s="1"/>
  <c r="H136" i="121" s="1"/>
  <c r="X136" i="121" s="1"/>
  <c r="H136" i="122" s="1"/>
  <c r="X136" i="122" s="1"/>
  <c r="M117" i="81"/>
  <c r="L117" i="81"/>
  <c r="AB117" i="81" s="1"/>
  <c r="L115" i="82" s="1"/>
  <c r="K117" i="81"/>
  <c r="AA117" i="81" s="1"/>
  <c r="K115" i="82" s="1"/>
  <c r="AA115" i="82" s="1"/>
  <c r="K123" i="90" s="1"/>
  <c r="AA123" i="90" s="1"/>
  <c r="K123" i="93" s="1"/>
  <c r="AA123" i="93" s="1"/>
  <c r="K124" i="107" s="1"/>
  <c r="J117" i="81"/>
  <c r="Z117" i="81" s="1"/>
  <c r="J115" i="82" s="1"/>
  <c r="Z115" i="82" s="1"/>
  <c r="J123" i="90" s="1"/>
  <c r="Z123" i="90" s="1"/>
  <c r="J123" i="93" s="1"/>
  <c r="Z123" i="93" s="1"/>
  <c r="J124" i="107" s="1"/>
  <c r="Z124" i="107" s="1"/>
  <c r="J125" i="108" s="1"/>
  <c r="Z125" i="108" s="1"/>
  <c r="J125" i="112" s="1"/>
  <c r="Z125" i="112" s="1"/>
  <c r="J127" i="113" s="1"/>
  <c r="Z127" i="113" s="1"/>
  <c r="J138" i="117" s="1"/>
  <c r="Z138" i="117" s="1"/>
  <c r="J136" i="121" s="1"/>
  <c r="Z136" i="121" s="1"/>
  <c r="J136" i="122" s="1"/>
  <c r="Z136" i="122" s="1"/>
  <c r="G117" i="81"/>
  <c r="W117" i="81" s="1"/>
  <c r="G115" i="82" s="1"/>
  <c r="W115" i="82" s="1"/>
  <c r="F117" i="81"/>
  <c r="V117" i="81" s="1"/>
  <c r="X116" i="81"/>
  <c r="H114" i="82" s="1"/>
  <c r="X114" i="82" s="1"/>
  <c r="H122" i="90" s="1"/>
  <c r="X122" i="90" s="1"/>
  <c r="H122" i="93" s="1"/>
  <c r="X122" i="93" s="1"/>
  <c r="H123" i="107" s="1"/>
  <c r="X123" i="107" s="1"/>
  <c r="H124" i="108" s="1"/>
  <c r="X124" i="108" s="1"/>
  <c r="H124" i="112" s="1"/>
  <c r="X124" i="112" s="1"/>
  <c r="H126" i="113" s="1"/>
  <c r="X126" i="113" s="1"/>
  <c r="H137" i="117" s="1"/>
  <c r="X137" i="117" s="1"/>
  <c r="H135" i="121" s="1"/>
  <c r="X135" i="121" s="1"/>
  <c r="H135" i="122" s="1"/>
  <c r="X135" i="122" s="1"/>
  <c r="M116" i="81"/>
  <c r="L116" i="81"/>
  <c r="AB116" i="81" s="1"/>
  <c r="L114" i="82" s="1"/>
  <c r="AB114" i="82" s="1"/>
  <c r="L122" i="90" s="1"/>
  <c r="AB122" i="90" s="1"/>
  <c r="L122" i="93" s="1"/>
  <c r="AB122" i="93" s="1"/>
  <c r="L123" i="107" s="1"/>
  <c r="AB123" i="107" s="1"/>
  <c r="L124" i="108" s="1"/>
  <c r="K116" i="81"/>
  <c r="J116" i="81"/>
  <c r="Z116" i="81" s="1"/>
  <c r="J114" i="82" s="1"/>
  <c r="Z114" i="82" s="1"/>
  <c r="J122" i="90" s="1"/>
  <c r="Z122" i="90" s="1"/>
  <c r="J122" i="93" s="1"/>
  <c r="Z122" i="93" s="1"/>
  <c r="J123" i="107" s="1"/>
  <c r="Z123" i="107" s="1"/>
  <c r="J124" i="108" s="1"/>
  <c r="Z124" i="108" s="1"/>
  <c r="J124" i="112" s="1"/>
  <c r="Z124" i="112" s="1"/>
  <c r="J126" i="113" s="1"/>
  <c r="Z126" i="113" s="1"/>
  <c r="J137" i="117" s="1"/>
  <c r="Z137" i="117" s="1"/>
  <c r="J135" i="121" s="1"/>
  <c r="Z135" i="121" s="1"/>
  <c r="J135" i="122" s="1"/>
  <c r="Z135" i="122" s="1"/>
  <c r="G116" i="81"/>
  <c r="W116" i="81" s="1"/>
  <c r="G114" i="82" s="1"/>
  <c r="W114" i="82" s="1"/>
  <c r="G116" i="90" s="1"/>
  <c r="W116" i="90" s="1"/>
  <c r="G116" i="93" s="1"/>
  <c r="W116" i="93" s="1"/>
  <c r="G117" i="107" s="1"/>
  <c r="W117" i="107" s="1"/>
  <c r="G118" i="108" s="1"/>
  <c r="W118" i="108" s="1"/>
  <c r="G118" i="112" s="1"/>
  <c r="W118" i="112" s="1"/>
  <c r="G118" i="113" s="1"/>
  <c r="W118" i="113" s="1"/>
  <c r="G128" i="117" s="1"/>
  <c r="W128" i="117" s="1"/>
  <c r="G126" i="121" s="1"/>
  <c r="W126" i="121" s="1"/>
  <c r="G126" i="122" s="1"/>
  <c r="W126" i="122" s="1"/>
  <c r="F116" i="81"/>
  <c r="V116" i="81" s="1"/>
  <c r="V114" i="82" s="1"/>
  <c r="F122" i="90" s="1"/>
  <c r="V122" i="90" s="1"/>
  <c r="F122" i="93" s="1"/>
  <c r="V122" i="93" s="1"/>
  <c r="F123" i="107" s="1"/>
  <c r="V123" i="107" s="1"/>
  <c r="F124" i="108" s="1"/>
  <c r="V124" i="108" s="1"/>
  <c r="F124" i="112" s="1"/>
  <c r="V124" i="112" s="1"/>
  <c r="F126" i="113" s="1"/>
  <c r="V126" i="113" s="1"/>
  <c r="F137" i="117" s="1"/>
  <c r="V137" i="117" s="1"/>
  <c r="F135" i="121" s="1"/>
  <c r="V135" i="121" s="1"/>
  <c r="F135" i="122" s="1"/>
  <c r="V135" i="122" s="1"/>
  <c r="AA115" i="81"/>
  <c r="K113" i="82" s="1"/>
  <c r="AA113" i="82" s="1"/>
  <c r="K121" i="90" s="1"/>
  <c r="AA121" i="90" s="1"/>
  <c r="K121" i="93" s="1"/>
  <c r="AA121" i="93" s="1"/>
  <c r="K122" i="107" s="1"/>
  <c r="X115" i="81"/>
  <c r="M115" i="81"/>
  <c r="L115" i="81"/>
  <c r="AB115" i="81" s="1"/>
  <c r="L113" i="82" s="1"/>
  <c r="AB113" i="82" s="1"/>
  <c r="L121" i="90" s="1"/>
  <c r="AB121" i="90" s="1"/>
  <c r="L121" i="93" s="1"/>
  <c r="AB121" i="93" s="1"/>
  <c r="L122" i="107" s="1"/>
  <c r="AB122" i="107" s="1"/>
  <c r="L123" i="108" s="1"/>
  <c r="J115" i="81"/>
  <c r="G115" i="81"/>
  <c r="W115" i="81" s="1"/>
  <c r="G113" i="82" s="1"/>
  <c r="W113" i="82" s="1"/>
  <c r="G115" i="90" s="1"/>
  <c r="F115" i="81"/>
  <c r="V115" i="81" s="1"/>
  <c r="V113" i="82" s="1"/>
  <c r="F121" i="90" s="1"/>
  <c r="V121" i="90" s="1"/>
  <c r="F121" i="93" s="1"/>
  <c r="V121" i="93" s="1"/>
  <c r="F122" i="107" s="1"/>
  <c r="V122" i="107" s="1"/>
  <c r="F123" i="108" s="1"/>
  <c r="V123" i="108" s="1"/>
  <c r="F123" i="112" s="1"/>
  <c r="V123" i="112" s="1"/>
  <c r="F125" i="113" s="1"/>
  <c r="V125" i="113" s="1"/>
  <c r="F136" i="117" s="1"/>
  <c r="V136" i="117" s="1"/>
  <c r="F134" i="121" s="1"/>
  <c r="V134" i="121" s="1"/>
  <c r="F134" i="122" s="1"/>
  <c r="V134" i="122" s="1"/>
  <c r="T114" i="81"/>
  <c r="S114" i="81"/>
  <c r="R114" i="81"/>
  <c r="P114" i="81"/>
  <c r="O114" i="81"/>
  <c r="N114" i="81"/>
  <c r="N136" i="81" s="1"/>
  <c r="X113" i="81"/>
  <c r="H111" i="82" s="1"/>
  <c r="X111" i="82" s="1"/>
  <c r="H116" i="90" s="1"/>
  <c r="X116" i="90" s="1"/>
  <c r="H116" i="93" s="1"/>
  <c r="X116" i="93" s="1"/>
  <c r="H117" i="107" s="1"/>
  <c r="X117" i="107" s="1"/>
  <c r="H118" i="108" s="1"/>
  <c r="X118" i="108" s="1"/>
  <c r="H118" i="112" s="1"/>
  <c r="X118" i="112" s="1"/>
  <c r="H118" i="113" s="1"/>
  <c r="X118" i="113" s="1"/>
  <c r="H128" i="117" s="1"/>
  <c r="X128" i="117" s="1"/>
  <c r="H126" i="121" s="1"/>
  <c r="X126" i="121" s="1"/>
  <c r="H126" i="122" s="1"/>
  <c r="X126" i="122" s="1"/>
  <c r="M113" i="81"/>
  <c r="L113" i="81"/>
  <c r="K113" i="81"/>
  <c r="AA113" i="81" s="1"/>
  <c r="K111" i="82" s="1"/>
  <c r="AA111" i="82" s="1"/>
  <c r="K116" i="90" s="1"/>
  <c r="AA116" i="90" s="1"/>
  <c r="K116" i="93" s="1"/>
  <c r="AA116" i="93" s="1"/>
  <c r="K117" i="107" s="1"/>
  <c r="AA117" i="107" s="1"/>
  <c r="K118" i="108" s="1"/>
  <c r="AA118" i="108" s="1"/>
  <c r="K118" i="112" s="1"/>
  <c r="AA118" i="112" s="1"/>
  <c r="K118" i="113" s="1"/>
  <c r="AA118" i="113" s="1"/>
  <c r="K128" i="117" s="1"/>
  <c r="AA128" i="117" s="1"/>
  <c r="K126" i="121" s="1"/>
  <c r="AA126" i="121" s="1"/>
  <c r="K126" i="122" s="1"/>
  <c r="AA126" i="122" s="1"/>
  <c r="J113" i="81"/>
  <c r="Z113" i="81" s="1"/>
  <c r="J111" i="82" s="1"/>
  <c r="Z111" i="82" s="1"/>
  <c r="J116" i="90" s="1"/>
  <c r="Z116" i="90" s="1"/>
  <c r="J116" i="93" s="1"/>
  <c r="Z116" i="93" s="1"/>
  <c r="J117" i="107" s="1"/>
  <c r="Z117" i="107" s="1"/>
  <c r="J118" i="108" s="1"/>
  <c r="Z118" i="108" s="1"/>
  <c r="J118" i="112" s="1"/>
  <c r="Z118" i="112" s="1"/>
  <c r="J118" i="113" s="1"/>
  <c r="Z118" i="113" s="1"/>
  <c r="J128" i="117" s="1"/>
  <c r="Z128" i="117" s="1"/>
  <c r="J126" i="121" s="1"/>
  <c r="Z126" i="121" s="1"/>
  <c r="J126" i="122" s="1"/>
  <c r="Z126" i="122" s="1"/>
  <c r="G113" i="81"/>
  <c r="W113" i="81" s="1"/>
  <c r="G111" i="82" s="1"/>
  <c r="W111" i="82" s="1"/>
  <c r="G113" i="90" s="1"/>
  <c r="W113" i="90" s="1"/>
  <c r="G113" i="93" s="1"/>
  <c r="W113" i="93" s="1"/>
  <c r="G114" i="107" s="1"/>
  <c r="W114" i="107" s="1"/>
  <c r="G115" i="108" s="1"/>
  <c r="W115" i="108" s="1"/>
  <c r="G115" i="112" s="1"/>
  <c r="W115" i="112" s="1"/>
  <c r="G115" i="113" s="1"/>
  <c r="W115" i="113" s="1"/>
  <c r="G125" i="117" s="1"/>
  <c r="W125" i="117" s="1"/>
  <c r="G123" i="121" s="1"/>
  <c r="W123" i="121" s="1"/>
  <c r="G123" i="122" s="1"/>
  <c r="W123" i="122" s="1"/>
  <c r="F113" i="81"/>
  <c r="V113" i="81" s="1"/>
  <c r="V111" i="82" s="1"/>
  <c r="F116" i="90" s="1"/>
  <c r="V116" i="90" s="1"/>
  <c r="F116" i="93" s="1"/>
  <c r="V116" i="93" s="1"/>
  <c r="F117" i="107" s="1"/>
  <c r="V117" i="107" s="1"/>
  <c r="F118" i="108" s="1"/>
  <c r="V118" i="108" s="1"/>
  <c r="F118" i="112" s="1"/>
  <c r="V118" i="112" s="1"/>
  <c r="F118" i="113" s="1"/>
  <c r="V118" i="113" s="1"/>
  <c r="F128" i="117" s="1"/>
  <c r="V128" i="117" s="1"/>
  <c r="F126" i="121" s="1"/>
  <c r="V126" i="121" s="1"/>
  <c r="F126" i="122" s="1"/>
  <c r="V126" i="122" s="1"/>
  <c r="AA112" i="81"/>
  <c r="K110" i="82" s="1"/>
  <c r="X112" i="81"/>
  <c r="H110" i="82" s="1"/>
  <c r="X110" i="82" s="1"/>
  <c r="H115" i="90" s="1"/>
  <c r="X115" i="90" s="1"/>
  <c r="H115" i="93" s="1"/>
  <c r="X115" i="93" s="1"/>
  <c r="H116" i="107" s="1"/>
  <c r="X116" i="107" s="1"/>
  <c r="H117" i="108" s="1"/>
  <c r="X117" i="108" s="1"/>
  <c r="H117" i="112" s="1"/>
  <c r="X117" i="112" s="1"/>
  <c r="H117" i="113" s="1"/>
  <c r="X117" i="113" s="1"/>
  <c r="H127" i="117" s="1"/>
  <c r="X127" i="117" s="1"/>
  <c r="H125" i="121" s="1"/>
  <c r="X125" i="121" s="1"/>
  <c r="H125" i="122" s="1"/>
  <c r="X125" i="122" s="1"/>
  <c r="M112" i="81"/>
  <c r="L112" i="81"/>
  <c r="K112" i="81"/>
  <c r="J112" i="81"/>
  <c r="G112" i="81"/>
  <c r="F112" i="81"/>
  <c r="X111" i="81"/>
  <c r="H109" i="82" s="1"/>
  <c r="X109" i="82" s="1"/>
  <c r="H114" i="90" s="1"/>
  <c r="X114" i="90" s="1"/>
  <c r="H114" i="93" s="1"/>
  <c r="X114" i="93" s="1"/>
  <c r="H115" i="107" s="1"/>
  <c r="X115" i="107" s="1"/>
  <c r="H116" i="108" s="1"/>
  <c r="X116" i="108" s="1"/>
  <c r="H116" i="112" s="1"/>
  <c r="X116" i="112" s="1"/>
  <c r="H116" i="113" s="1"/>
  <c r="X116" i="113" s="1"/>
  <c r="H126" i="117" s="1"/>
  <c r="X126" i="117" s="1"/>
  <c r="H124" i="121" s="1"/>
  <c r="X124" i="121" s="1"/>
  <c r="H124" i="122" s="1"/>
  <c r="X124" i="122" s="1"/>
  <c r="M111" i="81"/>
  <c r="L111" i="81"/>
  <c r="K111" i="81"/>
  <c r="AA111" i="81" s="1"/>
  <c r="K109" i="82" s="1"/>
  <c r="AA109" i="82" s="1"/>
  <c r="K114" i="90" s="1"/>
  <c r="AA114" i="90" s="1"/>
  <c r="K114" i="93" s="1"/>
  <c r="AA114" i="93" s="1"/>
  <c r="K115" i="107" s="1"/>
  <c r="AA115" i="107" s="1"/>
  <c r="K116" i="108" s="1"/>
  <c r="AA116" i="108" s="1"/>
  <c r="K116" i="112" s="1"/>
  <c r="AA116" i="112" s="1"/>
  <c r="K116" i="113" s="1"/>
  <c r="AA116" i="113" s="1"/>
  <c r="K126" i="117" s="1"/>
  <c r="J111" i="81"/>
  <c r="Z111" i="81" s="1"/>
  <c r="J109" i="82" s="1"/>
  <c r="G111" i="81"/>
  <c r="W111" i="81" s="1"/>
  <c r="G109" i="82" s="1"/>
  <c r="W109" i="82" s="1"/>
  <c r="G111" i="90" s="1"/>
  <c r="W111" i="90" s="1"/>
  <c r="G111" i="93" s="1"/>
  <c r="W111" i="93" s="1"/>
  <c r="G112" i="107" s="1"/>
  <c r="W112" i="107" s="1"/>
  <c r="G113" i="108" s="1"/>
  <c r="W113" i="108" s="1"/>
  <c r="G113" i="112" s="1"/>
  <c r="W113" i="112" s="1"/>
  <c r="G113" i="113" s="1"/>
  <c r="W113" i="113" s="1"/>
  <c r="G123" i="117" s="1"/>
  <c r="W123" i="117" s="1"/>
  <c r="G121" i="121" s="1"/>
  <c r="W121" i="121" s="1"/>
  <c r="G121" i="122" s="1"/>
  <c r="W121" i="122" s="1"/>
  <c r="F111" i="81"/>
  <c r="V111" i="81" s="1"/>
  <c r="V109" i="82" s="1"/>
  <c r="F114" i="90" s="1"/>
  <c r="V114" i="90" s="1"/>
  <c r="F114" i="93" s="1"/>
  <c r="V114" i="93" s="1"/>
  <c r="F115" i="107" s="1"/>
  <c r="V115" i="107" s="1"/>
  <c r="F116" i="108" s="1"/>
  <c r="V116" i="108" s="1"/>
  <c r="F116" i="112" s="1"/>
  <c r="V116" i="112" s="1"/>
  <c r="F116" i="113" s="1"/>
  <c r="V116" i="113" s="1"/>
  <c r="F126" i="117" s="1"/>
  <c r="V126" i="117" s="1"/>
  <c r="F124" i="121" s="1"/>
  <c r="V124" i="121" s="1"/>
  <c r="F124" i="122" s="1"/>
  <c r="V124" i="122" s="1"/>
  <c r="X110" i="81"/>
  <c r="H108" i="82" s="1"/>
  <c r="X108" i="82" s="1"/>
  <c r="H113" i="90" s="1"/>
  <c r="X113" i="90" s="1"/>
  <c r="H113" i="93" s="1"/>
  <c r="X113" i="93" s="1"/>
  <c r="H114" i="107" s="1"/>
  <c r="X114" i="107" s="1"/>
  <c r="H115" i="108" s="1"/>
  <c r="X115" i="108" s="1"/>
  <c r="H115" i="112" s="1"/>
  <c r="X115" i="112" s="1"/>
  <c r="H115" i="113" s="1"/>
  <c r="X115" i="113" s="1"/>
  <c r="H125" i="117" s="1"/>
  <c r="X125" i="117" s="1"/>
  <c r="H123" i="121" s="1"/>
  <c r="X123" i="121" s="1"/>
  <c r="H123" i="122" s="1"/>
  <c r="X123" i="122" s="1"/>
  <c r="M110" i="81"/>
  <c r="L110" i="81"/>
  <c r="AB110" i="81" s="1"/>
  <c r="L108" i="82" s="1"/>
  <c r="AB108" i="82" s="1"/>
  <c r="L113" i="90" s="1"/>
  <c r="AB113" i="90" s="1"/>
  <c r="L113" i="93" s="1"/>
  <c r="AB113" i="93" s="1"/>
  <c r="L114" i="107" s="1"/>
  <c r="AB114" i="107" s="1"/>
  <c r="L115" i="108" s="1"/>
  <c r="K110" i="81"/>
  <c r="AA110" i="81" s="1"/>
  <c r="K108" i="82" s="1"/>
  <c r="AA108" i="82" s="1"/>
  <c r="K113" i="90" s="1"/>
  <c r="AA113" i="90" s="1"/>
  <c r="K113" i="93" s="1"/>
  <c r="AA113" i="93" s="1"/>
  <c r="K114" i="107" s="1"/>
  <c r="AA114" i="107" s="1"/>
  <c r="K115" i="108" s="1"/>
  <c r="AA115" i="108" s="1"/>
  <c r="K115" i="112" s="1"/>
  <c r="AA115" i="112" s="1"/>
  <c r="K115" i="113" s="1"/>
  <c r="AA115" i="113" s="1"/>
  <c r="K125" i="117" s="1"/>
  <c r="AA125" i="117" s="1"/>
  <c r="K123" i="121" s="1"/>
  <c r="AA123" i="121" s="1"/>
  <c r="K123" i="122" s="1"/>
  <c r="AA123" i="122" s="1"/>
  <c r="J110" i="81"/>
  <c r="Z110" i="81" s="1"/>
  <c r="G110" i="81"/>
  <c r="W110" i="81" s="1"/>
  <c r="G108" i="82" s="1"/>
  <c r="W108" i="82" s="1"/>
  <c r="G110" i="90" s="1"/>
  <c r="W110" i="90" s="1"/>
  <c r="G110" i="93" s="1"/>
  <c r="W110" i="93" s="1"/>
  <c r="G111" i="107" s="1"/>
  <c r="W111" i="107" s="1"/>
  <c r="G112" i="108" s="1"/>
  <c r="W112" i="108" s="1"/>
  <c r="G112" i="112" s="1"/>
  <c r="W112" i="112" s="1"/>
  <c r="G112" i="113" s="1"/>
  <c r="W112" i="113" s="1"/>
  <c r="G122" i="117" s="1"/>
  <c r="W122" i="117" s="1"/>
  <c r="G120" i="121" s="1"/>
  <c r="W120" i="121" s="1"/>
  <c r="G120" i="122" s="1"/>
  <c r="W120" i="122" s="1"/>
  <c r="F110" i="81"/>
  <c r="V110" i="81" s="1"/>
  <c r="V108" i="82" s="1"/>
  <c r="F113" i="90" s="1"/>
  <c r="V113" i="90" s="1"/>
  <c r="F113" i="93" s="1"/>
  <c r="V113" i="93" s="1"/>
  <c r="F114" i="107" s="1"/>
  <c r="V114" i="107" s="1"/>
  <c r="F115" i="108" s="1"/>
  <c r="V115" i="108" s="1"/>
  <c r="F115" i="112" s="1"/>
  <c r="V115" i="112" s="1"/>
  <c r="F115" i="113" s="1"/>
  <c r="V115" i="113" s="1"/>
  <c r="F125" i="117" s="1"/>
  <c r="V125" i="117" s="1"/>
  <c r="F123" i="121" s="1"/>
  <c r="V123" i="121" s="1"/>
  <c r="F123" i="122" s="1"/>
  <c r="V123" i="122" s="1"/>
  <c r="X109" i="81"/>
  <c r="H107" i="82" s="1"/>
  <c r="X107" i="82" s="1"/>
  <c r="H112" i="90" s="1"/>
  <c r="X112" i="90" s="1"/>
  <c r="H112" i="93" s="1"/>
  <c r="X112" i="93" s="1"/>
  <c r="H113" i="107" s="1"/>
  <c r="X113" i="107" s="1"/>
  <c r="H114" i="108" s="1"/>
  <c r="X114" i="108" s="1"/>
  <c r="H114" i="112" s="1"/>
  <c r="X114" i="112" s="1"/>
  <c r="H114" i="113" s="1"/>
  <c r="X114" i="113" s="1"/>
  <c r="H124" i="117" s="1"/>
  <c r="X124" i="117" s="1"/>
  <c r="H122" i="121" s="1"/>
  <c r="X122" i="121" s="1"/>
  <c r="H122" i="122" s="1"/>
  <c r="X122" i="122" s="1"/>
  <c r="M109" i="81"/>
  <c r="L109" i="81"/>
  <c r="K109" i="81"/>
  <c r="AA109" i="81" s="1"/>
  <c r="K107" i="82" s="1"/>
  <c r="AA107" i="82" s="1"/>
  <c r="K112" i="90" s="1"/>
  <c r="AA112" i="90" s="1"/>
  <c r="K112" i="93" s="1"/>
  <c r="AA112" i="93" s="1"/>
  <c r="K113" i="107" s="1"/>
  <c r="AA113" i="107" s="1"/>
  <c r="K114" i="108" s="1"/>
  <c r="AA114" i="108" s="1"/>
  <c r="K114" i="112" s="1"/>
  <c r="AA114" i="112" s="1"/>
  <c r="K114" i="113" s="1"/>
  <c r="AA114" i="113" s="1"/>
  <c r="K124" i="117" s="1"/>
  <c r="AA124" i="117" s="1"/>
  <c r="K122" i="121" s="1"/>
  <c r="AA122" i="121" s="1"/>
  <c r="K122" i="122" s="1"/>
  <c r="AA122" i="122" s="1"/>
  <c r="J109" i="81"/>
  <c r="Z109" i="81" s="1"/>
  <c r="J107" i="82" s="1"/>
  <c r="Z107" i="82" s="1"/>
  <c r="J112" i="90" s="1"/>
  <c r="Z112" i="90" s="1"/>
  <c r="J112" i="93" s="1"/>
  <c r="Z112" i="93" s="1"/>
  <c r="J113" i="107" s="1"/>
  <c r="Z113" i="107" s="1"/>
  <c r="J114" i="108" s="1"/>
  <c r="Z114" i="108" s="1"/>
  <c r="J114" i="112" s="1"/>
  <c r="Z114" i="112" s="1"/>
  <c r="J114" i="113" s="1"/>
  <c r="Z114" i="113" s="1"/>
  <c r="J124" i="117" s="1"/>
  <c r="Z124" i="117" s="1"/>
  <c r="J122" i="121" s="1"/>
  <c r="Z122" i="121" s="1"/>
  <c r="J122" i="122" s="1"/>
  <c r="Z122" i="122" s="1"/>
  <c r="G109" i="81"/>
  <c r="W109" i="81" s="1"/>
  <c r="G107" i="82" s="1"/>
  <c r="W107" i="82" s="1"/>
  <c r="G109" i="90" s="1"/>
  <c r="W109" i="90" s="1"/>
  <c r="G109" i="93" s="1"/>
  <c r="W109" i="93" s="1"/>
  <c r="G110" i="107" s="1"/>
  <c r="W110" i="107" s="1"/>
  <c r="G111" i="108" s="1"/>
  <c r="W111" i="108" s="1"/>
  <c r="G111" i="112" s="1"/>
  <c r="W111" i="112" s="1"/>
  <c r="G111" i="113" s="1"/>
  <c r="W111" i="113" s="1"/>
  <c r="G121" i="117" s="1"/>
  <c r="W121" i="117" s="1"/>
  <c r="G119" i="121" s="1"/>
  <c r="W119" i="121" s="1"/>
  <c r="G119" i="122" s="1"/>
  <c r="W119" i="122" s="1"/>
  <c r="F109" i="81"/>
  <c r="V109" i="81" s="1"/>
  <c r="V107" i="82" s="1"/>
  <c r="F112" i="90" s="1"/>
  <c r="V112" i="90" s="1"/>
  <c r="F112" i="93" s="1"/>
  <c r="V112" i="93" s="1"/>
  <c r="F113" i="107" s="1"/>
  <c r="V113" i="107" s="1"/>
  <c r="F114" i="108" s="1"/>
  <c r="V114" i="108" s="1"/>
  <c r="F114" i="112" s="1"/>
  <c r="V114" i="112" s="1"/>
  <c r="F114" i="113" s="1"/>
  <c r="V114" i="113" s="1"/>
  <c r="F124" i="117" s="1"/>
  <c r="V124" i="117" s="1"/>
  <c r="F122" i="121" s="1"/>
  <c r="V122" i="121" s="1"/>
  <c r="F122" i="122" s="1"/>
  <c r="V122" i="122" s="1"/>
  <c r="X108" i="81"/>
  <c r="M108" i="81"/>
  <c r="L108" i="81"/>
  <c r="AB108" i="81" s="1"/>
  <c r="K108" i="81"/>
  <c r="AA108" i="81" s="1"/>
  <c r="J108" i="81"/>
  <c r="G108" i="81"/>
  <c r="W108" i="81" s="1"/>
  <c r="F108" i="81"/>
  <c r="V108" i="81" s="1"/>
  <c r="X107" i="81"/>
  <c r="H106" i="82" s="1"/>
  <c r="X106" i="82" s="1"/>
  <c r="H111" i="90" s="1"/>
  <c r="X111" i="90" s="1"/>
  <c r="H111" i="93" s="1"/>
  <c r="X111" i="93" s="1"/>
  <c r="H112" i="107" s="1"/>
  <c r="X112" i="107" s="1"/>
  <c r="H113" i="108" s="1"/>
  <c r="X113" i="108" s="1"/>
  <c r="H113" i="112" s="1"/>
  <c r="X113" i="112" s="1"/>
  <c r="H113" i="113" s="1"/>
  <c r="X113" i="113" s="1"/>
  <c r="H123" i="117" s="1"/>
  <c r="X123" i="117" s="1"/>
  <c r="H121" i="121" s="1"/>
  <c r="X121" i="121" s="1"/>
  <c r="H121" i="122" s="1"/>
  <c r="X121" i="122" s="1"/>
  <c r="M107" i="81"/>
  <c r="L107" i="81"/>
  <c r="K107" i="81"/>
  <c r="AA107" i="81" s="1"/>
  <c r="K106" i="82" s="1"/>
  <c r="AA106" i="82" s="1"/>
  <c r="K111" i="90" s="1"/>
  <c r="AA111" i="90" s="1"/>
  <c r="K111" i="93" s="1"/>
  <c r="AA111" i="93" s="1"/>
  <c r="K112" i="107" s="1"/>
  <c r="AA112" i="107" s="1"/>
  <c r="K113" i="108" s="1"/>
  <c r="AA113" i="108" s="1"/>
  <c r="K113" i="112" s="1"/>
  <c r="AA113" i="112" s="1"/>
  <c r="K113" i="113" s="1"/>
  <c r="AA113" i="113" s="1"/>
  <c r="K123" i="117" s="1"/>
  <c r="AA123" i="117" s="1"/>
  <c r="K121" i="121" s="1"/>
  <c r="AA121" i="121" s="1"/>
  <c r="K121" i="122" s="1"/>
  <c r="AA121" i="122" s="1"/>
  <c r="J107" i="81"/>
  <c r="Z107" i="81" s="1"/>
  <c r="J106" i="82" s="1"/>
  <c r="Z106" i="82" s="1"/>
  <c r="J111" i="90" s="1"/>
  <c r="Z111" i="90" s="1"/>
  <c r="J111" i="93" s="1"/>
  <c r="Z111" i="93" s="1"/>
  <c r="J112" i="107" s="1"/>
  <c r="Z112" i="107" s="1"/>
  <c r="J113" i="108" s="1"/>
  <c r="Z113" i="108" s="1"/>
  <c r="J113" i="112" s="1"/>
  <c r="Z113" i="112" s="1"/>
  <c r="J113" i="113" s="1"/>
  <c r="Z113" i="113" s="1"/>
  <c r="J123" i="117" s="1"/>
  <c r="Z123" i="117" s="1"/>
  <c r="J121" i="121" s="1"/>
  <c r="Z121" i="121" s="1"/>
  <c r="J121" i="122" s="1"/>
  <c r="Z121" i="122" s="1"/>
  <c r="G107" i="81"/>
  <c r="W107" i="81" s="1"/>
  <c r="G106" i="82" s="1"/>
  <c r="W106" i="82" s="1"/>
  <c r="G108" i="90" s="1"/>
  <c r="W108" i="90" s="1"/>
  <c r="G108" i="93" s="1"/>
  <c r="W108" i="93" s="1"/>
  <c r="G109" i="107" s="1"/>
  <c r="W109" i="107" s="1"/>
  <c r="G110" i="108" s="1"/>
  <c r="W110" i="108" s="1"/>
  <c r="G110" i="112" s="1"/>
  <c r="W110" i="112" s="1"/>
  <c r="G110" i="113" s="1"/>
  <c r="W110" i="113" s="1"/>
  <c r="G120" i="117" s="1"/>
  <c r="W120" i="117" s="1"/>
  <c r="G118" i="121" s="1"/>
  <c r="W118" i="121" s="1"/>
  <c r="G118" i="122" s="1"/>
  <c r="W118" i="122" s="1"/>
  <c r="F107" i="81"/>
  <c r="V107" i="81" s="1"/>
  <c r="V106" i="82" s="1"/>
  <c r="F111" i="90" s="1"/>
  <c r="V111" i="90" s="1"/>
  <c r="F111" i="93" s="1"/>
  <c r="V111" i="93" s="1"/>
  <c r="F112" i="107" s="1"/>
  <c r="V112" i="107" s="1"/>
  <c r="F113" i="108" s="1"/>
  <c r="V113" i="108" s="1"/>
  <c r="F113" i="112" s="1"/>
  <c r="V113" i="112" s="1"/>
  <c r="F113" i="113" s="1"/>
  <c r="V113" i="113" s="1"/>
  <c r="F123" i="117" s="1"/>
  <c r="V123" i="117" s="1"/>
  <c r="F121" i="121" s="1"/>
  <c r="V121" i="121" s="1"/>
  <c r="F121" i="122" s="1"/>
  <c r="V121" i="122" s="1"/>
  <c r="M106" i="81"/>
  <c r="L106" i="81"/>
  <c r="AB106" i="81" s="1"/>
  <c r="L105" i="82" s="1"/>
  <c r="K106" i="81"/>
  <c r="AA106" i="81" s="1"/>
  <c r="K105" i="82" s="1"/>
  <c r="AA105" i="82" s="1"/>
  <c r="K110" i="90" s="1"/>
  <c r="AA110" i="90" s="1"/>
  <c r="K110" i="93" s="1"/>
  <c r="AA110" i="93" s="1"/>
  <c r="K111" i="107" s="1"/>
  <c r="AA111" i="107" s="1"/>
  <c r="K112" i="108" s="1"/>
  <c r="AA112" i="108" s="1"/>
  <c r="K112" i="112" s="1"/>
  <c r="AA112" i="112" s="1"/>
  <c r="K112" i="113" s="1"/>
  <c r="AA112" i="113" s="1"/>
  <c r="K122" i="117" s="1"/>
  <c r="AA122" i="117" s="1"/>
  <c r="K120" i="121" s="1"/>
  <c r="AA120" i="121" s="1"/>
  <c r="K120" i="122" s="1"/>
  <c r="AA120" i="122" s="1"/>
  <c r="J106" i="81"/>
  <c r="Z106" i="81" s="1"/>
  <c r="J105" i="82" s="1"/>
  <c r="Z105" i="82" s="1"/>
  <c r="J110" i="90" s="1"/>
  <c r="Z110" i="90" s="1"/>
  <c r="J110" i="93" s="1"/>
  <c r="Z110" i="93" s="1"/>
  <c r="J111" i="107" s="1"/>
  <c r="Z111" i="107" s="1"/>
  <c r="J112" i="108" s="1"/>
  <c r="Z112" i="108" s="1"/>
  <c r="J112" i="112" s="1"/>
  <c r="Z112" i="112" s="1"/>
  <c r="J112" i="113" s="1"/>
  <c r="Z112" i="113" s="1"/>
  <c r="J122" i="117" s="1"/>
  <c r="Z122" i="117" s="1"/>
  <c r="J120" i="121" s="1"/>
  <c r="Z120" i="121" s="1"/>
  <c r="J120" i="122" s="1"/>
  <c r="Z120" i="122" s="1"/>
  <c r="H106" i="81"/>
  <c r="G106" i="81"/>
  <c r="W106" i="81" s="1"/>
  <c r="G105" i="82" s="1"/>
  <c r="W105" i="82" s="1"/>
  <c r="G107" i="90" s="1"/>
  <c r="W107" i="90" s="1"/>
  <c r="G107" i="93" s="1"/>
  <c r="W107" i="93" s="1"/>
  <c r="G108" i="107" s="1"/>
  <c r="W108" i="107" s="1"/>
  <c r="G109" i="108" s="1"/>
  <c r="W109" i="108" s="1"/>
  <c r="G109" i="112" s="1"/>
  <c r="W109" i="112" s="1"/>
  <c r="G109" i="113" s="1"/>
  <c r="W109" i="113" s="1"/>
  <c r="G119" i="117" s="1"/>
  <c r="W119" i="117" s="1"/>
  <c r="G117" i="121" s="1"/>
  <c r="W117" i="121" s="1"/>
  <c r="G117" i="122" s="1"/>
  <c r="W117" i="122" s="1"/>
  <c r="F106" i="81"/>
  <c r="V106" i="81" s="1"/>
  <c r="V105" i="82" s="1"/>
  <c r="F110" i="90" s="1"/>
  <c r="V110" i="90" s="1"/>
  <c r="F110" i="93" s="1"/>
  <c r="V110" i="93" s="1"/>
  <c r="F111" i="107" s="1"/>
  <c r="V111" i="107" s="1"/>
  <c r="F112" i="108" s="1"/>
  <c r="V112" i="108" s="1"/>
  <c r="F112" i="112" s="1"/>
  <c r="V112" i="112" s="1"/>
  <c r="F112" i="113" s="1"/>
  <c r="V112" i="113" s="1"/>
  <c r="F122" i="117" s="1"/>
  <c r="V122" i="117" s="1"/>
  <c r="F120" i="121" s="1"/>
  <c r="V120" i="121" s="1"/>
  <c r="F120" i="122" s="1"/>
  <c r="V120" i="122" s="1"/>
  <c r="X105" i="81"/>
  <c r="H104" i="82" s="1"/>
  <c r="X104" i="82" s="1"/>
  <c r="H109" i="90" s="1"/>
  <c r="X109" i="90" s="1"/>
  <c r="H109" i="93" s="1"/>
  <c r="X109" i="93" s="1"/>
  <c r="H110" i="107" s="1"/>
  <c r="X110" i="107" s="1"/>
  <c r="H111" i="108" s="1"/>
  <c r="X111" i="108" s="1"/>
  <c r="H111" i="112" s="1"/>
  <c r="X111" i="112" s="1"/>
  <c r="H111" i="113" s="1"/>
  <c r="X111" i="113" s="1"/>
  <c r="H121" i="117" s="1"/>
  <c r="X121" i="117" s="1"/>
  <c r="H119" i="121" s="1"/>
  <c r="X119" i="121" s="1"/>
  <c r="H119" i="122" s="1"/>
  <c r="X119" i="122" s="1"/>
  <c r="M105" i="81"/>
  <c r="L105" i="81"/>
  <c r="AB105" i="81" s="1"/>
  <c r="L104" i="82" s="1"/>
  <c r="AB104" i="82" s="1"/>
  <c r="L109" i="90" s="1"/>
  <c r="AB109" i="90" s="1"/>
  <c r="L109" i="93" s="1"/>
  <c r="AB109" i="93" s="1"/>
  <c r="L110" i="107" s="1"/>
  <c r="AB110" i="107" s="1"/>
  <c r="L111" i="108" s="1"/>
  <c r="K105" i="81"/>
  <c r="AA105" i="81" s="1"/>
  <c r="K104" i="82" s="1"/>
  <c r="AA104" i="82" s="1"/>
  <c r="K109" i="90" s="1"/>
  <c r="AA109" i="90" s="1"/>
  <c r="K109" i="93" s="1"/>
  <c r="AA109" i="93" s="1"/>
  <c r="K110" i="107" s="1"/>
  <c r="AA110" i="107" s="1"/>
  <c r="K111" i="108" s="1"/>
  <c r="AA111" i="108" s="1"/>
  <c r="K111" i="112" s="1"/>
  <c r="AA111" i="112" s="1"/>
  <c r="K111" i="113" s="1"/>
  <c r="AA111" i="113" s="1"/>
  <c r="K121" i="117" s="1"/>
  <c r="AA121" i="117" s="1"/>
  <c r="K119" i="121" s="1"/>
  <c r="AA119" i="121" s="1"/>
  <c r="K119" i="122" s="1"/>
  <c r="AA119" i="122" s="1"/>
  <c r="J105" i="81"/>
  <c r="Z105" i="81" s="1"/>
  <c r="G105" i="81"/>
  <c r="W105" i="81" s="1"/>
  <c r="G104" i="82" s="1"/>
  <c r="W104" i="82" s="1"/>
  <c r="G106" i="90" s="1"/>
  <c r="W106" i="90" s="1"/>
  <c r="G106" i="93" s="1"/>
  <c r="W106" i="93" s="1"/>
  <c r="G107" i="107" s="1"/>
  <c r="W107" i="107" s="1"/>
  <c r="G108" i="108" s="1"/>
  <c r="W108" i="108" s="1"/>
  <c r="G108" i="112" s="1"/>
  <c r="W108" i="112" s="1"/>
  <c r="G108" i="113" s="1"/>
  <c r="W108" i="113" s="1"/>
  <c r="G118" i="117" s="1"/>
  <c r="W118" i="117" s="1"/>
  <c r="G116" i="121" s="1"/>
  <c r="W116" i="121" s="1"/>
  <c r="G116" i="122" s="1"/>
  <c r="W116" i="122" s="1"/>
  <c r="F105" i="81"/>
  <c r="V105" i="81" s="1"/>
  <c r="V104" i="82" s="1"/>
  <c r="F109" i="90" s="1"/>
  <c r="V109" i="90" s="1"/>
  <c r="F109" i="93" s="1"/>
  <c r="V109" i="93" s="1"/>
  <c r="F110" i="107" s="1"/>
  <c r="V110" i="107" s="1"/>
  <c r="F111" i="108" s="1"/>
  <c r="V111" i="108" s="1"/>
  <c r="F111" i="112" s="1"/>
  <c r="V111" i="112" s="1"/>
  <c r="F111" i="113" s="1"/>
  <c r="V111" i="113" s="1"/>
  <c r="F121" i="117" s="1"/>
  <c r="V121" i="117" s="1"/>
  <c r="F119" i="121" s="1"/>
  <c r="V119" i="121" s="1"/>
  <c r="F119" i="122" s="1"/>
  <c r="V119" i="122" s="1"/>
  <c r="X104" i="81"/>
  <c r="M104" i="81"/>
  <c r="L104" i="81"/>
  <c r="AB104" i="81" s="1"/>
  <c r="K104" i="81"/>
  <c r="AA104" i="81" s="1"/>
  <c r="J104" i="81"/>
  <c r="Z104" i="81" s="1"/>
  <c r="G104" i="81"/>
  <c r="W104" i="81" s="1"/>
  <c r="F104" i="81"/>
  <c r="V104" i="81" s="1"/>
  <c r="X103" i="81"/>
  <c r="H103" i="82" s="1"/>
  <c r="X103" i="82" s="1"/>
  <c r="H108" i="90" s="1"/>
  <c r="X108" i="90" s="1"/>
  <c r="H108" i="93" s="1"/>
  <c r="X108" i="93" s="1"/>
  <c r="H109" i="107" s="1"/>
  <c r="X109" i="107" s="1"/>
  <c r="H110" i="108" s="1"/>
  <c r="X110" i="108" s="1"/>
  <c r="H110" i="112" s="1"/>
  <c r="X110" i="112" s="1"/>
  <c r="H110" i="113" s="1"/>
  <c r="X110" i="113" s="1"/>
  <c r="H120" i="117" s="1"/>
  <c r="X120" i="117" s="1"/>
  <c r="H118" i="121" s="1"/>
  <c r="X118" i="121" s="1"/>
  <c r="H118" i="122" s="1"/>
  <c r="X118" i="122" s="1"/>
  <c r="M103" i="81"/>
  <c r="L103" i="81"/>
  <c r="K103" i="81"/>
  <c r="AA103" i="81" s="1"/>
  <c r="K103" i="82" s="1"/>
  <c r="AA103" i="82" s="1"/>
  <c r="K108" i="90" s="1"/>
  <c r="AA108" i="90" s="1"/>
  <c r="K108" i="93" s="1"/>
  <c r="AA108" i="93" s="1"/>
  <c r="K109" i="107" s="1"/>
  <c r="AA109" i="107" s="1"/>
  <c r="K110" i="108" s="1"/>
  <c r="AA110" i="108" s="1"/>
  <c r="K110" i="112" s="1"/>
  <c r="AA110" i="112" s="1"/>
  <c r="K110" i="113" s="1"/>
  <c r="AA110" i="113" s="1"/>
  <c r="K120" i="117" s="1"/>
  <c r="J103" i="81"/>
  <c r="Z103" i="81" s="1"/>
  <c r="J103" i="82" s="1"/>
  <c r="Z103" i="82" s="1"/>
  <c r="J108" i="90" s="1"/>
  <c r="Z108" i="90" s="1"/>
  <c r="J108" i="93" s="1"/>
  <c r="Z108" i="93" s="1"/>
  <c r="J109" i="107" s="1"/>
  <c r="Z109" i="107" s="1"/>
  <c r="J110" i="108" s="1"/>
  <c r="Z110" i="108" s="1"/>
  <c r="J110" i="112" s="1"/>
  <c r="Z110" i="112" s="1"/>
  <c r="J110" i="113" s="1"/>
  <c r="Z110" i="113" s="1"/>
  <c r="J120" i="117" s="1"/>
  <c r="Z120" i="117" s="1"/>
  <c r="J118" i="121" s="1"/>
  <c r="Z118" i="121" s="1"/>
  <c r="J118" i="122" s="1"/>
  <c r="Z118" i="122" s="1"/>
  <c r="G103" i="81"/>
  <c r="W103" i="81" s="1"/>
  <c r="G103" i="82" s="1"/>
  <c r="W103" i="82" s="1"/>
  <c r="G105" i="90" s="1"/>
  <c r="F103" i="81"/>
  <c r="V103" i="81" s="1"/>
  <c r="V103" i="82" s="1"/>
  <c r="F108" i="90" s="1"/>
  <c r="V108" i="90" s="1"/>
  <c r="F108" i="93" s="1"/>
  <c r="V108" i="93" s="1"/>
  <c r="F109" i="107" s="1"/>
  <c r="V109" i="107" s="1"/>
  <c r="F110" i="108" s="1"/>
  <c r="V110" i="108" s="1"/>
  <c r="F110" i="112" s="1"/>
  <c r="V110" i="112" s="1"/>
  <c r="F110" i="113" s="1"/>
  <c r="V110" i="113" s="1"/>
  <c r="F120" i="117" s="1"/>
  <c r="V120" i="117" s="1"/>
  <c r="F118" i="121" s="1"/>
  <c r="V118" i="121" s="1"/>
  <c r="F118" i="122" s="1"/>
  <c r="V118" i="122" s="1"/>
  <c r="X102" i="81"/>
  <c r="H102" i="82" s="1"/>
  <c r="X102" i="82" s="1"/>
  <c r="H107" i="90" s="1"/>
  <c r="X107" i="90" s="1"/>
  <c r="H107" i="93" s="1"/>
  <c r="X107" i="93" s="1"/>
  <c r="H108" i="107" s="1"/>
  <c r="X108" i="107" s="1"/>
  <c r="H109" i="108" s="1"/>
  <c r="X109" i="108" s="1"/>
  <c r="H109" i="112" s="1"/>
  <c r="X109" i="112" s="1"/>
  <c r="H109" i="113" s="1"/>
  <c r="X109" i="113" s="1"/>
  <c r="H119" i="117" s="1"/>
  <c r="X119" i="117" s="1"/>
  <c r="H117" i="121" s="1"/>
  <c r="X117" i="121" s="1"/>
  <c r="H117" i="122" s="1"/>
  <c r="X117" i="122" s="1"/>
  <c r="M102" i="81"/>
  <c r="L102" i="81"/>
  <c r="AB102" i="81" s="1"/>
  <c r="L102" i="82" s="1"/>
  <c r="K102" i="81"/>
  <c r="AA102" i="81" s="1"/>
  <c r="K102" i="82" s="1"/>
  <c r="AA102" i="82" s="1"/>
  <c r="K107" i="90" s="1"/>
  <c r="AA107" i="90" s="1"/>
  <c r="K107" i="93" s="1"/>
  <c r="AA107" i="93" s="1"/>
  <c r="K108" i="107" s="1"/>
  <c r="AA108" i="107" s="1"/>
  <c r="K109" i="108" s="1"/>
  <c r="AA109" i="108" s="1"/>
  <c r="K109" i="112" s="1"/>
  <c r="AA109" i="112" s="1"/>
  <c r="K109" i="113" s="1"/>
  <c r="AA109" i="113" s="1"/>
  <c r="K119" i="117" s="1"/>
  <c r="AA119" i="117" s="1"/>
  <c r="K117" i="121" s="1"/>
  <c r="AA117" i="121" s="1"/>
  <c r="K117" i="122" s="1"/>
  <c r="AA117" i="122" s="1"/>
  <c r="J102" i="81"/>
  <c r="Z102" i="81" s="1"/>
  <c r="G102" i="81"/>
  <c r="W102" i="81" s="1"/>
  <c r="G102" i="82" s="1"/>
  <c r="W102" i="82" s="1"/>
  <c r="G104" i="90" s="1"/>
  <c r="W104" i="90" s="1"/>
  <c r="G104" i="93" s="1"/>
  <c r="W104" i="93" s="1"/>
  <c r="G105" i="107" s="1"/>
  <c r="W105" i="107" s="1"/>
  <c r="G106" i="108" s="1"/>
  <c r="W106" i="108" s="1"/>
  <c r="G106" i="112" s="1"/>
  <c r="W106" i="112" s="1"/>
  <c r="G106" i="113" s="1"/>
  <c r="W106" i="113" s="1"/>
  <c r="G116" i="117" s="1"/>
  <c r="W116" i="117" s="1"/>
  <c r="G114" i="121" s="1"/>
  <c r="W114" i="121" s="1"/>
  <c r="G114" i="122" s="1"/>
  <c r="W114" i="122" s="1"/>
  <c r="F102" i="81"/>
  <c r="V102" i="81" s="1"/>
  <c r="V102" i="82" s="1"/>
  <c r="F107" i="90" s="1"/>
  <c r="V107" i="90" s="1"/>
  <c r="F107" i="93" s="1"/>
  <c r="V107" i="93" s="1"/>
  <c r="F108" i="107" s="1"/>
  <c r="V108" i="107" s="1"/>
  <c r="F109" i="108" s="1"/>
  <c r="V109" i="108" s="1"/>
  <c r="F109" i="112" s="1"/>
  <c r="V109" i="112" s="1"/>
  <c r="F109" i="113" s="1"/>
  <c r="V109" i="113" s="1"/>
  <c r="F119" i="117" s="1"/>
  <c r="V119" i="117" s="1"/>
  <c r="F117" i="121" s="1"/>
  <c r="V117" i="121" s="1"/>
  <c r="F117" i="122" s="1"/>
  <c r="V117" i="122" s="1"/>
  <c r="X101" i="81"/>
  <c r="H101" i="82" s="1"/>
  <c r="X101" i="82" s="1"/>
  <c r="H106" i="90" s="1"/>
  <c r="X106" i="90" s="1"/>
  <c r="H106" i="93" s="1"/>
  <c r="X106" i="93" s="1"/>
  <c r="H107" i="107" s="1"/>
  <c r="X107" i="107" s="1"/>
  <c r="H108" i="108" s="1"/>
  <c r="X108" i="108" s="1"/>
  <c r="H108" i="112" s="1"/>
  <c r="X108" i="112" s="1"/>
  <c r="H108" i="113" s="1"/>
  <c r="X108" i="113" s="1"/>
  <c r="H118" i="117" s="1"/>
  <c r="X118" i="117" s="1"/>
  <c r="H116" i="121" s="1"/>
  <c r="X116" i="121" s="1"/>
  <c r="H116" i="122" s="1"/>
  <c r="X116" i="122" s="1"/>
  <c r="M101" i="81"/>
  <c r="L101" i="81"/>
  <c r="K101" i="81"/>
  <c r="AA101" i="81" s="1"/>
  <c r="K101" i="82" s="1"/>
  <c r="AA101" i="82" s="1"/>
  <c r="K106" i="90" s="1"/>
  <c r="AA106" i="90" s="1"/>
  <c r="K106" i="93" s="1"/>
  <c r="AA106" i="93" s="1"/>
  <c r="K107" i="107" s="1"/>
  <c r="AA107" i="107" s="1"/>
  <c r="K108" i="108" s="1"/>
  <c r="AA108" i="108" s="1"/>
  <c r="K108" i="112" s="1"/>
  <c r="AA108" i="112" s="1"/>
  <c r="K108" i="113" s="1"/>
  <c r="AA108" i="113" s="1"/>
  <c r="K118" i="117" s="1"/>
  <c r="AA118" i="117" s="1"/>
  <c r="K116" i="121" s="1"/>
  <c r="AA116" i="121" s="1"/>
  <c r="K116" i="122" s="1"/>
  <c r="AA116" i="122" s="1"/>
  <c r="J101" i="81"/>
  <c r="Z101" i="81" s="1"/>
  <c r="J101" i="82" s="1"/>
  <c r="G101" i="81"/>
  <c r="W101" i="81" s="1"/>
  <c r="G101" i="82" s="1"/>
  <c r="W101" i="82" s="1"/>
  <c r="G103" i="90" s="1"/>
  <c r="W103" i="90" s="1"/>
  <c r="G103" i="93" s="1"/>
  <c r="W103" i="93" s="1"/>
  <c r="G104" i="107" s="1"/>
  <c r="W104" i="107" s="1"/>
  <c r="G105" i="108" s="1"/>
  <c r="W105" i="108" s="1"/>
  <c r="G105" i="112" s="1"/>
  <c r="W105" i="112" s="1"/>
  <c r="G105" i="113" s="1"/>
  <c r="W105" i="113" s="1"/>
  <c r="G115" i="117" s="1"/>
  <c r="W115" i="117" s="1"/>
  <c r="G113" i="121" s="1"/>
  <c r="W113" i="121" s="1"/>
  <c r="G113" i="122" s="1"/>
  <c r="W113" i="122" s="1"/>
  <c r="F101" i="81"/>
  <c r="V101" i="81" s="1"/>
  <c r="V101" i="82" s="1"/>
  <c r="F106" i="90" s="1"/>
  <c r="V106" i="90" s="1"/>
  <c r="F106" i="93" s="1"/>
  <c r="V106" i="93" s="1"/>
  <c r="F107" i="107" s="1"/>
  <c r="V107" i="107" s="1"/>
  <c r="F108" i="108" s="1"/>
  <c r="V108" i="108" s="1"/>
  <c r="F108" i="112" s="1"/>
  <c r="V108" i="112" s="1"/>
  <c r="F108" i="113" s="1"/>
  <c r="V108" i="113" s="1"/>
  <c r="F118" i="117" s="1"/>
  <c r="V118" i="117" s="1"/>
  <c r="F116" i="121" s="1"/>
  <c r="V116" i="121" s="1"/>
  <c r="F116" i="122" s="1"/>
  <c r="V116" i="122" s="1"/>
  <c r="X100" i="81"/>
  <c r="E100" i="81"/>
  <c r="X99" i="81"/>
  <c r="H99" i="82" s="1"/>
  <c r="X99" i="82" s="1"/>
  <c r="H104" i="90" s="1"/>
  <c r="X104" i="90" s="1"/>
  <c r="H104" i="93" s="1"/>
  <c r="X104" i="93" s="1"/>
  <c r="H105" i="107" s="1"/>
  <c r="X105" i="107" s="1"/>
  <c r="H106" i="108" s="1"/>
  <c r="X106" i="108" s="1"/>
  <c r="H106" i="112" s="1"/>
  <c r="X106" i="112" s="1"/>
  <c r="H106" i="113" s="1"/>
  <c r="X106" i="113" s="1"/>
  <c r="H116" i="117" s="1"/>
  <c r="X116" i="117" s="1"/>
  <c r="H114" i="121" s="1"/>
  <c r="X114" i="121" s="1"/>
  <c r="H114" i="122" s="1"/>
  <c r="X114" i="122" s="1"/>
  <c r="M99" i="81"/>
  <c r="L99" i="81"/>
  <c r="AB99" i="81" s="1"/>
  <c r="L99" i="82" s="1"/>
  <c r="AB99" i="82" s="1"/>
  <c r="L104" i="90" s="1"/>
  <c r="AB104" i="90" s="1"/>
  <c r="L104" i="93" s="1"/>
  <c r="AB104" i="93" s="1"/>
  <c r="L105" i="107" s="1"/>
  <c r="AB105" i="107" s="1"/>
  <c r="L106" i="108" s="1"/>
  <c r="K99" i="81"/>
  <c r="AA99" i="81" s="1"/>
  <c r="K99" i="82" s="1"/>
  <c r="AA99" i="82" s="1"/>
  <c r="K104" i="90" s="1"/>
  <c r="AA104" i="90" s="1"/>
  <c r="K104" i="93" s="1"/>
  <c r="AA104" i="93" s="1"/>
  <c r="K105" i="107" s="1"/>
  <c r="AA105" i="107" s="1"/>
  <c r="K106" i="108" s="1"/>
  <c r="AA106" i="108" s="1"/>
  <c r="K106" i="112" s="1"/>
  <c r="AA106" i="112" s="1"/>
  <c r="K106" i="113" s="1"/>
  <c r="AA106" i="113" s="1"/>
  <c r="K116" i="117" s="1"/>
  <c r="AA116" i="117" s="1"/>
  <c r="K114" i="121" s="1"/>
  <c r="AA114" i="121" s="1"/>
  <c r="K114" i="122" s="1"/>
  <c r="AA114" i="122" s="1"/>
  <c r="J99" i="81"/>
  <c r="Z99" i="81" s="1"/>
  <c r="J99" i="82" s="1"/>
  <c r="Z99" i="82" s="1"/>
  <c r="J104" i="90" s="1"/>
  <c r="Z104" i="90" s="1"/>
  <c r="J104" i="93" s="1"/>
  <c r="Z104" i="93" s="1"/>
  <c r="J105" i="107" s="1"/>
  <c r="Z105" i="107" s="1"/>
  <c r="J106" i="108" s="1"/>
  <c r="Z106" i="108" s="1"/>
  <c r="J106" i="112" s="1"/>
  <c r="Z106" i="112" s="1"/>
  <c r="J106" i="113" s="1"/>
  <c r="Z106" i="113" s="1"/>
  <c r="J116" i="117" s="1"/>
  <c r="Z116" i="117" s="1"/>
  <c r="J114" i="121" s="1"/>
  <c r="Z114" i="121" s="1"/>
  <c r="J114" i="122" s="1"/>
  <c r="Z114" i="122" s="1"/>
  <c r="G99" i="81"/>
  <c r="F99" i="81"/>
  <c r="V99" i="81" s="1"/>
  <c r="V99" i="82" s="1"/>
  <c r="F104" i="90" s="1"/>
  <c r="V104" i="90" s="1"/>
  <c r="F104" i="93" s="1"/>
  <c r="V104" i="93" s="1"/>
  <c r="F105" i="107" s="1"/>
  <c r="V105" i="107" s="1"/>
  <c r="F106" i="108" s="1"/>
  <c r="V106" i="108" s="1"/>
  <c r="F106" i="112" s="1"/>
  <c r="V106" i="112" s="1"/>
  <c r="F106" i="113" s="1"/>
  <c r="V106" i="113" s="1"/>
  <c r="F116" i="117" s="1"/>
  <c r="V116" i="117" s="1"/>
  <c r="F114" i="121" s="1"/>
  <c r="V114" i="121" s="1"/>
  <c r="F114" i="122" s="1"/>
  <c r="V114" i="122" s="1"/>
  <c r="X98" i="81"/>
  <c r="H98" i="82" s="1"/>
  <c r="X98" i="82" s="1"/>
  <c r="H103" i="90" s="1"/>
  <c r="X103" i="90" s="1"/>
  <c r="H103" i="93" s="1"/>
  <c r="X103" i="93" s="1"/>
  <c r="H104" i="107" s="1"/>
  <c r="X104" i="107" s="1"/>
  <c r="H105" i="108" s="1"/>
  <c r="X105" i="108" s="1"/>
  <c r="H105" i="112" s="1"/>
  <c r="X105" i="112" s="1"/>
  <c r="H105" i="113" s="1"/>
  <c r="X105" i="113" s="1"/>
  <c r="H115" i="117" s="1"/>
  <c r="X115" i="117" s="1"/>
  <c r="H113" i="121" s="1"/>
  <c r="X113" i="121" s="1"/>
  <c r="H113" i="122" s="1"/>
  <c r="X113" i="122" s="1"/>
  <c r="M98" i="81"/>
  <c r="L98" i="81"/>
  <c r="AB98" i="81" s="1"/>
  <c r="L98" i="82" s="1"/>
  <c r="AB98" i="82" s="1"/>
  <c r="L103" i="90" s="1"/>
  <c r="AB103" i="90" s="1"/>
  <c r="L103" i="93" s="1"/>
  <c r="AB103" i="93" s="1"/>
  <c r="L104" i="107" s="1"/>
  <c r="AB104" i="107" s="1"/>
  <c r="L105" i="108" s="1"/>
  <c r="K98" i="81"/>
  <c r="AA98" i="81" s="1"/>
  <c r="K98" i="82" s="1"/>
  <c r="AA98" i="82" s="1"/>
  <c r="K103" i="90" s="1"/>
  <c r="AA103" i="90" s="1"/>
  <c r="K103" i="93" s="1"/>
  <c r="AA103" i="93" s="1"/>
  <c r="K104" i="107" s="1"/>
  <c r="AA104" i="107" s="1"/>
  <c r="K105" i="108" s="1"/>
  <c r="AA105" i="108" s="1"/>
  <c r="K105" i="112" s="1"/>
  <c r="AA105" i="112" s="1"/>
  <c r="K105" i="113" s="1"/>
  <c r="AA105" i="113" s="1"/>
  <c r="K115" i="117" s="1"/>
  <c r="J98" i="81"/>
  <c r="Z98" i="81" s="1"/>
  <c r="J98" i="82" s="1"/>
  <c r="Z98" i="82" s="1"/>
  <c r="J103" i="90" s="1"/>
  <c r="Z103" i="90" s="1"/>
  <c r="J103" i="93" s="1"/>
  <c r="Z103" i="93" s="1"/>
  <c r="J104" i="107" s="1"/>
  <c r="Z104" i="107" s="1"/>
  <c r="J105" i="108" s="1"/>
  <c r="Z105" i="108" s="1"/>
  <c r="J105" i="112" s="1"/>
  <c r="Z105" i="112" s="1"/>
  <c r="J105" i="113" s="1"/>
  <c r="Z105" i="113" s="1"/>
  <c r="J115" i="117" s="1"/>
  <c r="Z115" i="117" s="1"/>
  <c r="J113" i="121" s="1"/>
  <c r="Z113" i="121" s="1"/>
  <c r="J113" i="122" s="1"/>
  <c r="Z113" i="122" s="1"/>
  <c r="G98" i="81"/>
  <c r="W98" i="81" s="1"/>
  <c r="G98" i="82" s="1"/>
  <c r="W98" i="82" s="1"/>
  <c r="G100" i="90" s="1"/>
  <c r="W100" i="90" s="1"/>
  <c r="G100" i="93" s="1"/>
  <c r="W100" i="93" s="1"/>
  <c r="G101" i="107" s="1"/>
  <c r="W101" i="107" s="1"/>
  <c r="G102" i="108" s="1"/>
  <c r="W102" i="108" s="1"/>
  <c r="G102" i="112" s="1"/>
  <c r="W102" i="112" s="1"/>
  <c r="G102" i="113" s="1"/>
  <c r="W102" i="113" s="1"/>
  <c r="G112" i="117" s="1"/>
  <c r="W112" i="117" s="1"/>
  <c r="G110" i="121" s="1"/>
  <c r="W110" i="121" s="1"/>
  <c r="G110" i="122" s="1"/>
  <c r="W110" i="122" s="1"/>
  <c r="F98" i="81"/>
  <c r="X97" i="81"/>
  <c r="H97" i="82" s="1"/>
  <c r="X97" i="82" s="1"/>
  <c r="H102" i="90" s="1"/>
  <c r="X102" i="90" s="1"/>
  <c r="H102" i="93" s="1"/>
  <c r="X102" i="93" s="1"/>
  <c r="H103" i="107" s="1"/>
  <c r="X103" i="107" s="1"/>
  <c r="H104" i="108" s="1"/>
  <c r="X104" i="108" s="1"/>
  <c r="H104" i="112" s="1"/>
  <c r="X104" i="112" s="1"/>
  <c r="H104" i="113" s="1"/>
  <c r="X104" i="113" s="1"/>
  <c r="H114" i="117" s="1"/>
  <c r="X114" i="117" s="1"/>
  <c r="H112" i="121" s="1"/>
  <c r="X112" i="121" s="1"/>
  <c r="H112" i="122" s="1"/>
  <c r="X112" i="122" s="1"/>
  <c r="M97" i="81"/>
  <c r="L97" i="81"/>
  <c r="AB97" i="81" s="1"/>
  <c r="L97" i="82" s="1"/>
  <c r="K97" i="81"/>
  <c r="AA97" i="81" s="1"/>
  <c r="K97" i="82" s="1"/>
  <c r="AA97" i="82" s="1"/>
  <c r="K102" i="90" s="1"/>
  <c r="AA102" i="90" s="1"/>
  <c r="K102" i="93" s="1"/>
  <c r="AA102" i="93" s="1"/>
  <c r="K103" i="107" s="1"/>
  <c r="AA103" i="107" s="1"/>
  <c r="K104" i="108" s="1"/>
  <c r="AA104" i="108" s="1"/>
  <c r="K104" i="112" s="1"/>
  <c r="AA104" i="112" s="1"/>
  <c r="K104" i="113" s="1"/>
  <c r="AA104" i="113" s="1"/>
  <c r="K114" i="117" s="1"/>
  <c r="AA114" i="117" s="1"/>
  <c r="K112" i="121" s="1"/>
  <c r="AA112" i="121" s="1"/>
  <c r="K112" i="122" s="1"/>
  <c r="AA112" i="122" s="1"/>
  <c r="J97" i="81"/>
  <c r="Z97" i="81" s="1"/>
  <c r="J97" i="82" s="1"/>
  <c r="Z97" i="82" s="1"/>
  <c r="J102" i="90" s="1"/>
  <c r="Z102" i="90" s="1"/>
  <c r="J102" i="93" s="1"/>
  <c r="Z102" i="93" s="1"/>
  <c r="J103" i="107" s="1"/>
  <c r="Z103" i="107" s="1"/>
  <c r="J104" i="108" s="1"/>
  <c r="Z104" i="108" s="1"/>
  <c r="J104" i="112" s="1"/>
  <c r="Z104" i="112" s="1"/>
  <c r="J104" i="113" s="1"/>
  <c r="Z104" i="113" s="1"/>
  <c r="J114" i="117" s="1"/>
  <c r="Z114" i="117" s="1"/>
  <c r="J112" i="121" s="1"/>
  <c r="Z112" i="121" s="1"/>
  <c r="J112" i="122" s="1"/>
  <c r="Z112" i="122" s="1"/>
  <c r="G97" i="81"/>
  <c r="F97" i="81"/>
  <c r="V97" i="81" s="1"/>
  <c r="V97" i="82" s="1"/>
  <c r="F102" i="90" s="1"/>
  <c r="V102" i="90" s="1"/>
  <c r="F102" i="93" s="1"/>
  <c r="V102" i="93" s="1"/>
  <c r="F103" i="107" s="1"/>
  <c r="V103" i="107" s="1"/>
  <c r="F104" i="108" s="1"/>
  <c r="V104" i="108" s="1"/>
  <c r="F104" i="112" s="1"/>
  <c r="V104" i="112" s="1"/>
  <c r="F104" i="113" s="1"/>
  <c r="V104" i="113" s="1"/>
  <c r="F114" i="117" s="1"/>
  <c r="V114" i="117" s="1"/>
  <c r="F112" i="121" s="1"/>
  <c r="V112" i="121" s="1"/>
  <c r="F112" i="122" s="1"/>
  <c r="V112" i="122" s="1"/>
  <c r="X96" i="81"/>
  <c r="H96" i="82" s="1"/>
  <c r="X96" i="82" s="1"/>
  <c r="H101" i="90" s="1"/>
  <c r="X101" i="90" s="1"/>
  <c r="H101" i="93" s="1"/>
  <c r="X101" i="93" s="1"/>
  <c r="H102" i="107" s="1"/>
  <c r="X102" i="107" s="1"/>
  <c r="H103" i="108" s="1"/>
  <c r="X103" i="108" s="1"/>
  <c r="H103" i="112" s="1"/>
  <c r="X103" i="112" s="1"/>
  <c r="H103" i="113" s="1"/>
  <c r="X103" i="113" s="1"/>
  <c r="H113" i="117" s="1"/>
  <c r="X113" i="117" s="1"/>
  <c r="H111" i="121" s="1"/>
  <c r="X111" i="121" s="1"/>
  <c r="H111" i="122" s="1"/>
  <c r="X111" i="122" s="1"/>
  <c r="M96" i="81"/>
  <c r="L96" i="81"/>
  <c r="AB96" i="81" s="1"/>
  <c r="L96" i="82" s="1"/>
  <c r="AB96" i="82" s="1"/>
  <c r="L101" i="90" s="1"/>
  <c r="AB101" i="90" s="1"/>
  <c r="L101" i="93" s="1"/>
  <c r="AB101" i="93" s="1"/>
  <c r="L102" i="107" s="1"/>
  <c r="AB102" i="107" s="1"/>
  <c r="L103" i="108" s="1"/>
  <c r="K96" i="81"/>
  <c r="AA96" i="81" s="1"/>
  <c r="K96" i="82" s="1"/>
  <c r="AA96" i="82" s="1"/>
  <c r="K101" i="90" s="1"/>
  <c r="AA101" i="90" s="1"/>
  <c r="K101" i="93" s="1"/>
  <c r="AA101" i="93" s="1"/>
  <c r="K102" i="107" s="1"/>
  <c r="AA102" i="107" s="1"/>
  <c r="K103" i="108" s="1"/>
  <c r="AA103" i="108" s="1"/>
  <c r="K103" i="112" s="1"/>
  <c r="AA103" i="112" s="1"/>
  <c r="K103" i="113" s="1"/>
  <c r="J96" i="81"/>
  <c r="Z96" i="81" s="1"/>
  <c r="J96" i="82" s="1"/>
  <c r="G96" i="81"/>
  <c r="W96" i="81" s="1"/>
  <c r="G96" i="82" s="1"/>
  <c r="W96" i="82" s="1"/>
  <c r="G98" i="90" s="1"/>
  <c r="F96" i="81"/>
  <c r="V96" i="81" s="1"/>
  <c r="V96" i="82" s="1"/>
  <c r="F101" i="90" s="1"/>
  <c r="V101" i="90" s="1"/>
  <c r="F101" i="93" s="1"/>
  <c r="V101" i="93" s="1"/>
  <c r="F102" i="107" s="1"/>
  <c r="V102" i="107" s="1"/>
  <c r="F103" i="108" s="1"/>
  <c r="V103" i="108" s="1"/>
  <c r="F103" i="112" s="1"/>
  <c r="V103" i="112" s="1"/>
  <c r="F103" i="113" s="1"/>
  <c r="V103" i="113" s="1"/>
  <c r="F113" i="117" s="1"/>
  <c r="V113" i="117" s="1"/>
  <c r="F111" i="121" s="1"/>
  <c r="V111" i="121" s="1"/>
  <c r="F111" i="122" s="1"/>
  <c r="V111" i="122" s="1"/>
  <c r="X95" i="81"/>
  <c r="H95" i="82" s="1"/>
  <c r="X95" i="82" s="1"/>
  <c r="H100" i="90" s="1"/>
  <c r="X100" i="90" s="1"/>
  <c r="H100" i="93" s="1"/>
  <c r="X100" i="93" s="1"/>
  <c r="H101" i="107" s="1"/>
  <c r="X101" i="107" s="1"/>
  <c r="H102" i="108" s="1"/>
  <c r="X102" i="108" s="1"/>
  <c r="H102" i="112" s="1"/>
  <c r="X102" i="112" s="1"/>
  <c r="H102" i="113" s="1"/>
  <c r="X102" i="113" s="1"/>
  <c r="H112" i="117" s="1"/>
  <c r="X112" i="117" s="1"/>
  <c r="H110" i="121" s="1"/>
  <c r="X110" i="121" s="1"/>
  <c r="H110" i="122" s="1"/>
  <c r="X110" i="122" s="1"/>
  <c r="M95" i="81"/>
  <c r="L95" i="81"/>
  <c r="AB95" i="81" s="1"/>
  <c r="L95" i="82" s="1"/>
  <c r="AB95" i="82" s="1"/>
  <c r="L100" i="90" s="1"/>
  <c r="AB100" i="90" s="1"/>
  <c r="L100" i="93" s="1"/>
  <c r="AB100" i="93" s="1"/>
  <c r="L101" i="107" s="1"/>
  <c r="AB101" i="107" s="1"/>
  <c r="L102" i="108" s="1"/>
  <c r="K95" i="81"/>
  <c r="AA95" i="81" s="1"/>
  <c r="K95" i="82" s="1"/>
  <c r="AA95" i="82" s="1"/>
  <c r="K100" i="90" s="1"/>
  <c r="AA100" i="90" s="1"/>
  <c r="K100" i="93" s="1"/>
  <c r="AA100" i="93" s="1"/>
  <c r="K101" i="107" s="1"/>
  <c r="AA101" i="107" s="1"/>
  <c r="K102" i="108" s="1"/>
  <c r="AA102" i="108" s="1"/>
  <c r="K102" i="112" s="1"/>
  <c r="AA102" i="112" s="1"/>
  <c r="K102" i="113" s="1"/>
  <c r="AA102" i="113" s="1"/>
  <c r="K112" i="117" s="1"/>
  <c r="AA112" i="117" s="1"/>
  <c r="K110" i="121" s="1"/>
  <c r="AA110" i="121" s="1"/>
  <c r="K110" i="122" s="1"/>
  <c r="AA110" i="122" s="1"/>
  <c r="J95" i="81"/>
  <c r="Z95" i="81" s="1"/>
  <c r="J95" i="82" s="1"/>
  <c r="Z95" i="82" s="1"/>
  <c r="J100" i="90" s="1"/>
  <c r="Z100" i="90" s="1"/>
  <c r="J100" i="93" s="1"/>
  <c r="Z100" i="93" s="1"/>
  <c r="J101" i="107" s="1"/>
  <c r="Z101" i="107" s="1"/>
  <c r="J102" i="108" s="1"/>
  <c r="Z102" i="108" s="1"/>
  <c r="J102" i="112" s="1"/>
  <c r="Z102" i="112" s="1"/>
  <c r="J102" i="113" s="1"/>
  <c r="Z102" i="113" s="1"/>
  <c r="J112" i="117" s="1"/>
  <c r="Z112" i="117" s="1"/>
  <c r="J110" i="121" s="1"/>
  <c r="Z110" i="121" s="1"/>
  <c r="J110" i="122" s="1"/>
  <c r="Z110" i="122" s="1"/>
  <c r="G95" i="81"/>
  <c r="F95" i="81"/>
  <c r="V95" i="81" s="1"/>
  <c r="V95" i="82" s="1"/>
  <c r="F100" i="90" s="1"/>
  <c r="V100" i="90" s="1"/>
  <c r="F100" i="93" s="1"/>
  <c r="V100" i="93" s="1"/>
  <c r="F101" i="107" s="1"/>
  <c r="V101" i="107" s="1"/>
  <c r="F102" i="108" s="1"/>
  <c r="V102" i="108" s="1"/>
  <c r="F102" i="112" s="1"/>
  <c r="V102" i="112" s="1"/>
  <c r="F102" i="113" s="1"/>
  <c r="V102" i="113" s="1"/>
  <c r="F112" i="117" s="1"/>
  <c r="V112" i="117" s="1"/>
  <c r="F110" i="121" s="1"/>
  <c r="V110" i="121" s="1"/>
  <c r="F110" i="122" s="1"/>
  <c r="V110" i="122" s="1"/>
  <c r="X94" i="81"/>
  <c r="H94" i="82" s="1"/>
  <c r="X94" i="82" s="1"/>
  <c r="H99" i="90" s="1"/>
  <c r="X99" i="90" s="1"/>
  <c r="H99" i="93" s="1"/>
  <c r="X99" i="93" s="1"/>
  <c r="H100" i="107" s="1"/>
  <c r="X100" i="107" s="1"/>
  <c r="H101" i="108" s="1"/>
  <c r="X101" i="108" s="1"/>
  <c r="H101" i="112" s="1"/>
  <c r="X101" i="112" s="1"/>
  <c r="H101" i="113" s="1"/>
  <c r="X101" i="113" s="1"/>
  <c r="H111" i="117" s="1"/>
  <c r="X111" i="117" s="1"/>
  <c r="H109" i="121" s="1"/>
  <c r="X109" i="121" s="1"/>
  <c r="H109" i="122" s="1"/>
  <c r="X109" i="122" s="1"/>
  <c r="M94" i="81"/>
  <c r="L94" i="81"/>
  <c r="AB94" i="81" s="1"/>
  <c r="L94" i="82" s="1"/>
  <c r="AB94" i="82" s="1"/>
  <c r="L99" i="90" s="1"/>
  <c r="AB99" i="90" s="1"/>
  <c r="L99" i="93" s="1"/>
  <c r="AB99" i="93" s="1"/>
  <c r="L100" i="107" s="1"/>
  <c r="AB100" i="107" s="1"/>
  <c r="L101" i="108" s="1"/>
  <c r="K94" i="81"/>
  <c r="AA94" i="81" s="1"/>
  <c r="K94" i="82" s="1"/>
  <c r="AA94" i="82" s="1"/>
  <c r="K99" i="90" s="1"/>
  <c r="AA99" i="90" s="1"/>
  <c r="K99" i="93" s="1"/>
  <c r="AA99" i="93" s="1"/>
  <c r="K100" i="107" s="1"/>
  <c r="AA100" i="107" s="1"/>
  <c r="K101" i="108" s="1"/>
  <c r="AA101" i="108" s="1"/>
  <c r="K101" i="112" s="1"/>
  <c r="AA101" i="112" s="1"/>
  <c r="K101" i="113" s="1"/>
  <c r="AA101" i="113" s="1"/>
  <c r="K111" i="117" s="1"/>
  <c r="J94" i="81"/>
  <c r="Z94" i="81" s="1"/>
  <c r="J94" i="82" s="1"/>
  <c r="G94" i="81"/>
  <c r="W94" i="81" s="1"/>
  <c r="G94" i="82" s="1"/>
  <c r="W94" i="82" s="1"/>
  <c r="G96" i="90" s="1"/>
  <c r="W96" i="90" s="1"/>
  <c r="G96" i="93" s="1"/>
  <c r="W96" i="93" s="1"/>
  <c r="G97" i="107" s="1"/>
  <c r="W97" i="107" s="1"/>
  <c r="G98" i="108" s="1"/>
  <c r="F94" i="81"/>
  <c r="V94" i="81" s="1"/>
  <c r="V94" i="82" s="1"/>
  <c r="F99" i="90" s="1"/>
  <c r="V99" i="90" s="1"/>
  <c r="F99" i="93" s="1"/>
  <c r="V99" i="93" s="1"/>
  <c r="F100" i="107" s="1"/>
  <c r="V100" i="107" s="1"/>
  <c r="F101" i="108" s="1"/>
  <c r="V101" i="108" s="1"/>
  <c r="F101" i="112" s="1"/>
  <c r="V101" i="112" s="1"/>
  <c r="F101" i="113" s="1"/>
  <c r="V101" i="113" s="1"/>
  <c r="F111" i="117" s="1"/>
  <c r="V111" i="117" s="1"/>
  <c r="F109" i="121" s="1"/>
  <c r="V109" i="121" s="1"/>
  <c r="F109" i="122" s="1"/>
  <c r="V109" i="122" s="1"/>
  <c r="X93" i="81"/>
  <c r="H93" i="82" s="1"/>
  <c r="X93" i="82" s="1"/>
  <c r="H98" i="90" s="1"/>
  <c r="X98" i="90" s="1"/>
  <c r="H98" i="93" s="1"/>
  <c r="X98" i="93" s="1"/>
  <c r="H99" i="107" s="1"/>
  <c r="X99" i="107" s="1"/>
  <c r="H100" i="108" s="1"/>
  <c r="X100" i="108" s="1"/>
  <c r="H100" i="112" s="1"/>
  <c r="X100" i="112" s="1"/>
  <c r="H100" i="113" s="1"/>
  <c r="X100" i="113" s="1"/>
  <c r="H110" i="117" s="1"/>
  <c r="X110" i="117" s="1"/>
  <c r="H108" i="121" s="1"/>
  <c r="X108" i="121" s="1"/>
  <c r="H108" i="122" s="1"/>
  <c r="X108" i="122" s="1"/>
  <c r="M93" i="81"/>
  <c r="L93" i="81"/>
  <c r="K93" i="81"/>
  <c r="J93" i="81"/>
  <c r="G93" i="81"/>
  <c r="F93" i="81"/>
  <c r="V93" i="81" s="1"/>
  <c r="V93" i="82" s="1"/>
  <c r="F98" i="90" s="1"/>
  <c r="K92" i="81"/>
  <c r="E92" i="81" s="1"/>
  <c r="AA91" i="81"/>
  <c r="U91" i="81" s="1"/>
  <c r="E91" i="81"/>
  <c r="T89" i="81"/>
  <c r="S89" i="81"/>
  <c r="R89" i="81"/>
  <c r="P89" i="81"/>
  <c r="O89" i="81"/>
  <c r="N89" i="81"/>
  <c r="L89" i="81"/>
  <c r="H89" i="81"/>
  <c r="AB88" i="81"/>
  <c r="L88" i="82" s="1"/>
  <c r="AB88" i="82" s="1"/>
  <c r="L93" i="90" s="1"/>
  <c r="AB93" i="90" s="1"/>
  <c r="L93" i="93" s="1"/>
  <c r="AB93" i="93" s="1"/>
  <c r="L94" i="107" s="1"/>
  <c r="AB94" i="107" s="1"/>
  <c r="L95" i="108" s="1"/>
  <c r="AB95" i="108" s="1"/>
  <c r="L95" i="112" s="1"/>
  <c r="AB95" i="112" s="1"/>
  <c r="L95" i="113" s="1"/>
  <c r="AB95" i="113" s="1"/>
  <c r="L105" i="117" s="1"/>
  <c r="X88" i="81"/>
  <c r="H88" i="82" s="1"/>
  <c r="X88" i="82" s="1"/>
  <c r="H93" i="90" s="1"/>
  <c r="X93" i="90" s="1"/>
  <c r="H93" i="93" s="1"/>
  <c r="X93" i="93" s="1"/>
  <c r="H94" i="107" s="1"/>
  <c r="X94" i="107" s="1"/>
  <c r="H95" i="108" s="1"/>
  <c r="X95" i="108" s="1"/>
  <c r="H95" i="112" s="1"/>
  <c r="X95" i="112" s="1"/>
  <c r="H95" i="113" s="1"/>
  <c r="X95" i="113" s="1"/>
  <c r="H105" i="117" s="1"/>
  <c r="X105" i="117" s="1"/>
  <c r="H103" i="121" s="1"/>
  <c r="X103" i="121" s="1"/>
  <c r="H103" i="122" s="1"/>
  <c r="X103" i="122" s="1"/>
  <c r="M88" i="81"/>
  <c r="K88" i="81"/>
  <c r="AA88" i="81" s="1"/>
  <c r="K88" i="82" s="1"/>
  <c r="AA88" i="82" s="1"/>
  <c r="K93" i="90" s="1"/>
  <c r="AA93" i="90" s="1"/>
  <c r="K93" i="93" s="1"/>
  <c r="AA93" i="93" s="1"/>
  <c r="K94" i="107" s="1"/>
  <c r="AA94" i="107" s="1"/>
  <c r="K95" i="108" s="1"/>
  <c r="J88" i="81"/>
  <c r="Z88" i="81" s="1"/>
  <c r="J88" i="82" s="1"/>
  <c r="Z88" i="82" s="1"/>
  <c r="J93" i="90" s="1"/>
  <c r="Z93" i="90" s="1"/>
  <c r="J93" i="93" s="1"/>
  <c r="Z93" i="93" s="1"/>
  <c r="J94" i="107" s="1"/>
  <c r="Z94" i="107" s="1"/>
  <c r="J95" i="108" s="1"/>
  <c r="Z95" i="108" s="1"/>
  <c r="J95" i="112" s="1"/>
  <c r="Z95" i="112" s="1"/>
  <c r="J95" i="113" s="1"/>
  <c r="Z95" i="113" s="1"/>
  <c r="J105" i="117" s="1"/>
  <c r="Z105" i="117" s="1"/>
  <c r="J103" i="121" s="1"/>
  <c r="Z103" i="121" s="1"/>
  <c r="J103" i="122" s="1"/>
  <c r="Z103" i="122" s="1"/>
  <c r="G88" i="81"/>
  <c r="W88" i="81" s="1"/>
  <c r="G88" i="82" s="1"/>
  <c r="W88" i="82" s="1"/>
  <c r="G90" i="90" s="1"/>
  <c r="W90" i="90" s="1"/>
  <c r="G90" i="93" s="1"/>
  <c r="W90" i="93" s="1"/>
  <c r="G91" i="107" s="1"/>
  <c r="W91" i="107" s="1"/>
  <c r="G92" i="108" s="1"/>
  <c r="W92" i="108" s="1"/>
  <c r="G92" i="112" s="1"/>
  <c r="W92" i="112" s="1"/>
  <c r="G92" i="113" s="1"/>
  <c r="W92" i="113" s="1"/>
  <c r="G102" i="117" s="1"/>
  <c r="W102" i="117" s="1"/>
  <c r="G100" i="121" s="1"/>
  <c r="W100" i="121" s="1"/>
  <c r="G100" i="122" s="1"/>
  <c r="W100" i="122" s="1"/>
  <c r="F88" i="81"/>
  <c r="V88" i="81" s="1"/>
  <c r="V88" i="82" s="1"/>
  <c r="F93" i="90" s="1"/>
  <c r="V93" i="90" s="1"/>
  <c r="F93" i="93" s="1"/>
  <c r="V93" i="93" s="1"/>
  <c r="F94" i="107" s="1"/>
  <c r="V94" i="107" s="1"/>
  <c r="F95" i="108" s="1"/>
  <c r="V95" i="108" s="1"/>
  <c r="F95" i="112" s="1"/>
  <c r="V95" i="112" s="1"/>
  <c r="F95" i="113" s="1"/>
  <c r="V95" i="113" s="1"/>
  <c r="F105" i="117" s="1"/>
  <c r="V105" i="117" s="1"/>
  <c r="F103" i="121" s="1"/>
  <c r="V103" i="121" s="1"/>
  <c r="F103" i="122" s="1"/>
  <c r="V103" i="122" s="1"/>
  <c r="AB87" i="81"/>
  <c r="L87" i="82" s="1"/>
  <c r="AB87" i="82" s="1"/>
  <c r="L92" i="90" s="1"/>
  <c r="AB92" i="90" s="1"/>
  <c r="L92" i="93" s="1"/>
  <c r="AB92" i="93" s="1"/>
  <c r="L93" i="107" s="1"/>
  <c r="AB93" i="107" s="1"/>
  <c r="L94" i="108" s="1"/>
  <c r="AB94" i="108" s="1"/>
  <c r="L94" i="112" s="1"/>
  <c r="AB94" i="112" s="1"/>
  <c r="L94" i="113" s="1"/>
  <c r="AB94" i="113" s="1"/>
  <c r="L104" i="117" s="1"/>
  <c r="X87" i="81"/>
  <c r="H87" i="82" s="1"/>
  <c r="X87" i="82" s="1"/>
  <c r="H92" i="90" s="1"/>
  <c r="X92" i="90" s="1"/>
  <c r="H92" i="93" s="1"/>
  <c r="X92" i="93" s="1"/>
  <c r="H93" i="107" s="1"/>
  <c r="X93" i="107" s="1"/>
  <c r="H94" i="108" s="1"/>
  <c r="X94" i="108" s="1"/>
  <c r="H94" i="112" s="1"/>
  <c r="X94" i="112" s="1"/>
  <c r="H94" i="113" s="1"/>
  <c r="X94" i="113" s="1"/>
  <c r="H104" i="117" s="1"/>
  <c r="X104" i="117" s="1"/>
  <c r="H102" i="121" s="1"/>
  <c r="X102" i="121" s="1"/>
  <c r="H102" i="122" s="1"/>
  <c r="X102" i="122" s="1"/>
  <c r="M87" i="81"/>
  <c r="K87" i="81"/>
  <c r="AA87" i="81" s="1"/>
  <c r="K87" i="82" s="1"/>
  <c r="AA87" i="82" s="1"/>
  <c r="K92" i="90" s="1"/>
  <c r="AA92" i="90" s="1"/>
  <c r="K92" i="93" s="1"/>
  <c r="AA92" i="93" s="1"/>
  <c r="K93" i="107" s="1"/>
  <c r="AA93" i="107" s="1"/>
  <c r="K94" i="108" s="1"/>
  <c r="J87" i="81"/>
  <c r="G87" i="81"/>
  <c r="W87" i="81" s="1"/>
  <c r="G87" i="82" s="1"/>
  <c r="W87" i="82" s="1"/>
  <c r="G89" i="90" s="1"/>
  <c r="W89" i="90" s="1"/>
  <c r="G89" i="93" s="1"/>
  <c r="W89" i="93" s="1"/>
  <c r="G90" i="107" s="1"/>
  <c r="W90" i="107" s="1"/>
  <c r="G91" i="108" s="1"/>
  <c r="W91" i="108" s="1"/>
  <c r="G91" i="112" s="1"/>
  <c r="W91" i="112" s="1"/>
  <c r="G91" i="113" s="1"/>
  <c r="W91" i="113" s="1"/>
  <c r="G101" i="117" s="1"/>
  <c r="W101" i="117" s="1"/>
  <c r="G99" i="121" s="1"/>
  <c r="W99" i="121" s="1"/>
  <c r="G99" i="122" s="1"/>
  <c r="W99" i="122" s="1"/>
  <c r="F87" i="81"/>
  <c r="V87" i="81" s="1"/>
  <c r="V87" i="82" s="1"/>
  <c r="F92" i="90" s="1"/>
  <c r="V92" i="90" s="1"/>
  <c r="F92" i="93" s="1"/>
  <c r="V92" i="93" s="1"/>
  <c r="F93" i="107" s="1"/>
  <c r="V93" i="107" s="1"/>
  <c r="F94" i="108" s="1"/>
  <c r="V94" i="108" s="1"/>
  <c r="F94" i="112" s="1"/>
  <c r="V94" i="112" s="1"/>
  <c r="F94" i="113" s="1"/>
  <c r="V94" i="113" s="1"/>
  <c r="F104" i="117" s="1"/>
  <c r="V104" i="117" s="1"/>
  <c r="F102" i="121" s="1"/>
  <c r="V102" i="121" s="1"/>
  <c r="F102" i="122" s="1"/>
  <c r="V102" i="122" s="1"/>
  <c r="AB86" i="81"/>
  <c r="L86" i="82" s="1"/>
  <c r="AB86" i="82" s="1"/>
  <c r="L91" i="90" s="1"/>
  <c r="AB91" i="90" s="1"/>
  <c r="L91" i="93" s="1"/>
  <c r="AB91" i="93" s="1"/>
  <c r="L92" i="107" s="1"/>
  <c r="AB92" i="107" s="1"/>
  <c r="L93" i="108" s="1"/>
  <c r="AB93" i="108" s="1"/>
  <c r="L93" i="112" s="1"/>
  <c r="AB93" i="112" s="1"/>
  <c r="L93" i="113" s="1"/>
  <c r="AB93" i="113" s="1"/>
  <c r="L103" i="117" s="1"/>
  <c r="X86" i="81"/>
  <c r="H86" i="82" s="1"/>
  <c r="X86" i="82" s="1"/>
  <c r="H91" i="90" s="1"/>
  <c r="X91" i="90" s="1"/>
  <c r="H91" i="93" s="1"/>
  <c r="X91" i="93" s="1"/>
  <c r="H92" i="107" s="1"/>
  <c r="X92" i="107" s="1"/>
  <c r="H93" i="108" s="1"/>
  <c r="X93" i="108" s="1"/>
  <c r="H93" i="112" s="1"/>
  <c r="X93" i="112" s="1"/>
  <c r="H93" i="113" s="1"/>
  <c r="X93" i="113" s="1"/>
  <c r="H103" i="117" s="1"/>
  <c r="X103" i="117" s="1"/>
  <c r="H101" i="121" s="1"/>
  <c r="X101" i="121" s="1"/>
  <c r="H101" i="122" s="1"/>
  <c r="X101" i="122" s="1"/>
  <c r="M86" i="81"/>
  <c r="K86" i="81"/>
  <c r="AA86" i="81" s="1"/>
  <c r="K86" i="82" s="1"/>
  <c r="AA86" i="82" s="1"/>
  <c r="K91" i="90" s="1"/>
  <c r="AA91" i="90" s="1"/>
  <c r="K91" i="93" s="1"/>
  <c r="AA91" i="93" s="1"/>
  <c r="K92" i="107" s="1"/>
  <c r="AA92" i="107" s="1"/>
  <c r="K93" i="108" s="1"/>
  <c r="J86" i="81"/>
  <c r="Z86" i="81" s="1"/>
  <c r="J86" i="82" s="1"/>
  <c r="Z86" i="82" s="1"/>
  <c r="J91" i="90" s="1"/>
  <c r="Z91" i="90" s="1"/>
  <c r="J91" i="93" s="1"/>
  <c r="Z91" i="93" s="1"/>
  <c r="J92" i="107" s="1"/>
  <c r="Z92" i="107" s="1"/>
  <c r="J93" i="108" s="1"/>
  <c r="Z93" i="108" s="1"/>
  <c r="J93" i="112" s="1"/>
  <c r="Z93" i="112" s="1"/>
  <c r="J93" i="113" s="1"/>
  <c r="Z93" i="113" s="1"/>
  <c r="J103" i="117" s="1"/>
  <c r="Z103" i="117" s="1"/>
  <c r="J101" i="121" s="1"/>
  <c r="Z101" i="121" s="1"/>
  <c r="J101" i="122" s="1"/>
  <c r="Z101" i="122" s="1"/>
  <c r="G86" i="81"/>
  <c r="F86" i="81"/>
  <c r="V86" i="81" s="1"/>
  <c r="V86" i="82" s="1"/>
  <c r="F91" i="90" s="1"/>
  <c r="V91" i="90" s="1"/>
  <c r="F91" i="93" s="1"/>
  <c r="V91" i="93" s="1"/>
  <c r="F92" i="107" s="1"/>
  <c r="V92" i="107" s="1"/>
  <c r="F93" i="108" s="1"/>
  <c r="V93" i="108" s="1"/>
  <c r="F93" i="112" s="1"/>
  <c r="V93" i="112" s="1"/>
  <c r="F93" i="113" s="1"/>
  <c r="V93" i="113" s="1"/>
  <c r="F103" i="117" s="1"/>
  <c r="V103" i="117" s="1"/>
  <c r="F101" i="121" s="1"/>
  <c r="V101" i="121" s="1"/>
  <c r="F101" i="122" s="1"/>
  <c r="V101" i="122" s="1"/>
  <c r="AB85" i="81"/>
  <c r="L85" i="82" s="1"/>
  <c r="AB85" i="82" s="1"/>
  <c r="L90" i="90" s="1"/>
  <c r="AB90" i="90" s="1"/>
  <c r="L90" i="93" s="1"/>
  <c r="AB90" i="93" s="1"/>
  <c r="L91" i="107" s="1"/>
  <c r="AB91" i="107" s="1"/>
  <c r="L92" i="108" s="1"/>
  <c r="AB92" i="108" s="1"/>
  <c r="L92" i="112" s="1"/>
  <c r="AB92" i="112" s="1"/>
  <c r="L92" i="113" s="1"/>
  <c r="AB92" i="113" s="1"/>
  <c r="L102" i="117" s="1"/>
  <c r="X85" i="81"/>
  <c r="H85" i="82" s="1"/>
  <c r="X85" i="82" s="1"/>
  <c r="H90" i="90" s="1"/>
  <c r="X90" i="90" s="1"/>
  <c r="H90" i="93" s="1"/>
  <c r="X90" i="93" s="1"/>
  <c r="H91" i="107" s="1"/>
  <c r="X91" i="107" s="1"/>
  <c r="H92" i="108" s="1"/>
  <c r="X92" i="108" s="1"/>
  <c r="H92" i="112" s="1"/>
  <c r="X92" i="112" s="1"/>
  <c r="H92" i="113" s="1"/>
  <c r="X92" i="113" s="1"/>
  <c r="H102" i="117" s="1"/>
  <c r="X102" i="117" s="1"/>
  <c r="H100" i="121" s="1"/>
  <c r="X100" i="121" s="1"/>
  <c r="H100" i="122" s="1"/>
  <c r="X100" i="122" s="1"/>
  <c r="M85" i="81"/>
  <c r="K85" i="81"/>
  <c r="AA85" i="81" s="1"/>
  <c r="K85" i="82" s="1"/>
  <c r="AA85" i="82" s="1"/>
  <c r="K90" i="90" s="1"/>
  <c r="AA90" i="90" s="1"/>
  <c r="K90" i="93" s="1"/>
  <c r="AA90" i="93" s="1"/>
  <c r="K91" i="107" s="1"/>
  <c r="AA91" i="107" s="1"/>
  <c r="K92" i="108" s="1"/>
  <c r="J85" i="81"/>
  <c r="G85" i="81"/>
  <c r="W85" i="81" s="1"/>
  <c r="G85" i="82" s="1"/>
  <c r="W85" i="82" s="1"/>
  <c r="G87" i="90" s="1"/>
  <c r="W87" i="90" s="1"/>
  <c r="G87" i="93" s="1"/>
  <c r="W87" i="93" s="1"/>
  <c r="G88" i="107" s="1"/>
  <c r="W88" i="107" s="1"/>
  <c r="G89" i="108" s="1"/>
  <c r="W89" i="108" s="1"/>
  <c r="G89" i="112" s="1"/>
  <c r="W89" i="112" s="1"/>
  <c r="G89" i="113" s="1"/>
  <c r="W89" i="113" s="1"/>
  <c r="G99" i="117" s="1"/>
  <c r="W99" i="117" s="1"/>
  <c r="G97" i="121" s="1"/>
  <c r="W97" i="121" s="1"/>
  <c r="G97" i="122" s="1"/>
  <c r="W97" i="122" s="1"/>
  <c r="F85" i="81"/>
  <c r="V85" i="81" s="1"/>
  <c r="V85" i="82" s="1"/>
  <c r="F90" i="90" s="1"/>
  <c r="V90" i="90" s="1"/>
  <c r="F90" i="93" s="1"/>
  <c r="V90" i="93" s="1"/>
  <c r="F91" i="107" s="1"/>
  <c r="V91" i="107" s="1"/>
  <c r="F92" i="108" s="1"/>
  <c r="V92" i="108" s="1"/>
  <c r="F92" i="112" s="1"/>
  <c r="V92" i="112" s="1"/>
  <c r="F92" i="113" s="1"/>
  <c r="V92" i="113" s="1"/>
  <c r="F102" i="117" s="1"/>
  <c r="V102" i="117" s="1"/>
  <c r="F100" i="121" s="1"/>
  <c r="V100" i="121" s="1"/>
  <c r="F100" i="122" s="1"/>
  <c r="V100" i="122" s="1"/>
  <c r="AB84" i="81"/>
  <c r="L84" i="82" s="1"/>
  <c r="AB84" i="82" s="1"/>
  <c r="L89" i="90" s="1"/>
  <c r="AB89" i="90" s="1"/>
  <c r="L89" i="93" s="1"/>
  <c r="AB89" i="93" s="1"/>
  <c r="L90" i="107" s="1"/>
  <c r="AB90" i="107" s="1"/>
  <c r="L91" i="108" s="1"/>
  <c r="AB91" i="108" s="1"/>
  <c r="L91" i="112" s="1"/>
  <c r="AB91" i="112" s="1"/>
  <c r="L91" i="113" s="1"/>
  <c r="AB91" i="113" s="1"/>
  <c r="L101" i="117" s="1"/>
  <c r="X84" i="81"/>
  <c r="H84" i="82" s="1"/>
  <c r="X84" i="82" s="1"/>
  <c r="H89" i="90" s="1"/>
  <c r="X89" i="90" s="1"/>
  <c r="H89" i="93" s="1"/>
  <c r="X89" i="93" s="1"/>
  <c r="H90" i="107" s="1"/>
  <c r="X90" i="107" s="1"/>
  <c r="H91" i="108" s="1"/>
  <c r="X91" i="108" s="1"/>
  <c r="H91" i="112" s="1"/>
  <c r="X91" i="112" s="1"/>
  <c r="H91" i="113" s="1"/>
  <c r="X91" i="113" s="1"/>
  <c r="H101" i="117" s="1"/>
  <c r="X101" i="117" s="1"/>
  <c r="H99" i="121" s="1"/>
  <c r="X99" i="121" s="1"/>
  <c r="H99" i="122" s="1"/>
  <c r="X99" i="122" s="1"/>
  <c r="M84" i="81"/>
  <c r="K84" i="81"/>
  <c r="AA84" i="81" s="1"/>
  <c r="K84" i="82" s="1"/>
  <c r="AA84" i="82" s="1"/>
  <c r="K89" i="90" s="1"/>
  <c r="AA89" i="90" s="1"/>
  <c r="K89" i="93" s="1"/>
  <c r="AA89" i="93" s="1"/>
  <c r="K90" i="107" s="1"/>
  <c r="AA90" i="107" s="1"/>
  <c r="K91" i="108" s="1"/>
  <c r="J84" i="81"/>
  <c r="Z84" i="81" s="1"/>
  <c r="J84" i="82" s="1"/>
  <c r="Z84" i="82" s="1"/>
  <c r="J89" i="90" s="1"/>
  <c r="Z89" i="90" s="1"/>
  <c r="J89" i="93" s="1"/>
  <c r="Z89" i="93" s="1"/>
  <c r="J90" i="107" s="1"/>
  <c r="Z90" i="107" s="1"/>
  <c r="J91" i="108" s="1"/>
  <c r="Z91" i="108" s="1"/>
  <c r="J91" i="112" s="1"/>
  <c r="Z91" i="112" s="1"/>
  <c r="J91" i="113" s="1"/>
  <c r="Z91" i="113" s="1"/>
  <c r="J101" i="117" s="1"/>
  <c r="Z101" i="117" s="1"/>
  <c r="J99" i="121" s="1"/>
  <c r="Z99" i="121" s="1"/>
  <c r="J99" i="122" s="1"/>
  <c r="Z99" i="122" s="1"/>
  <c r="G84" i="81"/>
  <c r="W84" i="81" s="1"/>
  <c r="G84" i="82" s="1"/>
  <c r="W84" i="82" s="1"/>
  <c r="G86" i="90" s="1"/>
  <c r="W86" i="90" s="1"/>
  <c r="G86" i="93" s="1"/>
  <c r="W86" i="93" s="1"/>
  <c r="G87" i="107" s="1"/>
  <c r="W87" i="107" s="1"/>
  <c r="G88" i="108" s="1"/>
  <c r="W88" i="108" s="1"/>
  <c r="G88" i="112" s="1"/>
  <c r="W88" i="112" s="1"/>
  <c r="G88" i="113" s="1"/>
  <c r="W88" i="113" s="1"/>
  <c r="G98" i="117" s="1"/>
  <c r="W98" i="117" s="1"/>
  <c r="G96" i="121" s="1"/>
  <c r="W96" i="121" s="1"/>
  <c r="G96" i="122" s="1"/>
  <c r="W96" i="122" s="1"/>
  <c r="F84" i="81"/>
  <c r="V84" i="81" s="1"/>
  <c r="V84" i="82" s="1"/>
  <c r="F89" i="90" s="1"/>
  <c r="V89" i="90" s="1"/>
  <c r="F89" i="93" s="1"/>
  <c r="V89" i="93" s="1"/>
  <c r="F90" i="107" s="1"/>
  <c r="V90" i="107" s="1"/>
  <c r="F91" i="108" s="1"/>
  <c r="V91" i="108" s="1"/>
  <c r="F91" i="112" s="1"/>
  <c r="V91" i="112" s="1"/>
  <c r="F91" i="113" s="1"/>
  <c r="V91" i="113" s="1"/>
  <c r="F101" i="117" s="1"/>
  <c r="V101" i="117" s="1"/>
  <c r="F99" i="121" s="1"/>
  <c r="V99" i="121" s="1"/>
  <c r="F99" i="122" s="1"/>
  <c r="V99" i="122" s="1"/>
  <c r="AB83" i="81"/>
  <c r="L83" i="82" s="1"/>
  <c r="AB83" i="82" s="1"/>
  <c r="L88" i="90" s="1"/>
  <c r="AB88" i="90" s="1"/>
  <c r="L88" i="93" s="1"/>
  <c r="AB88" i="93" s="1"/>
  <c r="L89" i="107" s="1"/>
  <c r="AB89" i="107" s="1"/>
  <c r="L90" i="108" s="1"/>
  <c r="AB90" i="108" s="1"/>
  <c r="L90" i="112" s="1"/>
  <c r="AB90" i="112" s="1"/>
  <c r="L90" i="113" s="1"/>
  <c r="AB90" i="113" s="1"/>
  <c r="L100" i="117" s="1"/>
  <c r="X83" i="81"/>
  <c r="M83" i="81"/>
  <c r="K83" i="81"/>
  <c r="AA83" i="81" s="1"/>
  <c r="K83" i="82" s="1"/>
  <c r="AA83" i="82" s="1"/>
  <c r="K88" i="90" s="1"/>
  <c r="AA88" i="90" s="1"/>
  <c r="K88" i="93" s="1"/>
  <c r="AA88" i="93" s="1"/>
  <c r="K89" i="107" s="1"/>
  <c r="AA89" i="107" s="1"/>
  <c r="K90" i="108" s="1"/>
  <c r="J83" i="81"/>
  <c r="G83" i="81"/>
  <c r="W83" i="81" s="1"/>
  <c r="G83" i="82" s="1"/>
  <c r="W83" i="82" s="1"/>
  <c r="G85" i="90" s="1"/>
  <c r="W85" i="90" s="1"/>
  <c r="G85" i="93" s="1"/>
  <c r="W85" i="93" s="1"/>
  <c r="G86" i="107" s="1"/>
  <c r="W86" i="107" s="1"/>
  <c r="G87" i="108" s="1"/>
  <c r="W87" i="108" s="1"/>
  <c r="G87" i="112" s="1"/>
  <c r="W87" i="112" s="1"/>
  <c r="G87" i="113" s="1"/>
  <c r="W87" i="113" s="1"/>
  <c r="G97" i="117" s="1"/>
  <c r="W97" i="117" s="1"/>
  <c r="G95" i="121" s="1"/>
  <c r="W95" i="121" s="1"/>
  <c r="G95" i="122" s="1"/>
  <c r="W95" i="122" s="1"/>
  <c r="F83" i="81"/>
  <c r="AB82" i="81"/>
  <c r="X82" i="81"/>
  <c r="H82" i="82" s="1"/>
  <c r="X82" i="82" s="1"/>
  <c r="H87" i="90" s="1"/>
  <c r="X87" i="90" s="1"/>
  <c r="H87" i="93" s="1"/>
  <c r="X87" i="93" s="1"/>
  <c r="H88" i="107" s="1"/>
  <c r="X88" i="107" s="1"/>
  <c r="H89" i="108" s="1"/>
  <c r="X89" i="108" s="1"/>
  <c r="H89" i="112" s="1"/>
  <c r="X89" i="112" s="1"/>
  <c r="H89" i="113" s="1"/>
  <c r="X89" i="113" s="1"/>
  <c r="H99" i="117" s="1"/>
  <c r="X99" i="117" s="1"/>
  <c r="H97" i="121" s="1"/>
  <c r="X97" i="121" s="1"/>
  <c r="H97" i="122" s="1"/>
  <c r="X97" i="122" s="1"/>
  <c r="M82" i="81"/>
  <c r="K82" i="81"/>
  <c r="J82" i="81"/>
  <c r="Z82" i="81" s="1"/>
  <c r="J82" i="82" s="1"/>
  <c r="Z82" i="82" s="1"/>
  <c r="J87" i="90" s="1"/>
  <c r="Z87" i="90" s="1"/>
  <c r="J87" i="93" s="1"/>
  <c r="Z87" i="93" s="1"/>
  <c r="J88" i="107" s="1"/>
  <c r="Z88" i="107" s="1"/>
  <c r="J89" i="108" s="1"/>
  <c r="Z89" i="108" s="1"/>
  <c r="J89" i="112" s="1"/>
  <c r="Z89" i="112" s="1"/>
  <c r="J89" i="113" s="1"/>
  <c r="Z89" i="113" s="1"/>
  <c r="J99" i="117" s="1"/>
  <c r="Z99" i="117" s="1"/>
  <c r="J97" i="121" s="1"/>
  <c r="Z97" i="121" s="1"/>
  <c r="J97" i="122" s="1"/>
  <c r="Z97" i="122" s="1"/>
  <c r="G82" i="81"/>
  <c r="F82" i="81"/>
  <c r="V82" i="81" s="1"/>
  <c r="T81" i="81"/>
  <c r="S81" i="81"/>
  <c r="R81" i="81"/>
  <c r="P81" i="81"/>
  <c r="P90" i="81" s="1"/>
  <c r="O81" i="81"/>
  <c r="N81" i="81"/>
  <c r="H81" i="81"/>
  <c r="X80" i="81"/>
  <c r="H80" i="82" s="1"/>
  <c r="X80" i="82" s="1"/>
  <c r="H85" i="90" s="1"/>
  <c r="X85" i="90" s="1"/>
  <c r="H85" i="93" s="1"/>
  <c r="X85" i="93" s="1"/>
  <c r="H86" i="107" s="1"/>
  <c r="X86" i="107" s="1"/>
  <c r="H87" i="108" s="1"/>
  <c r="X87" i="108" s="1"/>
  <c r="H87" i="112" s="1"/>
  <c r="X87" i="112" s="1"/>
  <c r="H87" i="113" s="1"/>
  <c r="X87" i="113" s="1"/>
  <c r="H97" i="117" s="1"/>
  <c r="X97" i="117" s="1"/>
  <c r="H95" i="121" s="1"/>
  <c r="X95" i="121" s="1"/>
  <c r="H95" i="122" s="1"/>
  <c r="X95" i="122" s="1"/>
  <c r="M80" i="81"/>
  <c r="L80" i="81"/>
  <c r="K80" i="81"/>
  <c r="AA80" i="81" s="1"/>
  <c r="K80" i="82" s="1"/>
  <c r="AA80" i="82" s="1"/>
  <c r="K85" i="90" s="1"/>
  <c r="AA85" i="90" s="1"/>
  <c r="K85" i="93" s="1"/>
  <c r="AA85" i="93" s="1"/>
  <c r="K86" i="107" s="1"/>
  <c r="AA86" i="107" s="1"/>
  <c r="K87" i="108" s="1"/>
  <c r="AA87" i="108" s="1"/>
  <c r="K87" i="112" s="1"/>
  <c r="AA87" i="112" s="1"/>
  <c r="K87" i="113" s="1"/>
  <c r="AA87" i="113" s="1"/>
  <c r="K97" i="117" s="1"/>
  <c r="AA97" i="117" s="1"/>
  <c r="K95" i="121" s="1"/>
  <c r="AA95" i="121" s="1"/>
  <c r="K95" i="122" s="1"/>
  <c r="AA95" i="122" s="1"/>
  <c r="J80" i="81"/>
  <c r="Z80" i="81" s="1"/>
  <c r="J80" i="82" s="1"/>
  <c r="Z80" i="82" s="1"/>
  <c r="J85" i="90" s="1"/>
  <c r="Z85" i="90" s="1"/>
  <c r="J85" i="93" s="1"/>
  <c r="Z85" i="93" s="1"/>
  <c r="J86" i="107" s="1"/>
  <c r="Z86" i="107" s="1"/>
  <c r="J87" i="108" s="1"/>
  <c r="Z87" i="108" s="1"/>
  <c r="J87" i="112" s="1"/>
  <c r="Z87" i="112" s="1"/>
  <c r="J87" i="113" s="1"/>
  <c r="Z87" i="113" s="1"/>
  <c r="J97" i="117" s="1"/>
  <c r="Z97" i="117" s="1"/>
  <c r="J95" i="121" s="1"/>
  <c r="Z95" i="121" s="1"/>
  <c r="J95" i="122" s="1"/>
  <c r="Z95" i="122" s="1"/>
  <c r="G80" i="81"/>
  <c r="W80" i="81" s="1"/>
  <c r="G80" i="82" s="1"/>
  <c r="W80" i="82" s="1"/>
  <c r="G82" i="90" s="1"/>
  <c r="W82" i="90" s="1"/>
  <c r="G82" i="93" s="1"/>
  <c r="W82" i="93" s="1"/>
  <c r="G83" i="107" s="1"/>
  <c r="W83" i="107" s="1"/>
  <c r="G84" i="108" s="1"/>
  <c r="W84" i="108" s="1"/>
  <c r="G84" i="112" s="1"/>
  <c r="W84" i="112" s="1"/>
  <c r="G84" i="113" s="1"/>
  <c r="W84" i="113" s="1"/>
  <c r="G94" i="117" s="1"/>
  <c r="W94" i="117" s="1"/>
  <c r="G92" i="121" s="1"/>
  <c r="W92" i="121" s="1"/>
  <c r="G92" i="122" s="1"/>
  <c r="W92" i="122" s="1"/>
  <c r="F80" i="81"/>
  <c r="V80" i="81" s="1"/>
  <c r="V80" i="82" s="1"/>
  <c r="F85" i="90" s="1"/>
  <c r="V85" i="90" s="1"/>
  <c r="F85" i="93" s="1"/>
  <c r="V85" i="93" s="1"/>
  <c r="F86" i="107" s="1"/>
  <c r="V86" i="107" s="1"/>
  <c r="F87" i="108" s="1"/>
  <c r="V87" i="108" s="1"/>
  <c r="F87" i="112" s="1"/>
  <c r="V87" i="112" s="1"/>
  <c r="F87" i="113" s="1"/>
  <c r="V87" i="113" s="1"/>
  <c r="F97" i="117" s="1"/>
  <c r="V97" i="117" s="1"/>
  <c r="F95" i="121" s="1"/>
  <c r="V95" i="121" s="1"/>
  <c r="F95" i="122" s="1"/>
  <c r="V95" i="122" s="1"/>
  <c r="X79" i="81"/>
  <c r="H79" i="82" s="1"/>
  <c r="X79" i="82" s="1"/>
  <c r="H84" i="90" s="1"/>
  <c r="X84" i="90" s="1"/>
  <c r="H84" i="93" s="1"/>
  <c r="X84" i="93" s="1"/>
  <c r="H85" i="107" s="1"/>
  <c r="X85" i="107" s="1"/>
  <c r="H86" i="108" s="1"/>
  <c r="X86" i="108" s="1"/>
  <c r="H86" i="112" s="1"/>
  <c r="X86" i="112" s="1"/>
  <c r="H86" i="113" s="1"/>
  <c r="X86" i="113" s="1"/>
  <c r="H96" i="117" s="1"/>
  <c r="X96" i="117" s="1"/>
  <c r="H94" i="121" s="1"/>
  <c r="X94" i="121" s="1"/>
  <c r="H94" i="122" s="1"/>
  <c r="X94" i="122" s="1"/>
  <c r="M79" i="81"/>
  <c r="L79" i="81"/>
  <c r="AB79" i="81" s="1"/>
  <c r="L79" i="82" s="1"/>
  <c r="AB79" i="82" s="1"/>
  <c r="L84" i="90" s="1"/>
  <c r="AB84" i="90" s="1"/>
  <c r="L84" i="93" s="1"/>
  <c r="AB84" i="93" s="1"/>
  <c r="L85" i="107" s="1"/>
  <c r="AB85" i="107" s="1"/>
  <c r="L86" i="108" s="1"/>
  <c r="K79" i="81"/>
  <c r="AA79" i="81" s="1"/>
  <c r="K79" i="82" s="1"/>
  <c r="AA79" i="82" s="1"/>
  <c r="K84" i="90" s="1"/>
  <c r="AA84" i="90" s="1"/>
  <c r="K84" i="93" s="1"/>
  <c r="AA84" i="93" s="1"/>
  <c r="K85" i="107" s="1"/>
  <c r="AA85" i="107" s="1"/>
  <c r="K86" i="108" s="1"/>
  <c r="AA86" i="108" s="1"/>
  <c r="K86" i="112" s="1"/>
  <c r="AA86" i="112" s="1"/>
  <c r="K86" i="113" s="1"/>
  <c r="AA86" i="113" s="1"/>
  <c r="K96" i="117" s="1"/>
  <c r="AA96" i="117" s="1"/>
  <c r="K94" i="121" s="1"/>
  <c r="AA94" i="121" s="1"/>
  <c r="K94" i="122" s="1"/>
  <c r="AA94" i="122" s="1"/>
  <c r="J79" i="81"/>
  <c r="Z79" i="81" s="1"/>
  <c r="J79" i="82" s="1"/>
  <c r="Z79" i="82" s="1"/>
  <c r="J84" i="90" s="1"/>
  <c r="Z84" i="90" s="1"/>
  <c r="J84" i="93" s="1"/>
  <c r="Z84" i="93" s="1"/>
  <c r="J85" i="107" s="1"/>
  <c r="Z85" i="107" s="1"/>
  <c r="J86" i="108" s="1"/>
  <c r="Z86" i="108" s="1"/>
  <c r="J86" i="112" s="1"/>
  <c r="Z86" i="112" s="1"/>
  <c r="J86" i="113" s="1"/>
  <c r="Z86" i="113" s="1"/>
  <c r="J96" i="117" s="1"/>
  <c r="Z96" i="117" s="1"/>
  <c r="J94" i="121" s="1"/>
  <c r="Z94" i="121" s="1"/>
  <c r="J94" i="122" s="1"/>
  <c r="Z94" i="122" s="1"/>
  <c r="G79" i="81"/>
  <c r="W79" i="81" s="1"/>
  <c r="G79" i="82" s="1"/>
  <c r="W79" i="82" s="1"/>
  <c r="G81" i="90" s="1"/>
  <c r="W81" i="90" s="1"/>
  <c r="G81" i="93" s="1"/>
  <c r="W81" i="93" s="1"/>
  <c r="G82" i="107" s="1"/>
  <c r="W82" i="107" s="1"/>
  <c r="G83" i="108" s="1"/>
  <c r="W83" i="108" s="1"/>
  <c r="G83" i="112" s="1"/>
  <c r="W83" i="112" s="1"/>
  <c r="G83" i="113" s="1"/>
  <c r="W83" i="113" s="1"/>
  <c r="G93" i="117" s="1"/>
  <c r="W93" i="117" s="1"/>
  <c r="G91" i="121" s="1"/>
  <c r="W91" i="121" s="1"/>
  <c r="G91" i="122" s="1"/>
  <c r="W91" i="122" s="1"/>
  <c r="F79" i="81"/>
  <c r="V79" i="81" s="1"/>
  <c r="X78" i="81"/>
  <c r="H78" i="82" s="1"/>
  <c r="X78" i="82" s="1"/>
  <c r="H83" i="90" s="1"/>
  <c r="X83" i="90" s="1"/>
  <c r="H83" i="93" s="1"/>
  <c r="X83" i="93" s="1"/>
  <c r="H84" i="107" s="1"/>
  <c r="X84" i="107" s="1"/>
  <c r="H85" i="108" s="1"/>
  <c r="X85" i="108" s="1"/>
  <c r="H85" i="112" s="1"/>
  <c r="X85" i="112" s="1"/>
  <c r="H85" i="113" s="1"/>
  <c r="X85" i="113" s="1"/>
  <c r="H95" i="117" s="1"/>
  <c r="X95" i="117" s="1"/>
  <c r="H93" i="121" s="1"/>
  <c r="X93" i="121" s="1"/>
  <c r="H93" i="122" s="1"/>
  <c r="X93" i="122" s="1"/>
  <c r="M78" i="81"/>
  <c r="L78" i="81"/>
  <c r="K78" i="81"/>
  <c r="AA78" i="81" s="1"/>
  <c r="K78" i="82" s="1"/>
  <c r="AA78" i="82" s="1"/>
  <c r="K83" i="90" s="1"/>
  <c r="AA83" i="90" s="1"/>
  <c r="K83" i="93" s="1"/>
  <c r="AA83" i="93" s="1"/>
  <c r="K84" i="107" s="1"/>
  <c r="AA84" i="107" s="1"/>
  <c r="K85" i="108" s="1"/>
  <c r="AA85" i="108" s="1"/>
  <c r="K85" i="112" s="1"/>
  <c r="AA85" i="112" s="1"/>
  <c r="K85" i="113" s="1"/>
  <c r="AA85" i="113" s="1"/>
  <c r="K95" i="117" s="1"/>
  <c r="AA95" i="117" s="1"/>
  <c r="K93" i="121" s="1"/>
  <c r="AA93" i="121" s="1"/>
  <c r="K93" i="122" s="1"/>
  <c r="AA93" i="122" s="1"/>
  <c r="J78" i="81"/>
  <c r="Z78" i="81" s="1"/>
  <c r="J78" i="82" s="1"/>
  <c r="Z78" i="82" s="1"/>
  <c r="J83" i="90" s="1"/>
  <c r="Z83" i="90" s="1"/>
  <c r="J83" i="93" s="1"/>
  <c r="Z83" i="93" s="1"/>
  <c r="J84" i="107" s="1"/>
  <c r="Z84" i="107" s="1"/>
  <c r="J85" i="108" s="1"/>
  <c r="Z85" i="108" s="1"/>
  <c r="J85" i="112" s="1"/>
  <c r="Z85" i="112" s="1"/>
  <c r="J85" i="113" s="1"/>
  <c r="Z85" i="113" s="1"/>
  <c r="J95" i="117" s="1"/>
  <c r="Z95" i="117" s="1"/>
  <c r="J93" i="121" s="1"/>
  <c r="Z93" i="121" s="1"/>
  <c r="J93" i="122" s="1"/>
  <c r="Z93" i="122" s="1"/>
  <c r="G78" i="81"/>
  <c r="W78" i="81" s="1"/>
  <c r="G78" i="82" s="1"/>
  <c r="W78" i="82" s="1"/>
  <c r="G80" i="90" s="1"/>
  <c r="W80" i="90" s="1"/>
  <c r="G80" i="93" s="1"/>
  <c r="W80" i="93" s="1"/>
  <c r="G81" i="107" s="1"/>
  <c r="W81" i="107" s="1"/>
  <c r="G82" i="108" s="1"/>
  <c r="W82" i="108" s="1"/>
  <c r="G82" i="112" s="1"/>
  <c r="W82" i="112" s="1"/>
  <c r="G82" i="113" s="1"/>
  <c r="W82" i="113" s="1"/>
  <c r="G92" i="117" s="1"/>
  <c r="W92" i="117" s="1"/>
  <c r="G90" i="121" s="1"/>
  <c r="W90" i="121" s="1"/>
  <c r="G90" i="122" s="1"/>
  <c r="W90" i="122" s="1"/>
  <c r="F78" i="81"/>
  <c r="V78" i="81" s="1"/>
  <c r="V78" i="82" s="1"/>
  <c r="F83" i="90" s="1"/>
  <c r="V83" i="90" s="1"/>
  <c r="F83" i="93" s="1"/>
  <c r="V83" i="93" s="1"/>
  <c r="F84" i="107" s="1"/>
  <c r="V84" i="107" s="1"/>
  <c r="F85" i="108" s="1"/>
  <c r="V85" i="108" s="1"/>
  <c r="F85" i="112" s="1"/>
  <c r="V85" i="112" s="1"/>
  <c r="F85" i="113" s="1"/>
  <c r="V85" i="113" s="1"/>
  <c r="F95" i="117" s="1"/>
  <c r="V95" i="117" s="1"/>
  <c r="F93" i="121" s="1"/>
  <c r="V93" i="121" s="1"/>
  <c r="F93" i="122" s="1"/>
  <c r="V93" i="122" s="1"/>
  <c r="X77" i="81"/>
  <c r="H77" i="82" s="1"/>
  <c r="X77" i="82" s="1"/>
  <c r="H82" i="90" s="1"/>
  <c r="X82" i="90" s="1"/>
  <c r="H82" i="93" s="1"/>
  <c r="X82" i="93" s="1"/>
  <c r="H83" i="107" s="1"/>
  <c r="X83" i="107" s="1"/>
  <c r="H84" i="108" s="1"/>
  <c r="X84" i="108" s="1"/>
  <c r="H84" i="112" s="1"/>
  <c r="X84" i="112" s="1"/>
  <c r="H84" i="113" s="1"/>
  <c r="X84" i="113" s="1"/>
  <c r="H94" i="117" s="1"/>
  <c r="X94" i="117" s="1"/>
  <c r="H92" i="121" s="1"/>
  <c r="X92" i="121" s="1"/>
  <c r="H92" i="122" s="1"/>
  <c r="X92" i="122" s="1"/>
  <c r="M77" i="81"/>
  <c r="L77" i="81"/>
  <c r="AB77" i="81" s="1"/>
  <c r="L77" i="82" s="1"/>
  <c r="AB77" i="82" s="1"/>
  <c r="L82" i="90" s="1"/>
  <c r="AB82" i="90" s="1"/>
  <c r="L82" i="93" s="1"/>
  <c r="AB82" i="93" s="1"/>
  <c r="L83" i="107" s="1"/>
  <c r="AB83" i="107" s="1"/>
  <c r="L84" i="108" s="1"/>
  <c r="K77" i="81"/>
  <c r="AA77" i="81" s="1"/>
  <c r="K77" i="82" s="1"/>
  <c r="AA77" i="82" s="1"/>
  <c r="K82" i="90" s="1"/>
  <c r="AA82" i="90" s="1"/>
  <c r="K82" i="93" s="1"/>
  <c r="AA82" i="93" s="1"/>
  <c r="K83" i="107" s="1"/>
  <c r="AA83" i="107" s="1"/>
  <c r="K84" i="108" s="1"/>
  <c r="AA84" i="108" s="1"/>
  <c r="K84" i="112" s="1"/>
  <c r="AA84" i="112" s="1"/>
  <c r="K84" i="113" s="1"/>
  <c r="AA84" i="113" s="1"/>
  <c r="K94" i="117" s="1"/>
  <c r="AA94" i="117" s="1"/>
  <c r="K92" i="121" s="1"/>
  <c r="AA92" i="121" s="1"/>
  <c r="K92" i="122" s="1"/>
  <c r="AA92" i="122" s="1"/>
  <c r="J77" i="81"/>
  <c r="Z77" i="81" s="1"/>
  <c r="G77" i="81"/>
  <c r="W77" i="81" s="1"/>
  <c r="G77" i="82" s="1"/>
  <c r="W77" i="82" s="1"/>
  <c r="G79" i="90" s="1"/>
  <c r="W79" i="90" s="1"/>
  <c r="G79" i="93" s="1"/>
  <c r="W79" i="93" s="1"/>
  <c r="G80" i="107" s="1"/>
  <c r="W80" i="107" s="1"/>
  <c r="G81" i="108" s="1"/>
  <c r="W81" i="108" s="1"/>
  <c r="G81" i="112" s="1"/>
  <c r="W81" i="112" s="1"/>
  <c r="G81" i="113" s="1"/>
  <c r="W81" i="113" s="1"/>
  <c r="G91" i="117" s="1"/>
  <c r="W91" i="117" s="1"/>
  <c r="G89" i="121" s="1"/>
  <c r="W89" i="121" s="1"/>
  <c r="G89" i="122" s="1"/>
  <c r="W89" i="122" s="1"/>
  <c r="F77" i="81"/>
  <c r="V77" i="81" s="1"/>
  <c r="V77" i="82" s="1"/>
  <c r="F82" i="90" s="1"/>
  <c r="V82" i="90" s="1"/>
  <c r="F82" i="93" s="1"/>
  <c r="V82" i="93" s="1"/>
  <c r="F83" i="107" s="1"/>
  <c r="V83" i="107" s="1"/>
  <c r="F84" i="108" s="1"/>
  <c r="V84" i="108" s="1"/>
  <c r="F84" i="112" s="1"/>
  <c r="V84" i="112" s="1"/>
  <c r="F84" i="113" s="1"/>
  <c r="V84" i="113" s="1"/>
  <c r="F94" i="117" s="1"/>
  <c r="V94" i="117" s="1"/>
  <c r="F92" i="121" s="1"/>
  <c r="V92" i="121" s="1"/>
  <c r="F92" i="122" s="1"/>
  <c r="V92" i="122" s="1"/>
  <c r="X76" i="81"/>
  <c r="H76" i="82" s="1"/>
  <c r="X76" i="82" s="1"/>
  <c r="H81" i="90" s="1"/>
  <c r="X81" i="90" s="1"/>
  <c r="H81" i="93" s="1"/>
  <c r="X81" i="93" s="1"/>
  <c r="H82" i="107" s="1"/>
  <c r="X82" i="107" s="1"/>
  <c r="H83" i="108" s="1"/>
  <c r="X83" i="108" s="1"/>
  <c r="H83" i="112" s="1"/>
  <c r="X83" i="112" s="1"/>
  <c r="H83" i="113" s="1"/>
  <c r="X83" i="113" s="1"/>
  <c r="H93" i="117" s="1"/>
  <c r="X93" i="117" s="1"/>
  <c r="H91" i="121" s="1"/>
  <c r="X91" i="121" s="1"/>
  <c r="H91" i="122" s="1"/>
  <c r="X91" i="122" s="1"/>
  <c r="M76" i="81"/>
  <c r="L76" i="81"/>
  <c r="K76" i="81"/>
  <c r="AA76" i="81" s="1"/>
  <c r="K76" i="82" s="1"/>
  <c r="AA76" i="82" s="1"/>
  <c r="K81" i="90" s="1"/>
  <c r="AA81" i="90" s="1"/>
  <c r="K81" i="93" s="1"/>
  <c r="AA81" i="93" s="1"/>
  <c r="K82" i="107" s="1"/>
  <c r="AA82" i="107" s="1"/>
  <c r="K83" i="108" s="1"/>
  <c r="AA83" i="108" s="1"/>
  <c r="K83" i="112" s="1"/>
  <c r="AA83" i="112" s="1"/>
  <c r="K83" i="113" s="1"/>
  <c r="AA83" i="113" s="1"/>
  <c r="K93" i="117" s="1"/>
  <c r="AA93" i="117" s="1"/>
  <c r="K91" i="121" s="1"/>
  <c r="AA91" i="121" s="1"/>
  <c r="K91" i="122" s="1"/>
  <c r="AA91" i="122" s="1"/>
  <c r="J76" i="81"/>
  <c r="Z76" i="81" s="1"/>
  <c r="J76" i="82" s="1"/>
  <c r="Z76" i="82" s="1"/>
  <c r="J81" i="90" s="1"/>
  <c r="Z81" i="90" s="1"/>
  <c r="J81" i="93" s="1"/>
  <c r="Z81" i="93" s="1"/>
  <c r="J82" i="107" s="1"/>
  <c r="Z82" i="107" s="1"/>
  <c r="J83" i="108" s="1"/>
  <c r="Z83" i="108" s="1"/>
  <c r="J83" i="112" s="1"/>
  <c r="Z83" i="112" s="1"/>
  <c r="J83" i="113" s="1"/>
  <c r="Z83" i="113" s="1"/>
  <c r="J93" i="117" s="1"/>
  <c r="Z93" i="117" s="1"/>
  <c r="J91" i="121" s="1"/>
  <c r="Z91" i="121" s="1"/>
  <c r="J91" i="122" s="1"/>
  <c r="Z91" i="122" s="1"/>
  <c r="G76" i="81"/>
  <c r="W76" i="81" s="1"/>
  <c r="G76" i="82" s="1"/>
  <c r="W76" i="82" s="1"/>
  <c r="G78" i="90" s="1"/>
  <c r="W78" i="90" s="1"/>
  <c r="G78" i="93" s="1"/>
  <c r="W78" i="93" s="1"/>
  <c r="G79" i="107" s="1"/>
  <c r="W79" i="107" s="1"/>
  <c r="G80" i="108" s="1"/>
  <c r="W80" i="108" s="1"/>
  <c r="G80" i="112" s="1"/>
  <c r="W80" i="112" s="1"/>
  <c r="G80" i="113" s="1"/>
  <c r="W80" i="113" s="1"/>
  <c r="G90" i="117" s="1"/>
  <c r="W90" i="117" s="1"/>
  <c r="G88" i="121" s="1"/>
  <c r="W88" i="121" s="1"/>
  <c r="G88" i="122" s="1"/>
  <c r="W88" i="122" s="1"/>
  <c r="F76" i="81"/>
  <c r="V76" i="81" s="1"/>
  <c r="V76" i="82" s="1"/>
  <c r="F81" i="90" s="1"/>
  <c r="V81" i="90" s="1"/>
  <c r="F81" i="93" s="1"/>
  <c r="V81" i="93" s="1"/>
  <c r="F82" i="107" s="1"/>
  <c r="V82" i="107" s="1"/>
  <c r="F83" i="108" s="1"/>
  <c r="V83" i="108" s="1"/>
  <c r="F83" i="112" s="1"/>
  <c r="V83" i="112" s="1"/>
  <c r="F83" i="113" s="1"/>
  <c r="V83" i="113" s="1"/>
  <c r="F93" i="117" s="1"/>
  <c r="V93" i="117" s="1"/>
  <c r="F91" i="121" s="1"/>
  <c r="V91" i="121" s="1"/>
  <c r="F91" i="122" s="1"/>
  <c r="V91" i="122" s="1"/>
  <c r="X75" i="81"/>
  <c r="H75" i="82" s="1"/>
  <c r="X75" i="82" s="1"/>
  <c r="H80" i="90" s="1"/>
  <c r="X80" i="90" s="1"/>
  <c r="H80" i="93" s="1"/>
  <c r="X80" i="93" s="1"/>
  <c r="H81" i="107" s="1"/>
  <c r="X81" i="107" s="1"/>
  <c r="H82" i="108" s="1"/>
  <c r="X82" i="108" s="1"/>
  <c r="H82" i="112" s="1"/>
  <c r="X82" i="112" s="1"/>
  <c r="H82" i="113" s="1"/>
  <c r="X82" i="113" s="1"/>
  <c r="H92" i="117" s="1"/>
  <c r="X92" i="117" s="1"/>
  <c r="H90" i="121" s="1"/>
  <c r="X90" i="121" s="1"/>
  <c r="H90" i="122" s="1"/>
  <c r="X90" i="122" s="1"/>
  <c r="M75" i="81"/>
  <c r="L75" i="81"/>
  <c r="AB75" i="81" s="1"/>
  <c r="L75" i="82" s="1"/>
  <c r="AB75" i="82" s="1"/>
  <c r="L80" i="90" s="1"/>
  <c r="AB80" i="90" s="1"/>
  <c r="L80" i="93" s="1"/>
  <c r="AB80" i="93" s="1"/>
  <c r="L81" i="107" s="1"/>
  <c r="AB81" i="107" s="1"/>
  <c r="L82" i="108" s="1"/>
  <c r="K75" i="81"/>
  <c r="AA75" i="81" s="1"/>
  <c r="K75" i="82" s="1"/>
  <c r="AA75" i="82" s="1"/>
  <c r="K80" i="90" s="1"/>
  <c r="AA80" i="90" s="1"/>
  <c r="K80" i="93" s="1"/>
  <c r="AA80" i="93" s="1"/>
  <c r="K81" i="107" s="1"/>
  <c r="AA81" i="107" s="1"/>
  <c r="K82" i="108" s="1"/>
  <c r="AA82" i="108" s="1"/>
  <c r="K82" i="112" s="1"/>
  <c r="AA82" i="112" s="1"/>
  <c r="K82" i="113" s="1"/>
  <c r="AA82" i="113" s="1"/>
  <c r="K92" i="117" s="1"/>
  <c r="AA92" i="117" s="1"/>
  <c r="K90" i="121" s="1"/>
  <c r="J75" i="81"/>
  <c r="Z75" i="81" s="1"/>
  <c r="G75" i="81"/>
  <c r="W75" i="81" s="1"/>
  <c r="G75" i="82" s="1"/>
  <c r="W75" i="82" s="1"/>
  <c r="G77" i="90" s="1"/>
  <c r="W77" i="90" s="1"/>
  <c r="G77" i="93" s="1"/>
  <c r="W77" i="93" s="1"/>
  <c r="G78" i="107" s="1"/>
  <c r="W78" i="107" s="1"/>
  <c r="G79" i="108" s="1"/>
  <c r="W79" i="108" s="1"/>
  <c r="G79" i="112" s="1"/>
  <c r="W79" i="112" s="1"/>
  <c r="G79" i="113" s="1"/>
  <c r="W79" i="113" s="1"/>
  <c r="G89" i="117" s="1"/>
  <c r="W89" i="117" s="1"/>
  <c r="G87" i="121" s="1"/>
  <c r="W87" i="121" s="1"/>
  <c r="G87" i="122" s="1"/>
  <c r="W87" i="122" s="1"/>
  <c r="F75" i="81"/>
  <c r="V75" i="81" s="1"/>
  <c r="V75" i="82" s="1"/>
  <c r="F80" i="90" s="1"/>
  <c r="V80" i="90" s="1"/>
  <c r="F80" i="93" s="1"/>
  <c r="V80" i="93" s="1"/>
  <c r="F81" i="107" s="1"/>
  <c r="V81" i="107" s="1"/>
  <c r="F82" i="108" s="1"/>
  <c r="V82" i="108" s="1"/>
  <c r="F82" i="112" s="1"/>
  <c r="V82" i="112" s="1"/>
  <c r="F82" i="113" s="1"/>
  <c r="V82" i="113" s="1"/>
  <c r="F92" i="117" s="1"/>
  <c r="V92" i="117" s="1"/>
  <c r="F90" i="121" s="1"/>
  <c r="V90" i="121" s="1"/>
  <c r="F90" i="122" s="1"/>
  <c r="V90" i="122" s="1"/>
  <c r="X74" i="81"/>
  <c r="H74" i="82" s="1"/>
  <c r="X74" i="82" s="1"/>
  <c r="H79" i="90" s="1"/>
  <c r="X79" i="90" s="1"/>
  <c r="H79" i="93" s="1"/>
  <c r="X79" i="93" s="1"/>
  <c r="H80" i="107" s="1"/>
  <c r="X80" i="107" s="1"/>
  <c r="H81" i="108" s="1"/>
  <c r="X81" i="108" s="1"/>
  <c r="H81" i="112" s="1"/>
  <c r="X81" i="112" s="1"/>
  <c r="H81" i="113" s="1"/>
  <c r="X81" i="113" s="1"/>
  <c r="H91" i="117" s="1"/>
  <c r="X91" i="117" s="1"/>
  <c r="H89" i="121" s="1"/>
  <c r="X89" i="121" s="1"/>
  <c r="H89" i="122" s="1"/>
  <c r="X89" i="122" s="1"/>
  <c r="M74" i="81"/>
  <c r="L74" i="81"/>
  <c r="K74" i="81"/>
  <c r="AA74" i="81" s="1"/>
  <c r="J74" i="81"/>
  <c r="Z74" i="81" s="1"/>
  <c r="J74" i="82" s="1"/>
  <c r="Z74" i="82" s="1"/>
  <c r="J79" i="90" s="1"/>
  <c r="Z79" i="90" s="1"/>
  <c r="J79" i="93" s="1"/>
  <c r="Z79" i="93" s="1"/>
  <c r="J80" i="107" s="1"/>
  <c r="Z80" i="107" s="1"/>
  <c r="J81" i="108" s="1"/>
  <c r="Z81" i="108" s="1"/>
  <c r="J81" i="112" s="1"/>
  <c r="Z81" i="112" s="1"/>
  <c r="J81" i="113" s="1"/>
  <c r="Z81" i="113" s="1"/>
  <c r="J91" i="117" s="1"/>
  <c r="Z91" i="117" s="1"/>
  <c r="J89" i="121" s="1"/>
  <c r="Z89" i="121" s="1"/>
  <c r="J89" i="122" s="1"/>
  <c r="Z89" i="122" s="1"/>
  <c r="G74" i="81"/>
  <c r="F74" i="81"/>
  <c r="T72" i="81"/>
  <c r="T73" i="81" s="1"/>
  <c r="S72" i="81"/>
  <c r="S73" i="81" s="1"/>
  <c r="R72" i="81"/>
  <c r="R73" i="81" s="1"/>
  <c r="P72" i="81"/>
  <c r="P73" i="81" s="1"/>
  <c r="O72" i="81"/>
  <c r="O73" i="81" s="1"/>
  <c r="N72" i="81"/>
  <c r="N73" i="81" s="1"/>
  <c r="H72" i="81"/>
  <c r="X71" i="81"/>
  <c r="H71" i="82" s="1"/>
  <c r="X71" i="82" s="1"/>
  <c r="H76" i="90" s="1"/>
  <c r="X76" i="90" s="1"/>
  <c r="H76" i="93" s="1"/>
  <c r="X76" i="93" s="1"/>
  <c r="H77" i="107" s="1"/>
  <c r="X77" i="107" s="1"/>
  <c r="H78" i="108" s="1"/>
  <c r="X78" i="108" s="1"/>
  <c r="H78" i="112" s="1"/>
  <c r="X78" i="112" s="1"/>
  <c r="H78" i="113" s="1"/>
  <c r="X78" i="113" s="1"/>
  <c r="H88" i="117" s="1"/>
  <c r="X88" i="117" s="1"/>
  <c r="H86" i="121" s="1"/>
  <c r="X86" i="121" s="1"/>
  <c r="H86" i="122" s="1"/>
  <c r="X86" i="122" s="1"/>
  <c r="M71" i="81"/>
  <c r="L71" i="81"/>
  <c r="K71" i="81"/>
  <c r="AA71" i="81" s="1"/>
  <c r="K71" i="82" s="1"/>
  <c r="AA71" i="82" s="1"/>
  <c r="K76" i="90" s="1"/>
  <c r="AA76" i="90" s="1"/>
  <c r="K76" i="93" s="1"/>
  <c r="AA76" i="93" s="1"/>
  <c r="K77" i="107" s="1"/>
  <c r="AA77" i="107" s="1"/>
  <c r="K78" i="108" s="1"/>
  <c r="AA78" i="108" s="1"/>
  <c r="K78" i="112" s="1"/>
  <c r="AA78" i="112" s="1"/>
  <c r="K78" i="113" s="1"/>
  <c r="AA78" i="113" s="1"/>
  <c r="K88" i="117" s="1"/>
  <c r="AA88" i="117" s="1"/>
  <c r="K86" i="121" s="1"/>
  <c r="AA86" i="121" s="1"/>
  <c r="K86" i="122" s="1"/>
  <c r="AA86" i="122" s="1"/>
  <c r="J71" i="81"/>
  <c r="Z71" i="81" s="1"/>
  <c r="J71" i="82" s="1"/>
  <c r="Z71" i="82" s="1"/>
  <c r="J76" i="90" s="1"/>
  <c r="Z76" i="90" s="1"/>
  <c r="J76" i="93" s="1"/>
  <c r="Z76" i="93" s="1"/>
  <c r="J77" i="107" s="1"/>
  <c r="Z77" i="107" s="1"/>
  <c r="J78" i="108" s="1"/>
  <c r="Z78" i="108" s="1"/>
  <c r="J78" i="112" s="1"/>
  <c r="Z78" i="112" s="1"/>
  <c r="J78" i="113" s="1"/>
  <c r="Z78" i="113" s="1"/>
  <c r="J88" i="117" s="1"/>
  <c r="Z88" i="117" s="1"/>
  <c r="J86" i="121" s="1"/>
  <c r="Z86" i="121" s="1"/>
  <c r="J86" i="122" s="1"/>
  <c r="Z86" i="122" s="1"/>
  <c r="G71" i="81"/>
  <c r="W71" i="81" s="1"/>
  <c r="G71" i="82" s="1"/>
  <c r="W71" i="82" s="1"/>
  <c r="G73" i="90" s="1"/>
  <c r="W73" i="90" s="1"/>
  <c r="G73" i="93" s="1"/>
  <c r="W73" i="93" s="1"/>
  <c r="G74" i="107" s="1"/>
  <c r="W74" i="107" s="1"/>
  <c r="G75" i="108" s="1"/>
  <c r="W75" i="108" s="1"/>
  <c r="G75" i="112" s="1"/>
  <c r="W75" i="112" s="1"/>
  <c r="G75" i="113" s="1"/>
  <c r="W75" i="113" s="1"/>
  <c r="G85" i="117" s="1"/>
  <c r="W85" i="117" s="1"/>
  <c r="F71" i="81"/>
  <c r="V71" i="81" s="1"/>
  <c r="V71" i="82" s="1"/>
  <c r="F76" i="90" s="1"/>
  <c r="V76" i="90" s="1"/>
  <c r="F76" i="93" s="1"/>
  <c r="V76" i="93" s="1"/>
  <c r="F77" i="107" s="1"/>
  <c r="V77" i="107" s="1"/>
  <c r="F78" i="108" s="1"/>
  <c r="V78" i="108" s="1"/>
  <c r="F78" i="112" s="1"/>
  <c r="V78" i="112" s="1"/>
  <c r="F78" i="113" s="1"/>
  <c r="V78" i="113" s="1"/>
  <c r="F88" i="117" s="1"/>
  <c r="V88" i="117" s="1"/>
  <c r="F86" i="121" s="1"/>
  <c r="V86" i="121" s="1"/>
  <c r="F86" i="122" s="1"/>
  <c r="V86" i="122" s="1"/>
  <c r="X70" i="81"/>
  <c r="H70" i="82" s="1"/>
  <c r="X70" i="82" s="1"/>
  <c r="H75" i="90" s="1"/>
  <c r="X75" i="90" s="1"/>
  <c r="H75" i="93" s="1"/>
  <c r="X75" i="93" s="1"/>
  <c r="H76" i="107" s="1"/>
  <c r="X76" i="107" s="1"/>
  <c r="H77" i="108" s="1"/>
  <c r="X77" i="108" s="1"/>
  <c r="H77" i="112" s="1"/>
  <c r="X77" i="112" s="1"/>
  <c r="H77" i="113" s="1"/>
  <c r="X77" i="113" s="1"/>
  <c r="H87" i="117" s="1"/>
  <c r="X87" i="117" s="1"/>
  <c r="H85" i="121" s="1"/>
  <c r="X85" i="121" s="1"/>
  <c r="H85" i="122" s="1"/>
  <c r="X85" i="122" s="1"/>
  <c r="M70" i="81"/>
  <c r="L70" i="81"/>
  <c r="K70" i="81"/>
  <c r="AA70" i="81" s="1"/>
  <c r="K70" i="82" s="1"/>
  <c r="AA70" i="82" s="1"/>
  <c r="K75" i="90" s="1"/>
  <c r="AA75" i="90" s="1"/>
  <c r="K75" i="93" s="1"/>
  <c r="AA75" i="93" s="1"/>
  <c r="K76" i="107" s="1"/>
  <c r="AA76" i="107" s="1"/>
  <c r="K77" i="108" s="1"/>
  <c r="AA77" i="108" s="1"/>
  <c r="K77" i="112" s="1"/>
  <c r="AA77" i="112" s="1"/>
  <c r="K77" i="113" s="1"/>
  <c r="AA77" i="113" s="1"/>
  <c r="K87" i="117" s="1"/>
  <c r="AA87" i="117" s="1"/>
  <c r="K85" i="121" s="1"/>
  <c r="AA85" i="121" s="1"/>
  <c r="K85" i="122" s="1"/>
  <c r="AA85" i="122" s="1"/>
  <c r="J70" i="81"/>
  <c r="G70" i="81"/>
  <c r="W70" i="81" s="1"/>
  <c r="G70" i="82" s="1"/>
  <c r="W70" i="82" s="1"/>
  <c r="G72" i="90" s="1"/>
  <c r="W72" i="90" s="1"/>
  <c r="G72" i="93" s="1"/>
  <c r="W72" i="93" s="1"/>
  <c r="G73" i="107" s="1"/>
  <c r="W73" i="107" s="1"/>
  <c r="G74" i="108" s="1"/>
  <c r="W74" i="108" s="1"/>
  <c r="G74" i="112" s="1"/>
  <c r="W74" i="112" s="1"/>
  <c r="G74" i="113" s="1"/>
  <c r="W74" i="113" s="1"/>
  <c r="G84" i="117" s="1"/>
  <c r="W84" i="117" s="1"/>
  <c r="G83" i="121" s="1"/>
  <c r="W83" i="121" s="1"/>
  <c r="G83" i="122" s="1"/>
  <c r="W83" i="122" s="1"/>
  <c r="F70" i="81"/>
  <c r="V70" i="81" s="1"/>
  <c r="V70" i="82" s="1"/>
  <c r="F75" i="90" s="1"/>
  <c r="V75" i="90" s="1"/>
  <c r="F75" i="93" s="1"/>
  <c r="V75" i="93" s="1"/>
  <c r="F76" i="107" s="1"/>
  <c r="V76" i="107" s="1"/>
  <c r="F77" i="108" s="1"/>
  <c r="V77" i="108" s="1"/>
  <c r="F77" i="112" s="1"/>
  <c r="V77" i="112" s="1"/>
  <c r="F77" i="113" s="1"/>
  <c r="V77" i="113" s="1"/>
  <c r="F87" i="117" s="1"/>
  <c r="V87" i="117" s="1"/>
  <c r="F85" i="121" s="1"/>
  <c r="V85" i="121" s="1"/>
  <c r="F85" i="122" s="1"/>
  <c r="V85" i="122" s="1"/>
  <c r="AB69" i="81"/>
  <c r="L69" i="82" s="1"/>
  <c r="X69" i="81"/>
  <c r="H69" i="82" s="1"/>
  <c r="X69" i="82" s="1"/>
  <c r="H74" i="90" s="1"/>
  <c r="X74" i="90" s="1"/>
  <c r="H74" i="93" s="1"/>
  <c r="X74" i="93" s="1"/>
  <c r="H75" i="107" s="1"/>
  <c r="X75" i="107" s="1"/>
  <c r="H76" i="108" s="1"/>
  <c r="X76" i="108" s="1"/>
  <c r="H76" i="112" s="1"/>
  <c r="X76" i="112" s="1"/>
  <c r="H76" i="113" s="1"/>
  <c r="X76" i="113" s="1"/>
  <c r="H86" i="117" s="1"/>
  <c r="X86" i="117" s="1"/>
  <c r="H84" i="121" s="1"/>
  <c r="X84" i="121" s="1"/>
  <c r="H84" i="122" s="1"/>
  <c r="X84" i="122" s="1"/>
  <c r="M69" i="81"/>
  <c r="K69" i="81"/>
  <c r="AA69" i="81" s="1"/>
  <c r="K69" i="82" s="1"/>
  <c r="AA69" i="82" s="1"/>
  <c r="K74" i="90" s="1"/>
  <c r="AA74" i="90" s="1"/>
  <c r="K74" i="93" s="1"/>
  <c r="AA74" i="93" s="1"/>
  <c r="K75" i="107" s="1"/>
  <c r="AA75" i="107" s="1"/>
  <c r="K76" i="108" s="1"/>
  <c r="J69" i="81"/>
  <c r="Z69" i="81" s="1"/>
  <c r="J69" i="82" s="1"/>
  <c r="Z69" i="82" s="1"/>
  <c r="J74" i="90" s="1"/>
  <c r="Z74" i="90" s="1"/>
  <c r="J74" i="93" s="1"/>
  <c r="Z74" i="93" s="1"/>
  <c r="J75" i="107" s="1"/>
  <c r="Z75" i="107" s="1"/>
  <c r="J76" i="108" s="1"/>
  <c r="Z76" i="108" s="1"/>
  <c r="J76" i="112" s="1"/>
  <c r="Z76" i="112" s="1"/>
  <c r="J76" i="113" s="1"/>
  <c r="Z76" i="113" s="1"/>
  <c r="J86" i="117" s="1"/>
  <c r="Z86" i="117" s="1"/>
  <c r="J84" i="121" s="1"/>
  <c r="Z84" i="121" s="1"/>
  <c r="J84" i="122" s="1"/>
  <c r="Z84" i="122" s="1"/>
  <c r="G69" i="81"/>
  <c r="W69" i="81" s="1"/>
  <c r="G69" i="82" s="1"/>
  <c r="W69" i="82" s="1"/>
  <c r="G71" i="90" s="1"/>
  <c r="W71" i="90" s="1"/>
  <c r="G71" i="93" s="1"/>
  <c r="W71" i="93" s="1"/>
  <c r="G72" i="107" s="1"/>
  <c r="W72" i="107" s="1"/>
  <c r="G73" i="108" s="1"/>
  <c r="W73" i="108" s="1"/>
  <c r="G73" i="112" s="1"/>
  <c r="W73" i="112" s="1"/>
  <c r="G73" i="113" s="1"/>
  <c r="W73" i="113" s="1"/>
  <c r="G83" i="117" s="1"/>
  <c r="W83" i="117" s="1"/>
  <c r="F69" i="81"/>
  <c r="V69" i="81" s="1"/>
  <c r="V69" i="82" s="1"/>
  <c r="F74" i="90" s="1"/>
  <c r="V74" i="90" s="1"/>
  <c r="F74" i="93" s="1"/>
  <c r="V74" i="93" s="1"/>
  <c r="F75" i="107" s="1"/>
  <c r="V75" i="107" s="1"/>
  <c r="F76" i="108" s="1"/>
  <c r="V76" i="108" s="1"/>
  <c r="F76" i="112" s="1"/>
  <c r="V76" i="112" s="1"/>
  <c r="F76" i="113" s="1"/>
  <c r="V76" i="113" s="1"/>
  <c r="F86" i="117" s="1"/>
  <c r="V86" i="117" s="1"/>
  <c r="F84" i="121" s="1"/>
  <c r="V84" i="121" s="1"/>
  <c r="F84" i="122" s="1"/>
  <c r="V84" i="122" s="1"/>
  <c r="AB68" i="81"/>
  <c r="L68" i="82" s="1"/>
  <c r="AB68" i="82" s="1"/>
  <c r="L73" i="90" s="1"/>
  <c r="AB73" i="90" s="1"/>
  <c r="L73" i="93" s="1"/>
  <c r="AB73" i="93" s="1"/>
  <c r="L74" i="107" s="1"/>
  <c r="AB74" i="107" s="1"/>
  <c r="L75" i="108" s="1"/>
  <c r="AB75" i="108" s="1"/>
  <c r="L75" i="112" s="1"/>
  <c r="AB75" i="112" s="1"/>
  <c r="L75" i="113" s="1"/>
  <c r="AB75" i="113" s="1"/>
  <c r="L85" i="117" s="1"/>
  <c r="X68" i="81"/>
  <c r="H68" i="82" s="1"/>
  <c r="X68" i="82" s="1"/>
  <c r="H73" i="90" s="1"/>
  <c r="X73" i="90" s="1"/>
  <c r="H73" i="93" s="1"/>
  <c r="X73" i="93" s="1"/>
  <c r="H74" i="107" s="1"/>
  <c r="X74" i="107" s="1"/>
  <c r="H75" i="108" s="1"/>
  <c r="X75" i="108" s="1"/>
  <c r="H75" i="112" s="1"/>
  <c r="X75" i="112" s="1"/>
  <c r="H75" i="113" s="1"/>
  <c r="X75" i="113" s="1"/>
  <c r="H85" i="117" s="1"/>
  <c r="X85" i="117" s="1"/>
  <c r="M68" i="81"/>
  <c r="K68" i="81"/>
  <c r="AA68" i="81" s="1"/>
  <c r="K68" i="82" s="1"/>
  <c r="AA68" i="82" s="1"/>
  <c r="K73" i="90" s="1"/>
  <c r="AA73" i="90" s="1"/>
  <c r="K73" i="93" s="1"/>
  <c r="AA73" i="93" s="1"/>
  <c r="K74" i="107" s="1"/>
  <c r="AA74" i="107" s="1"/>
  <c r="K75" i="108" s="1"/>
  <c r="J68" i="81"/>
  <c r="G68" i="81"/>
  <c r="W68" i="81" s="1"/>
  <c r="G68" i="82" s="1"/>
  <c r="W68" i="82" s="1"/>
  <c r="G70" i="90" s="1"/>
  <c r="W70" i="90" s="1"/>
  <c r="G70" i="93" s="1"/>
  <c r="W70" i="93" s="1"/>
  <c r="G71" i="107" s="1"/>
  <c r="W71" i="107" s="1"/>
  <c r="G72" i="108" s="1"/>
  <c r="W72" i="108" s="1"/>
  <c r="G72" i="112" s="1"/>
  <c r="W72" i="112" s="1"/>
  <c r="G72" i="113" s="1"/>
  <c r="W72" i="113" s="1"/>
  <c r="G82" i="117" s="1"/>
  <c r="W82" i="117" s="1"/>
  <c r="G82" i="121" s="1"/>
  <c r="W82" i="121" s="1"/>
  <c r="G82" i="122" s="1"/>
  <c r="W82" i="122" s="1"/>
  <c r="F68" i="81"/>
  <c r="V68" i="81" s="1"/>
  <c r="V68" i="82" s="1"/>
  <c r="F73" i="90" s="1"/>
  <c r="V73" i="90" s="1"/>
  <c r="F73" i="93" s="1"/>
  <c r="V73" i="93" s="1"/>
  <c r="F74" i="107" s="1"/>
  <c r="V74" i="107" s="1"/>
  <c r="F75" i="108" s="1"/>
  <c r="V75" i="108" s="1"/>
  <c r="F75" i="112" s="1"/>
  <c r="V75" i="112" s="1"/>
  <c r="F75" i="113" s="1"/>
  <c r="V75" i="113" s="1"/>
  <c r="F85" i="117" s="1"/>
  <c r="V85" i="117" s="1"/>
  <c r="AB67" i="81"/>
  <c r="L67" i="82" s="1"/>
  <c r="AB67" i="82" s="1"/>
  <c r="L72" i="90" s="1"/>
  <c r="AB72" i="90" s="1"/>
  <c r="L72" i="93" s="1"/>
  <c r="AB72" i="93" s="1"/>
  <c r="L73" i="107" s="1"/>
  <c r="AB73" i="107" s="1"/>
  <c r="L74" i="108" s="1"/>
  <c r="AB74" i="108" s="1"/>
  <c r="L74" i="112" s="1"/>
  <c r="AB74" i="112" s="1"/>
  <c r="L74" i="113" s="1"/>
  <c r="AB74" i="113" s="1"/>
  <c r="L84" i="117" s="1"/>
  <c r="X67" i="81"/>
  <c r="H67" i="82" s="1"/>
  <c r="X67" i="82" s="1"/>
  <c r="H72" i="90" s="1"/>
  <c r="X72" i="90" s="1"/>
  <c r="H72" i="93" s="1"/>
  <c r="X72" i="93" s="1"/>
  <c r="H73" i="107" s="1"/>
  <c r="X73" i="107" s="1"/>
  <c r="H74" i="108" s="1"/>
  <c r="X74" i="108" s="1"/>
  <c r="H74" i="112" s="1"/>
  <c r="X74" i="112" s="1"/>
  <c r="H74" i="113" s="1"/>
  <c r="X74" i="113" s="1"/>
  <c r="H84" i="117" s="1"/>
  <c r="X84" i="117" s="1"/>
  <c r="M67" i="81"/>
  <c r="K67" i="81"/>
  <c r="AA67" i="81" s="1"/>
  <c r="K67" i="82" s="1"/>
  <c r="AA67" i="82" s="1"/>
  <c r="K72" i="90" s="1"/>
  <c r="AA72" i="90" s="1"/>
  <c r="K72" i="93" s="1"/>
  <c r="AA72" i="93" s="1"/>
  <c r="K73" i="107" s="1"/>
  <c r="AA73" i="107" s="1"/>
  <c r="K74" i="108" s="1"/>
  <c r="J67" i="81"/>
  <c r="Z67" i="81" s="1"/>
  <c r="G67" i="81"/>
  <c r="W67" i="81" s="1"/>
  <c r="G67" i="82" s="1"/>
  <c r="F67" i="81"/>
  <c r="V67" i="81" s="1"/>
  <c r="V67" i="82" s="1"/>
  <c r="F72" i="90" s="1"/>
  <c r="V72" i="90" s="1"/>
  <c r="F72" i="93" s="1"/>
  <c r="V72" i="93" s="1"/>
  <c r="F73" i="107" s="1"/>
  <c r="V73" i="107" s="1"/>
  <c r="F74" i="108" s="1"/>
  <c r="V74" i="108" s="1"/>
  <c r="F74" i="112" s="1"/>
  <c r="V74" i="112" s="1"/>
  <c r="F74" i="113" s="1"/>
  <c r="V74" i="113" s="1"/>
  <c r="F84" i="117" s="1"/>
  <c r="V84" i="117" s="1"/>
  <c r="F83" i="121" s="1"/>
  <c r="V83" i="121" s="1"/>
  <c r="F83" i="122" s="1"/>
  <c r="V83" i="122" s="1"/>
  <c r="AB66" i="81"/>
  <c r="L66" i="82" s="1"/>
  <c r="AB66" i="82" s="1"/>
  <c r="L71" i="90" s="1"/>
  <c r="AB71" i="90" s="1"/>
  <c r="L71" i="93" s="1"/>
  <c r="AB71" i="93" s="1"/>
  <c r="L72" i="107" s="1"/>
  <c r="AB72" i="107" s="1"/>
  <c r="L73" i="108" s="1"/>
  <c r="AB73" i="108" s="1"/>
  <c r="L73" i="112" s="1"/>
  <c r="AB73" i="112" s="1"/>
  <c r="L73" i="113" s="1"/>
  <c r="AB73" i="113" s="1"/>
  <c r="L83" i="117" s="1"/>
  <c r="X66" i="81"/>
  <c r="H66" i="82" s="1"/>
  <c r="X66" i="82" s="1"/>
  <c r="H71" i="90" s="1"/>
  <c r="X71" i="90" s="1"/>
  <c r="H71" i="93" s="1"/>
  <c r="X71" i="93" s="1"/>
  <c r="H72" i="107" s="1"/>
  <c r="X72" i="107" s="1"/>
  <c r="H73" i="108" s="1"/>
  <c r="X73" i="108" s="1"/>
  <c r="H73" i="112" s="1"/>
  <c r="X73" i="112" s="1"/>
  <c r="H73" i="113" s="1"/>
  <c r="X73" i="113" s="1"/>
  <c r="H83" i="117" s="1"/>
  <c r="X83" i="117" s="1"/>
  <c r="M66" i="81"/>
  <c r="K66" i="81"/>
  <c r="AA66" i="81" s="1"/>
  <c r="K66" i="82" s="1"/>
  <c r="AA66" i="82" s="1"/>
  <c r="K71" i="90" s="1"/>
  <c r="AA71" i="90" s="1"/>
  <c r="K71" i="93" s="1"/>
  <c r="AA71" i="93" s="1"/>
  <c r="K72" i="107" s="1"/>
  <c r="AA72" i="107" s="1"/>
  <c r="K73" i="108" s="1"/>
  <c r="J66" i="81"/>
  <c r="G66" i="81"/>
  <c r="W66" i="81" s="1"/>
  <c r="G66" i="82" s="1"/>
  <c r="W66" i="82" s="1"/>
  <c r="G68" i="90" s="1"/>
  <c r="W68" i="90" s="1"/>
  <c r="G68" i="93" s="1"/>
  <c r="W68" i="93" s="1"/>
  <c r="G69" i="107" s="1"/>
  <c r="W69" i="107" s="1"/>
  <c r="G70" i="108" s="1"/>
  <c r="W70" i="108" s="1"/>
  <c r="G70" i="112" s="1"/>
  <c r="W70" i="112" s="1"/>
  <c r="G70" i="113" s="1"/>
  <c r="W70" i="113" s="1"/>
  <c r="G80" i="117" s="1"/>
  <c r="W80" i="117" s="1"/>
  <c r="G81" i="121" s="1"/>
  <c r="W81" i="121" s="1"/>
  <c r="G81" i="122" s="1"/>
  <c r="W81" i="122" s="1"/>
  <c r="F66" i="81"/>
  <c r="V66" i="81" s="1"/>
  <c r="V66" i="82" s="1"/>
  <c r="F71" i="90" s="1"/>
  <c r="V71" i="90" s="1"/>
  <c r="F71" i="93" s="1"/>
  <c r="V71" i="93" s="1"/>
  <c r="F72" i="107" s="1"/>
  <c r="V72" i="107" s="1"/>
  <c r="F73" i="108" s="1"/>
  <c r="V73" i="108" s="1"/>
  <c r="F73" i="112" s="1"/>
  <c r="V73" i="112" s="1"/>
  <c r="F73" i="113" s="1"/>
  <c r="V73" i="113" s="1"/>
  <c r="F83" i="117" s="1"/>
  <c r="V83" i="117" s="1"/>
  <c r="AB65" i="81"/>
  <c r="L65" i="82" s="1"/>
  <c r="AB65" i="82" s="1"/>
  <c r="L70" i="90" s="1"/>
  <c r="AB70" i="90" s="1"/>
  <c r="L70" i="93" s="1"/>
  <c r="AB70" i="93" s="1"/>
  <c r="L71" i="107" s="1"/>
  <c r="AB71" i="107" s="1"/>
  <c r="L72" i="108" s="1"/>
  <c r="AB72" i="108" s="1"/>
  <c r="L72" i="112" s="1"/>
  <c r="AB72" i="112" s="1"/>
  <c r="L72" i="113" s="1"/>
  <c r="AB72" i="113" s="1"/>
  <c r="L82" i="117" s="1"/>
  <c r="X65" i="81"/>
  <c r="H65" i="82" s="1"/>
  <c r="X65" i="82" s="1"/>
  <c r="H70" i="90" s="1"/>
  <c r="X70" i="90" s="1"/>
  <c r="H70" i="93" s="1"/>
  <c r="X70" i="93" s="1"/>
  <c r="H71" i="107" s="1"/>
  <c r="X71" i="107" s="1"/>
  <c r="H72" i="108" s="1"/>
  <c r="X72" i="108" s="1"/>
  <c r="H72" i="112" s="1"/>
  <c r="X72" i="112" s="1"/>
  <c r="H72" i="113" s="1"/>
  <c r="X72" i="113" s="1"/>
  <c r="H82" i="117" s="1"/>
  <c r="X82" i="117" s="1"/>
  <c r="H82" i="121" s="1"/>
  <c r="X82" i="121" s="1"/>
  <c r="H82" i="122" s="1"/>
  <c r="X82" i="122" s="1"/>
  <c r="M65" i="81"/>
  <c r="K65" i="81"/>
  <c r="AA65" i="81" s="1"/>
  <c r="J65" i="81"/>
  <c r="Z65" i="81" s="1"/>
  <c r="J65" i="82" s="1"/>
  <c r="Z65" i="82" s="1"/>
  <c r="J70" i="90" s="1"/>
  <c r="Z70" i="90" s="1"/>
  <c r="J70" i="93" s="1"/>
  <c r="Z70" i="93" s="1"/>
  <c r="J71" i="107" s="1"/>
  <c r="Z71" i="107" s="1"/>
  <c r="J72" i="108" s="1"/>
  <c r="Z72" i="108" s="1"/>
  <c r="J72" i="112" s="1"/>
  <c r="Z72" i="112" s="1"/>
  <c r="J72" i="113" s="1"/>
  <c r="Z72" i="113" s="1"/>
  <c r="J82" i="117" s="1"/>
  <c r="Z82" i="117" s="1"/>
  <c r="J82" i="121" s="1"/>
  <c r="Z82" i="121" s="1"/>
  <c r="J82" i="122" s="1"/>
  <c r="Z82" i="122" s="1"/>
  <c r="G65" i="81"/>
  <c r="W65" i="81" s="1"/>
  <c r="G65" i="82" s="1"/>
  <c r="W65" i="82" s="1"/>
  <c r="G67" i="90" s="1"/>
  <c r="W67" i="90" s="1"/>
  <c r="F65" i="81"/>
  <c r="V65" i="81" s="1"/>
  <c r="V65" i="82" s="1"/>
  <c r="F70" i="90" s="1"/>
  <c r="V70" i="90" s="1"/>
  <c r="F70" i="93" s="1"/>
  <c r="V70" i="93" s="1"/>
  <c r="F71" i="107" s="1"/>
  <c r="V71" i="107" s="1"/>
  <c r="F72" i="108" s="1"/>
  <c r="V72" i="108" s="1"/>
  <c r="F72" i="112" s="1"/>
  <c r="V72" i="112" s="1"/>
  <c r="F72" i="113" s="1"/>
  <c r="V72" i="113" s="1"/>
  <c r="F82" i="117" s="1"/>
  <c r="V82" i="117" s="1"/>
  <c r="F82" i="121" s="1"/>
  <c r="V82" i="121" s="1"/>
  <c r="F82" i="122" s="1"/>
  <c r="V82" i="122" s="1"/>
  <c r="AB64" i="81"/>
  <c r="L64" i="82" s="1"/>
  <c r="AB64" i="82" s="1"/>
  <c r="L69" i="90" s="1"/>
  <c r="AB69" i="90" s="1"/>
  <c r="L69" i="93" s="1"/>
  <c r="AB69" i="93" s="1"/>
  <c r="L70" i="107" s="1"/>
  <c r="AB70" i="107" s="1"/>
  <c r="L71" i="108" s="1"/>
  <c r="AB71" i="108" s="1"/>
  <c r="L71" i="112" s="1"/>
  <c r="AB71" i="112" s="1"/>
  <c r="L71" i="113" s="1"/>
  <c r="AB71" i="113" s="1"/>
  <c r="L81" i="117" s="1"/>
  <c r="X64" i="81"/>
  <c r="M64" i="81"/>
  <c r="K64" i="81"/>
  <c r="AA64" i="81" s="1"/>
  <c r="K64" i="82" s="1"/>
  <c r="AA64" i="82" s="1"/>
  <c r="K69" i="90" s="1"/>
  <c r="AA69" i="90" s="1"/>
  <c r="K69" i="93" s="1"/>
  <c r="AA69" i="93" s="1"/>
  <c r="K70" i="107" s="1"/>
  <c r="AA70" i="107" s="1"/>
  <c r="K71" i="108" s="1"/>
  <c r="J64" i="81"/>
  <c r="G64" i="81"/>
  <c r="W64" i="81" s="1"/>
  <c r="G64" i="82" s="1"/>
  <c r="W64" i="82" s="1"/>
  <c r="G66" i="90" s="1"/>
  <c r="W66" i="90" s="1"/>
  <c r="G66" i="93" s="1"/>
  <c r="W66" i="93" s="1"/>
  <c r="G67" i="107" s="1"/>
  <c r="W67" i="107" s="1"/>
  <c r="G68" i="108" s="1"/>
  <c r="W68" i="108" s="1"/>
  <c r="G68" i="112" s="1"/>
  <c r="W68" i="112" s="1"/>
  <c r="G68" i="113" s="1"/>
  <c r="W68" i="113" s="1"/>
  <c r="G78" i="117" s="1"/>
  <c r="W78" i="117" s="1"/>
  <c r="G79" i="121" s="1"/>
  <c r="W79" i="121" s="1"/>
  <c r="G79" i="122" s="1"/>
  <c r="W79" i="122" s="1"/>
  <c r="F64" i="81"/>
  <c r="AB63" i="81"/>
  <c r="L63" i="82" s="1"/>
  <c r="AB63" i="82" s="1"/>
  <c r="L68" i="90" s="1"/>
  <c r="AB68" i="90" s="1"/>
  <c r="L68" i="93" s="1"/>
  <c r="AB68" i="93" s="1"/>
  <c r="L69" i="107" s="1"/>
  <c r="AB69" i="107" s="1"/>
  <c r="L70" i="108" s="1"/>
  <c r="AB70" i="108" s="1"/>
  <c r="L70" i="112" s="1"/>
  <c r="AB70" i="112" s="1"/>
  <c r="L70" i="113" s="1"/>
  <c r="AB70" i="113" s="1"/>
  <c r="L80" i="117" s="1"/>
  <c r="AB80" i="117" s="1"/>
  <c r="X63" i="81"/>
  <c r="H63" i="82" s="1"/>
  <c r="X63" i="82" s="1"/>
  <c r="H68" i="90" s="1"/>
  <c r="X68" i="90" s="1"/>
  <c r="H68" i="93" s="1"/>
  <c r="X68" i="93" s="1"/>
  <c r="H69" i="107" s="1"/>
  <c r="X69" i="107" s="1"/>
  <c r="H70" i="108" s="1"/>
  <c r="X70" i="108" s="1"/>
  <c r="H70" i="112" s="1"/>
  <c r="X70" i="112" s="1"/>
  <c r="H70" i="113" s="1"/>
  <c r="X70" i="113" s="1"/>
  <c r="H80" i="117" s="1"/>
  <c r="X80" i="117" s="1"/>
  <c r="M63" i="81"/>
  <c r="K63" i="81"/>
  <c r="AA63" i="81" s="1"/>
  <c r="K63" i="82" s="1"/>
  <c r="J63" i="81"/>
  <c r="Z63" i="81" s="1"/>
  <c r="J63" i="82" s="1"/>
  <c r="Z63" i="82" s="1"/>
  <c r="J68" i="90" s="1"/>
  <c r="Z68" i="90" s="1"/>
  <c r="J68" i="93" s="1"/>
  <c r="Z68" i="93" s="1"/>
  <c r="J69" i="107" s="1"/>
  <c r="Z69" i="107" s="1"/>
  <c r="J70" i="108" s="1"/>
  <c r="Z70" i="108" s="1"/>
  <c r="J70" i="112" s="1"/>
  <c r="Z70" i="112" s="1"/>
  <c r="J70" i="113" s="1"/>
  <c r="Z70" i="113" s="1"/>
  <c r="J80" i="117" s="1"/>
  <c r="Z80" i="117" s="1"/>
  <c r="J81" i="121" s="1"/>
  <c r="Z81" i="121" s="1"/>
  <c r="J81" i="122" s="1"/>
  <c r="Z81" i="122" s="1"/>
  <c r="G63" i="81"/>
  <c r="F63" i="81"/>
  <c r="V63" i="81" s="1"/>
  <c r="H62" i="81"/>
  <c r="X62" i="81" s="1"/>
  <c r="AB61" i="81"/>
  <c r="L61" i="82" s="1"/>
  <c r="X61" i="81"/>
  <c r="H61" i="82" s="1"/>
  <c r="X61" i="82" s="1"/>
  <c r="H66" i="90" s="1"/>
  <c r="X66" i="90" s="1"/>
  <c r="H66" i="93" s="1"/>
  <c r="X66" i="93" s="1"/>
  <c r="H67" i="107" s="1"/>
  <c r="X67" i="107" s="1"/>
  <c r="H68" i="108" s="1"/>
  <c r="X68" i="108" s="1"/>
  <c r="H68" i="112" s="1"/>
  <c r="X68" i="112" s="1"/>
  <c r="H68" i="113" s="1"/>
  <c r="X68" i="113" s="1"/>
  <c r="H78" i="117" s="1"/>
  <c r="X78" i="117" s="1"/>
  <c r="H79" i="121" s="1"/>
  <c r="X79" i="121" s="1"/>
  <c r="H79" i="122" s="1"/>
  <c r="X79" i="122" s="1"/>
  <c r="M61" i="81"/>
  <c r="K61" i="81"/>
  <c r="AA61" i="81" s="1"/>
  <c r="K61" i="82" s="1"/>
  <c r="AA61" i="82" s="1"/>
  <c r="K66" i="90" s="1"/>
  <c r="AA66" i="90" s="1"/>
  <c r="K66" i="93" s="1"/>
  <c r="AA66" i="93" s="1"/>
  <c r="K67" i="107" s="1"/>
  <c r="AA67" i="107" s="1"/>
  <c r="K68" i="108" s="1"/>
  <c r="J61" i="81"/>
  <c r="Z61" i="81" s="1"/>
  <c r="J61" i="82" s="1"/>
  <c r="Z61" i="82" s="1"/>
  <c r="J66" i="90" s="1"/>
  <c r="Z66" i="90" s="1"/>
  <c r="J66" i="93" s="1"/>
  <c r="Z66" i="93" s="1"/>
  <c r="J67" i="107" s="1"/>
  <c r="Z67" i="107" s="1"/>
  <c r="J68" i="108" s="1"/>
  <c r="Z68" i="108" s="1"/>
  <c r="J68" i="112" s="1"/>
  <c r="Z68" i="112" s="1"/>
  <c r="J68" i="113" s="1"/>
  <c r="Z68" i="113" s="1"/>
  <c r="J78" i="117" s="1"/>
  <c r="Z78" i="117" s="1"/>
  <c r="J79" i="121" s="1"/>
  <c r="Z79" i="121" s="1"/>
  <c r="J79" i="122" s="1"/>
  <c r="Z79" i="122" s="1"/>
  <c r="G61" i="81"/>
  <c r="F61" i="81"/>
  <c r="V61" i="81" s="1"/>
  <c r="V61" i="82" s="1"/>
  <c r="F66" i="90" s="1"/>
  <c r="V66" i="90" s="1"/>
  <c r="F66" i="93" s="1"/>
  <c r="V66" i="93" s="1"/>
  <c r="F67" i="107" s="1"/>
  <c r="V67" i="107" s="1"/>
  <c r="F68" i="108" s="1"/>
  <c r="V68" i="108" s="1"/>
  <c r="F68" i="112" s="1"/>
  <c r="V68" i="112" s="1"/>
  <c r="F68" i="113" s="1"/>
  <c r="V68" i="113" s="1"/>
  <c r="F78" i="117" s="1"/>
  <c r="V78" i="117" s="1"/>
  <c r="F79" i="121" s="1"/>
  <c r="V79" i="121" s="1"/>
  <c r="F79" i="122" s="1"/>
  <c r="V79" i="122" s="1"/>
  <c r="X60" i="81"/>
  <c r="H60" i="82" s="1"/>
  <c r="X60" i="82" s="1"/>
  <c r="H65" i="90" s="1"/>
  <c r="X65" i="90" s="1"/>
  <c r="H65" i="93" s="1"/>
  <c r="X65" i="93" s="1"/>
  <c r="H66" i="107" s="1"/>
  <c r="X66" i="107" s="1"/>
  <c r="H67" i="108" s="1"/>
  <c r="X67" i="108" s="1"/>
  <c r="H67" i="112" s="1"/>
  <c r="X67" i="112" s="1"/>
  <c r="H67" i="113" s="1"/>
  <c r="X67" i="113" s="1"/>
  <c r="H77" i="117" s="1"/>
  <c r="X77" i="117" s="1"/>
  <c r="H78" i="121" s="1"/>
  <c r="X78" i="121" s="1"/>
  <c r="H78" i="122" s="1"/>
  <c r="X78" i="122" s="1"/>
  <c r="M60" i="81"/>
  <c r="L60" i="81"/>
  <c r="AB60" i="81" s="1"/>
  <c r="L60" i="82" s="1"/>
  <c r="AB60" i="82" s="1"/>
  <c r="L65" i="90" s="1"/>
  <c r="AB65" i="90" s="1"/>
  <c r="L65" i="93" s="1"/>
  <c r="AB65" i="93" s="1"/>
  <c r="L66" i="107" s="1"/>
  <c r="AB66" i="107" s="1"/>
  <c r="L67" i="108" s="1"/>
  <c r="K60" i="81"/>
  <c r="AA60" i="81" s="1"/>
  <c r="K60" i="82" s="1"/>
  <c r="AA60" i="82" s="1"/>
  <c r="K65" i="90" s="1"/>
  <c r="AA65" i="90" s="1"/>
  <c r="K65" i="93" s="1"/>
  <c r="AA65" i="93" s="1"/>
  <c r="K66" i="107" s="1"/>
  <c r="AA66" i="107" s="1"/>
  <c r="K67" i="108" s="1"/>
  <c r="AA67" i="108" s="1"/>
  <c r="K67" i="112" s="1"/>
  <c r="AA67" i="112" s="1"/>
  <c r="K67" i="113" s="1"/>
  <c r="AA67" i="113" s="1"/>
  <c r="K77" i="117" s="1"/>
  <c r="AA77" i="117" s="1"/>
  <c r="K78" i="121" s="1"/>
  <c r="AA78" i="121" s="1"/>
  <c r="K78" i="122" s="1"/>
  <c r="AA78" i="122" s="1"/>
  <c r="J60" i="81"/>
  <c r="G60" i="81"/>
  <c r="W60" i="81" s="1"/>
  <c r="G60" i="82" s="1"/>
  <c r="F60" i="81"/>
  <c r="V60" i="81" s="1"/>
  <c r="V60" i="82" s="1"/>
  <c r="F65" i="90" s="1"/>
  <c r="V65" i="90" s="1"/>
  <c r="F65" i="93" s="1"/>
  <c r="V65" i="93" s="1"/>
  <c r="F66" i="107" s="1"/>
  <c r="V66" i="107" s="1"/>
  <c r="F67" i="108" s="1"/>
  <c r="V67" i="108" s="1"/>
  <c r="F67" i="112" s="1"/>
  <c r="V67" i="112" s="1"/>
  <c r="F67" i="113" s="1"/>
  <c r="V67" i="113" s="1"/>
  <c r="F77" i="117" s="1"/>
  <c r="V77" i="117" s="1"/>
  <c r="F78" i="121" s="1"/>
  <c r="V78" i="121" s="1"/>
  <c r="F78" i="122" s="1"/>
  <c r="V78" i="122" s="1"/>
  <c r="X59" i="81"/>
  <c r="H59" i="82" s="1"/>
  <c r="X59" i="82" s="1"/>
  <c r="H64" i="90" s="1"/>
  <c r="X64" i="90" s="1"/>
  <c r="H64" i="93" s="1"/>
  <c r="X64" i="93" s="1"/>
  <c r="H65" i="107" s="1"/>
  <c r="X65" i="107" s="1"/>
  <c r="H66" i="108" s="1"/>
  <c r="X66" i="108" s="1"/>
  <c r="H66" i="112" s="1"/>
  <c r="X66" i="112" s="1"/>
  <c r="H66" i="113" s="1"/>
  <c r="X66" i="113" s="1"/>
  <c r="H76" i="117" s="1"/>
  <c r="X76" i="117" s="1"/>
  <c r="H77" i="121" s="1"/>
  <c r="X77" i="121" s="1"/>
  <c r="H77" i="122" s="1"/>
  <c r="X77" i="122" s="1"/>
  <c r="M59" i="81"/>
  <c r="L59" i="81"/>
  <c r="AB59" i="81" s="1"/>
  <c r="L59" i="82" s="1"/>
  <c r="AB59" i="82" s="1"/>
  <c r="L64" i="90" s="1"/>
  <c r="AB64" i="90" s="1"/>
  <c r="L64" i="93" s="1"/>
  <c r="AB64" i="93" s="1"/>
  <c r="L65" i="107" s="1"/>
  <c r="AB65" i="107" s="1"/>
  <c r="L66" i="108" s="1"/>
  <c r="K59" i="81"/>
  <c r="AA59" i="81" s="1"/>
  <c r="K59" i="82" s="1"/>
  <c r="AA59" i="82" s="1"/>
  <c r="K64" i="90" s="1"/>
  <c r="AA64" i="90" s="1"/>
  <c r="K64" i="93" s="1"/>
  <c r="AA64" i="93" s="1"/>
  <c r="K65" i="107" s="1"/>
  <c r="AA65" i="107" s="1"/>
  <c r="K66" i="108" s="1"/>
  <c r="AA66" i="108" s="1"/>
  <c r="K66" i="112" s="1"/>
  <c r="AA66" i="112" s="1"/>
  <c r="K66" i="113" s="1"/>
  <c r="AA66" i="113" s="1"/>
  <c r="K76" i="117" s="1"/>
  <c r="J59" i="81"/>
  <c r="Z59" i="81" s="1"/>
  <c r="J59" i="82" s="1"/>
  <c r="Z59" i="82" s="1"/>
  <c r="J64" i="90" s="1"/>
  <c r="Z64" i="90" s="1"/>
  <c r="J64" i="93" s="1"/>
  <c r="Z64" i="93" s="1"/>
  <c r="J65" i="107" s="1"/>
  <c r="Z65" i="107" s="1"/>
  <c r="J66" i="108" s="1"/>
  <c r="Z66" i="108" s="1"/>
  <c r="J66" i="112" s="1"/>
  <c r="Z66" i="112" s="1"/>
  <c r="J66" i="113" s="1"/>
  <c r="Z66" i="113" s="1"/>
  <c r="J76" i="117" s="1"/>
  <c r="Z76" i="117" s="1"/>
  <c r="J77" i="121" s="1"/>
  <c r="Z77" i="121" s="1"/>
  <c r="J77" i="122" s="1"/>
  <c r="Z77" i="122" s="1"/>
  <c r="G59" i="81"/>
  <c r="W59" i="81" s="1"/>
  <c r="G59" i="82" s="1"/>
  <c r="W59" i="82" s="1"/>
  <c r="G61" i="90" s="1"/>
  <c r="W61" i="90" s="1"/>
  <c r="G61" i="93" s="1"/>
  <c r="W61" i="93" s="1"/>
  <c r="G62" i="107" s="1"/>
  <c r="W62" i="107" s="1"/>
  <c r="G63" i="108" s="1"/>
  <c r="W63" i="108" s="1"/>
  <c r="G63" i="112" s="1"/>
  <c r="W63" i="112" s="1"/>
  <c r="G63" i="113" s="1"/>
  <c r="W63" i="113" s="1"/>
  <c r="G73" i="117" s="1"/>
  <c r="W73" i="117" s="1"/>
  <c r="G74" i="121" s="1"/>
  <c r="W74" i="121" s="1"/>
  <c r="G74" i="122" s="1"/>
  <c r="W74" i="122" s="1"/>
  <c r="F59" i="81"/>
  <c r="V59" i="81" s="1"/>
  <c r="V59" i="82" s="1"/>
  <c r="F64" i="90" s="1"/>
  <c r="V64" i="90" s="1"/>
  <c r="F64" i="93" s="1"/>
  <c r="V64" i="93" s="1"/>
  <c r="F65" i="107" s="1"/>
  <c r="V65" i="107" s="1"/>
  <c r="F66" i="108" s="1"/>
  <c r="V66" i="108" s="1"/>
  <c r="F66" i="112" s="1"/>
  <c r="V66" i="112" s="1"/>
  <c r="F66" i="113" s="1"/>
  <c r="V66" i="113" s="1"/>
  <c r="F76" i="117" s="1"/>
  <c r="V76" i="117" s="1"/>
  <c r="F77" i="121" s="1"/>
  <c r="V77" i="121" s="1"/>
  <c r="F77" i="122" s="1"/>
  <c r="V77" i="122" s="1"/>
  <c r="X58" i="81"/>
  <c r="H58" i="82" s="1"/>
  <c r="X58" i="82" s="1"/>
  <c r="H63" i="90" s="1"/>
  <c r="X63" i="90" s="1"/>
  <c r="H63" i="93" s="1"/>
  <c r="X63" i="93" s="1"/>
  <c r="H64" i="107" s="1"/>
  <c r="X64" i="107" s="1"/>
  <c r="H65" i="108" s="1"/>
  <c r="X65" i="108" s="1"/>
  <c r="H65" i="112" s="1"/>
  <c r="X65" i="112" s="1"/>
  <c r="H65" i="113" s="1"/>
  <c r="X65" i="113" s="1"/>
  <c r="H75" i="117" s="1"/>
  <c r="X75" i="117" s="1"/>
  <c r="H76" i="121" s="1"/>
  <c r="X76" i="121" s="1"/>
  <c r="H76" i="122" s="1"/>
  <c r="X76" i="122" s="1"/>
  <c r="M58" i="81"/>
  <c r="L58" i="81"/>
  <c r="AB58" i="81" s="1"/>
  <c r="L58" i="82" s="1"/>
  <c r="AB58" i="82" s="1"/>
  <c r="L63" i="90" s="1"/>
  <c r="AB63" i="90" s="1"/>
  <c r="L63" i="93" s="1"/>
  <c r="AB63" i="93" s="1"/>
  <c r="L64" i="107" s="1"/>
  <c r="AB64" i="107" s="1"/>
  <c r="L65" i="108" s="1"/>
  <c r="K58" i="81"/>
  <c r="AA58" i="81" s="1"/>
  <c r="K58" i="82" s="1"/>
  <c r="AA58" i="82" s="1"/>
  <c r="K63" i="90" s="1"/>
  <c r="AA63" i="90" s="1"/>
  <c r="K63" i="93" s="1"/>
  <c r="AA63" i="93" s="1"/>
  <c r="K64" i="107" s="1"/>
  <c r="AA64" i="107" s="1"/>
  <c r="K65" i="108" s="1"/>
  <c r="AA65" i="108" s="1"/>
  <c r="K65" i="112" s="1"/>
  <c r="AA65" i="112" s="1"/>
  <c r="K65" i="113" s="1"/>
  <c r="AA65" i="113" s="1"/>
  <c r="K75" i="117" s="1"/>
  <c r="AA75" i="117" s="1"/>
  <c r="K76" i="121" s="1"/>
  <c r="AA76" i="121" s="1"/>
  <c r="K76" i="122" s="1"/>
  <c r="AA76" i="122" s="1"/>
  <c r="J58" i="81"/>
  <c r="G58" i="81"/>
  <c r="W58" i="81" s="1"/>
  <c r="G58" i="82" s="1"/>
  <c r="F58" i="81"/>
  <c r="V58" i="81" s="1"/>
  <c r="V58" i="82" s="1"/>
  <c r="F63" i="90" s="1"/>
  <c r="V63" i="90" s="1"/>
  <c r="F63" i="93" s="1"/>
  <c r="V63" i="93" s="1"/>
  <c r="F64" i="107" s="1"/>
  <c r="V64" i="107" s="1"/>
  <c r="F65" i="108" s="1"/>
  <c r="V65" i="108" s="1"/>
  <c r="F65" i="112" s="1"/>
  <c r="V65" i="112" s="1"/>
  <c r="F65" i="113" s="1"/>
  <c r="V65" i="113" s="1"/>
  <c r="F75" i="117" s="1"/>
  <c r="V75" i="117" s="1"/>
  <c r="F76" i="121" s="1"/>
  <c r="V76" i="121" s="1"/>
  <c r="F76" i="122" s="1"/>
  <c r="V76" i="122" s="1"/>
  <c r="X57" i="81"/>
  <c r="H57" i="82" s="1"/>
  <c r="X57" i="82" s="1"/>
  <c r="H62" i="90" s="1"/>
  <c r="X62" i="90" s="1"/>
  <c r="H62" i="93" s="1"/>
  <c r="X62" i="93" s="1"/>
  <c r="H63" i="107" s="1"/>
  <c r="X63" i="107" s="1"/>
  <c r="H64" i="108" s="1"/>
  <c r="X64" i="108" s="1"/>
  <c r="H64" i="112" s="1"/>
  <c r="X64" i="112" s="1"/>
  <c r="H64" i="113" s="1"/>
  <c r="X64" i="113" s="1"/>
  <c r="H74" i="117" s="1"/>
  <c r="X74" i="117" s="1"/>
  <c r="H75" i="121" s="1"/>
  <c r="X75" i="121" s="1"/>
  <c r="H75" i="122" s="1"/>
  <c r="X75" i="122" s="1"/>
  <c r="M57" i="81"/>
  <c r="L57" i="81"/>
  <c r="AB57" i="81" s="1"/>
  <c r="L57" i="82" s="1"/>
  <c r="K57" i="81"/>
  <c r="AA57" i="81" s="1"/>
  <c r="K57" i="82" s="1"/>
  <c r="AA57" i="82" s="1"/>
  <c r="K62" i="90" s="1"/>
  <c r="AA62" i="90" s="1"/>
  <c r="K62" i="93" s="1"/>
  <c r="AA62" i="93" s="1"/>
  <c r="K63" i="107" s="1"/>
  <c r="AA63" i="107" s="1"/>
  <c r="K64" i="108" s="1"/>
  <c r="AA64" i="108" s="1"/>
  <c r="K64" i="112" s="1"/>
  <c r="AA64" i="112" s="1"/>
  <c r="K64" i="113" s="1"/>
  <c r="AA64" i="113" s="1"/>
  <c r="K74" i="117" s="1"/>
  <c r="AA74" i="117" s="1"/>
  <c r="K75" i="121" s="1"/>
  <c r="AA75" i="121" s="1"/>
  <c r="K75" i="122" s="1"/>
  <c r="AA75" i="122" s="1"/>
  <c r="J57" i="81"/>
  <c r="Z57" i="81" s="1"/>
  <c r="J57" i="82" s="1"/>
  <c r="Z57" i="82" s="1"/>
  <c r="J62" i="90" s="1"/>
  <c r="Z62" i="90" s="1"/>
  <c r="J62" i="93" s="1"/>
  <c r="Z62" i="93" s="1"/>
  <c r="J63" i="107" s="1"/>
  <c r="Z63" i="107" s="1"/>
  <c r="J64" i="108" s="1"/>
  <c r="Z64" i="108" s="1"/>
  <c r="J64" i="112" s="1"/>
  <c r="Z64" i="112" s="1"/>
  <c r="J64" i="113" s="1"/>
  <c r="Z64" i="113" s="1"/>
  <c r="J74" i="117" s="1"/>
  <c r="Z74" i="117" s="1"/>
  <c r="J75" i="121" s="1"/>
  <c r="Z75" i="121" s="1"/>
  <c r="J75" i="122" s="1"/>
  <c r="Z75" i="122" s="1"/>
  <c r="G57" i="81"/>
  <c r="W57" i="81" s="1"/>
  <c r="G57" i="82" s="1"/>
  <c r="W57" i="82" s="1"/>
  <c r="G59" i="90" s="1"/>
  <c r="W59" i="90" s="1"/>
  <c r="G59" i="93" s="1"/>
  <c r="W59" i="93" s="1"/>
  <c r="G60" i="107" s="1"/>
  <c r="W60" i="107" s="1"/>
  <c r="G61" i="108" s="1"/>
  <c r="W61" i="108" s="1"/>
  <c r="G61" i="112" s="1"/>
  <c r="W61" i="112" s="1"/>
  <c r="G61" i="113" s="1"/>
  <c r="W61" i="113" s="1"/>
  <c r="G71" i="117" s="1"/>
  <c r="W71" i="117" s="1"/>
  <c r="G72" i="121" s="1"/>
  <c r="W72" i="121" s="1"/>
  <c r="G72" i="122" s="1"/>
  <c r="W72" i="122" s="1"/>
  <c r="F57" i="81"/>
  <c r="V57" i="81" s="1"/>
  <c r="V57" i="82" s="1"/>
  <c r="F62" i="90" s="1"/>
  <c r="V62" i="90" s="1"/>
  <c r="F62" i="93" s="1"/>
  <c r="V62" i="93" s="1"/>
  <c r="F63" i="107" s="1"/>
  <c r="V63" i="107" s="1"/>
  <c r="F64" i="108" s="1"/>
  <c r="V64" i="108" s="1"/>
  <c r="F64" i="112" s="1"/>
  <c r="V64" i="112" s="1"/>
  <c r="F64" i="113" s="1"/>
  <c r="V64" i="113" s="1"/>
  <c r="F74" i="117" s="1"/>
  <c r="V74" i="117" s="1"/>
  <c r="F75" i="121" s="1"/>
  <c r="V75" i="121" s="1"/>
  <c r="F75" i="122" s="1"/>
  <c r="V75" i="122" s="1"/>
  <c r="X56" i="81"/>
  <c r="H56" i="82" s="1"/>
  <c r="X56" i="82" s="1"/>
  <c r="H61" i="90" s="1"/>
  <c r="X61" i="90" s="1"/>
  <c r="H61" i="93" s="1"/>
  <c r="X61" i="93" s="1"/>
  <c r="H62" i="107" s="1"/>
  <c r="X62" i="107" s="1"/>
  <c r="H63" i="108" s="1"/>
  <c r="X63" i="108" s="1"/>
  <c r="H63" i="112" s="1"/>
  <c r="X63" i="112" s="1"/>
  <c r="H63" i="113" s="1"/>
  <c r="X63" i="113" s="1"/>
  <c r="H73" i="117" s="1"/>
  <c r="X73" i="117" s="1"/>
  <c r="H74" i="121" s="1"/>
  <c r="X74" i="121" s="1"/>
  <c r="H74" i="122" s="1"/>
  <c r="X74" i="122" s="1"/>
  <c r="M56" i="81"/>
  <c r="L56" i="81"/>
  <c r="AB56" i="81" s="1"/>
  <c r="L56" i="82" s="1"/>
  <c r="AB56" i="82" s="1"/>
  <c r="L61" i="90" s="1"/>
  <c r="AB61" i="90" s="1"/>
  <c r="L61" i="93" s="1"/>
  <c r="AB61" i="93" s="1"/>
  <c r="L62" i="107" s="1"/>
  <c r="AB62" i="107" s="1"/>
  <c r="L63" i="108" s="1"/>
  <c r="K56" i="81"/>
  <c r="AA56" i="81" s="1"/>
  <c r="K56" i="82" s="1"/>
  <c r="AA56" i="82" s="1"/>
  <c r="K61" i="90" s="1"/>
  <c r="AA61" i="90" s="1"/>
  <c r="K61" i="93" s="1"/>
  <c r="AA61" i="93" s="1"/>
  <c r="K62" i="107" s="1"/>
  <c r="AA62" i="107" s="1"/>
  <c r="K63" i="108" s="1"/>
  <c r="AA63" i="108" s="1"/>
  <c r="K63" i="112" s="1"/>
  <c r="AA63" i="112" s="1"/>
  <c r="K63" i="113" s="1"/>
  <c r="AA63" i="113" s="1"/>
  <c r="K73" i="117" s="1"/>
  <c r="AA73" i="117" s="1"/>
  <c r="K74" i="121" s="1"/>
  <c r="AA74" i="121" s="1"/>
  <c r="K74" i="122" s="1"/>
  <c r="AA74" i="122" s="1"/>
  <c r="J56" i="81"/>
  <c r="G56" i="81"/>
  <c r="W56" i="81" s="1"/>
  <c r="G56" i="82" s="1"/>
  <c r="F56" i="81"/>
  <c r="V56" i="81" s="1"/>
  <c r="V56" i="82" s="1"/>
  <c r="F61" i="90" s="1"/>
  <c r="V61" i="90" s="1"/>
  <c r="F61" i="93" s="1"/>
  <c r="V61" i="93" s="1"/>
  <c r="F62" i="107" s="1"/>
  <c r="V62" i="107" s="1"/>
  <c r="F63" i="108" s="1"/>
  <c r="V63" i="108" s="1"/>
  <c r="F63" i="112" s="1"/>
  <c r="V63" i="112" s="1"/>
  <c r="F63" i="113" s="1"/>
  <c r="V63" i="113" s="1"/>
  <c r="F73" i="117" s="1"/>
  <c r="V73" i="117" s="1"/>
  <c r="F74" i="121" s="1"/>
  <c r="V74" i="121" s="1"/>
  <c r="F74" i="122" s="1"/>
  <c r="V74" i="122" s="1"/>
  <c r="X55" i="81"/>
  <c r="H55" i="82" s="1"/>
  <c r="X55" i="82" s="1"/>
  <c r="H60" i="90" s="1"/>
  <c r="X60" i="90" s="1"/>
  <c r="H60" i="93" s="1"/>
  <c r="X60" i="93" s="1"/>
  <c r="H61" i="107" s="1"/>
  <c r="X61" i="107" s="1"/>
  <c r="H62" i="108" s="1"/>
  <c r="X62" i="108" s="1"/>
  <c r="H62" i="112" s="1"/>
  <c r="X62" i="112" s="1"/>
  <c r="H62" i="113" s="1"/>
  <c r="X62" i="113" s="1"/>
  <c r="H72" i="117" s="1"/>
  <c r="X72" i="117" s="1"/>
  <c r="H73" i="121" s="1"/>
  <c r="X73" i="121" s="1"/>
  <c r="H73" i="122" s="1"/>
  <c r="X73" i="122" s="1"/>
  <c r="M55" i="81"/>
  <c r="L55" i="81"/>
  <c r="AB55" i="81" s="1"/>
  <c r="L55" i="82" s="1"/>
  <c r="AB55" i="82" s="1"/>
  <c r="L60" i="90" s="1"/>
  <c r="AB60" i="90" s="1"/>
  <c r="L60" i="93" s="1"/>
  <c r="AB60" i="93" s="1"/>
  <c r="L61" i="107" s="1"/>
  <c r="AB61" i="107" s="1"/>
  <c r="L62" i="108" s="1"/>
  <c r="K55" i="81"/>
  <c r="AA55" i="81" s="1"/>
  <c r="K55" i="82" s="1"/>
  <c r="AA55" i="82" s="1"/>
  <c r="K60" i="90" s="1"/>
  <c r="AA60" i="90" s="1"/>
  <c r="K60" i="93" s="1"/>
  <c r="AA60" i="93" s="1"/>
  <c r="K61" i="107" s="1"/>
  <c r="AA61" i="107" s="1"/>
  <c r="K62" i="108" s="1"/>
  <c r="AA62" i="108" s="1"/>
  <c r="K62" i="112" s="1"/>
  <c r="AA62" i="112" s="1"/>
  <c r="K62" i="113" s="1"/>
  <c r="AA62" i="113" s="1"/>
  <c r="K72" i="117" s="1"/>
  <c r="J55" i="81"/>
  <c r="Z55" i="81" s="1"/>
  <c r="J55" i="82" s="1"/>
  <c r="Z55" i="82" s="1"/>
  <c r="J60" i="90" s="1"/>
  <c r="Z60" i="90" s="1"/>
  <c r="J60" i="93" s="1"/>
  <c r="Z60" i="93" s="1"/>
  <c r="J61" i="107" s="1"/>
  <c r="Z61" i="107" s="1"/>
  <c r="J62" i="108" s="1"/>
  <c r="Z62" i="108" s="1"/>
  <c r="J62" i="112" s="1"/>
  <c r="Z62" i="112" s="1"/>
  <c r="J62" i="113" s="1"/>
  <c r="Z62" i="113" s="1"/>
  <c r="J72" i="117" s="1"/>
  <c r="Z72" i="117" s="1"/>
  <c r="J73" i="121" s="1"/>
  <c r="Z73" i="121" s="1"/>
  <c r="J73" i="122" s="1"/>
  <c r="Z73" i="122" s="1"/>
  <c r="G55" i="81"/>
  <c r="W55" i="81" s="1"/>
  <c r="G55" i="82" s="1"/>
  <c r="W55" i="82" s="1"/>
  <c r="G57" i="90" s="1"/>
  <c r="W57" i="90" s="1"/>
  <c r="G57" i="93" s="1"/>
  <c r="W57" i="93" s="1"/>
  <c r="G58" i="107" s="1"/>
  <c r="W58" i="107" s="1"/>
  <c r="G59" i="108" s="1"/>
  <c r="W59" i="108" s="1"/>
  <c r="G59" i="112" s="1"/>
  <c r="W59" i="112" s="1"/>
  <c r="G59" i="113" s="1"/>
  <c r="W59" i="113" s="1"/>
  <c r="G69" i="117" s="1"/>
  <c r="W69" i="117" s="1"/>
  <c r="G70" i="121" s="1"/>
  <c r="W70" i="121" s="1"/>
  <c r="G70" i="122" s="1"/>
  <c r="W70" i="122" s="1"/>
  <c r="F55" i="81"/>
  <c r="V55" i="81" s="1"/>
  <c r="X54" i="81"/>
  <c r="H54" i="82" s="1"/>
  <c r="X54" i="82" s="1"/>
  <c r="H59" i="90" s="1"/>
  <c r="X59" i="90" s="1"/>
  <c r="H59" i="93" s="1"/>
  <c r="X59" i="93" s="1"/>
  <c r="H60" i="107" s="1"/>
  <c r="X60" i="107" s="1"/>
  <c r="H61" i="108" s="1"/>
  <c r="X61" i="108" s="1"/>
  <c r="H61" i="112" s="1"/>
  <c r="X61" i="112" s="1"/>
  <c r="H61" i="113" s="1"/>
  <c r="X61" i="113" s="1"/>
  <c r="H71" i="117" s="1"/>
  <c r="X71" i="117" s="1"/>
  <c r="H72" i="121" s="1"/>
  <c r="X72" i="121" s="1"/>
  <c r="H72" i="122" s="1"/>
  <c r="X72" i="122" s="1"/>
  <c r="M54" i="81"/>
  <c r="L54" i="81"/>
  <c r="AB54" i="81" s="1"/>
  <c r="L54" i="82" s="1"/>
  <c r="AB54" i="82" s="1"/>
  <c r="L59" i="90" s="1"/>
  <c r="AB59" i="90" s="1"/>
  <c r="L59" i="93" s="1"/>
  <c r="AB59" i="93" s="1"/>
  <c r="L60" i="107" s="1"/>
  <c r="AB60" i="107" s="1"/>
  <c r="L61" i="108" s="1"/>
  <c r="K54" i="81"/>
  <c r="AA54" i="81" s="1"/>
  <c r="K54" i="82" s="1"/>
  <c r="AA54" i="82" s="1"/>
  <c r="K59" i="90" s="1"/>
  <c r="AA59" i="90" s="1"/>
  <c r="K59" i="93" s="1"/>
  <c r="AA59" i="93" s="1"/>
  <c r="K60" i="107" s="1"/>
  <c r="AA60" i="107" s="1"/>
  <c r="K61" i="108" s="1"/>
  <c r="AA61" i="108" s="1"/>
  <c r="K61" i="112" s="1"/>
  <c r="AA61" i="112" s="1"/>
  <c r="K61" i="113" s="1"/>
  <c r="AA61" i="113" s="1"/>
  <c r="K71" i="117" s="1"/>
  <c r="AA71" i="117" s="1"/>
  <c r="K72" i="121" s="1"/>
  <c r="AA72" i="121" s="1"/>
  <c r="K72" i="122" s="1"/>
  <c r="AA72" i="122" s="1"/>
  <c r="J54" i="81"/>
  <c r="G54" i="81"/>
  <c r="W54" i="81" s="1"/>
  <c r="G54" i="82" s="1"/>
  <c r="F54" i="81"/>
  <c r="V54" i="81" s="1"/>
  <c r="V54" i="82" s="1"/>
  <c r="F59" i="90" s="1"/>
  <c r="V59" i="90" s="1"/>
  <c r="F59" i="93" s="1"/>
  <c r="V59" i="93" s="1"/>
  <c r="F60" i="107" s="1"/>
  <c r="V60" i="107" s="1"/>
  <c r="F61" i="108" s="1"/>
  <c r="V61" i="108" s="1"/>
  <c r="F61" i="112" s="1"/>
  <c r="V61" i="112" s="1"/>
  <c r="F61" i="113" s="1"/>
  <c r="V61" i="113" s="1"/>
  <c r="F71" i="117" s="1"/>
  <c r="V71" i="117" s="1"/>
  <c r="F72" i="121" s="1"/>
  <c r="V72" i="121" s="1"/>
  <c r="F72" i="122" s="1"/>
  <c r="V72" i="122" s="1"/>
  <c r="X53" i="81"/>
  <c r="H53" i="82" s="1"/>
  <c r="X53" i="82" s="1"/>
  <c r="H58" i="90" s="1"/>
  <c r="X58" i="90" s="1"/>
  <c r="H58" i="93" s="1"/>
  <c r="X58" i="93" s="1"/>
  <c r="H59" i="107" s="1"/>
  <c r="X59" i="107" s="1"/>
  <c r="H60" i="108" s="1"/>
  <c r="X60" i="108" s="1"/>
  <c r="H60" i="112" s="1"/>
  <c r="X60" i="112" s="1"/>
  <c r="H60" i="113" s="1"/>
  <c r="X60" i="113" s="1"/>
  <c r="H70" i="117" s="1"/>
  <c r="X70" i="117" s="1"/>
  <c r="H71" i="121" s="1"/>
  <c r="X71" i="121" s="1"/>
  <c r="H71" i="122" s="1"/>
  <c r="X71" i="122" s="1"/>
  <c r="M53" i="81"/>
  <c r="L53" i="81"/>
  <c r="K53" i="81"/>
  <c r="AA53" i="81" s="1"/>
  <c r="K53" i="82" s="1"/>
  <c r="AA53" i="82" s="1"/>
  <c r="K58" i="90" s="1"/>
  <c r="AA58" i="90" s="1"/>
  <c r="K58" i="93" s="1"/>
  <c r="AA58" i="93" s="1"/>
  <c r="K59" i="107" s="1"/>
  <c r="AA59" i="107" s="1"/>
  <c r="K60" i="108" s="1"/>
  <c r="AA60" i="108" s="1"/>
  <c r="K60" i="112" s="1"/>
  <c r="AA60" i="112" s="1"/>
  <c r="K60" i="113" s="1"/>
  <c r="AA60" i="113" s="1"/>
  <c r="K70" i="117" s="1"/>
  <c r="AA70" i="117" s="1"/>
  <c r="K71" i="121" s="1"/>
  <c r="AA71" i="121" s="1"/>
  <c r="K71" i="122" s="1"/>
  <c r="AA71" i="122" s="1"/>
  <c r="J53" i="81"/>
  <c r="Z53" i="81" s="1"/>
  <c r="J53" i="82" s="1"/>
  <c r="Z53" i="82" s="1"/>
  <c r="J58" i="90" s="1"/>
  <c r="Z58" i="90" s="1"/>
  <c r="J58" i="93" s="1"/>
  <c r="Z58" i="93" s="1"/>
  <c r="J59" i="107" s="1"/>
  <c r="Z59" i="107" s="1"/>
  <c r="J60" i="108" s="1"/>
  <c r="Z60" i="108" s="1"/>
  <c r="J60" i="112" s="1"/>
  <c r="Z60" i="112" s="1"/>
  <c r="J60" i="113" s="1"/>
  <c r="Z60" i="113" s="1"/>
  <c r="J70" i="117" s="1"/>
  <c r="Z70" i="117" s="1"/>
  <c r="J71" i="121" s="1"/>
  <c r="Z71" i="121" s="1"/>
  <c r="J71" i="122" s="1"/>
  <c r="Z71" i="122" s="1"/>
  <c r="G53" i="81"/>
  <c r="W53" i="81" s="1"/>
  <c r="G53" i="82" s="1"/>
  <c r="F53" i="81"/>
  <c r="V53" i="81" s="1"/>
  <c r="V53" i="82" s="1"/>
  <c r="F58" i="90" s="1"/>
  <c r="V58" i="90" s="1"/>
  <c r="F58" i="93" s="1"/>
  <c r="V58" i="93" s="1"/>
  <c r="F59" i="107" s="1"/>
  <c r="V59" i="107" s="1"/>
  <c r="F60" i="108" s="1"/>
  <c r="V60" i="108" s="1"/>
  <c r="F60" i="112" s="1"/>
  <c r="V60" i="112" s="1"/>
  <c r="F60" i="113" s="1"/>
  <c r="V60" i="113" s="1"/>
  <c r="F70" i="117" s="1"/>
  <c r="V70" i="117" s="1"/>
  <c r="F71" i="121" s="1"/>
  <c r="V71" i="121" s="1"/>
  <c r="F71" i="122" s="1"/>
  <c r="V71" i="122" s="1"/>
  <c r="T51" i="81"/>
  <c r="S51" i="81"/>
  <c r="R51" i="81"/>
  <c r="P51" i="81"/>
  <c r="O51" i="81"/>
  <c r="N51" i="81"/>
  <c r="M50" i="81"/>
  <c r="L50" i="81"/>
  <c r="K50" i="81"/>
  <c r="AA50" i="81" s="1"/>
  <c r="K50" i="82" s="1"/>
  <c r="J50" i="81"/>
  <c r="Z50" i="81" s="1"/>
  <c r="J50" i="82" s="1"/>
  <c r="Z50" i="82" s="1"/>
  <c r="J55" i="90" s="1"/>
  <c r="Z55" i="90" s="1"/>
  <c r="J55" i="93" s="1"/>
  <c r="Z55" i="93" s="1"/>
  <c r="J56" i="107" s="1"/>
  <c r="Z56" i="107" s="1"/>
  <c r="J57" i="108" s="1"/>
  <c r="Z57" i="108" s="1"/>
  <c r="J57" i="112" s="1"/>
  <c r="Z57" i="112" s="1"/>
  <c r="J57" i="113" s="1"/>
  <c r="Z57" i="113" s="1"/>
  <c r="J67" i="117" s="1"/>
  <c r="Z67" i="117" s="1"/>
  <c r="J68" i="121" s="1"/>
  <c r="Z68" i="121" s="1"/>
  <c r="J68" i="122" s="1"/>
  <c r="Z68" i="122" s="1"/>
  <c r="H50" i="81"/>
  <c r="X50" i="81" s="1"/>
  <c r="H50" i="82" s="1"/>
  <c r="X50" i="82" s="1"/>
  <c r="H55" i="90" s="1"/>
  <c r="X55" i="90" s="1"/>
  <c r="H55" i="93" s="1"/>
  <c r="X55" i="93" s="1"/>
  <c r="H56" i="107" s="1"/>
  <c r="X56" i="107" s="1"/>
  <c r="H57" i="108" s="1"/>
  <c r="X57" i="108" s="1"/>
  <c r="H57" i="112" s="1"/>
  <c r="X57" i="112" s="1"/>
  <c r="H57" i="113" s="1"/>
  <c r="X57" i="113" s="1"/>
  <c r="H67" i="117" s="1"/>
  <c r="X67" i="117" s="1"/>
  <c r="H68" i="121" s="1"/>
  <c r="X68" i="121" s="1"/>
  <c r="H68" i="122" s="1"/>
  <c r="X68" i="122" s="1"/>
  <c r="G50" i="81"/>
  <c r="W50" i="81" s="1"/>
  <c r="G50" i="82" s="1"/>
  <c r="W50" i="82" s="1"/>
  <c r="G52" i="90" s="1"/>
  <c r="W52" i="90" s="1"/>
  <c r="G52" i="93" s="1"/>
  <c r="W52" i="93" s="1"/>
  <c r="G53" i="107" s="1"/>
  <c r="W53" i="107" s="1"/>
  <c r="G54" i="108" s="1"/>
  <c r="W54" i="108" s="1"/>
  <c r="G54" i="112" s="1"/>
  <c r="W54" i="112" s="1"/>
  <c r="G54" i="113" s="1"/>
  <c r="W54" i="113" s="1"/>
  <c r="G64" i="117" s="1"/>
  <c r="W64" i="117" s="1"/>
  <c r="G65" i="121" s="1"/>
  <c r="W65" i="121" s="1"/>
  <c r="G65" i="122" s="1"/>
  <c r="W65" i="122" s="1"/>
  <c r="F50" i="81"/>
  <c r="V50" i="81" s="1"/>
  <c r="V50" i="82" s="1"/>
  <c r="F55" i="90" s="1"/>
  <c r="V55" i="90" s="1"/>
  <c r="F55" i="93" s="1"/>
  <c r="V55" i="93" s="1"/>
  <c r="F56" i="107" s="1"/>
  <c r="V56" i="107" s="1"/>
  <c r="F57" i="108" s="1"/>
  <c r="V57" i="108" s="1"/>
  <c r="F57" i="112" s="1"/>
  <c r="V57" i="112" s="1"/>
  <c r="F57" i="113" s="1"/>
  <c r="V57" i="113" s="1"/>
  <c r="F67" i="117" s="1"/>
  <c r="V67" i="117" s="1"/>
  <c r="F68" i="121" s="1"/>
  <c r="V68" i="121" s="1"/>
  <c r="F68" i="122" s="1"/>
  <c r="V68" i="122" s="1"/>
  <c r="X49" i="81"/>
  <c r="H49" i="82" s="1"/>
  <c r="X49" i="82" s="1"/>
  <c r="H54" i="90" s="1"/>
  <c r="X54" i="90" s="1"/>
  <c r="H54" i="93" s="1"/>
  <c r="X54" i="93" s="1"/>
  <c r="H55" i="107" s="1"/>
  <c r="X55" i="107" s="1"/>
  <c r="H56" i="108" s="1"/>
  <c r="X56" i="108" s="1"/>
  <c r="H56" i="112" s="1"/>
  <c r="X56" i="112" s="1"/>
  <c r="H56" i="113" s="1"/>
  <c r="X56" i="113" s="1"/>
  <c r="H66" i="117" s="1"/>
  <c r="X66" i="117" s="1"/>
  <c r="H67" i="121" s="1"/>
  <c r="X67" i="121" s="1"/>
  <c r="H67" i="122" s="1"/>
  <c r="X67" i="122" s="1"/>
  <c r="M49" i="81"/>
  <c r="L49" i="81"/>
  <c r="AB49" i="81" s="1"/>
  <c r="L49" i="82" s="1"/>
  <c r="K49" i="81"/>
  <c r="AA49" i="81" s="1"/>
  <c r="K49" i="82" s="1"/>
  <c r="AA49" i="82" s="1"/>
  <c r="K54" i="90" s="1"/>
  <c r="AA54" i="90" s="1"/>
  <c r="K54" i="93" s="1"/>
  <c r="AA54" i="93" s="1"/>
  <c r="K55" i="107" s="1"/>
  <c r="AA55" i="107" s="1"/>
  <c r="K56" i="108" s="1"/>
  <c r="AA56" i="108" s="1"/>
  <c r="K56" i="112" s="1"/>
  <c r="AA56" i="112" s="1"/>
  <c r="K56" i="113" s="1"/>
  <c r="AA56" i="113" s="1"/>
  <c r="K66" i="117" s="1"/>
  <c r="J49" i="81"/>
  <c r="G49" i="81"/>
  <c r="W49" i="81" s="1"/>
  <c r="G49" i="82" s="1"/>
  <c r="W49" i="82" s="1"/>
  <c r="G51" i="90" s="1"/>
  <c r="W51" i="90" s="1"/>
  <c r="G51" i="93" s="1"/>
  <c r="W51" i="93" s="1"/>
  <c r="G52" i="107" s="1"/>
  <c r="W52" i="107" s="1"/>
  <c r="G53" i="108" s="1"/>
  <c r="W53" i="108" s="1"/>
  <c r="G53" i="112" s="1"/>
  <c r="W53" i="112" s="1"/>
  <c r="G53" i="113" s="1"/>
  <c r="W53" i="113" s="1"/>
  <c r="G63" i="117" s="1"/>
  <c r="W63" i="117" s="1"/>
  <c r="G64" i="121" s="1"/>
  <c r="W64" i="121" s="1"/>
  <c r="G64" i="122" s="1"/>
  <c r="W64" i="122" s="1"/>
  <c r="F49" i="81"/>
  <c r="V49" i="81" s="1"/>
  <c r="V49" i="82" s="1"/>
  <c r="F54" i="90" s="1"/>
  <c r="V54" i="90" s="1"/>
  <c r="F54" i="93" s="1"/>
  <c r="V54" i="93" s="1"/>
  <c r="F55" i="107" s="1"/>
  <c r="V55" i="107" s="1"/>
  <c r="F56" i="108" s="1"/>
  <c r="V56" i="108" s="1"/>
  <c r="F56" i="112" s="1"/>
  <c r="V56" i="112" s="1"/>
  <c r="F56" i="113" s="1"/>
  <c r="V56" i="113" s="1"/>
  <c r="F66" i="117" s="1"/>
  <c r="V66" i="117" s="1"/>
  <c r="F67" i="121" s="1"/>
  <c r="V67" i="121" s="1"/>
  <c r="F67" i="122" s="1"/>
  <c r="V67" i="122" s="1"/>
  <c r="X48" i="81"/>
  <c r="M48" i="81"/>
  <c r="L48" i="81"/>
  <c r="K48" i="81"/>
  <c r="J48" i="81"/>
  <c r="G48" i="81"/>
  <c r="W48" i="81" s="1"/>
  <c r="F48" i="81"/>
  <c r="T47" i="81"/>
  <c r="T52" i="81" s="1"/>
  <c r="S47" i="81"/>
  <c r="R47" i="81"/>
  <c r="P47" i="81"/>
  <c r="O47" i="81"/>
  <c r="O52" i="81" s="1"/>
  <c r="N47" i="81"/>
  <c r="M46" i="81"/>
  <c r="L46" i="81"/>
  <c r="K46" i="81"/>
  <c r="AA46" i="81" s="1"/>
  <c r="K46" i="82" s="1"/>
  <c r="J46" i="81"/>
  <c r="Z46" i="81" s="1"/>
  <c r="J46" i="82" s="1"/>
  <c r="Z46" i="82" s="1"/>
  <c r="J51" i="90" s="1"/>
  <c r="Z51" i="90" s="1"/>
  <c r="J51" i="93" s="1"/>
  <c r="Z51" i="93" s="1"/>
  <c r="J52" i="107" s="1"/>
  <c r="Z52" i="107" s="1"/>
  <c r="J53" i="108" s="1"/>
  <c r="Z53" i="108" s="1"/>
  <c r="J53" i="112" s="1"/>
  <c r="Z53" i="112" s="1"/>
  <c r="J53" i="113" s="1"/>
  <c r="Z53" i="113" s="1"/>
  <c r="J63" i="117" s="1"/>
  <c r="Z63" i="117" s="1"/>
  <c r="J64" i="121" s="1"/>
  <c r="Z64" i="121" s="1"/>
  <c r="J64" i="122" s="1"/>
  <c r="Z64" i="122" s="1"/>
  <c r="H46" i="81"/>
  <c r="X46" i="81" s="1"/>
  <c r="H46" i="82" s="1"/>
  <c r="X46" i="82" s="1"/>
  <c r="H51" i="90" s="1"/>
  <c r="X51" i="90" s="1"/>
  <c r="H51" i="93" s="1"/>
  <c r="X51" i="93" s="1"/>
  <c r="H52" i="107" s="1"/>
  <c r="X52" i="107" s="1"/>
  <c r="H53" i="108" s="1"/>
  <c r="X53" i="108" s="1"/>
  <c r="H53" i="112" s="1"/>
  <c r="X53" i="112" s="1"/>
  <c r="H53" i="113" s="1"/>
  <c r="X53" i="113" s="1"/>
  <c r="H63" i="117" s="1"/>
  <c r="X63" i="117" s="1"/>
  <c r="H64" i="121" s="1"/>
  <c r="X64" i="121" s="1"/>
  <c r="H64" i="122" s="1"/>
  <c r="X64" i="122" s="1"/>
  <c r="G46" i="81"/>
  <c r="W46" i="81" s="1"/>
  <c r="G46" i="82" s="1"/>
  <c r="W46" i="82" s="1"/>
  <c r="F46" i="81"/>
  <c r="V46" i="81" s="1"/>
  <c r="V46" i="82" s="1"/>
  <c r="F51" i="90" s="1"/>
  <c r="V51" i="90" s="1"/>
  <c r="F51" i="93" s="1"/>
  <c r="V51" i="93" s="1"/>
  <c r="F52" i="107" s="1"/>
  <c r="V52" i="107" s="1"/>
  <c r="F53" i="108" s="1"/>
  <c r="V53" i="108" s="1"/>
  <c r="F53" i="112" s="1"/>
  <c r="V53" i="112" s="1"/>
  <c r="F53" i="113" s="1"/>
  <c r="V53" i="113" s="1"/>
  <c r="F63" i="117" s="1"/>
  <c r="V63" i="117" s="1"/>
  <c r="F64" i="121" s="1"/>
  <c r="V64" i="121" s="1"/>
  <c r="F64" i="122" s="1"/>
  <c r="V64" i="122" s="1"/>
  <c r="X45" i="81"/>
  <c r="H45" i="82" s="1"/>
  <c r="X45" i="82" s="1"/>
  <c r="H50" i="90" s="1"/>
  <c r="X50" i="90" s="1"/>
  <c r="H50" i="93" s="1"/>
  <c r="X50" i="93" s="1"/>
  <c r="H51" i="107" s="1"/>
  <c r="X51" i="107" s="1"/>
  <c r="H52" i="108" s="1"/>
  <c r="X52" i="108" s="1"/>
  <c r="H52" i="112" s="1"/>
  <c r="X52" i="112" s="1"/>
  <c r="H52" i="113" s="1"/>
  <c r="X52" i="113" s="1"/>
  <c r="H62" i="117" s="1"/>
  <c r="X62" i="117" s="1"/>
  <c r="H63" i="121" s="1"/>
  <c r="X63" i="121" s="1"/>
  <c r="H63" i="122" s="1"/>
  <c r="X63" i="122" s="1"/>
  <c r="M45" i="81"/>
  <c r="L45" i="81"/>
  <c r="AB45" i="81" s="1"/>
  <c r="L45" i="82" s="1"/>
  <c r="AB45" i="82" s="1"/>
  <c r="L50" i="90" s="1"/>
  <c r="AB50" i="90" s="1"/>
  <c r="L50" i="93" s="1"/>
  <c r="AB50" i="93" s="1"/>
  <c r="L51" i="107" s="1"/>
  <c r="AB51" i="107" s="1"/>
  <c r="L52" i="108" s="1"/>
  <c r="K45" i="81"/>
  <c r="AA45" i="81" s="1"/>
  <c r="K45" i="82" s="1"/>
  <c r="AA45" i="82" s="1"/>
  <c r="K50" i="90" s="1"/>
  <c r="AA50" i="90" s="1"/>
  <c r="K50" i="93" s="1"/>
  <c r="AA50" i="93" s="1"/>
  <c r="K51" i="107" s="1"/>
  <c r="AA51" i="107" s="1"/>
  <c r="K52" i="108" s="1"/>
  <c r="AA52" i="108" s="1"/>
  <c r="K52" i="112" s="1"/>
  <c r="AA52" i="112" s="1"/>
  <c r="K52" i="113" s="1"/>
  <c r="AA52" i="113" s="1"/>
  <c r="K62" i="117" s="1"/>
  <c r="AA62" i="117" s="1"/>
  <c r="K63" i="121" s="1"/>
  <c r="AA63" i="121" s="1"/>
  <c r="K63" i="122" s="1"/>
  <c r="AA63" i="122" s="1"/>
  <c r="J45" i="81"/>
  <c r="G45" i="81"/>
  <c r="W45" i="81" s="1"/>
  <c r="G45" i="82" s="1"/>
  <c r="W45" i="82" s="1"/>
  <c r="G47" i="90" s="1"/>
  <c r="F45" i="81"/>
  <c r="V45" i="81" s="1"/>
  <c r="V45" i="82" s="1"/>
  <c r="F50" i="90" s="1"/>
  <c r="V50" i="90" s="1"/>
  <c r="F50" i="93" s="1"/>
  <c r="V50" i="93" s="1"/>
  <c r="F51" i="107" s="1"/>
  <c r="V51" i="107" s="1"/>
  <c r="F52" i="108" s="1"/>
  <c r="V52" i="108" s="1"/>
  <c r="F52" i="112" s="1"/>
  <c r="V52" i="112" s="1"/>
  <c r="F52" i="113" s="1"/>
  <c r="V52" i="113" s="1"/>
  <c r="F62" i="117" s="1"/>
  <c r="V62" i="117" s="1"/>
  <c r="F63" i="121" s="1"/>
  <c r="V63" i="121" s="1"/>
  <c r="F63" i="122" s="1"/>
  <c r="V63" i="122" s="1"/>
  <c r="X44" i="81"/>
  <c r="M44" i="81"/>
  <c r="L44" i="81"/>
  <c r="K44" i="81"/>
  <c r="J44" i="81"/>
  <c r="G44" i="81"/>
  <c r="W44" i="81" s="1"/>
  <c r="F44" i="81"/>
  <c r="T43" i="81"/>
  <c r="S43" i="81"/>
  <c r="R43" i="81"/>
  <c r="Z43" i="81" s="1"/>
  <c r="J43" i="82" s="1"/>
  <c r="P43" i="81"/>
  <c r="O43" i="81"/>
  <c r="W43" i="81" s="1"/>
  <c r="G43" i="82" s="1"/>
  <c r="N43" i="81"/>
  <c r="V43" i="81" s="1"/>
  <c r="L43" i="81"/>
  <c r="K43" i="81"/>
  <c r="AB42" i="81"/>
  <c r="L42" i="82" s="1"/>
  <c r="AB42" i="82" s="1"/>
  <c r="L47" i="90" s="1"/>
  <c r="AB47" i="90" s="1"/>
  <c r="L47" i="93" s="1"/>
  <c r="AB47" i="93" s="1"/>
  <c r="L48" i="107" s="1"/>
  <c r="AB48" i="107" s="1"/>
  <c r="L48" i="108" s="1"/>
  <c r="AB48" i="108" s="1"/>
  <c r="L48" i="112" s="1"/>
  <c r="AB48" i="112" s="1"/>
  <c r="L48" i="113" s="1"/>
  <c r="AB48" i="113" s="1"/>
  <c r="L58" i="117" s="1"/>
  <c r="AA42" i="81"/>
  <c r="K42" i="82" s="1"/>
  <c r="AA42" i="82" s="1"/>
  <c r="K47" i="90" s="1"/>
  <c r="AA47" i="90" s="1"/>
  <c r="K47" i="93" s="1"/>
  <c r="AA47" i="93" s="1"/>
  <c r="K48" i="107" s="1"/>
  <c r="AA48" i="107" s="1"/>
  <c r="K48" i="108" s="1"/>
  <c r="AA48" i="108" s="1"/>
  <c r="K48" i="112" s="1"/>
  <c r="AA48" i="112" s="1"/>
  <c r="K48" i="113" s="1"/>
  <c r="AA48" i="113" s="1"/>
  <c r="K58" i="117" s="1"/>
  <c r="AA58" i="117" s="1"/>
  <c r="K59" i="121" s="1"/>
  <c r="AA59" i="121" s="1"/>
  <c r="K59" i="122" s="1"/>
  <c r="AA59" i="122" s="1"/>
  <c r="Z42" i="81"/>
  <c r="J42" i="82" s="1"/>
  <c r="Z42" i="82" s="1"/>
  <c r="J47" i="90" s="1"/>
  <c r="Z47" i="90" s="1"/>
  <c r="J47" i="93" s="1"/>
  <c r="Z47" i="93" s="1"/>
  <c r="J48" i="107" s="1"/>
  <c r="Z48" i="107" s="1"/>
  <c r="J48" i="108" s="1"/>
  <c r="Z48" i="108" s="1"/>
  <c r="J48" i="112" s="1"/>
  <c r="Z48" i="112" s="1"/>
  <c r="J48" i="113" s="1"/>
  <c r="Z48" i="113" s="1"/>
  <c r="J58" i="117" s="1"/>
  <c r="Z58" i="117" s="1"/>
  <c r="J59" i="121" s="1"/>
  <c r="Z59" i="121" s="1"/>
  <c r="J59" i="122" s="1"/>
  <c r="Z59" i="122" s="1"/>
  <c r="X42" i="81"/>
  <c r="W42" i="81"/>
  <c r="G42" i="82" s="1"/>
  <c r="W42" i="82" s="1"/>
  <c r="V42" i="81"/>
  <c r="V42" i="82" s="1"/>
  <c r="F47" i="90" s="1"/>
  <c r="V47" i="90" s="1"/>
  <c r="F47" i="93" s="1"/>
  <c r="V47" i="93" s="1"/>
  <c r="F48" i="107" s="1"/>
  <c r="V48" i="107" s="1"/>
  <c r="F48" i="108" s="1"/>
  <c r="V48" i="108" s="1"/>
  <c r="F48" i="112" s="1"/>
  <c r="V48" i="112" s="1"/>
  <c r="F48" i="113" s="1"/>
  <c r="V48" i="113" s="1"/>
  <c r="F58" i="117" s="1"/>
  <c r="V58" i="117" s="1"/>
  <c r="F59" i="121" s="1"/>
  <c r="V59" i="121" s="1"/>
  <c r="F59" i="122" s="1"/>
  <c r="V59" i="122" s="1"/>
  <c r="M42" i="81"/>
  <c r="E42" i="81"/>
  <c r="AB41" i="81"/>
  <c r="L41" i="82" s="1"/>
  <c r="AA41" i="81"/>
  <c r="K41" i="82" s="1"/>
  <c r="AA41" i="82" s="1"/>
  <c r="K46" i="90" s="1"/>
  <c r="AA46" i="90" s="1"/>
  <c r="K46" i="93" s="1"/>
  <c r="AA46" i="93" s="1"/>
  <c r="K47" i="107" s="1"/>
  <c r="AA47" i="107" s="1"/>
  <c r="K47" i="108" s="1"/>
  <c r="AA47" i="108" s="1"/>
  <c r="K47" i="112" s="1"/>
  <c r="AA47" i="112" s="1"/>
  <c r="K47" i="113" s="1"/>
  <c r="AA47" i="113" s="1"/>
  <c r="K57" i="117" s="1"/>
  <c r="AA57" i="117" s="1"/>
  <c r="K58" i="121" s="1"/>
  <c r="AA58" i="121" s="1"/>
  <c r="K58" i="122" s="1"/>
  <c r="AA58" i="122" s="1"/>
  <c r="Z41" i="81"/>
  <c r="J41" i="82" s="1"/>
  <c r="Z41" i="82" s="1"/>
  <c r="J46" i="90" s="1"/>
  <c r="Z46" i="90" s="1"/>
  <c r="J46" i="93" s="1"/>
  <c r="Z46" i="93" s="1"/>
  <c r="J47" i="107" s="1"/>
  <c r="Z47" i="107" s="1"/>
  <c r="J47" i="108" s="1"/>
  <c r="Z47" i="108" s="1"/>
  <c r="J47" i="112" s="1"/>
  <c r="Z47" i="112" s="1"/>
  <c r="J47" i="113" s="1"/>
  <c r="Z47" i="113" s="1"/>
  <c r="J57" i="117" s="1"/>
  <c r="Z57" i="117" s="1"/>
  <c r="J58" i="121" s="1"/>
  <c r="Z58" i="121" s="1"/>
  <c r="J58" i="122" s="1"/>
  <c r="Z58" i="122" s="1"/>
  <c r="W41" i="81"/>
  <c r="G41" i="82" s="1"/>
  <c r="W41" i="82" s="1"/>
  <c r="G43" i="90" s="1"/>
  <c r="W43" i="90" s="1"/>
  <c r="G43" i="93" s="1"/>
  <c r="W43" i="93" s="1"/>
  <c r="G44" i="107" s="1"/>
  <c r="W44" i="107" s="1"/>
  <c r="G44" i="108" s="1"/>
  <c r="W44" i="108" s="1"/>
  <c r="G44" i="112" s="1"/>
  <c r="W44" i="112" s="1"/>
  <c r="G44" i="113" s="1"/>
  <c r="W44" i="113" s="1"/>
  <c r="G52" i="117" s="1"/>
  <c r="W52" i="117" s="1"/>
  <c r="G53" i="121" s="1"/>
  <c r="W53" i="121" s="1"/>
  <c r="G53" i="122" s="1"/>
  <c r="W53" i="122" s="1"/>
  <c r="V41" i="81"/>
  <c r="V41" i="82" s="1"/>
  <c r="F46" i="90" s="1"/>
  <c r="V46" i="90" s="1"/>
  <c r="F46" i="93" s="1"/>
  <c r="V46" i="93" s="1"/>
  <c r="F47" i="107" s="1"/>
  <c r="V47" i="107" s="1"/>
  <c r="F47" i="108" s="1"/>
  <c r="V47" i="108" s="1"/>
  <c r="F47" i="112" s="1"/>
  <c r="V47" i="112" s="1"/>
  <c r="F47" i="113" s="1"/>
  <c r="V47" i="113" s="1"/>
  <c r="F57" i="117" s="1"/>
  <c r="V57" i="117" s="1"/>
  <c r="F58" i="121" s="1"/>
  <c r="V58" i="121" s="1"/>
  <c r="F58" i="122" s="1"/>
  <c r="V58" i="122" s="1"/>
  <c r="M41" i="81"/>
  <c r="H41" i="81"/>
  <c r="X41" i="81" s="1"/>
  <c r="AB40" i="81"/>
  <c r="L40" i="82" s="1"/>
  <c r="AB40" i="82" s="1"/>
  <c r="L45" i="90" s="1"/>
  <c r="AB45" i="90" s="1"/>
  <c r="L45" i="93" s="1"/>
  <c r="AB45" i="93" s="1"/>
  <c r="L46" i="107" s="1"/>
  <c r="AB46" i="107" s="1"/>
  <c r="L46" i="108" s="1"/>
  <c r="AB46" i="108" s="1"/>
  <c r="L46" i="112" s="1"/>
  <c r="AB46" i="112" s="1"/>
  <c r="L46" i="113" s="1"/>
  <c r="AB46" i="113" s="1"/>
  <c r="L55" i="117" s="1"/>
  <c r="AA40" i="81"/>
  <c r="K40" i="82" s="1"/>
  <c r="AA40" i="82" s="1"/>
  <c r="K45" i="90" s="1"/>
  <c r="AA45" i="90" s="1"/>
  <c r="K45" i="93" s="1"/>
  <c r="AA45" i="93" s="1"/>
  <c r="K46" i="107" s="1"/>
  <c r="AA46" i="107" s="1"/>
  <c r="K46" i="108" s="1"/>
  <c r="AA46" i="108" s="1"/>
  <c r="K46" i="112" s="1"/>
  <c r="AA46" i="112" s="1"/>
  <c r="K46" i="113" s="1"/>
  <c r="AA46" i="113" s="1"/>
  <c r="K55" i="117" s="1"/>
  <c r="AA55" i="117" s="1"/>
  <c r="K56" i="121" s="1"/>
  <c r="AA56" i="121" s="1"/>
  <c r="K56" i="122" s="1"/>
  <c r="AA56" i="122" s="1"/>
  <c r="Z40" i="81"/>
  <c r="J40" i="82" s="1"/>
  <c r="Z40" i="82" s="1"/>
  <c r="J45" i="90" s="1"/>
  <c r="Z45" i="90" s="1"/>
  <c r="J45" i="93" s="1"/>
  <c r="Z45" i="93" s="1"/>
  <c r="J46" i="107" s="1"/>
  <c r="Z46" i="107" s="1"/>
  <c r="J46" i="108" s="1"/>
  <c r="Z46" i="108" s="1"/>
  <c r="J46" i="112" s="1"/>
  <c r="Z46" i="112" s="1"/>
  <c r="J46" i="113" s="1"/>
  <c r="Z46" i="113" s="1"/>
  <c r="J55" i="117" s="1"/>
  <c r="Z55" i="117" s="1"/>
  <c r="J56" i="121" s="1"/>
  <c r="Z56" i="121" s="1"/>
  <c r="J56" i="122" s="1"/>
  <c r="Z56" i="122" s="1"/>
  <c r="W40" i="81"/>
  <c r="G40" i="82" s="1"/>
  <c r="W40" i="82" s="1"/>
  <c r="V40" i="81"/>
  <c r="V40" i="82" s="1"/>
  <c r="F45" i="90" s="1"/>
  <c r="V45" i="90" s="1"/>
  <c r="F45" i="93" s="1"/>
  <c r="V45" i="93" s="1"/>
  <c r="F46" i="107" s="1"/>
  <c r="V46" i="107" s="1"/>
  <c r="F46" i="108" s="1"/>
  <c r="V46" i="108" s="1"/>
  <c r="F46" i="112" s="1"/>
  <c r="V46" i="112" s="1"/>
  <c r="F46" i="113" s="1"/>
  <c r="V46" i="113" s="1"/>
  <c r="F55" i="117" s="1"/>
  <c r="V55" i="117" s="1"/>
  <c r="F56" i="121" s="1"/>
  <c r="V56" i="121" s="1"/>
  <c r="F56" i="122" s="1"/>
  <c r="V56" i="122" s="1"/>
  <c r="M40" i="81"/>
  <c r="H40" i="81"/>
  <c r="AB39" i="81"/>
  <c r="L39" i="82" s="1"/>
  <c r="AB39" i="82" s="1"/>
  <c r="L44" i="90" s="1"/>
  <c r="AB44" i="90" s="1"/>
  <c r="L44" i="93" s="1"/>
  <c r="AB44" i="93" s="1"/>
  <c r="L45" i="107" s="1"/>
  <c r="AB45" i="107" s="1"/>
  <c r="L45" i="108" s="1"/>
  <c r="AB45" i="108" s="1"/>
  <c r="L45" i="112" s="1"/>
  <c r="AB45" i="112" s="1"/>
  <c r="L45" i="113" s="1"/>
  <c r="AB45" i="113" s="1"/>
  <c r="L53" i="117" s="1"/>
  <c r="AA39" i="81"/>
  <c r="K39" i="82" s="1"/>
  <c r="AA39" i="82" s="1"/>
  <c r="K44" i="90" s="1"/>
  <c r="AA44" i="90" s="1"/>
  <c r="K44" i="93" s="1"/>
  <c r="AA44" i="93" s="1"/>
  <c r="K45" i="107" s="1"/>
  <c r="AA45" i="107" s="1"/>
  <c r="K45" i="108" s="1"/>
  <c r="AA45" i="108" s="1"/>
  <c r="K45" i="112" s="1"/>
  <c r="AA45" i="112" s="1"/>
  <c r="K45" i="113" s="1"/>
  <c r="AA45" i="113" s="1"/>
  <c r="K53" i="117" s="1"/>
  <c r="AA53" i="117" s="1"/>
  <c r="K54" i="121" s="1"/>
  <c r="AA54" i="121" s="1"/>
  <c r="K54" i="122" s="1"/>
  <c r="AA54" i="122" s="1"/>
  <c r="Z39" i="81"/>
  <c r="J39" i="82" s="1"/>
  <c r="Z39" i="82" s="1"/>
  <c r="J44" i="90" s="1"/>
  <c r="Z44" i="90" s="1"/>
  <c r="J44" i="93" s="1"/>
  <c r="Z44" i="93" s="1"/>
  <c r="J45" i="107" s="1"/>
  <c r="Z45" i="107" s="1"/>
  <c r="J45" i="108" s="1"/>
  <c r="Z45" i="108" s="1"/>
  <c r="J45" i="112" s="1"/>
  <c r="Z45" i="112" s="1"/>
  <c r="J45" i="113" s="1"/>
  <c r="Z45" i="113" s="1"/>
  <c r="J53" i="117" s="1"/>
  <c r="Z53" i="117" s="1"/>
  <c r="J54" i="121" s="1"/>
  <c r="Z54" i="121" s="1"/>
  <c r="J54" i="122" s="1"/>
  <c r="Z54" i="122" s="1"/>
  <c r="X39" i="81"/>
  <c r="W39" i="81"/>
  <c r="G39" i="82" s="1"/>
  <c r="V39" i="81"/>
  <c r="M39" i="81"/>
  <c r="E39" i="81"/>
  <c r="AB38" i="81"/>
  <c r="L38" i="82" s="1"/>
  <c r="AB38" i="82" s="1"/>
  <c r="L43" i="90" s="1"/>
  <c r="AB43" i="90" s="1"/>
  <c r="L43" i="93" s="1"/>
  <c r="AB43" i="93" s="1"/>
  <c r="L44" i="107" s="1"/>
  <c r="AB44" i="107" s="1"/>
  <c r="L44" i="108" s="1"/>
  <c r="AB44" i="108" s="1"/>
  <c r="L44" i="112" s="1"/>
  <c r="AB44" i="112" s="1"/>
  <c r="L44" i="113" s="1"/>
  <c r="AB44" i="113" s="1"/>
  <c r="L52" i="117" s="1"/>
  <c r="AA38" i="81"/>
  <c r="K38" i="82" s="1"/>
  <c r="AA38" i="82" s="1"/>
  <c r="K43" i="90" s="1"/>
  <c r="AA43" i="90" s="1"/>
  <c r="K43" i="93" s="1"/>
  <c r="AA43" i="93" s="1"/>
  <c r="K44" i="107" s="1"/>
  <c r="AA44" i="107" s="1"/>
  <c r="K44" i="108" s="1"/>
  <c r="AA44" i="108" s="1"/>
  <c r="K44" i="112" s="1"/>
  <c r="AA44" i="112" s="1"/>
  <c r="K44" i="113" s="1"/>
  <c r="AA44" i="113" s="1"/>
  <c r="K52" i="117" s="1"/>
  <c r="AA52" i="117" s="1"/>
  <c r="K53" i="121" s="1"/>
  <c r="AA53" i="121" s="1"/>
  <c r="K53" i="122" s="1"/>
  <c r="AA53" i="122" s="1"/>
  <c r="Z38" i="81"/>
  <c r="J38" i="82" s="1"/>
  <c r="Z38" i="82" s="1"/>
  <c r="J43" i="90" s="1"/>
  <c r="Z43" i="90" s="1"/>
  <c r="J43" i="93" s="1"/>
  <c r="Z43" i="93" s="1"/>
  <c r="J44" i="107" s="1"/>
  <c r="Z44" i="107" s="1"/>
  <c r="J44" i="108" s="1"/>
  <c r="Z44" i="108" s="1"/>
  <c r="J44" i="112" s="1"/>
  <c r="Z44" i="112" s="1"/>
  <c r="J44" i="113" s="1"/>
  <c r="Z44" i="113" s="1"/>
  <c r="J52" i="117" s="1"/>
  <c r="Z52" i="117" s="1"/>
  <c r="J53" i="121" s="1"/>
  <c r="Z53" i="121" s="1"/>
  <c r="J53" i="122" s="1"/>
  <c r="Z53" i="122" s="1"/>
  <c r="X38" i="81"/>
  <c r="H38" i="82" s="1"/>
  <c r="X38" i="82" s="1"/>
  <c r="H43" i="90" s="1"/>
  <c r="X43" i="90" s="1"/>
  <c r="H43" i="93" s="1"/>
  <c r="X43" i="93" s="1"/>
  <c r="H44" i="107" s="1"/>
  <c r="X44" i="107" s="1"/>
  <c r="H44" i="108" s="1"/>
  <c r="X44" i="108" s="1"/>
  <c r="H44" i="112" s="1"/>
  <c r="X44" i="112" s="1"/>
  <c r="H44" i="113" s="1"/>
  <c r="X44" i="113" s="1"/>
  <c r="H52" i="117" s="1"/>
  <c r="X52" i="117" s="1"/>
  <c r="H53" i="121" s="1"/>
  <c r="X53" i="121" s="1"/>
  <c r="H53" i="122" s="1"/>
  <c r="X53" i="122" s="1"/>
  <c r="V38" i="81"/>
  <c r="V38" i="82" s="1"/>
  <c r="F43" i="90" s="1"/>
  <c r="V43" i="90" s="1"/>
  <c r="F43" i="93" s="1"/>
  <c r="M38" i="81"/>
  <c r="G38" i="81"/>
  <c r="W38" i="81" s="1"/>
  <c r="G38" i="82" s="1"/>
  <c r="W38" i="82" s="1"/>
  <c r="G40" i="90" s="1"/>
  <c r="W40" i="90" s="1"/>
  <c r="G40" i="93" s="1"/>
  <c r="W40" i="93" s="1"/>
  <c r="G41" i="107" s="1"/>
  <c r="W41" i="107" s="1"/>
  <c r="G41" i="108" s="1"/>
  <c r="W41" i="108" s="1"/>
  <c r="G41" i="112" s="1"/>
  <c r="W41" i="112" s="1"/>
  <c r="G41" i="113" s="1"/>
  <c r="W41" i="113" s="1"/>
  <c r="G47" i="117" s="1"/>
  <c r="W47" i="117" s="1"/>
  <c r="G48" i="121" s="1"/>
  <c r="W48" i="121" s="1"/>
  <c r="G48" i="122" s="1"/>
  <c r="W48" i="122" s="1"/>
  <c r="L37" i="81"/>
  <c r="H37" i="81"/>
  <c r="F37" i="81"/>
  <c r="AB36" i="81"/>
  <c r="L36" i="82" s="1"/>
  <c r="AB36" i="82" s="1"/>
  <c r="L41" i="90" s="1"/>
  <c r="AB41" i="90" s="1"/>
  <c r="L41" i="93" s="1"/>
  <c r="AB41" i="93" s="1"/>
  <c r="L42" i="107" s="1"/>
  <c r="AB42" i="107" s="1"/>
  <c r="L42" i="108" s="1"/>
  <c r="AB42" i="108" s="1"/>
  <c r="L42" i="112" s="1"/>
  <c r="AB42" i="112" s="1"/>
  <c r="L42" i="113" s="1"/>
  <c r="AB42" i="113" s="1"/>
  <c r="L48" i="117" s="1"/>
  <c r="X36" i="81"/>
  <c r="H36" i="82" s="1"/>
  <c r="X36" i="82" s="1"/>
  <c r="H41" i="90" s="1"/>
  <c r="X41" i="90" s="1"/>
  <c r="H41" i="93" s="1"/>
  <c r="X41" i="93" s="1"/>
  <c r="H42" i="107" s="1"/>
  <c r="X42" i="107" s="1"/>
  <c r="H42" i="108" s="1"/>
  <c r="X42" i="108" s="1"/>
  <c r="H42" i="112" s="1"/>
  <c r="X42" i="112" s="1"/>
  <c r="H42" i="113" s="1"/>
  <c r="X42" i="113" s="1"/>
  <c r="H48" i="117" s="1"/>
  <c r="X48" i="117" s="1"/>
  <c r="H49" i="121" s="1"/>
  <c r="X49" i="121" s="1"/>
  <c r="H49" i="122" s="1"/>
  <c r="X49" i="122" s="1"/>
  <c r="V36" i="81"/>
  <c r="V36" i="82" s="1"/>
  <c r="F41" i="90" s="1"/>
  <c r="V41" i="90" s="1"/>
  <c r="F41" i="93" s="1"/>
  <c r="V41" i="93" s="1"/>
  <c r="F42" i="107" s="1"/>
  <c r="V42" i="107" s="1"/>
  <c r="F42" i="108" s="1"/>
  <c r="V42" i="108" s="1"/>
  <c r="F42" i="112" s="1"/>
  <c r="V42" i="112" s="1"/>
  <c r="F42" i="113" s="1"/>
  <c r="V42" i="113" s="1"/>
  <c r="F48" i="117" s="1"/>
  <c r="V48" i="117" s="1"/>
  <c r="F49" i="121" s="1"/>
  <c r="V49" i="121" s="1"/>
  <c r="F49" i="122" s="1"/>
  <c r="V49" i="122" s="1"/>
  <c r="M36" i="81"/>
  <c r="K36" i="81"/>
  <c r="J36" i="81"/>
  <c r="J37" i="81" s="1"/>
  <c r="G36" i="81"/>
  <c r="Y35" i="81"/>
  <c r="Y37" i="81" s="1"/>
  <c r="T35" i="81"/>
  <c r="T37" i="81" s="1"/>
  <c r="S35" i="81"/>
  <c r="S37" i="81" s="1"/>
  <c r="R35" i="81"/>
  <c r="R37" i="81" s="1"/>
  <c r="P35" i="81"/>
  <c r="P37" i="81" s="1"/>
  <c r="O35" i="81"/>
  <c r="O37" i="81" s="1"/>
  <c r="N35" i="81"/>
  <c r="N37" i="81" s="1"/>
  <c r="L35" i="81"/>
  <c r="K35" i="81"/>
  <c r="J35" i="81"/>
  <c r="H35" i="81"/>
  <c r="G35" i="81"/>
  <c r="F35" i="81"/>
  <c r="AB34" i="81"/>
  <c r="L34" i="82" s="1"/>
  <c r="AB34" i="82" s="1"/>
  <c r="L39" i="90" s="1"/>
  <c r="AB39" i="90" s="1"/>
  <c r="L39" i="93" s="1"/>
  <c r="AB39" i="93" s="1"/>
  <c r="L40" i="107" s="1"/>
  <c r="AB40" i="107" s="1"/>
  <c r="L40" i="108" s="1"/>
  <c r="AB40" i="108" s="1"/>
  <c r="L40" i="112" s="1"/>
  <c r="AB40" i="112" s="1"/>
  <c r="L40" i="113" s="1"/>
  <c r="AB40" i="113" s="1"/>
  <c r="L46" i="117" s="1"/>
  <c r="AA34" i="81"/>
  <c r="K34" i="82" s="1"/>
  <c r="AA34" i="82" s="1"/>
  <c r="K39" i="90" s="1"/>
  <c r="AA39" i="90" s="1"/>
  <c r="K39" i="93" s="1"/>
  <c r="AA39" i="93" s="1"/>
  <c r="K40" i="107" s="1"/>
  <c r="AA40" i="107" s="1"/>
  <c r="K40" i="108" s="1"/>
  <c r="AA40" i="108" s="1"/>
  <c r="K40" i="112" s="1"/>
  <c r="AA40" i="112" s="1"/>
  <c r="K40" i="113" s="1"/>
  <c r="AA40" i="113" s="1"/>
  <c r="K46" i="117" s="1"/>
  <c r="AA46" i="117" s="1"/>
  <c r="K47" i="121" s="1"/>
  <c r="AA47" i="121" s="1"/>
  <c r="K47" i="122" s="1"/>
  <c r="AA47" i="122" s="1"/>
  <c r="Z34" i="81"/>
  <c r="J34" i="82" s="1"/>
  <c r="Z34" i="82" s="1"/>
  <c r="J39" i="90" s="1"/>
  <c r="Z39" i="90" s="1"/>
  <c r="J39" i="93" s="1"/>
  <c r="Z39" i="93" s="1"/>
  <c r="J40" i="107" s="1"/>
  <c r="Z40" i="107" s="1"/>
  <c r="J40" i="108" s="1"/>
  <c r="Z40" i="108" s="1"/>
  <c r="J40" i="112" s="1"/>
  <c r="Z40" i="112" s="1"/>
  <c r="J40" i="113" s="1"/>
  <c r="Z40" i="113" s="1"/>
  <c r="J46" i="117" s="1"/>
  <c r="Z46" i="117" s="1"/>
  <c r="J47" i="121" s="1"/>
  <c r="Z47" i="121" s="1"/>
  <c r="J47" i="122" s="1"/>
  <c r="Z47" i="122" s="1"/>
  <c r="X34" i="81"/>
  <c r="H34" i="82" s="1"/>
  <c r="X34" i="82" s="1"/>
  <c r="H39" i="90" s="1"/>
  <c r="X39" i="90" s="1"/>
  <c r="H39" i="93" s="1"/>
  <c r="X39" i="93" s="1"/>
  <c r="H40" i="107" s="1"/>
  <c r="X40" i="107" s="1"/>
  <c r="H40" i="108" s="1"/>
  <c r="X40" i="108" s="1"/>
  <c r="H40" i="112" s="1"/>
  <c r="X40" i="112" s="1"/>
  <c r="H40" i="113" s="1"/>
  <c r="X40" i="113" s="1"/>
  <c r="H46" i="117" s="1"/>
  <c r="X46" i="117" s="1"/>
  <c r="H47" i="121" s="1"/>
  <c r="X47" i="121" s="1"/>
  <c r="H47" i="122" s="1"/>
  <c r="X47" i="122" s="1"/>
  <c r="W34" i="81"/>
  <c r="G34" i="82" s="1"/>
  <c r="W34" i="82" s="1"/>
  <c r="G34" i="90" s="1"/>
  <c r="W34" i="90" s="1"/>
  <c r="G34" i="93" s="1"/>
  <c r="W34" i="93" s="1"/>
  <c r="G35" i="107" s="1"/>
  <c r="W35" i="107" s="1"/>
  <c r="G35" i="108" s="1"/>
  <c r="W35" i="108" s="1"/>
  <c r="G35" i="112" s="1"/>
  <c r="W35" i="112" s="1"/>
  <c r="G35" i="113" s="1"/>
  <c r="W35" i="113" s="1"/>
  <c r="G41" i="117" s="1"/>
  <c r="W41" i="117" s="1"/>
  <c r="G42" i="121" s="1"/>
  <c r="W42" i="121" s="1"/>
  <c r="G42" i="122" s="1"/>
  <c r="W42" i="122" s="1"/>
  <c r="V34" i="81"/>
  <c r="V34" i="82" s="1"/>
  <c r="F39" i="90" s="1"/>
  <c r="V39" i="90" s="1"/>
  <c r="F39" i="93" s="1"/>
  <c r="V39" i="93" s="1"/>
  <c r="F40" i="107" s="1"/>
  <c r="V40" i="107" s="1"/>
  <c r="F40" i="108" s="1"/>
  <c r="V40" i="108" s="1"/>
  <c r="F40" i="112" s="1"/>
  <c r="V40" i="112" s="1"/>
  <c r="F40" i="113" s="1"/>
  <c r="V40" i="113" s="1"/>
  <c r="F46" i="117" s="1"/>
  <c r="V46" i="117" s="1"/>
  <c r="F47" i="121" s="1"/>
  <c r="V47" i="121" s="1"/>
  <c r="F47" i="122" s="1"/>
  <c r="V47" i="122" s="1"/>
  <c r="M34" i="81"/>
  <c r="E34" i="81"/>
  <c r="AB33" i="81"/>
  <c r="L33" i="82" s="1"/>
  <c r="AA33" i="81"/>
  <c r="K33" i="82" s="1"/>
  <c r="AA33" i="82" s="1"/>
  <c r="K38" i="90" s="1"/>
  <c r="AA38" i="90" s="1"/>
  <c r="K38" i="93" s="1"/>
  <c r="AA38" i="93" s="1"/>
  <c r="K39" i="107" s="1"/>
  <c r="AA39" i="107" s="1"/>
  <c r="K39" i="108" s="1"/>
  <c r="AA39" i="108" s="1"/>
  <c r="K39" i="112" s="1"/>
  <c r="AA39" i="112" s="1"/>
  <c r="K39" i="113" s="1"/>
  <c r="AA39" i="113" s="1"/>
  <c r="K45" i="117" s="1"/>
  <c r="AA45" i="117" s="1"/>
  <c r="K46" i="121" s="1"/>
  <c r="AA46" i="121" s="1"/>
  <c r="K46" i="122" s="1"/>
  <c r="AA46" i="122" s="1"/>
  <c r="Z33" i="81"/>
  <c r="J33" i="82" s="1"/>
  <c r="Z33" i="82" s="1"/>
  <c r="J38" i="90" s="1"/>
  <c r="Z38" i="90" s="1"/>
  <c r="J38" i="93" s="1"/>
  <c r="Z38" i="93" s="1"/>
  <c r="J39" i="107" s="1"/>
  <c r="Z39" i="107" s="1"/>
  <c r="J39" i="108" s="1"/>
  <c r="Z39" i="108" s="1"/>
  <c r="J39" i="112" s="1"/>
  <c r="Z39" i="112" s="1"/>
  <c r="J39" i="113" s="1"/>
  <c r="Z39" i="113" s="1"/>
  <c r="J45" i="117" s="1"/>
  <c r="X33" i="81"/>
  <c r="W33" i="81"/>
  <c r="G33" i="82" s="1"/>
  <c r="W33" i="82" s="1"/>
  <c r="G33" i="90" s="1"/>
  <c r="W33" i="90" s="1"/>
  <c r="G33" i="93" s="1"/>
  <c r="W33" i="93" s="1"/>
  <c r="G34" i="107" s="1"/>
  <c r="W34" i="107" s="1"/>
  <c r="G34" i="108" s="1"/>
  <c r="W34" i="108" s="1"/>
  <c r="G34" i="112" s="1"/>
  <c r="W34" i="112" s="1"/>
  <c r="G34" i="113" s="1"/>
  <c r="W34" i="113" s="1"/>
  <c r="G40" i="117" s="1"/>
  <c r="W40" i="117" s="1"/>
  <c r="G41" i="121" s="1"/>
  <c r="W41" i="121" s="1"/>
  <c r="G41" i="122" s="1"/>
  <c r="W41" i="122" s="1"/>
  <c r="V33" i="81"/>
  <c r="V33" i="82" s="1"/>
  <c r="F38" i="90" s="1"/>
  <c r="V38" i="90" s="1"/>
  <c r="F38" i="93" s="1"/>
  <c r="V38" i="93" s="1"/>
  <c r="F39" i="107" s="1"/>
  <c r="V39" i="107" s="1"/>
  <c r="F39" i="108" s="1"/>
  <c r="V39" i="108" s="1"/>
  <c r="F39" i="112" s="1"/>
  <c r="V39" i="112" s="1"/>
  <c r="F39" i="113" s="1"/>
  <c r="V39" i="113" s="1"/>
  <c r="F45" i="117" s="1"/>
  <c r="V45" i="117" s="1"/>
  <c r="F46" i="121" s="1"/>
  <c r="V46" i="121" s="1"/>
  <c r="F46" i="122" s="1"/>
  <c r="V46" i="122" s="1"/>
  <c r="M33" i="81"/>
  <c r="E33" i="81"/>
  <c r="T32" i="81"/>
  <c r="S32" i="81"/>
  <c r="R32" i="81"/>
  <c r="P32" i="81"/>
  <c r="O32" i="81"/>
  <c r="N32" i="81"/>
  <c r="AB31" i="81"/>
  <c r="L31" i="82" s="1"/>
  <c r="AB31" i="82" s="1"/>
  <c r="L34" i="90" s="1"/>
  <c r="AB34" i="90" s="1"/>
  <c r="L34" i="93" s="1"/>
  <c r="AB34" i="93" s="1"/>
  <c r="L35" i="107" s="1"/>
  <c r="AB35" i="107" s="1"/>
  <c r="L35" i="108" s="1"/>
  <c r="AB35" i="108" s="1"/>
  <c r="L35" i="112" s="1"/>
  <c r="AB35" i="112" s="1"/>
  <c r="L35" i="113" s="1"/>
  <c r="AB35" i="113" s="1"/>
  <c r="L41" i="117" s="1"/>
  <c r="X31" i="81"/>
  <c r="H31" i="82" s="1"/>
  <c r="X31" i="82" s="1"/>
  <c r="H34" i="90" s="1"/>
  <c r="X34" i="90" s="1"/>
  <c r="H34" i="93" s="1"/>
  <c r="X34" i="93" s="1"/>
  <c r="H35" i="107" s="1"/>
  <c r="X35" i="107" s="1"/>
  <c r="H35" i="108" s="1"/>
  <c r="X35" i="108" s="1"/>
  <c r="H35" i="112" s="1"/>
  <c r="X35" i="112" s="1"/>
  <c r="H35" i="113" s="1"/>
  <c r="X35" i="113" s="1"/>
  <c r="H41" i="117" s="1"/>
  <c r="X41" i="117" s="1"/>
  <c r="H42" i="121" s="1"/>
  <c r="X42" i="121" s="1"/>
  <c r="H42" i="122" s="1"/>
  <c r="X42" i="122" s="1"/>
  <c r="V31" i="81"/>
  <c r="V31" i="82" s="1"/>
  <c r="F34" i="90" s="1"/>
  <c r="V34" i="90" s="1"/>
  <c r="F34" i="93" s="1"/>
  <c r="V34" i="93" s="1"/>
  <c r="F35" i="107" s="1"/>
  <c r="V35" i="107" s="1"/>
  <c r="F35" i="108" s="1"/>
  <c r="V35" i="108" s="1"/>
  <c r="F35" i="112" s="1"/>
  <c r="V35" i="112" s="1"/>
  <c r="F35" i="113" s="1"/>
  <c r="V35" i="113" s="1"/>
  <c r="F41" i="117" s="1"/>
  <c r="V41" i="117" s="1"/>
  <c r="F42" i="121" s="1"/>
  <c r="V42" i="121" s="1"/>
  <c r="F42" i="122" s="1"/>
  <c r="V42" i="122" s="1"/>
  <c r="M31" i="81"/>
  <c r="K31" i="81"/>
  <c r="J31" i="81"/>
  <c r="Z31" i="81" s="1"/>
  <c r="J31" i="82" s="1"/>
  <c r="Z31" i="82" s="1"/>
  <c r="J34" i="90" s="1"/>
  <c r="Z34" i="90" s="1"/>
  <c r="J34" i="93" s="1"/>
  <c r="Z34" i="93" s="1"/>
  <c r="J35" i="107" s="1"/>
  <c r="Z35" i="107" s="1"/>
  <c r="J35" i="108" s="1"/>
  <c r="Z35" i="108" s="1"/>
  <c r="J35" i="112" s="1"/>
  <c r="Z35" i="112" s="1"/>
  <c r="J35" i="113" s="1"/>
  <c r="Z35" i="113" s="1"/>
  <c r="J41" i="117" s="1"/>
  <c r="Z41" i="117" s="1"/>
  <c r="J42" i="121" s="1"/>
  <c r="Z42" i="121" s="1"/>
  <c r="J42" i="122" s="1"/>
  <c r="Z42" i="122" s="1"/>
  <c r="G31" i="81"/>
  <c r="W31" i="81" s="1"/>
  <c r="AA30" i="81"/>
  <c r="K30" i="82" s="1"/>
  <c r="AA30" i="82" s="1"/>
  <c r="K33" i="90" s="1"/>
  <c r="AA33" i="90" s="1"/>
  <c r="K33" i="93" s="1"/>
  <c r="AA33" i="93" s="1"/>
  <c r="K34" i="107" s="1"/>
  <c r="AA34" i="107" s="1"/>
  <c r="K34" i="108" s="1"/>
  <c r="AA34" i="108" s="1"/>
  <c r="K34" i="112" s="1"/>
  <c r="AA34" i="112" s="1"/>
  <c r="K34" i="113" s="1"/>
  <c r="AA34" i="113" s="1"/>
  <c r="K40" i="117" s="1"/>
  <c r="AA40" i="117" s="1"/>
  <c r="K41" i="121" s="1"/>
  <c r="AA41" i="121" s="1"/>
  <c r="K41" i="122" s="1"/>
  <c r="AA41" i="122" s="1"/>
  <c r="M30" i="81"/>
  <c r="L30" i="81"/>
  <c r="AB30" i="81" s="1"/>
  <c r="L30" i="82" s="1"/>
  <c r="J30" i="81"/>
  <c r="Z30" i="81" s="1"/>
  <c r="J30" i="82" s="1"/>
  <c r="Z30" i="82" s="1"/>
  <c r="J33" i="90" s="1"/>
  <c r="Z33" i="90" s="1"/>
  <c r="J33" i="93" s="1"/>
  <c r="Z33" i="93" s="1"/>
  <c r="J34" i="107" s="1"/>
  <c r="Z34" i="107" s="1"/>
  <c r="J34" i="108" s="1"/>
  <c r="Z34" i="108" s="1"/>
  <c r="J34" i="112" s="1"/>
  <c r="Z34" i="112" s="1"/>
  <c r="J34" i="113" s="1"/>
  <c r="Z34" i="113" s="1"/>
  <c r="J40" i="117" s="1"/>
  <c r="Z40" i="117" s="1"/>
  <c r="J41" i="121" s="1"/>
  <c r="Z41" i="121" s="1"/>
  <c r="J41" i="122" s="1"/>
  <c r="Z41" i="122" s="1"/>
  <c r="H30" i="81"/>
  <c r="X30" i="81" s="1"/>
  <c r="H30" i="82" s="1"/>
  <c r="X30" i="82" s="1"/>
  <c r="H33" i="90" s="1"/>
  <c r="X33" i="90" s="1"/>
  <c r="H33" i="93" s="1"/>
  <c r="X33" i="93" s="1"/>
  <c r="H34" i="107" s="1"/>
  <c r="X34" i="107" s="1"/>
  <c r="H34" i="108" s="1"/>
  <c r="X34" i="108" s="1"/>
  <c r="H34" i="112" s="1"/>
  <c r="X34" i="112" s="1"/>
  <c r="H34" i="113" s="1"/>
  <c r="X34" i="113" s="1"/>
  <c r="H40" i="117" s="1"/>
  <c r="X40" i="117" s="1"/>
  <c r="H41" i="121" s="1"/>
  <c r="X41" i="121" s="1"/>
  <c r="H41" i="122" s="1"/>
  <c r="X41" i="122" s="1"/>
  <c r="G30" i="81"/>
  <c r="W30" i="81" s="1"/>
  <c r="F30" i="81"/>
  <c r="F32" i="81" s="1"/>
  <c r="W29" i="81"/>
  <c r="V29" i="81"/>
  <c r="M29" i="81"/>
  <c r="L29" i="81"/>
  <c r="AB29" i="81" s="1"/>
  <c r="L29" i="82" s="1"/>
  <c r="AB29" i="82" s="1"/>
  <c r="L32" i="90" s="1"/>
  <c r="AB32" i="90" s="1"/>
  <c r="L32" i="93" s="1"/>
  <c r="AB32" i="93" s="1"/>
  <c r="L33" i="107" s="1"/>
  <c r="AB33" i="107" s="1"/>
  <c r="L33" i="108" s="1"/>
  <c r="K29" i="81"/>
  <c r="J29" i="81"/>
  <c r="Z29" i="81" s="1"/>
  <c r="J29" i="82" s="1"/>
  <c r="H29" i="81"/>
  <c r="X28" i="81"/>
  <c r="H28" i="82" s="1"/>
  <c r="X28" i="82" s="1"/>
  <c r="H31" i="90" s="1"/>
  <c r="X31" i="90" s="1"/>
  <c r="H31" i="93" s="1"/>
  <c r="X31" i="93" s="1"/>
  <c r="H32" i="107" s="1"/>
  <c r="X32" i="107" s="1"/>
  <c r="H32" i="108" s="1"/>
  <c r="X32" i="108" s="1"/>
  <c r="H32" i="112" s="1"/>
  <c r="X32" i="112" s="1"/>
  <c r="H32" i="113" s="1"/>
  <c r="X32" i="113" s="1"/>
  <c r="H36" i="117" s="1"/>
  <c r="X36" i="117" s="1"/>
  <c r="H37" i="121" s="1"/>
  <c r="X37" i="121" s="1"/>
  <c r="H37" i="122" s="1"/>
  <c r="X37" i="122" s="1"/>
  <c r="W28" i="81"/>
  <c r="M28" i="81"/>
  <c r="L28" i="81"/>
  <c r="AB28" i="81" s="1"/>
  <c r="L28" i="82" s="1"/>
  <c r="K28" i="81"/>
  <c r="AA28" i="81" s="1"/>
  <c r="K28" i="82" s="1"/>
  <c r="AA28" i="82" s="1"/>
  <c r="K31" i="90" s="1"/>
  <c r="AA31" i="90" s="1"/>
  <c r="K31" i="93" s="1"/>
  <c r="AA31" i="93" s="1"/>
  <c r="K32" i="107" s="1"/>
  <c r="AA32" i="107" s="1"/>
  <c r="K32" i="108" s="1"/>
  <c r="AA32" i="108" s="1"/>
  <c r="K32" i="112" s="1"/>
  <c r="AA32" i="112" s="1"/>
  <c r="K32" i="113" s="1"/>
  <c r="AA32" i="113" s="1"/>
  <c r="K36" i="117" s="1"/>
  <c r="AA36" i="117" s="1"/>
  <c r="K37" i="121" s="1"/>
  <c r="AA37" i="121" s="1"/>
  <c r="K37" i="122" s="1"/>
  <c r="AA37" i="122" s="1"/>
  <c r="J28" i="81"/>
  <c r="Z28" i="81" s="1"/>
  <c r="X27" i="81"/>
  <c r="H27" i="82" s="1"/>
  <c r="X27" i="82" s="1"/>
  <c r="H30" i="90" s="1"/>
  <c r="X30" i="90" s="1"/>
  <c r="V27" i="81"/>
  <c r="F30" i="90" s="1"/>
  <c r="V30" i="90" s="1"/>
  <c r="F30" i="93" s="1"/>
  <c r="V30" i="93" s="1"/>
  <c r="F31" i="107" s="1"/>
  <c r="V31" i="107" s="1"/>
  <c r="F31" i="108" s="1"/>
  <c r="V31" i="108" s="1"/>
  <c r="F31" i="112" s="1"/>
  <c r="V31" i="112" s="1"/>
  <c r="F31" i="113" s="1"/>
  <c r="V31" i="113" s="1"/>
  <c r="F35" i="117" s="1"/>
  <c r="V35" i="117" s="1"/>
  <c r="F36" i="121" s="1"/>
  <c r="V36" i="121" s="1"/>
  <c r="F36" i="122" s="1"/>
  <c r="V36" i="122" s="1"/>
  <c r="M27" i="81"/>
  <c r="L27" i="81"/>
  <c r="AB27" i="81" s="1"/>
  <c r="L27" i="82" s="1"/>
  <c r="K27" i="81"/>
  <c r="J27" i="81"/>
  <c r="Z27" i="81" s="1"/>
  <c r="J27" i="82" s="1"/>
  <c r="G27" i="81"/>
  <c r="W27" i="81" s="1"/>
  <c r="T26" i="81"/>
  <c r="S26" i="81"/>
  <c r="R26" i="81"/>
  <c r="P26" i="81"/>
  <c r="O26" i="81"/>
  <c r="N26" i="81"/>
  <c r="L26" i="81"/>
  <c r="J26" i="81"/>
  <c r="G26" i="81"/>
  <c r="F26" i="81"/>
  <c r="U25" i="81"/>
  <c r="M25" i="81"/>
  <c r="E25" i="81"/>
  <c r="AB24" i="81"/>
  <c r="L24" i="82" s="1"/>
  <c r="AB24" i="82" s="1"/>
  <c r="L27" i="90" s="1"/>
  <c r="AB27" i="90" s="1"/>
  <c r="L27" i="93" s="1"/>
  <c r="AB27" i="93" s="1"/>
  <c r="L27" i="107" s="1"/>
  <c r="AB27" i="107" s="1"/>
  <c r="L27" i="108" s="1"/>
  <c r="AB27" i="108" s="1"/>
  <c r="L27" i="112" s="1"/>
  <c r="AB27" i="112" s="1"/>
  <c r="L27" i="113" s="1"/>
  <c r="AB27" i="113" s="1"/>
  <c r="L31" i="117" s="1"/>
  <c r="AA24" i="81"/>
  <c r="K24" i="82" s="1"/>
  <c r="AA24" i="82" s="1"/>
  <c r="K27" i="90" s="1"/>
  <c r="AA27" i="90" s="1"/>
  <c r="K27" i="93" s="1"/>
  <c r="AA27" i="93" s="1"/>
  <c r="K27" i="107" s="1"/>
  <c r="AA27" i="107" s="1"/>
  <c r="K27" i="108" s="1"/>
  <c r="AA27" i="108" s="1"/>
  <c r="K27" i="112" s="1"/>
  <c r="AA27" i="112" s="1"/>
  <c r="K27" i="113" s="1"/>
  <c r="AA27" i="113" s="1"/>
  <c r="K31" i="117" s="1"/>
  <c r="AA31" i="117" s="1"/>
  <c r="K31" i="121" s="1"/>
  <c r="AA31" i="121" s="1"/>
  <c r="K31" i="122" s="1"/>
  <c r="AA31" i="122" s="1"/>
  <c r="Z24" i="81"/>
  <c r="J24" i="82" s="1"/>
  <c r="Z24" i="82" s="1"/>
  <c r="J27" i="90" s="1"/>
  <c r="Z27" i="90" s="1"/>
  <c r="J27" i="93" s="1"/>
  <c r="Z27" i="93" s="1"/>
  <c r="J27" i="107" s="1"/>
  <c r="Z27" i="107" s="1"/>
  <c r="J27" i="108" s="1"/>
  <c r="Z27" i="108" s="1"/>
  <c r="J27" i="112" s="1"/>
  <c r="Z27" i="112" s="1"/>
  <c r="J27" i="113" s="1"/>
  <c r="Z27" i="113" s="1"/>
  <c r="J31" i="117" s="1"/>
  <c r="Z31" i="117" s="1"/>
  <c r="J31" i="121" s="1"/>
  <c r="Z31" i="121" s="1"/>
  <c r="J31" i="122" s="1"/>
  <c r="Z31" i="122" s="1"/>
  <c r="X24" i="81"/>
  <c r="H24" i="82" s="1"/>
  <c r="X24" i="82" s="1"/>
  <c r="H27" i="90" s="1"/>
  <c r="X27" i="90" s="1"/>
  <c r="H27" i="93" s="1"/>
  <c r="X27" i="93" s="1"/>
  <c r="H27" i="107" s="1"/>
  <c r="X27" i="107" s="1"/>
  <c r="H27" i="108" s="1"/>
  <c r="X27" i="108" s="1"/>
  <c r="H27" i="112" s="1"/>
  <c r="X27" i="112" s="1"/>
  <c r="H27" i="113" s="1"/>
  <c r="X27" i="113" s="1"/>
  <c r="H31" i="117" s="1"/>
  <c r="X31" i="117" s="1"/>
  <c r="H31" i="121" s="1"/>
  <c r="X31" i="121" s="1"/>
  <c r="H31" i="122" s="1"/>
  <c r="X31" i="122" s="1"/>
  <c r="W24" i="81"/>
  <c r="G24" i="82" s="1"/>
  <c r="W24" i="82" s="1"/>
  <c r="G24" i="90" s="1"/>
  <c r="V24" i="81"/>
  <c r="V24" i="82" s="1"/>
  <c r="F27" i="90" s="1"/>
  <c r="V27" i="90" s="1"/>
  <c r="F27" i="93" s="1"/>
  <c r="V27" i="93" s="1"/>
  <c r="F27" i="107" s="1"/>
  <c r="V27" i="107" s="1"/>
  <c r="F27" i="108" s="1"/>
  <c r="V27" i="108" s="1"/>
  <c r="M24" i="81"/>
  <c r="E24" i="81"/>
  <c r="AB23" i="81"/>
  <c r="L23" i="82" s="1"/>
  <c r="AB23" i="82" s="1"/>
  <c r="L26" i="90" s="1"/>
  <c r="AB26" i="90" s="1"/>
  <c r="L26" i="93" s="1"/>
  <c r="AB26" i="93" s="1"/>
  <c r="L26" i="107" s="1"/>
  <c r="AB26" i="107" s="1"/>
  <c r="L26" i="108" s="1"/>
  <c r="AB26" i="108" s="1"/>
  <c r="L26" i="112" s="1"/>
  <c r="AB26" i="112" s="1"/>
  <c r="L26" i="113" s="1"/>
  <c r="AB26" i="113" s="1"/>
  <c r="L30" i="117" s="1"/>
  <c r="AA23" i="81"/>
  <c r="K23" i="82" s="1"/>
  <c r="AA23" i="82" s="1"/>
  <c r="K26" i="90" s="1"/>
  <c r="AA26" i="90" s="1"/>
  <c r="K26" i="93" s="1"/>
  <c r="AA26" i="93" s="1"/>
  <c r="K26" i="107" s="1"/>
  <c r="AA26" i="107" s="1"/>
  <c r="K26" i="108" s="1"/>
  <c r="AA26" i="108" s="1"/>
  <c r="K26" i="112" s="1"/>
  <c r="AA26" i="112" s="1"/>
  <c r="K26" i="113" s="1"/>
  <c r="AA26" i="113" s="1"/>
  <c r="K30" i="117" s="1"/>
  <c r="AA30" i="117" s="1"/>
  <c r="K30" i="121" s="1"/>
  <c r="AA30" i="121" s="1"/>
  <c r="K30" i="122" s="1"/>
  <c r="AA30" i="122" s="1"/>
  <c r="Z23" i="81"/>
  <c r="J23" i="82" s="1"/>
  <c r="Z23" i="82" s="1"/>
  <c r="J26" i="90" s="1"/>
  <c r="Z26" i="90" s="1"/>
  <c r="J26" i="93" s="1"/>
  <c r="Z26" i="93" s="1"/>
  <c r="J26" i="107" s="1"/>
  <c r="Z26" i="107" s="1"/>
  <c r="J26" i="108" s="1"/>
  <c r="Z26" i="108" s="1"/>
  <c r="J26" i="112" s="1"/>
  <c r="Z26" i="112" s="1"/>
  <c r="J26" i="113" s="1"/>
  <c r="Z26" i="113" s="1"/>
  <c r="J30" i="117" s="1"/>
  <c r="Z30" i="117" s="1"/>
  <c r="J30" i="121" s="1"/>
  <c r="Z30" i="121" s="1"/>
  <c r="J30" i="122" s="1"/>
  <c r="Z30" i="122" s="1"/>
  <c r="X23" i="81"/>
  <c r="H23" i="82" s="1"/>
  <c r="X23" i="82" s="1"/>
  <c r="H26" i="90" s="1"/>
  <c r="X26" i="90" s="1"/>
  <c r="H26" i="93" s="1"/>
  <c r="X26" i="93" s="1"/>
  <c r="H26" i="107" s="1"/>
  <c r="X26" i="107" s="1"/>
  <c r="H26" i="108" s="1"/>
  <c r="X26" i="108" s="1"/>
  <c r="H26" i="112" s="1"/>
  <c r="X26" i="112" s="1"/>
  <c r="H26" i="113" s="1"/>
  <c r="X26" i="113" s="1"/>
  <c r="H30" i="117" s="1"/>
  <c r="X30" i="117" s="1"/>
  <c r="H30" i="121" s="1"/>
  <c r="X30" i="121" s="1"/>
  <c r="H30" i="122" s="1"/>
  <c r="X30" i="122" s="1"/>
  <c r="W23" i="81"/>
  <c r="G23" i="82" s="1"/>
  <c r="W23" i="82" s="1"/>
  <c r="G23" i="90" s="1"/>
  <c r="V23" i="81"/>
  <c r="M23" i="81"/>
  <c r="E23" i="81"/>
  <c r="AB22" i="81"/>
  <c r="L22" i="82" s="1"/>
  <c r="AB22" i="82" s="1"/>
  <c r="L25" i="90" s="1"/>
  <c r="AB25" i="90" s="1"/>
  <c r="L25" i="93" s="1"/>
  <c r="AB25" i="93" s="1"/>
  <c r="L25" i="107" s="1"/>
  <c r="AB25" i="107" s="1"/>
  <c r="L25" i="108" s="1"/>
  <c r="AB25" i="108" s="1"/>
  <c r="L25" i="112" s="1"/>
  <c r="AB25" i="112" s="1"/>
  <c r="L25" i="113" s="1"/>
  <c r="AB25" i="113" s="1"/>
  <c r="L29" i="117" s="1"/>
  <c r="AA22" i="81"/>
  <c r="K22" i="82" s="1"/>
  <c r="AA22" i="82" s="1"/>
  <c r="K25" i="90" s="1"/>
  <c r="AA25" i="90" s="1"/>
  <c r="K25" i="93" s="1"/>
  <c r="AA25" i="93" s="1"/>
  <c r="K25" i="107" s="1"/>
  <c r="AA25" i="107" s="1"/>
  <c r="K25" i="108" s="1"/>
  <c r="AA25" i="108" s="1"/>
  <c r="K25" i="112" s="1"/>
  <c r="AA25" i="112" s="1"/>
  <c r="K25" i="113" s="1"/>
  <c r="AA25" i="113" s="1"/>
  <c r="K29" i="117" s="1"/>
  <c r="AA29" i="117" s="1"/>
  <c r="K29" i="121" s="1"/>
  <c r="AA29" i="121" s="1"/>
  <c r="K29" i="122" s="1"/>
  <c r="AA29" i="122" s="1"/>
  <c r="Z22" i="81"/>
  <c r="J22" i="82" s="1"/>
  <c r="Z22" i="82" s="1"/>
  <c r="J25" i="90" s="1"/>
  <c r="Z25" i="90" s="1"/>
  <c r="J25" i="93" s="1"/>
  <c r="Z25" i="93" s="1"/>
  <c r="J25" i="107" s="1"/>
  <c r="Z25" i="107" s="1"/>
  <c r="J25" i="108" s="1"/>
  <c r="Z25" i="108" s="1"/>
  <c r="J25" i="112" s="1"/>
  <c r="Z25" i="112" s="1"/>
  <c r="J25" i="113" s="1"/>
  <c r="Z25" i="113" s="1"/>
  <c r="J29" i="117" s="1"/>
  <c r="Z29" i="117" s="1"/>
  <c r="J29" i="121" s="1"/>
  <c r="Z29" i="121" s="1"/>
  <c r="J29" i="122" s="1"/>
  <c r="Z29" i="122" s="1"/>
  <c r="X22" i="81"/>
  <c r="H22" i="82" s="1"/>
  <c r="X22" i="82" s="1"/>
  <c r="H25" i="90" s="1"/>
  <c r="X25" i="90" s="1"/>
  <c r="H25" i="93" s="1"/>
  <c r="X25" i="93" s="1"/>
  <c r="H25" i="107" s="1"/>
  <c r="X25" i="107" s="1"/>
  <c r="H25" i="108" s="1"/>
  <c r="X25" i="108" s="1"/>
  <c r="H25" i="112" s="1"/>
  <c r="X25" i="112" s="1"/>
  <c r="H25" i="113" s="1"/>
  <c r="X25" i="113" s="1"/>
  <c r="H29" i="117" s="1"/>
  <c r="X29" i="117" s="1"/>
  <c r="H29" i="121" s="1"/>
  <c r="X29" i="121" s="1"/>
  <c r="H29" i="122" s="1"/>
  <c r="X29" i="122" s="1"/>
  <c r="W22" i="81"/>
  <c r="G22" i="82" s="1"/>
  <c r="W22" i="82" s="1"/>
  <c r="G22" i="90" s="1"/>
  <c r="W22" i="90" s="1"/>
  <c r="V22" i="81"/>
  <c r="V22" i="82" s="1"/>
  <c r="F25" i="90" s="1"/>
  <c r="M22" i="81"/>
  <c r="E22" i="81"/>
  <c r="AB21" i="81"/>
  <c r="L21" i="82" s="1"/>
  <c r="AB21" i="82" s="1"/>
  <c r="L21" i="90" s="1"/>
  <c r="AB21" i="90" s="1"/>
  <c r="L21" i="93" s="1"/>
  <c r="AB21" i="93" s="1"/>
  <c r="L21" i="107" s="1"/>
  <c r="AB21" i="107" s="1"/>
  <c r="L21" i="108" s="1"/>
  <c r="AB21" i="108" s="1"/>
  <c r="L21" i="112" s="1"/>
  <c r="AB21" i="112" s="1"/>
  <c r="L21" i="113" s="1"/>
  <c r="AB21" i="113" s="1"/>
  <c r="L24" i="117" s="1"/>
  <c r="Z21" i="81"/>
  <c r="J21" i="82" s="1"/>
  <c r="Z21" i="82" s="1"/>
  <c r="J21" i="90" s="1"/>
  <c r="Z21" i="90" s="1"/>
  <c r="J21" i="93" s="1"/>
  <c r="Z21" i="93" s="1"/>
  <c r="J21" i="107" s="1"/>
  <c r="Z21" i="107" s="1"/>
  <c r="J21" i="108" s="1"/>
  <c r="Z21" i="108" s="1"/>
  <c r="J21" i="112" s="1"/>
  <c r="Z21" i="112" s="1"/>
  <c r="J21" i="113" s="1"/>
  <c r="Z21" i="113" s="1"/>
  <c r="J24" i="117" s="1"/>
  <c r="Z24" i="117" s="1"/>
  <c r="J24" i="121" s="1"/>
  <c r="Z24" i="121" s="1"/>
  <c r="J24" i="122" s="1"/>
  <c r="Z24" i="122" s="1"/>
  <c r="X21" i="81"/>
  <c r="H21" i="82" s="1"/>
  <c r="X21" i="82" s="1"/>
  <c r="H21" i="90" s="1"/>
  <c r="X21" i="90" s="1"/>
  <c r="H21" i="93" s="1"/>
  <c r="X21" i="93" s="1"/>
  <c r="H21" i="107" s="1"/>
  <c r="X21" i="107" s="1"/>
  <c r="H21" i="108" s="1"/>
  <c r="X21" i="108" s="1"/>
  <c r="H21" i="112" s="1"/>
  <c r="X21" i="112" s="1"/>
  <c r="H21" i="113" s="1"/>
  <c r="X21" i="113" s="1"/>
  <c r="H24" i="117" s="1"/>
  <c r="X24" i="117" s="1"/>
  <c r="H24" i="121" s="1"/>
  <c r="X24" i="121" s="1"/>
  <c r="H24" i="122" s="1"/>
  <c r="X24" i="122" s="1"/>
  <c r="W21" i="81"/>
  <c r="G21" i="82" s="1"/>
  <c r="W21" i="82" s="1"/>
  <c r="G21" i="90" s="1"/>
  <c r="W21" i="90" s="1"/>
  <c r="G21" i="93" s="1"/>
  <c r="W21" i="93" s="1"/>
  <c r="G21" i="107" s="1"/>
  <c r="W21" i="107" s="1"/>
  <c r="G21" i="108" s="1"/>
  <c r="W21" i="108" s="1"/>
  <c r="G21" i="112" s="1"/>
  <c r="W21" i="112" s="1"/>
  <c r="G21" i="113" s="1"/>
  <c r="W21" i="113" s="1"/>
  <c r="G24" i="117" s="1"/>
  <c r="W24" i="117" s="1"/>
  <c r="G24" i="121" s="1"/>
  <c r="W24" i="121" s="1"/>
  <c r="G24" i="122" s="1"/>
  <c r="W24" i="122" s="1"/>
  <c r="V21" i="81"/>
  <c r="M21" i="81"/>
  <c r="K21" i="81"/>
  <c r="K26" i="81" s="1"/>
  <c r="AB20" i="81"/>
  <c r="AA20" i="81"/>
  <c r="K20" i="82" s="1"/>
  <c r="AA20" i="82" s="1"/>
  <c r="K20" i="90" s="1"/>
  <c r="AA20" i="90" s="1"/>
  <c r="K20" i="93" s="1"/>
  <c r="AA20" i="93" s="1"/>
  <c r="K20" i="107" s="1"/>
  <c r="AA20" i="107" s="1"/>
  <c r="K20" i="108" s="1"/>
  <c r="AA20" i="108" s="1"/>
  <c r="K20" i="112" s="1"/>
  <c r="AA20" i="112" s="1"/>
  <c r="K20" i="113" s="1"/>
  <c r="AA20" i="113" s="1"/>
  <c r="K22" i="117" s="1"/>
  <c r="AA22" i="117" s="1"/>
  <c r="K22" i="121" s="1"/>
  <c r="AA22" i="121" s="1"/>
  <c r="K22" i="122" s="1"/>
  <c r="AA22" i="122" s="1"/>
  <c r="Z20" i="81"/>
  <c r="J20" i="82" s="1"/>
  <c r="Z20" i="82" s="1"/>
  <c r="J20" i="90" s="1"/>
  <c r="Z20" i="90" s="1"/>
  <c r="J20" i="93" s="1"/>
  <c r="Z20" i="93" s="1"/>
  <c r="J20" i="107" s="1"/>
  <c r="Z20" i="107" s="1"/>
  <c r="J20" i="108" s="1"/>
  <c r="Z20" i="108" s="1"/>
  <c r="J20" i="112" s="1"/>
  <c r="Z20" i="112" s="1"/>
  <c r="J20" i="113" s="1"/>
  <c r="Z20" i="113" s="1"/>
  <c r="J22" i="117" s="1"/>
  <c r="Z22" i="117" s="1"/>
  <c r="J22" i="121" s="1"/>
  <c r="Z22" i="121" s="1"/>
  <c r="J22" i="122" s="1"/>
  <c r="Z22" i="122" s="1"/>
  <c r="X20" i="81"/>
  <c r="H20" i="82" s="1"/>
  <c r="X20" i="82" s="1"/>
  <c r="H20" i="90" s="1"/>
  <c r="X20" i="90" s="1"/>
  <c r="H20" i="93" s="1"/>
  <c r="X20" i="93" s="1"/>
  <c r="H20" i="107" s="1"/>
  <c r="X20" i="107" s="1"/>
  <c r="H20" i="108" s="1"/>
  <c r="X20" i="108" s="1"/>
  <c r="H20" i="112" s="1"/>
  <c r="X20" i="112" s="1"/>
  <c r="H20" i="113" s="1"/>
  <c r="X20" i="113" s="1"/>
  <c r="H22" i="117" s="1"/>
  <c r="X22" i="117" s="1"/>
  <c r="H22" i="121" s="1"/>
  <c r="X22" i="121" s="1"/>
  <c r="H22" i="122" s="1"/>
  <c r="X22" i="122" s="1"/>
  <c r="W20" i="81"/>
  <c r="G20" i="82" s="1"/>
  <c r="W20" i="82" s="1"/>
  <c r="G20" i="90" s="1"/>
  <c r="W20" i="90" s="1"/>
  <c r="G20" i="93" s="1"/>
  <c r="W20" i="93" s="1"/>
  <c r="G20" i="107" s="1"/>
  <c r="W20" i="107" s="1"/>
  <c r="G20" i="108" s="1"/>
  <c r="W20" i="108" s="1"/>
  <c r="G20" i="112" s="1"/>
  <c r="W20" i="112" s="1"/>
  <c r="G20" i="113" s="1"/>
  <c r="W20" i="113" s="1"/>
  <c r="G22" i="117" s="1"/>
  <c r="W22" i="117" s="1"/>
  <c r="G22" i="121" s="1"/>
  <c r="W22" i="121" s="1"/>
  <c r="G22" i="122" s="1"/>
  <c r="W22" i="122" s="1"/>
  <c r="V20" i="81"/>
  <c r="V20" i="82" s="1"/>
  <c r="F20" i="90" s="1"/>
  <c r="M20" i="81"/>
  <c r="E20" i="81"/>
  <c r="AB19" i="81"/>
  <c r="L19" i="82" s="1"/>
  <c r="AB19" i="82" s="1"/>
  <c r="L19" i="90" s="1"/>
  <c r="AB19" i="90" s="1"/>
  <c r="L19" i="93" s="1"/>
  <c r="AB19" i="93" s="1"/>
  <c r="L19" i="107" s="1"/>
  <c r="AB19" i="107" s="1"/>
  <c r="L19" i="108" s="1"/>
  <c r="AB19" i="108" s="1"/>
  <c r="L19" i="112" s="1"/>
  <c r="AB19" i="112" s="1"/>
  <c r="L19" i="113" s="1"/>
  <c r="AB19" i="113" s="1"/>
  <c r="L21" i="117" s="1"/>
  <c r="AB21" i="117" s="1"/>
  <c r="L21" i="121" s="1"/>
  <c r="AB21" i="121" s="1"/>
  <c r="L21" i="122" s="1"/>
  <c r="AA19" i="81"/>
  <c r="K19" i="82" s="1"/>
  <c r="AA19" i="82" s="1"/>
  <c r="K19" i="90" s="1"/>
  <c r="AA19" i="90" s="1"/>
  <c r="K19" i="93" s="1"/>
  <c r="AA19" i="93" s="1"/>
  <c r="K19" i="107" s="1"/>
  <c r="AA19" i="107" s="1"/>
  <c r="K19" i="108" s="1"/>
  <c r="AA19" i="108" s="1"/>
  <c r="K19" i="112" s="1"/>
  <c r="AA19" i="112" s="1"/>
  <c r="K19" i="113" s="1"/>
  <c r="AA19" i="113" s="1"/>
  <c r="K21" i="117" s="1"/>
  <c r="AA21" i="117" s="1"/>
  <c r="K21" i="121" s="1"/>
  <c r="AA21" i="121" s="1"/>
  <c r="K21" i="122" s="1"/>
  <c r="AA21" i="122" s="1"/>
  <c r="Z19" i="81"/>
  <c r="X19" i="81"/>
  <c r="H19" i="82" s="1"/>
  <c r="X19" i="82" s="1"/>
  <c r="H19" i="90" s="1"/>
  <c r="X19" i="90" s="1"/>
  <c r="H19" i="93" s="1"/>
  <c r="X19" i="93" s="1"/>
  <c r="H19" i="107" s="1"/>
  <c r="X19" i="107" s="1"/>
  <c r="H19" i="108" s="1"/>
  <c r="X19" i="108" s="1"/>
  <c r="H19" i="112" s="1"/>
  <c r="X19" i="112" s="1"/>
  <c r="H19" i="113" s="1"/>
  <c r="X19" i="113" s="1"/>
  <c r="H21" i="117" s="1"/>
  <c r="W19" i="81"/>
  <c r="G19" i="82" s="1"/>
  <c r="W19" i="82" s="1"/>
  <c r="G19" i="90" s="1"/>
  <c r="W19" i="90" s="1"/>
  <c r="G19" i="93" s="1"/>
  <c r="W19" i="93" s="1"/>
  <c r="G19" i="107" s="1"/>
  <c r="W19" i="107" s="1"/>
  <c r="G19" i="108" s="1"/>
  <c r="W19" i="108" s="1"/>
  <c r="G19" i="112" s="1"/>
  <c r="W19" i="112" s="1"/>
  <c r="G19" i="113" s="1"/>
  <c r="W19" i="113" s="1"/>
  <c r="G21" i="117" s="1"/>
  <c r="W21" i="117" s="1"/>
  <c r="G21" i="121" s="1"/>
  <c r="W21" i="121" s="1"/>
  <c r="G21" i="122" s="1"/>
  <c r="W21" i="122" s="1"/>
  <c r="V19" i="81"/>
  <c r="V19" i="82" s="1"/>
  <c r="F19" i="90" s="1"/>
  <c r="M19" i="81"/>
  <c r="E19" i="81"/>
  <c r="AB18" i="81"/>
  <c r="L18" i="82" s="1"/>
  <c r="AB18" i="82" s="1"/>
  <c r="L18" i="90" s="1"/>
  <c r="AB18" i="90" s="1"/>
  <c r="L18" i="93" s="1"/>
  <c r="AB18" i="93" s="1"/>
  <c r="L18" i="107" s="1"/>
  <c r="AB18" i="107" s="1"/>
  <c r="L18" i="108" s="1"/>
  <c r="AB18" i="108" s="1"/>
  <c r="L18" i="112" s="1"/>
  <c r="AB18" i="112" s="1"/>
  <c r="L18" i="113" s="1"/>
  <c r="AB18" i="113" s="1"/>
  <c r="L20" i="117" s="1"/>
  <c r="AA18" i="81"/>
  <c r="K18" i="82" s="1"/>
  <c r="AA18" i="82" s="1"/>
  <c r="K18" i="90" s="1"/>
  <c r="AA18" i="90" s="1"/>
  <c r="K18" i="93" s="1"/>
  <c r="AA18" i="93" s="1"/>
  <c r="K18" i="107" s="1"/>
  <c r="AA18" i="107" s="1"/>
  <c r="K18" i="108" s="1"/>
  <c r="AA18" i="108" s="1"/>
  <c r="K18" i="112" s="1"/>
  <c r="AA18" i="112" s="1"/>
  <c r="K18" i="113" s="1"/>
  <c r="AA18" i="113" s="1"/>
  <c r="K20" i="117" s="1"/>
  <c r="AA20" i="117" s="1"/>
  <c r="K20" i="121" s="1"/>
  <c r="AA20" i="121" s="1"/>
  <c r="K20" i="122" s="1"/>
  <c r="AA20" i="122" s="1"/>
  <c r="Z18" i="81"/>
  <c r="J18" i="82" s="1"/>
  <c r="Z18" i="82" s="1"/>
  <c r="J18" i="90" s="1"/>
  <c r="Z18" i="90" s="1"/>
  <c r="J18" i="93" s="1"/>
  <c r="Z18" i="93" s="1"/>
  <c r="J18" i="107" s="1"/>
  <c r="Z18" i="107" s="1"/>
  <c r="J18" i="108" s="1"/>
  <c r="Z18" i="108" s="1"/>
  <c r="J18" i="112" s="1"/>
  <c r="Z18" i="112" s="1"/>
  <c r="J18" i="113" s="1"/>
  <c r="Z18" i="113" s="1"/>
  <c r="J20" i="117" s="1"/>
  <c r="Z20" i="117" s="1"/>
  <c r="J20" i="121" s="1"/>
  <c r="Z20" i="121" s="1"/>
  <c r="J20" i="122" s="1"/>
  <c r="Z20" i="122" s="1"/>
  <c r="X18" i="81"/>
  <c r="H18" i="82" s="1"/>
  <c r="X18" i="82" s="1"/>
  <c r="H18" i="90" s="1"/>
  <c r="X18" i="90" s="1"/>
  <c r="H18" i="93" s="1"/>
  <c r="X18" i="93" s="1"/>
  <c r="H18" i="107" s="1"/>
  <c r="X18" i="107" s="1"/>
  <c r="H18" i="108" s="1"/>
  <c r="X18" i="108" s="1"/>
  <c r="H18" i="112" s="1"/>
  <c r="X18" i="112" s="1"/>
  <c r="H18" i="113" s="1"/>
  <c r="X18" i="113" s="1"/>
  <c r="H20" i="117" s="1"/>
  <c r="X20" i="117" s="1"/>
  <c r="H20" i="121" s="1"/>
  <c r="X20" i="121" s="1"/>
  <c r="H20" i="122" s="1"/>
  <c r="X20" i="122" s="1"/>
  <c r="W18" i="81"/>
  <c r="G18" i="82" s="1"/>
  <c r="W18" i="82" s="1"/>
  <c r="G18" i="90" s="1"/>
  <c r="V18" i="81"/>
  <c r="E18" i="81"/>
  <c r="AB17" i="81"/>
  <c r="L17" i="82" s="1"/>
  <c r="AA17" i="81"/>
  <c r="K17" i="82" s="1"/>
  <c r="AA17" i="82" s="1"/>
  <c r="K17" i="90" s="1"/>
  <c r="AA17" i="90" s="1"/>
  <c r="K17" i="93" s="1"/>
  <c r="AA17" i="93" s="1"/>
  <c r="K17" i="107" s="1"/>
  <c r="AA17" i="107" s="1"/>
  <c r="K17" i="108" s="1"/>
  <c r="AA17" i="108" s="1"/>
  <c r="K17" i="112" s="1"/>
  <c r="AA17" i="112" s="1"/>
  <c r="K17" i="113" s="1"/>
  <c r="AA17" i="113" s="1"/>
  <c r="K19" i="117" s="1"/>
  <c r="AA19" i="117" s="1"/>
  <c r="K19" i="121" s="1"/>
  <c r="AA19" i="121" s="1"/>
  <c r="K19" i="122" s="1"/>
  <c r="AA19" i="122" s="1"/>
  <c r="Z17" i="81"/>
  <c r="J17" i="82" s="1"/>
  <c r="Z17" i="82" s="1"/>
  <c r="J17" i="90" s="1"/>
  <c r="Z17" i="90" s="1"/>
  <c r="J17" i="93" s="1"/>
  <c r="Z17" i="93" s="1"/>
  <c r="J17" i="107" s="1"/>
  <c r="Z17" i="107" s="1"/>
  <c r="J17" i="108" s="1"/>
  <c r="Z17" i="108" s="1"/>
  <c r="J17" i="112" s="1"/>
  <c r="Z17" i="112" s="1"/>
  <c r="J17" i="113" s="1"/>
  <c r="Z17" i="113" s="1"/>
  <c r="J19" i="117" s="1"/>
  <c r="Z19" i="117" s="1"/>
  <c r="J19" i="121" s="1"/>
  <c r="Z19" i="121" s="1"/>
  <c r="J19" i="122" s="1"/>
  <c r="Z19" i="122" s="1"/>
  <c r="X17" i="81"/>
  <c r="H17" i="82" s="1"/>
  <c r="X17" i="82" s="1"/>
  <c r="H17" i="90" s="1"/>
  <c r="X17" i="90" s="1"/>
  <c r="H17" i="93" s="1"/>
  <c r="X17" i="93" s="1"/>
  <c r="H17" i="107" s="1"/>
  <c r="X17" i="107" s="1"/>
  <c r="H17" i="108" s="1"/>
  <c r="X17" i="108" s="1"/>
  <c r="H17" i="112" s="1"/>
  <c r="X17" i="112" s="1"/>
  <c r="H17" i="113" s="1"/>
  <c r="X17" i="113" s="1"/>
  <c r="H19" i="117" s="1"/>
  <c r="X19" i="117" s="1"/>
  <c r="H19" i="121" s="1"/>
  <c r="X19" i="121" s="1"/>
  <c r="H19" i="122" s="1"/>
  <c r="X19" i="122" s="1"/>
  <c r="W17" i="81"/>
  <c r="G17" i="82" s="1"/>
  <c r="W17" i="82" s="1"/>
  <c r="G17" i="90" s="1"/>
  <c r="V17" i="81"/>
  <c r="M17" i="81"/>
  <c r="E17" i="81"/>
  <c r="AB16" i="81"/>
  <c r="L16" i="82" s="1"/>
  <c r="AA16" i="81"/>
  <c r="K16" i="82" s="1"/>
  <c r="AA16" i="82" s="1"/>
  <c r="K16" i="90" s="1"/>
  <c r="AA16" i="90" s="1"/>
  <c r="K16" i="93" s="1"/>
  <c r="AA16" i="93" s="1"/>
  <c r="K16" i="107" s="1"/>
  <c r="AA16" i="107" s="1"/>
  <c r="K16" i="108" s="1"/>
  <c r="AA16" i="108" s="1"/>
  <c r="K16" i="112" s="1"/>
  <c r="AA16" i="112" s="1"/>
  <c r="K16" i="113" s="1"/>
  <c r="AA16" i="113" s="1"/>
  <c r="K18" i="117" s="1"/>
  <c r="AA18" i="117" s="1"/>
  <c r="K18" i="121" s="1"/>
  <c r="AA18" i="121" s="1"/>
  <c r="K18" i="122" s="1"/>
  <c r="AA18" i="122" s="1"/>
  <c r="Z16" i="81"/>
  <c r="J16" i="82" s="1"/>
  <c r="Z16" i="82" s="1"/>
  <c r="J16" i="90" s="1"/>
  <c r="Z16" i="90" s="1"/>
  <c r="J16" i="93" s="1"/>
  <c r="Z16" i="93" s="1"/>
  <c r="J16" i="107" s="1"/>
  <c r="Z16" i="107" s="1"/>
  <c r="J16" i="108" s="1"/>
  <c r="Z16" i="108" s="1"/>
  <c r="J16" i="112" s="1"/>
  <c r="Z16" i="112" s="1"/>
  <c r="J16" i="113" s="1"/>
  <c r="Z16" i="113" s="1"/>
  <c r="J18" i="117" s="1"/>
  <c r="Z18" i="117" s="1"/>
  <c r="J18" i="121" s="1"/>
  <c r="Z18" i="121" s="1"/>
  <c r="J18" i="122" s="1"/>
  <c r="Z18" i="122" s="1"/>
  <c r="W16" i="81"/>
  <c r="G16" i="82" s="1"/>
  <c r="W16" i="82" s="1"/>
  <c r="G16" i="90" s="1"/>
  <c r="V16" i="81"/>
  <c r="F16" i="90" s="1"/>
  <c r="V16" i="90" s="1"/>
  <c r="F16" i="93" s="1"/>
  <c r="M16" i="81"/>
  <c r="H16" i="81"/>
  <c r="E16" i="81" s="1"/>
  <c r="AB15" i="81"/>
  <c r="L15" i="82" s="1"/>
  <c r="AB15" i="82" s="1"/>
  <c r="L15" i="90" s="1"/>
  <c r="AB15" i="90" s="1"/>
  <c r="L15" i="93" s="1"/>
  <c r="AB15" i="93" s="1"/>
  <c r="L15" i="107" s="1"/>
  <c r="AB15" i="107" s="1"/>
  <c r="L15" i="108" s="1"/>
  <c r="AB15" i="108" s="1"/>
  <c r="L15" i="112" s="1"/>
  <c r="AB15" i="112" s="1"/>
  <c r="L15" i="113" s="1"/>
  <c r="AB15" i="113" s="1"/>
  <c r="L16" i="117" s="1"/>
  <c r="AA15" i="81"/>
  <c r="K15" i="82" s="1"/>
  <c r="AA15" i="82" s="1"/>
  <c r="K15" i="90" s="1"/>
  <c r="AA15" i="90" s="1"/>
  <c r="K15" i="93" s="1"/>
  <c r="AA15" i="93" s="1"/>
  <c r="K15" i="107" s="1"/>
  <c r="AA15" i="107" s="1"/>
  <c r="K15" i="108" s="1"/>
  <c r="AA15" i="108" s="1"/>
  <c r="K15" i="112" s="1"/>
  <c r="AA15" i="112" s="1"/>
  <c r="K15" i="113" s="1"/>
  <c r="AA15" i="113" s="1"/>
  <c r="K16" i="117" s="1"/>
  <c r="AA16" i="117" s="1"/>
  <c r="K16" i="121" s="1"/>
  <c r="AA16" i="121" s="1"/>
  <c r="K16" i="122" s="1"/>
  <c r="AA16" i="122" s="1"/>
  <c r="Z15" i="81"/>
  <c r="J15" i="82" s="1"/>
  <c r="Z15" i="82" s="1"/>
  <c r="J15" i="90" s="1"/>
  <c r="Z15" i="90" s="1"/>
  <c r="J15" i="93" s="1"/>
  <c r="Z15" i="93" s="1"/>
  <c r="J15" i="107" s="1"/>
  <c r="Z15" i="107" s="1"/>
  <c r="J15" i="108" s="1"/>
  <c r="Z15" i="108" s="1"/>
  <c r="J15" i="112" s="1"/>
  <c r="Z15" i="112" s="1"/>
  <c r="J15" i="113" s="1"/>
  <c r="Z15" i="113" s="1"/>
  <c r="J16" i="117" s="1"/>
  <c r="Z16" i="117" s="1"/>
  <c r="J16" i="121" s="1"/>
  <c r="Z16" i="121" s="1"/>
  <c r="J16" i="122" s="1"/>
  <c r="Z16" i="122" s="1"/>
  <c r="W15" i="81"/>
  <c r="V15" i="81"/>
  <c r="V15" i="90" s="1"/>
  <c r="F15" i="93" s="1"/>
  <c r="V15" i="93" s="1"/>
  <c r="F15" i="107" s="1"/>
  <c r="V15" i="107" s="1"/>
  <c r="F15" i="108" s="1"/>
  <c r="V15" i="108" s="1"/>
  <c r="M15" i="81"/>
  <c r="H15" i="81"/>
  <c r="E15" i="81" s="1"/>
  <c r="AB14" i="81"/>
  <c r="L14" i="82" s="1"/>
  <c r="AB14" i="82" s="1"/>
  <c r="L14" i="90" s="1"/>
  <c r="AB14" i="90" s="1"/>
  <c r="L14" i="93" s="1"/>
  <c r="AB14" i="93" s="1"/>
  <c r="L14" i="107" s="1"/>
  <c r="AB14" i="107" s="1"/>
  <c r="L14" i="108" s="1"/>
  <c r="AB14" i="108" s="1"/>
  <c r="L14" i="112" s="1"/>
  <c r="AB14" i="112" s="1"/>
  <c r="L14" i="113" s="1"/>
  <c r="AB14" i="113" s="1"/>
  <c r="L14" i="117" s="1"/>
  <c r="AA14" i="81"/>
  <c r="K14" i="82" s="1"/>
  <c r="AA14" i="82" s="1"/>
  <c r="K14" i="90" s="1"/>
  <c r="AA14" i="90" s="1"/>
  <c r="K14" i="93" s="1"/>
  <c r="AA14" i="93" s="1"/>
  <c r="K14" i="107" s="1"/>
  <c r="AA14" i="107" s="1"/>
  <c r="K14" i="108" s="1"/>
  <c r="AA14" i="108" s="1"/>
  <c r="K14" i="112" s="1"/>
  <c r="AA14" i="112" s="1"/>
  <c r="K14" i="113" s="1"/>
  <c r="AA14" i="113" s="1"/>
  <c r="K14" i="117" s="1"/>
  <c r="AA14" i="117" s="1"/>
  <c r="K14" i="121" s="1"/>
  <c r="AA14" i="121" s="1"/>
  <c r="K14" i="122" s="1"/>
  <c r="AA14" i="122" s="1"/>
  <c r="Z14" i="81"/>
  <c r="J14" i="82" s="1"/>
  <c r="Z14" i="82" s="1"/>
  <c r="J14" i="90" s="1"/>
  <c r="Z14" i="90" s="1"/>
  <c r="J14" i="93" s="1"/>
  <c r="Z14" i="93" s="1"/>
  <c r="J14" i="107" s="1"/>
  <c r="Z14" i="107" s="1"/>
  <c r="J14" i="108" s="1"/>
  <c r="Z14" i="108" s="1"/>
  <c r="J14" i="112" s="1"/>
  <c r="Z14" i="112" s="1"/>
  <c r="J14" i="113" s="1"/>
  <c r="Z14" i="113" s="1"/>
  <c r="J14" i="117" s="1"/>
  <c r="Z14" i="117" s="1"/>
  <c r="J14" i="121" s="1"/>
  <c r="Z14" i="121" s="1"/>
  <c r="J14" i="122" s="1"/>
  <c r="Z14" i="122" s="1"/>
  <c r="X14" i="81"/>
  <c r="H14" i="82" s="1"/>
  <c r="X14" i="82" s="1"/>
  <c r="H14" i="90" s="1"/>
  <c r="X14" i="90" s="1"/>
  <c r="H14" i="93" s="1"/>
  <c r="X14" i="93" s="1"/>
  <c r="H14" i="107" s="1"/>
  <c r="X14" i="107" s="1"/>
  <c r="H14" i="108" s="1"/>
  <c r="X14" i="108" s="1"/>
  <c r="H14" i="112" s="1"/>
  <c r="X14" i="112" s="1"/>
  <c r="H14" i="113" s="1"/>
  <c r="X14" i="113" s="1"/>
  <c r="H14" i="117" s="1"/>
  <c r="X14" i="117" s="1"/>
  <c r="H14" i="121" s="1"/>
  <c r="X14" i="121" s="1"/>
  <c r="H14" i="122" s="1"/>
  <c r="X14" i="122" s="1"/>
  <c r="W14" i="81"/>
  <c r="V14" i="81"/>
  <c r="M14" i="81"/>
  <c r="E14" i="81"/>
  <c r="AB13" i="81"/>
  <c r="L13" i="82" s="1"/>
  <c r="AB13" i="82" s="1"/>
  <c r="L13" i="90" s="1"/>
  <c r="AB13" i="90" s="1"/>
  <c r="L13" i="93" s="1"/>
  <c r="AB13" i="93" s="1"/>
  <c r="L13" i="107" s="1"/>
  <c r="AB13" i="107" s="1"/>
  <c r="L13" i="108" s="1"/>
  <c r="AB13" i="108" s="1"/>
  <c r="L13" i="112" s="1"/>
  <c r="AB13" i="112" s="1"/>
  <c r="L13" i="113" s="1"/>
  <c r="AB13" i="113" s="1"/>
  <c r="L13" i="117" s="1"/>
  <c r="AB13" i="117" s="1"/>
  <c r="L13" i="121" s="1"/>
  <c r="AB13" i="121" s="1"/>
  <c r="L13" i="122" s="1"/>
  <c r="AA13" i="81"/>
  <c r="K13" i="82" s="1"/>
  <c r="AA13" i="82" s="1"/>
  <c r="K13" i="90" s="1"/>
  <c r="AA13" i="90" s="1"/>
  <c r="K13" i="93" s="1"/>
  <c r="AA13" i="93" s="1"/>
  <c r="K13" i="107" s="1"/>
  <c r="AA13" i="107" s="1"/>
  <c r="K13" i="108" s="1"/>
  <c r="AA13" i="108" s="1"/>
  <c r="K13" i="112" s="1"/>
  <c r="AA13" i="112" s="1"/>
  <c r="K13" i="113" s="1"/>
  <c r="AA13" i="113" s="1"/>
  <c r="K13" i="117" s="1"/>
  <c r="AA13" i="117" s="1"/>
  <c r="K13" i="121" s="1"/>
  <c r="AA13" i="121" s="1"/>
  <c r="K13" i="122" s="1"/>
  <c r="AA13" i="122" s="1"/>
  <c r="Z13" i="81"/>
  <c r="J13" i="82" s="1"/>
  <c r="Z13" i="82" s="1"/>
  <c r="J13" i="90" s="1"/>
  <c r="Z13" i="90" s="1"/>
  <c r="J13" i="93" s="1"/>
  <c r="Z13" i="93" s="1"/>
  <c r="J13" i="107" s="1"/>
  <c r="Z13" i="107" s="1"/>
  <c r="J13" i="108" s="1"/>
  <c r="Z13" i="108" s="1"/>
  <c r="J13" i="112" s="1"/>
  <c r="Z13" i="112" s="1"/>
  <c r="J13" i="113" s="1"/>
  <c r="Z13" i="113" s="1"/>
  <c r="J13" i="117" s="1"/>
  <c r="X13" i="81"/>
  <c r="H13" i="82" s="1"/>
  <c r="X13" i="82" s="1"/>
  <c r="H13" i="90" s="1"/>
  <c r="X13" i="90" s="1"/>
  <c r="H13" i="93" s="1"/>
  <c r="X13" i="93" s="1"/>
  <c r="H13" i="107" s="1"/>
  <c r="X13" i="107" s="1"/>
  <c r="H13" i="108" s="1"/>
  <c r="X13" i="108" s="1"/>
  <c r="H13" i="112" s="1"/>
  <c r="X13" i="112" s="1"/>
  <c r="H13" i="113" s="1"/>
  <c r="X13" i="113" s="1"/>
  <c r="H13" i="117" s="1"/>
  <c r="X13" i="117" s="1"/>
  <c r="H13" i="121" s="1"/>
  <c r="X13" i="121" s="1"/>
  <c r="H13" i="122" s="1"/>
  <c r="X13" i="122" s="1"/>
  <c r="W13" i="81"/>
  <c r="G13" i="82" s="1"/>
  <c r="W13" i="82" s="1"/>
  <c r="G13" i="90" s="1"/>
  <c r="V13" i="81"/>
  <c r="M13" i="81"/>
  <c r="E13" i="81"/>
  <c r="AB12" i="81"/>
  <c r="L12" i="82" s="1"/>
  <c r="AA12" i="81"/>
  <c r="K12" i="82" s="1"/>
  <c r="Z12" i="81"/>
  <c r="X12" i="81"/>
  <c r="H12" i="82" s="1"/>
  <c r="W12" i="81"/>
  <c r="G12" i="82" s="1"/>
  <c r="V12" i="81"/>
  <c r="M12" i="81"/>
  <c r="E12" i="81"/>
  <c r="AB11" i="81"/>
  <c r="L11" i="82" s="1"/>
  <c r="AB11" i="82" s="1"/>
  <c r="L11" i="90" s="1"/>
  <c r="AB11" i="90" s="1"/>
  <c r="L11" i="93" s="1"/>
  <c r="AB11" i="93" s="1"/>
  <c r="L11" i="107" s="1"/>
  <c r="AA11" i="81"/>
  <c r="K11" i="82" s="1"/>
  <c r="AA11" i="82" s="1"/>
  <c r="K11" i="90" s="1"/>
  <c r="AA11" i="90" s="1"/>
  <c r="K11" i="93" s="1"/>
  <c r="AA11" i="93" s="1"/>
  <c r="K11" i="107" s="1"/>
  <c r="Z11" i="81"/>
  <c r="J11" i="82" s="1"/>
  <c r="Z11" i="82" s="1"/>
  <c r="J11" i="90" s="1"/>
  <c r="Z11" i="90" s="1"/>
  <c r="J11" i="93" s="1"/>
  <c r="Z11" i="93" s="1"/>
  <c r="J11" i="107" s="1"/>
  <c r="X11" i="81"/>
  <c r="H11" i="82" s="1"/>
  <c r="X11" i="82" s="1"/>
  <c r="H11" i="90" s="1"/>
  <c r="X11" i="90" s="1"/>
  <c r="W11" i="81"/>
  <c r="G11" i="82" s="1"/>
  <c r="W11" i="82" s="1"/>
  <c r="G11" i="90" s="1"/>
  <c r="V11" i="81"/>
  <c r="V11" i="82" s="1"/>
  <c r="F11" i="90" s="1"/>
  <c r="V11" i="90" s="1"/>
  <c r="F11" i="93" s="1"/>
  <c r="M11" i="81"/>
  <c r="E11" i="81"/>
  <c r="AB13" i="122" l="1"/>
  <c r="AB21" i="122"/>
  <c r="H83" i="121"/>
  <c r="X83" i="121" s="1"/>
  <c r="H83" i="122" s="1"/>
  <c r="X83" i="122" s="1"/>
  <c r="AA90" i="121"/>
  <c r="K90" i="122" s="1"/>
  <c r="AA90" i="122" s="1"/>
  <c r="AB14" i="117"/>
  <c r="L14" i="121" s="1"/>
  <c r="AB14" i="121" s="1"/>
  <c r="L14" i="122" s="1"/>
  <c r="AB24" i="117"/>
  <c r="L24" i="121" s="1"/>
  <c r="AB24" i="121" s="1"/>
  <c r="L24" i="122" s="1"/>
  <c r="AB29" i="117"/>
  <c r="L29" i="121" s="1"/>
  <c r="AB29" i="121" s="1"/>
  <c r="L29" i="122" s="1"/>
  <c r="AB30" i="117"/>
  <c r="L30" i="121" s="1"/>
  <c r="AB30" i="121" s="1"/>
  <c r="L30" i="122" s="1"/>
  <c r="AB31" i="117"/>
  <c r="L31" i="121" s="1"/>
  <c r="AB31" i="121" s="1"/>
  <c r="L31" i="122" s="1"/>
  <c r="AB82" i="117"/>
  <c r="AB103" i="117"/>
  <c r="L101" i="121" s="1"/>
  <c r="AB101" i="121" s="1"/>
  <c r="L101" i="122" s="1"/>
  <c r="AA111" i="117"/>
  <c r="K109" i="121" s="1"/>
  <c r="AA109" i="121" s="1"/>
  <c r="K109" i="122" s="1"/>
  <c r="AA109" i="122" s="1"/>
  <c r="AA115" i="117"/>
  <c r="K113" i="121" s="1"/>
  <c r="AA113" i="121" s="1"/>
  <c r="K113" i="122" s="1"/>
  <c r="AA113" i="122" s="1"/>
  <c r="AB198" i="117"/>
  <c r="L196" i="121" s="1"/>
  <c r="AB196" i="121" s="1"/>
  <c r="L196" i="122" s="1"/>
  <c r="X228" i="117"/>
  <c r="H232" i="121" s="1"/>
  <c r="X232" i="121" s="1"/>
  <c r="H232" i="122" s="1"/>
  <c r="AB237" i="117"/>
  <c r="L241" i="121" s="1"/>
  <c r="AB241" i="121" s="1"/>
  <c r="L241" i="122" s="1"/>
  <c r="AB20" i="117"/>
  <c r="L20" i="121" s="1"/>
  <c r="AB20" i="121" s="1"/>
  <c r="L20" i="122" s="1"/>
  <c r="AB46" i="117"/>
  <c r="L47" i="121" s="1"/>
  <c r="AB47" i="121" s="1"/>
  <c r="L47" i="122" s="1"/>
  <c r="AB48" i="117"/>
  <c r="L49" i="121" s="1"/>
  <c r="AB49" i="121" s="1"/>
  <c r="L49" i="122" s="1"/>
  <c r="AB58" i="117"/>
  <c r="L59" i="121" s="1"/>
  <c r="AB59" i="121" s="1"/>
  <c r="L59" i="122" s="1"/>
  <c r="AA72" i="117"/>
  <c r="K73" i="121" s="1"/>
  <c r="AA73" i="121" s="1"/>
  <c r="K73" i="122" s="1"/>
  <c r="AA73" i="122" s="1"/>
  <c r="AA76" i="117"/>
  <c r="K77" i="121" s="1"/>
  <c r="AA77" i="121" s="1"/>
  <c r="K77" i="122" s="1"/>
  <c r="AA77" i="122" s="1"/>
  <c r="AB81" i="117"/>
  <c r="L81" i="121" s="1"/>
  <c r="AB81" i="121" s="1"/>
  <c r="L81" i="122" s="1"/>
  <c r="AB85" i="117"/>
  <c r="AB102" i="117"/>
  <c r="L100" i="121" s="1"/>
  <c r="AB100" i="121" s="1"/>
  <c r="L100" i="122" s="1"/>
  <c r="AB197" i="117"/>
  <c r="L195" i="121" s="1"/>
  <c r="AB195" i="121" s="1"/>
  <c r="L195" i="122" s="1"/>
  <c r="AB204" i="117"/>
  <c r="L202" i="121" s="1"/>
  <c r="AB202" i="121" s="1"/>
  <c r="L202" i="122" s="1"/>
  <c r="Z13" i="117"/>
  <c r="J13" i="121" s="1"/>
  <c r="Z13" i="121" s="1"/>
  <c r="J13" i="122" s="1"/>
  <c r="Z13" i="122" s="1"/>
  <c r="X21" i="117"/>
  <c r="H21" i="121" s="1"/>
  <c r="X21" i="121" s="1"/>
  <c r="H21" i="122" s="1"/>
  <c r="X21" i="122" s="1"/>
  <c r="AB55" i="117"/>
  <c r="L56" i="121" s="1"/>
  <c r="AB56" i="121" s="1"/>
  <c r="L56" i="122" s="1"/>
  <c r="AB84" i="117"/>
  <c r="L83" i="121" s="1"/>
  <c r="AB83" i="121" s="1"/>
  <c r="L83" i="122" s="1"/>
  <c r="AB101" i="117"/>
  <c r="L99" i="121" s="1"/>
  <c r="AB99" i="121" s="1"/>
  <c r="L99" i="122" s="1"/>
  <c r="AB105" i="117"/>
  <c r="L103" i="121" s="1"/>
  <c r="AB103" i="121" s="1"/>
  <c r="L103" i="122" s="1"/>
  <c r="AA120" i="117"/>
  <c r="K118" i="121" s="1"/>
  <c r="AA118" i="121" s="1"/>
  <c r="K118" i="122" s="1"/>
  <c r="AA118" i="122" s="1"/>
  <c r="AA126" i="117"/>
  <c r="K124" i="121" s="1"/>
  <c r="AA124" i="121" s="1"/>
  <c r="K124" i="122" s="1"/>
  <c r="AA124" i="122" s="1"/>
  <c r="AB196" i="117"/>
  <c r="L194" i="121" s="1"/>
  <c r="AB194" i="121" s="1"/>
  <c r="L194" i="122" s="1"/>
  <c r="AA208" i="117"/>
  <c r="K206" i="121" s="1"/>
  <c r="AA206" i="121" s="1"/>
  <c r="K206" i="122" s="1"/>
  <c r="AB258" i="117"/>
  <c r="L262" i="121" s="1"/>
  <c r="AB262" i="121" s="1"/>
  <c r="L262" i="122" s="1"/>
  <c r="X243" i="107"/>
  <c r="H204" i="108"/>
  <c r="X204" i="108" s="1"/>
  <c r="AB16" i="117"/>
  <c r="L16" i="121" s="1"/>
  <c r="AB16" i="121" s="1"/>
  <c r="L16" i="122" s="1"/>
  <c r="AB41" i="117"/>
  <c r="L42" i="121" s="1"/>
  <c r="AB42" i="121" s="1"/>
  <c r="L42" i="122" s="1"/>
  <c r="Z45" i="117"/>
  <c r="J46" i="121" s="1"/>
  <c r="Z46" i="121" s="1"/>
  <c r="J46" i="122" s="1"/>
  <c r="Z46" i="122" s="1"/>
  <c r="AB52" i="117"/>
  <c r="L53" i="121" s="1"/>
  <c r="AB53" i="121" s="1"/>
  <c r="L53" i="122" s="1"/>
  <c r="AB53" i="117"/>
  <c r="L54" i="121" s="1"/>
  <c r="AB54" i="121" s="1"/>
  <c r="L54" i="122" s="1"/>
  <c r="AA66" i="117"/>
  <c r="K67" i="121" s="1"/>
  <c r="AA67" i="121" s="1"/>
  <c r="K67" i="122" s="1"/>
  <c r="AA67" i="122" s="1"/>
  <c r="AB83" i="117"/>
  <c r="AB100" i="117"/>
  <c r="L98" i="121" s="1"/>
  <c r="AB98" i="121" s="1"/>
  <c r="L98" i="122" s="1"/>
  <c r="AB104" i="117"/>
  <c r="L102" i="121" s="1"/>
  <c r="AB102" i="121" s="1"/>
  <c r="L102" i="122" s="1"/>
  <c r="AB195" i="117"/>
  <c r="L193" i="121" s="1"/>
  <c r="AB193" i="121" s="1"/>
  <c r="L193" i="122" s="1"/>
  <c r="AB199" i="117"/>
  <c r="L197" i="121" s="1"/>
  <c r="AB197" i="121" s="1"/>
  <c r="L197" i="122" s="1"/>
  <c r="AA207" i="117"/>
  <c r="K205" i="121" s="1"/>
  <c r="AA205" i="121" s="1"/>
  <c r="K205" i="122" s="1"/>
  <c r="AA205" i="122" s="1"/>
  <c r="AB230" i="117"/>
  <c r="L234" i="121" s="1"/>
  <c r="AB234" i="121" s="1"/>
  <c r="L234" i="122" s="1"/>
  <c r="AB257" i="117"/>
  <c r="L261" i="121" s="1"/>
  <c r="AB261" i="121" s="1"/>
  <c r="L261" i="122" s="1"/>
  <c r="AA127" i="117"/>
  <c r="K125" i="121" s="1"/>
  <c r="AA125" i="121" s="1"/>
  <c r="K125" i="122" s="1"/>
  <c r="AA240" i="113"/>
  <c r="K255" i="117" s="1"/>
  <c r="AA255" i="117" s="1"/>
  <c r="K259" i="121" s="1"/>
  <c r="AA103" i="113"/>
  <c r="K113" i="117" s="1"/>
  <c r="AA113" i="117" s="1"/>
  <c r="K111" i="121" s="1"/>
  <c r="AA111" i="121" s="1"/>
  <c r="K111" i="122" s="1"/>
  <c r="AA111" i="122" s="1"/>
  <c r="AA159" i="113"/>
  <c r="K170" i="117" s="1"/>
  <c r="AA170" i="117" s="1"/>
  <c r="K168" i="121" s="1"/>
  <c r="AA168" i="121" s="1"/>
  <c r="K168" i="122" s="1"/>
  <c r="AA168" i="122" s="1"/>
  <c r="AA220" i="113"/>
  <c r="K235" i="117" s="1"/>
  <c r="AA235" i="117" s="1"/>
  <c r="K239" i="121" s="1"/>
  <c r="AA239" i="121" s="1"/>
  <c r="K239" i="122" s="1"/>
  <c r="AA239" i="122" s="1"/>
  <c r="AA73" i="108"/>
  <c r="K73" i="112" s="1"/>
  <c r="AA90" i="108"/>
  <c r="K90" i="112" s="1"/>
  <c r="E106" i="108"/>
  <c r="U106" i="108" s="1"/>
  <c r="AB106" i="108"/>
  <c r="L106" i="112" s="1"/>
  <c r="AB115" i="108"/>
  <c r="L115" i="112" s="1"/>
  <c r="AB126" i="108"/>
  <c r="L126" i="112" s="1"/>
  <c r="AB63" i="108"/>
  <c r="L63" i="112" s="1"/>
  <c r="AB82" i="108"/>
  <c r="L82" i="112" s="1"/>
  <c r="AB105" i="108"/>
  <c r="L105" i="112" s="1"/>
  <c r="AB225" i="108"/>
  <c r="L227" i="112" s="1"/>
  <c r="AB226" i="108"/>
  <c r="L228" i="112" s="1"/>
  <c r="AB62" i="108"/>
  <c r="L62" i="112" s="1"/>
  <c r="AA71" i="108"/>
  <c r="K71" i="112" s="1"/>
  <c r="W98" i="108"/>
  <c r="G98" i="112" s="1"/>
  <c r="AB123" i="108"/>
  <c r="L123" i="112" s="1"/>
  <c r="AB124" i="108"/>
  <c r="L124" i="112" s="1"/>
  <c r="AB132" i="108"/>
  <c r="L132" i="112" s="1"/>
  <c r="AB154" i="108"/>
  <c r="L156" i="112" s="1"/>
  <c r="AB155" i="108"/>
  <c r="L157" i="112" s="1"/>
  <c r="AB162" i="108"/>
  <c r="L164" i="112" s="1"/>
  <c r="AB240" i="108"/>
  <c r="L242" i="112" s="1"/>
  <c r="AB242" i="112" s="1"/>
  <c r="L247" i="113" s="1"/>
  <c r="F27" i="112"/>
  <c r="V27" i="112" s="1"/>
  <c r="F27" i="113" s="1"/>
  <c r="V27" i="113" s="1"/>
  <c r="F31" i="117" s="1"/>
  <c r="V31" i="117" s="1"/>
  <c r="F31" i="121" s="1"/>
  <c r="V31" i="121" s="1"/>
  <c r="F31" i="122" s="1"/>
  <c r="V31" i="122" s="1"/>
  <c r="AB61" i="108"/>
  <c r="L61" i="112" s="1"/>
  <c r="AA68" i="108"/>
  <c r="K68" i="112" s="1"/>
  <c r="E95" i="108"/>
  <c r="U95" i="108" s="1"/>
  <c r="AA95" i="108"/>
  <c r="K95" i="112" s="1"/>
  <c r="AB103" i="108"/>
  <c r="L103" i="112" s="1"/>
  <c r="AB131" i="108"/>
  <c r="L131" i="112" s="1"/>
  <c r="AB139" i="108"/>
  <c r="L139" i="112" s="1"/>
  <c r="AB153" i="108"/>
  <c r="L155" i="112" s="1"/>
  <c r="AB169" i="108"/>
  <c r="L171" i="112" s="1"/>
  <c r="AA236" i="108"/>
  <c r="K238" i="112" s="1"/>
  <c r="AB239" i="108"/>
  <c r="L241" i="112" s="1"/>
  <c r="AB241" i="112" s="1"/>
  <c r="L246" i="113" s="1"/>
  <c r="AA94" i="108"/>
  <c r="K94" i="112" s="1"/>
  <c r="E102" i="108"/>
  <c r="U102" i="108" s="1"/>
  <c r="AB102" i="108"/>
  <c r="L102" i="112" s="1"/>
  <c r="AB130" i="108"/>
  <c r="L130" i="112" s="1"/>
  <c r="AA147" i="107"/>
  <c r="K149" i="108" s="1"/>
  <c r="K147" i="108"/>
  <c r="AB160" i="108"/>
  <c r="L162" i="112" s="1"/>
  <c r="AA181" i="108"/>
  <c r="K183" i="112" s="1"/>
  <c r="AB52" i="108"/>
  <c r="L52" i="112" s="1"/>
  <c r="AB67" i="108"/>
  <c r="L67" i="112" s="1"/>
  <c r="AA76" i="108"/>
  <c r="K76" i="112" s="1"/>
  <c r="AB86" i="108"/>
  <c r="L86" i="112" s="1"/>
  <c r="AA93" i="108"/>
  <c r="K93" i="112" s="1"/>
  <c r="AB101" i="108"/>
  <c r="L101" i="112" s="1"/>
  <c r="AB111" i="108"/>
  <c r="L111" i="112" s="1"/>
  <c r="AB129" i="108"/>
  <c r="L129" i="112" s="1"/>
  <c r="AB137" i="108"/>
  <c r="L137" i="112" s="1"/>
  <c r="V241" i="112"/>
  <c r="F246" i="113" s="1"/>
  <c r="V246" i="113" s="1"/>
  <c r="F261" i="117" s="1"/>
  <c r="V261" i="117" s="1"/>
  <c r="F265" i="121" s="1"/>
  <c r="V265" i="121" s="1"/>
  <c r="F265" i="122" s="1"/>
  <c r="V265" i="122" s="1"/>
  <c r="AB33" i="108"/>
  <c r="L33" i="112" s="1"/>
  <c r="E66" i="108"/>
  <c r="U66" i="108" s="1"/>
  <c r="AB66" i="108"/>
  <c r="L66" i="112" s="1"/>
  <c r="AA75" i="108"/>
  <c r="K75" i="112" s="1"/>
  <c r="AA92" i="108"/>
  <c r="K92" i="112" s="1"/>
  <c r="AB128" i="108"/>
  <c r="L128" i="112" s="1"/>
  <c r="AB166" i="108"/>
  <c r="L168" i="112" s="1"/>
  <c r="AB233" i="108"/>
  <c r="L235" i="112" s="1"/>
  <c r="F15" i="112"/>
  <c r="V15" i="112" s="1"/>
  <c r="F15" i="113" s="1"/>
  <c r="V15" i="113" s="1"/>
  <c r="F16" i="117" s="1"/>
  <c r="V16" i="117" s="1"/>
  <c r="F16" i="121" s="1"/>
  <c r="V16" i="121" s="1"/>
  <c r="F16" i="122" s="1"/>
  <c r="V16" i="122" s="1"/>
  <c r="AB65" i="108"/>
  <c r="L65" i="112" s="1"/>
  <c r="AA74" i="108"/>
  <c r="K74" i="112" s="1"/>
  <c r="AB84" i="108"/>
  <c r="L84" i="112" s="1"/>
  <c r="E91" i="108"/>
  <c r="U91" i="108" s="1"/>
  <c r="AA91" i="108"/>
  <c r="K91" i="112" s="1"/>
  <c r="AB135" i="108"/>
  <c r="L135" i="112" s="1"/>
  <c r="AB211" i="108"/>
  <c r="L213" i="112" s="1"/>
  <c r="AB11" i="107"/>
  <c r="L11" i="108" s="1"/>
  <c r="AB11" i="108" s="1"/>
  <c r="L11" i="112" s="1"/>
  <c r="AB11" i="112" s="1"/>
  <c r="L11" i="113" s="1"/>
  <c r="AB11" i="113" s="1"/>
  <c r="L11" i="117" s="1"/>
  <c r="Z11" i="107"/>
  <c r="J11" i="108" s="1"/>
  <c r="Z11" i="108" s="1"/>
  <c r="J11" i="112" s="1"/>
  <c r="Z11" i="112" s="1"/>
  <c r="J11" i="113" s="1"/>
  <c r="Z11" i="113" s="1"/>
  <c r="J11" i="117" s="1"/>
  <c r="AA11" i="107"/>
  <c r="K11" i="108" s="1"/>
  <c r="AA11" i="108" s="1"/>
  <c r="K11" i="112" s="1"/>
  <c r="AA11" i="112" s="1"/>
  <c r="K11" i="113" s="1"/>
  <c r="AA11" i="113" s="1"/>
  <c r="K11" i="117" s="1"/>
  <c r="H147" i="107"/>
  <c r="X145" i="107"/>
  <c r="L147" i="107"/>
  <c r="AB145" i="107"/>
  <c r="M35" i="81"/>
  <c r="M37" i="81" s="1"/>
  <c r="S136" i="81"/>
  <c r="V176" i="81"/>
  <c r="M51" i="81"/>
  <c r="V26" i="81"/>
  <c r="M188" i="81"/>
  <c r="AA26" i="81"/>
  <c r="E21" i="81"/>
  <c r="M165" i="81"/>
  <c r="M81" i="81"/>
  <c r="H30" i="93"/>
  <c r="AF30" i="90"/>
  <c r="U22" i="90"/>
  <c r="G22" i="93"/>
  <c r="U112" i="81"/>
  <c r="X176" i="81"/>
  <c r="H181" i="82" s="1"/>
  <c r="X181" i="82" s="1"/>
  <c r="H195" i="90" s="1"/>
  <c r="X195" i="90" s="1"/>
  <c r="H202" i="93" s="1"/>
  <c r="X202" i="93" s="1"/>
  <c r="H209" i="107" s="1"/>
  <c r="X209" i="107" s="1"/>
  <c r="H212" i="108" s="1"/>
  <c r="X212" i="108" s="1"/>
  <c r="H214" i="112" s="1"/>
  <c r="X214" i="112" s="1"/>
  <c r="H218" i="113" s="1"/>
  <c r="X218" i="113" s="1"/>
  <c r="H233" i="117" s="1"/>
  <c r="X233" i="117" s="1"/>
  <c r="H237" i="121" s="1"/>
  <c r="X237" i="121" s="1"/>
  <c r="H237" i="122" s="1"/>
  <c r="X237" i="122" s="1"/>
  <c r="AB176" i="81"/>
  <c r="L181" i="82" s="1"/>
  <c r="H11" i="93"/>
  <c r="X11" i="93" s="1"/>
  <c r="U11" i="90"/>
  <c r="AA21" i="81"/>
  <c r="K21" i="82" s="1"/>
  <c r="U23" i="81"/>
  <c r="U24" i="81"/>
  <c r="X37" i="81"/>
  <c r="H37" i="82" s="1"/>
  <c r="AA43" i="81"/>
  <c r="K43" i="82" s="1"/>
  <c r="V165" i="81"/>
  <c r="M179" i="81"/>
  <c r="U43" i="90"/>
  <c r="V43" i="93"/>
  <c r="F44" i="107" s="1"/>
  <c r="V44" i="107" s="1"/>
  <c r="F44" i="108" s="1"/>
  <c r="E64" i="93"/>
  <c r="U64" i="93" s="1"/>
  <c r="E65" i="107" s="1"/>
  <c r="U65" i="107" s="1"/>
  <c r="E127" i="93"/>
  <c r="U127" i="93" s="1"/>
  <c r="E128" i="107" s="1"/>
  <c r="G67" i="93"/>
  <c r="W67" i="93" s="1"/>
  <c r="G68" i="107" s="1"/>
  <c r="W68" i="107" s="1"/>
  <c r="G69" i="108" s="1"/>
  <c r="E89" i="93"/>
  <c r="U89" i="93" s="1"/>
  <c r="E90" i="107" s="1"/>
  <c r="U90" i="107" s="1"/>
  <c r="E142" i="93"/>
  <c r="U142" i="93" s="1"/>
  <c r="E145" i="107" s="1"/>
  <c r="E104" i="93"/>
  <c r="U104" i="93" s="1"/>
  <c r="E105" i="107" s="1"/>
  <c r="U105" i="107" s="1"/>
  <c r="V16" i="93"/>
  <c r="F16" i="107" s="1"/>
  <c r="V16" i="107" s="1"/>
  <c r="F16" i="108" s="1"/>
  <c r="V11" i="93"/>
  <c r="F11" i="107" s="1"/>
  <c r="V11" i="107" s="1"/>
  <c r="F11" i="108" s="1"/>
  <c r="E93" i="93"/>
  <c r="U93" i="93" s="1"/>
  <c r="E94" i="107" s="1"/>
  <c r="U94" i="107" s="1"/>
  <c r="E100" i="93"/>
  <c r="U100" i="93" s="1"/>
  <c r="E101" i="107" s="1"/>
  <c r="U101" i="107" s="1"/>
  <c r="J172" i="81"/>
  <c r="W41" i="90"/>
  <c r="G41" i="93" s="1"/>
  <c r="W41" i="93" s="1"/>
  <c r="G42" i="107" s="1"/>
  <c r="W42" i="107" s="1"/>
  <c r="G42" i="108" s="1"/>
  <c r="W42" i="108" s="1"/>
  <c r="G42" i="112" s="1"/>
  <c r="W42" i="112" s="1"/>
  <c r="G42" i="113" s="1"/>
  <c r="W42" i="113" s="1"/>
  <c r="G48" i="117" s="1"/>
  <c r="W48" i="117" s="1"/>
  <c r="G49" i="121" s="1"/>
  <c r="W49" i="121" s="1"/>
  <c r="G49" i="122" s="1"/>
  <c r="W49" i="122" s="1"/>
  <c r="W42" i="90"/>
  <c r="G42" i="93" s="1"/>
  <c r="W42" i="93" s="1"/>
  <c r="G43" i="107" s="1"/>
  <c r="W43" i="107" s="1"/>
  <c r="G43" i="108" s="1"/>
  <c r="W43" i="108" s="1"/>
  <c r="G43" i="112" s="1"/>
  <c r="W43" i="112" s="1"/>
  <c r="G43" i="113" s="1"/>
  <c r="W43" i="113" s="1"/>
  <c r="G49" i="117" s="1"/>
  <c r="W49" i="117" s="1"/>
  <c r="G50" i="121" s="1"/>
  <c r="W50" i="121" s="1"/>
  <c r="G50" i="122" s="1"/>
  <c r="W50" i="122" s="1"/>
  <c r="G45" i="90"/>
  <c r="V98" i="90"/>
  <c r="W98" i="90"/>
  <c r="G98" i="93" s="1"/>
  <c r="W98" i="93" s="1"/>
  <c r="G99" i="107" s="1"/>
  <c r="W99" i="107" s="1"/>
  <c r="G100" i="108" s="1"/>
  <c r="W100" i="108" s="1"/>
  <c r="G100" i="112" s="1"/>
  <c r="W100" i="112" s="1"/>
  <c r="G100" i="113" s="1"/>
  <c r="W100" i="113" s="1"/>
  <c r="G110" i="117" s="1"/>
  <c r="W110" i="117" s="1"/>
  <c r="G108" i="121" s="1"/>
  <c r="W108" i="121" s="1"/>
  <c r="G108" i="122" s="1"/>
  <c r="W108" i="122" s="1"/>
  <c r="U89" i="90"/>
  <c r="W182" i="90"/>
  <c r="G186" i="93" s="1"/>
  <c r="W186" i="93" s="1"/>
  <c r="G193" i="107" s="1"/>
  <c r="W193" i="107" s="1"/>
  <c r="G196" i="108" s="1"/>
  <c r="E182" i="90"/>
  <c r="W23" i="90"/>
  <c r="E23" i="90"/>
  <c r="W24" i="90"/>
  <c r="E24" i="90"/>
  <c r="W28" i="90"/>
  <c r="E28" i="90"/>
  <c r="E43" i="90"/>
  <c r="V20" i="90"/>
  <c r="F20" i="93" s="1"/>
  <c r="V20" i="93" s="1"/>
  <c r="F20" i="107" s="1"/>
  <c r="V20" i="107" s="1"/>
  <c r="F20" i="108" s="1"/>
  <c r="V20" i="108" s="1"/>
  <c r="V19" i="90"/>
  <c r="V25" i="90"/>
  <c r="E25" i="90"/>
  <c r="W47" i="90"/>
  <c r="J179" i="81"/>
  <c r="W13" i="90"/>
  <c r="G13" i="93" s="1"/>
  <c r="W13" i="93" s="1"/>
  <c r="G13" i="107" s="1"/>
  <c r="W13" i="107" s="1"/>
  <c r="G13" i="108" s="1"/>
  <c r="W13" i="108" s="1"/>
  <c r="G13" i="112" s="1"/>
  <c r="W13" i="112" s="1"/>
  <c r="G13" i="113" s="1"/>
  <c r="W13" i="113" s="1"/>
  <c r="G13" i="117" s="1"/>
  <c r="W13" i="117" s="1"/>
  <c r="G13" i="121" s="1"/>
  <c r="W13" i="121" s="1"/>
  <c r="G13" i="122" s="1"/>
  <c r="W13" i="122" s="1"/>
  <c r="G210" i="90"/>
  <c r="W210" i="90" s="1"/>
  <c r="G218" i="93" s="1"/>
  <c r="W218" i="93" s="1"/>
  <c r="G225" i="107" s="1"/>
  <c r="W225" i="107" s="1"/>
  <c r="G228" i="108" s="1"/>
  <c r="W105" i="90"/>
  <c r="W178" i="90"/>
  <c r="E178" i="90"/>
  <c r="G209" i="90"/>
  <c r="W209" i="90" s="1"/>
  <c r="G217" i="93" s="1"/>
  <c r="W217" i="93" s="1"/>
  <c r="G224" i="107" s="1"/>
  <c r="W224" i="107" s="1"/>
  <c r="G227" i="108" s="1"/>
  <c r="W115" i="90"/>
  <c r="E115" i="90"/>
  <c r="E64" i="90"/>
  <c r="K51" i="81"/>
  <c r="G81" i="81"/>
  <c r="E89" i="90"/>
  <c r="K47" i="81"/>
  <c r="L51" i="81"/>
  <c r="E100" i="90"/>
  <c r="U100" i="90"/>
  <c r="E104" i="90"/>
  <c r="U104" i="90"/>
  <c r="E112" i="81"/>
  <c r="U140" i="81"/>
  <c r="U64" i="90"/>
  <c r="U93" i="90"/>
  <c r="E93" i="90"/>
  <c r="L47" i="81"/>
  <c r="L72" i="81"/>
  <c r="K165" i="81"/>
  <c r="U127" i="90"/>
  <c r="E127" i="90"/>
  <c r="U142" i="90"/>
  <c r="E142" i="90"/>
  <c r="K161" i="81"/>
  <c r="H208" i="82"/>
  <c r="X208" i="82" s="1"/>
  <c r="Z26" i="81"/>
  <c r="V32" i="81"/>
  <c r="AB37" i="81"/>
  <c r="L37" i="82" s="1"/>
  <c r="H43" i="81"/>
  <c r="E43" i="81" s="1"/>
  <c r="M114" i="81"/>
  <c r="U104" i="81"/>
  <c r="U131" i="82"/>
  <c r="M154" i="81"/>
  <c r="M161" i="81"/>
  <c r="J169" i="81"/>
  <c r="U168" i="81"/>
  <c r="AB186" i="82"/>
  <c r="L200" i="90" s="1"/>
  <c r="AB200" i="90" s="1"/>
  <c r="L207" i="93" s="1"/>
  <c r="AB207" i="93" s="1"/>
  <c r="L214" i="107" s="1"/>
  <c r="AB214" i="107" s="1"/>
  <c r="L217" i="108" s="1"/>
  <c r="AB217" i="108" s="1"/>
  <c r="L219" i="112" s="1"/>
  <c r="AB219" i="112" s="1"/>
  <c r="L223" i="113" s="1"/>
  <c r="AB223" i="113" s="1"/>
  <c r="L238" i="117" s="1"/>
  <c r="P193" i="81"/>
  <c r="W200" i="82"/>
  <c r="G204" i="90" s="1"/>
  <c r="W204" i="90" s="1"/>
  <c r="M193" i="81"/>
  <c r="J208" i="82"/>
  <c r="Z208" i="82" s="1"/>
  <c r="L208" i="82"/>
  <c r="AB208" i="82" s="1"/>
  <c r="K208" i="82"/>
  <c r="AA208" i="82" s="1"/>
  <c r="M26" i="81"/>
  <c r="V35" i="81"/>
  <c r="V35" i="82" s="1"/>
  <c r="F40" i="90" s="1"/>
  <c r="V40" i="90" s="1"/>
  <c r="F40" i="93" s="1"/>
  <c r="V40" i="93" s="1"/>
  <c r="F41" i="107" s="1"/>
  <c r="V41" i="107" s="1"/>
  <c r="F41" i="108" s="1"/>
  <c r="V41" i="108" s="1"/>
  <c r="F41" i="112" s="1"/>
  <c r="V41" i="112" s="1"/>
  <c r="F41" i="113" s="1"/>
  <c r="V41" i="113" s="1"/>
  <c r="F47" i="117" s="1"/>
  <c r="V47" i="117" s="1"/>
  <c r="F48" i="121" s="1"/>
  <c r="V48" i="121" s="1"/>
  <c r="F48" i="122" s="1"/>
  <c r="V48" i="122" s="1"/>
  <c r="E61" i="81"/>
  <c r="J114" i="81"/>
  <c r="G161" i="81"/>
  <c r="J165" i="81"/>
  <c r="AB198" i="82"/>
  <c r="L212" i="90" s="1"/>
  <c r="AB212" i="90" s="1"/>
  <c r="L222" i="93" s="1"/>
  <c r="AB222" i="93" s="1"/>
  <c r="L229" i="107" s="1"/>
  <c r="AB229" i="107" s="1"/>
  <c r="L232" i="108" s="1"/>
  <c r="AA200" i="82"/>
  <c r="K214" i="90" s="1"/>
  <c r="AA214" i="90" s="1"/>
  <c r="K224" i="93" s="1"/>
  <c r="AA224" i="93" s="1"/>
  <c r="K231" i="107" s="1"/>
  <c r="AA231" i="107" s="1"/>
  <c r="K234" i="108" s="1"/>
  <c r="AA234" i="108" s="1"/>
  <c r="K236" i="112" s="1"/>
  <c r="AA236" i="112" s="1"/>
  <c r="K241" i="113" s="1"/>
  <c r="AA241" i="113" s="1"/>
  <c r="K256" i="117" s="1"/>
  <c r="AA256" i="117" s="1"/>
  <c r="K260" i="121" s="1"/>
  <c r="AA260" i="121" s="1"/>
  <c r="K260" i="122" s="1"/>
  <c r="AA260" i="122" s="1"/>
  <c r="F208" i="82"/>
  <c r="V208" i="82" s="1"/>
  <c r="AB179" i="82"/>
  <c r="L193" i="90" s="1"/>
  <c r="AB193" i="90" s="1"/>
  <c r="L200" i="93" s="1"/>
  <c r="AB200" i="93" s="1"/>
  <c r="L207" i="107" s="1"/>
  <c r="AB207" i="107" s="1"/>
  <c r="L210" i="108" s="1"/>
  <c r="AB210" i="108" s="1"/>
  <c r="L212" i="112" s="1"/>
  <c r="AB212" i="112" s="1"/>
  <c r="L216" i="113" s="1"/>
  <c r="AB216" i="113" s="1"/>
  <c r="L231" i="117" s="1"/>
  <c r="X200" i="82"/>
  <c r="H214" i="90" s="1"/>
  <c r="X214" i="90" s="1"/>
  <c r="H224" i="93" s="1"/>
  <c r="X224" i="93" s="1"/>
  <c r="H231" i="107" s="1"/>
  <c r="X231" i="107" s="1"/>
  <c r="H234" i="108" s="1"/>
  <c r="X234" i="108" s="1"/>
  <c r="H236" i="112" s="1"/>
  <c r="X236" i="112" s="1"/>
  <c r="H241" i="113" s="1"/>
  <c r="X241" i="113" s="1"/>
  <c r="H256" i="117" s="1"/>
  <c r="X256" i="117" s="1"/>
  <c r="H260" i="121" s="1"/>
  <c r="X260" i="121" s="1"/>
  <c r="H260" i="122" s="1"/>
  <c r="X260" i="122" s="1"/>
  <c r="L209" i="82"/>
  <c r="H210" i="82"/>
  <c r="X210" i="82" s="1"/>
  <c r="V30" i="81"/>
  <c r="N90" i="81"/>
  <c r="S90" i="81"/>
  <c r="U120" i="81"/>
  <c r="O136" i="81"/>
  <c r="T136" i="81"/>
  <c r="E141" i="81"/>
  <c r="E145" i="81"/>
  <c r="W179" i="82"/>
  <c r="G181" i="90" s="1"/>
  <c r="R193" i="81"/>
  <c r="V200" i="82"/>
  <c r="F214" i="90" s="1"/>
  <c r="V214" i="90" s="1"/>
  <c r="F224" i="93" s="1"/>
  <c r="V224" i="93" s="1"/>
  <c r="F231" i="107" s="1"/>
  <c r="V231" i="107" s="1"/>
  <c r="F234" i="108" s="1"/>
  <c r="V234" i="108" s="1"/>
  <c r="F236" i="112" s="1"/>
  <c r="V236" i="112" s="1"/>
  <c r="F241" i="113" s="1"/>
  <c r="V241" i="113" s="1"/>
  <c r="F256" i="117" s="1"/>
  <c r="V256" i="117" s="1"/>
  <c r="F260" i="121" s="1"/>
  <c r="V260" i="121" s="1"/>
  <c r="F260" i="122" s="1"/>
  <c r="V260" i="122" s="1"/>
  <c r="AB200" i="82"/>
  <c r="L214" i="90" s="1"/>
  <c r="AB214" i="90" s="1"/>
  <c r="L224" i="93" s="1"/>
  <c r="AB224" i="93" s="1"/>
  <c r="L231" i="107" s="1"/>
  <c r="AB231" i="107" s="1"/>
  <c r="L234" i="108" s="1"/>
  <c r="G208" i="82"/>
  <c r="W208" i="82" s="1"/>
  <c r="W199" i="81"/>
  <c r="U18" i="81"/>
  <c r="V18" i="82"/>
  <c r="F18" i="90" s="1"/>
  <c r="V18" i="90" s="1"/>
  <c r="F18" i="93" s="1"/>
  <c r="H32" i="81"/>
  <c r="X32" i="81" s="1"/>
  <c r="H32" i="82" s="1"/>
  <c r="X32" i="82" s="1"/>
  <c r="H35" i="90" s="1"/>
  <c r="X35" i="90" s="1"/>
  <c r="H35" i="93" s="1"/>
  <c r="X35" i="93" s="1"/>
  <c r="H36" i="107" s="1"/>
  <c r="X36" i="107" s="1"/>
  <c r="H36" i="108" s="1"/>
  <c r="X36" i="108" s="1"/>
  <c r="H36" i="112" s="1"/>
  <c r="X36" i="112" s="1"/>
  <c r="H36" i="113" s="1"/>
  <c r="X36" i="113" s="1"/>
  <c r="H42" i="117" s="1"/>
  <c r="X42" i="117" s="1"/>
  <c r="H43" i="121" s="1"/>
  <c r="X43" i="121" s="1"/>
  <c r="H43" i="122" s="1"/>
  <c r="X43" i="122" s="1"/>
  <c r="Z37" i="81"/>
  <c r="J37" i="82" s="1"/>
  <c r="Z37" i="82" s="1"/>
  <c r="J42" i="90" s="1"/>
  <c r="Z42" i="90" s="1"/>
  <c r="J42" i="93" s="1"/>
  <c r="Z42" i="93" s="1"/>
  <c r="J43" i="107" s="1"/>
  <c r="Z43" i="107" s="1"/>
  <c r="J43" i="108" s="1"/>
  <c r="Z43" i="108" s="1"/>
  <c r="J43" i="112" s="1"/>
  <c r="Z43" i="112" s="1"/>
  <c r="J43" i="113" s="1"/>
  <c r="Z43" i="113" s="1"/>
  <c r="J49" i="117" s="1"/>
  <c r="Z49" i="117" s="1"/>
  <c r="J50" i="121" s="1"/>
  <c r="Z50" i="121" s="1"/>
  <c r="J50" i="122" s="1"/>
  <c r="Z50" i="122" s="1"/>
  <c r="U39" i="81"/>
  <c r="H39" i="82"/>
  <c r="X39" i="82" s="1"/>
  <c r="H44" i="90" s="1"/>
  <c r="X44" i="90" s="1"/>
  <c r="H44" i="93" s="1"/>
  <c r="X44" i="93" s="1"/>
  <c r="H45" i="107" s="1"/>
  <c r="X45" i="107" s="1"/>
  <c r="H45" i="108" s="1"/>
  <c r="X45" i="108" s="1"/>
  <c r="H45" i="112" s="1"/>
  <c r="X45" i="112" s="1"/>
  <c r="H45" i="113" s="1"/>
  <c r="X45" i="113" s="1"/>
  <c r="H53" i="117" s="1"/>
  <c r="X53" i="117" s="1"/>
  <c r="H54" i="121" s="1"/>
  <c r="X54" i="121" s="1"/>
  <c r="H54" i="122" s="1"/>
  <c r="X54" i="122" s="1"/>
  <c r="X47" i="81"/>
  <c r="H47" i="82" s="1"/>
  <c r="H44" i="82"/>
  <c r="X44" i="82" s="1"/>
  <c r="H49" i="90" s="1"/>
  <c r="X49" i="90" s="1"/>
  <c r="H49" i="93" s="1"/>
  <c r="X49" i="93" s="1"/>
  <c r="H50" i="107" s="1"/>
  <c r="X50" i="107" s="1"/>
  <c r="H51" i="108" s="1"/>
  <c r="X51" i="108" s="1"/>
  <c r="H51" i="112" s="1"/>
  <c r="X51" i="112" s="1"/>
  <c r="H51" i="113" s="1"/>
  <c r="X51" i="113" s="1"/>
  <c r="H61" i="117" s="1"/>
  <c r="X61" i="117" s="1"/>
  <c r="H62" i="121" s="1"/>
  <c r="X62" i="121" s="1"/>
  <c r="H62" i="122" s="1"/>
  <c r="X62" i="122" s="1"/>
  <c r="E56" i="81"/>
  <c r="E59" i="81"/>
  <c r="U62" i="81"/>
  <c r="H62" i="82"/>
  <c r="X62" i="82" s="1"/>
  <c r="H67" i="90" s="1"/>
  <c r="X67" i="90" s="1"/>
  <c r="H67" i="93" s="1"/>
  <c r="X67" i="93" s="1"/>
  <c r="H68" i="107" s="1"/>
  <c r="X68" i="107" s="1"/>
  <c r="H69" i="108" s="1"/>
  <c r="X69" i="108" s="1"/>
  <c r="H69" i="112" s="1"/>
  <c r="X69" i="112" s="1"/>
  <c r="H69" i="113" s="1"/>
  <c r="X69" i="113" s="1"/>
  <c r="H79" i="117" s="1"/>
  <c r="E65" i="81"/>
  <c r="AB89" i="81"/>
  <c r="L89" i="82" s="1"/>
  <c r="L82" i="82"/>
  <c r="AB82" i="82" s="1"/>
  <c r="L87" i="90" s="1"/>
  <c r="AB87" i="90" s="1"/>
  <c r="L87" i="93" s="1"/>
  <c r="AB87" i="93" s="1"/>
  <c r="L88" i="107" s="1"/>
  <c r="AB88" i="107" s="1"/>
  <c r="L89" i="108" s="1"/>
  <c r="AB89" i="108" s="1"/>
  <c r="L89" i="112" s="1"/>
  <c r="AB89" i="112" s="1"/>
  <c r="L89" i="113" s="1"/>
  <c r="AB89" i="113" s="1"/>
  <c r="L99" i="117" s="1"/>
  <c r="U100" i="81"/>
  <c r="H100" i="82"/>
  <c r="X100" i="82" s="1"/>
  <c r="H105" i="90" s="1"/>
  <c r="X105" i="90" s="1"/>
  <c r="H105" i="93" s="1"/>
  <c r="X105" i="93" s="1"/>
  <c r="H106" i="107" s="1"/>
  <c r="X106" i="107" s="1"/>
  <c r="H107" i="108" s="1"/>
  <c r="X107" i="108" s="1"/>
  <c r="H107" i="112" s="1"/>
  <c r="X107" i="112" s="1"/>
  <c r="H107" i="113" s="1"/>
  <c r="X107" i="113" s="1"/>
  <c r="H117" i="117" s="1"/>
  <c r="X134" i="81"/>
  <c r="H132" i="82" s="1"/>
  <c r="H113" i="82"/>
  <c r="X113" i="82" s="1"/>
  <c r="H121" i="90" s="1"/>
  <c r="X121" i="90" s="1"/>
  <c r="H121" i="93" s="1"/>
  <c r="X121" i="93" s="1"/>
  <c r="H122" i="107" s="1"/>
  <c r="X122" i="107" s="1"/>
  <c r="H123" i="108" s="1"/>
  <c r="X123" i="108" s="1"/>
  <c r="H123" i="112" s="1"/>
  <c r="X123" i="112" s="1"/>
  <c r="H125" i="113" s="1"/>
  <c r="X125" i="113" s="1"/>
  <c r="H136" i="117" s="1"/>
  <c r="X136" i="117" s="1"/>
  <c r="H134" i="121" s="1"/>
  <c r="X134" i="121" s="1"/>
  <c r="H134" i="122" s="1"/>
  <c r="X134" i="122" s="1"/>
  <c r="E123" i="81"/>
  <c r="E137" i="81"/>
  <c r="K143" i="81"/>
  <c r="E153" i="81"/>
  <c r="O162" i="81"/>
  <c r="T162" i="81"/>
  <c r="X165" i="81"/>
  <c r="H164" i="82" s="1"/>
  <c r="H162" i="82"/>
  <c r="X162" i="82" s="1"/>
  <c r="H173" i="90" s="1"/>
  <c r="X173" i="90" s="1"/>
  <c r="H175" i="93" s="1"/>
  <c r="X175" i="93" s="1"/>
  <c r="H182" i="107" s="1"/>
  <c r="X182" i="107" s="1"/>
  <c r="H185" i="108" s="1"/>
  <c r="X185" i="108" s="1"/>
  <c r="H187" i="112" s="1"/>
  <c r="X187" i="112" s="1"/>
  <c r="H191" i="113" s="1"/>
  <c r="X191" i="113" s="1"/>
  <c r="H203" i="117" s="1"/>
  <c r="X203" i="117" s="1"/>
  <c r="H201" i="121" s="1"/>
  <c r="X201" i="121" s="1"/>
  <c r="H201" i="122" s="1"/>
  <c r="X201" i="122" s="1"/>
  <c r="X172" i="81"/>
  <c r="H177" i="82" s="1"/>
  <c r="H175" i="82"/>
  <c r="X175" i="82" s="1"/>
  <c r="H189" i="90" s="1"/>
  <c r="X189" i="90" s="1"/>
  <c r="H196" i="93" s="1"/>
  <c r="X196" i="93" s="1"/>
  <c r="H203" i="107" s="1"/>
  <c r="X203" i="107" s="1"/>
  <c r="H206" i="108" s="1"/>
  <c r="X206" i="108" s="1"/>
  <c r="H208" i="112" s="1"/>
  <c r="X208" i="112" s="1"/>
  <c r="H212" i="113" s="1"/>
  <c r="X212" i="113" s="1"/>
  <c r="H227" i="117" s="1"/>
  <c r="X227" i="117" s="1"/>
  <c r="H231" i="121" s="1"/>
  <c r="X231" i="121" s="1"/>
  <c r="H231" i="122" s="1"/>
  <c r="X231" i="122" s="1"/>
  <c r="AB174" i="81"/>
  <c r="L179" i="82" s="1"/>
  <c r="E176" i="81"/>
  <c r="AB181" i="81"/>
  <c r="L186" i="82" s="1"/>
  <c r="Z182" i="81"/>
  <c r="Z183" i="81" s="1"/>
  <c r="J188" i="82" s="1"/>
  <c r="X188" i="81"/>
  <c r="H193" i="82"/>
  <c r="X193" i="82" s="1"/>
  <c r="H207" i="90" s="1"/>
  <c r="X207" i="90" s="1"/>
  <c r="Z190" i="81"/>
  <c r="J201" i="82" s="1"/>
  <c r="Z201" i="82" s="1"/>
  <c r="J215" i="90" s="1"/>
  <c r="Z215" i="90" s="1"/>
  <c r="J225" i="93" s="1"/>
  <c r="Z225" i="93" s="1"/>
  <c r="J232" i="107" s="1"/>
  <c r="Z232" i="107" s="1"/>
  <c r="J235" i="108" s="1"/>
  <c r="Z235" i="108" s="1"/>
  <c r="J237" i="112" s="1"/>
  <c r="Z237" i="112" s="1"/>
  <c r="J242" i="113" s="1"/>
  <c r="Z242" i="113" s="1"/>
  <c r="J257" i="117" s="1"/>
  <c r="Z257" i="117" s="1"/>
  <c r="J261" i="121" s="1"/>
  <c r="Z261" i="121" s="1"/>
  <c r="J261" i="122" s="1"/>
  <c r="Z261" i="122" s="1"/>
  <c r="O193" i="81"/>
  <c r="T193" i="81"/>
  <c r="E197" i="81"/>
  <c r="V150" i="82"/>
  <c r="F159" i="90" s="1"/>
  <c r="V159" i="90" s="1"/>
  <c r="F159" i="93" s="1"/>
  <c r="V159" i="93" s="1"/>
  <c r="F165" i="107" s="1"/>
  <c r="V165" i="107" s="1"/>
  <c r="F167" i="108" s="1"/>
  <c r="V167" i="108" s="1"/>
  <c r="F169" i="112" s="1"/>
  <c r="V169" i="112" s="1"/>
  <c r="F173" i="113" s="1"/>
  <c r="V173" i="113" s="1"/>
  <c r="F185" i="117" s="1"/>
  <c r="V185" i="117" s="1"/>
  <c r="F183" i="121" s="1"/>
  <c r="V183" i="121" s="1"/>
  <c r="F183" i="122" s="1"/>
  <c r="V183" i="122" s="1"/>
  <c r="H189" i="82"/>
  <c r="X189" i="82" s="1"/>
  <c r="H203" i="90" s="1"/>
  <c r="X203" i="90" s="1"/>
  <c r="H210" i="93" s="1"/>
  <c r="X210" i="93" s="1"/>
  <c r="H217" i="107" s="1"/>
  <c r="X217" i="107" s="1"/>
  <c r="H220" i="108" s="1"/>
  <c r="X220" i="108" s="1"/>
  <c r="H222" i="112" s="1"/>
  <c r="X222" i="112" s="1"/>
  <c r="H226" i="113" s="1"/>
  <c r="X226" i="113" s="1"/>
  <c r="H241" i="117" s="1"/>
  <c r="X241" i="117" s="1"/>
  <c r="H245" i="121" s="1"/>
  <c r="X245" i="121" s="1"/>
  <c r="H245" i="122" s="1"/>
  <c r="X245" i="122" s="1"/>
  <c r="U17" i="81"/>
  <c r="V17" i="82"/>
  <c r="F17" i="90" s="1"/>
  <c r="V17" i="90" s="1"/>
  <c r="F17" i="93" s="1"/>
  <c r="V17" i="93" s="1"/>
  <c r="F17" i="107" s="1"/>
  <c r="V17" i="107" s="1"/>
  <c r="F17" i="108" s="1"/>
  <c r="V17" i="108" s="1"/>
  <c r="U21" i="81"/>
  <c r="V21" i="82"/>
  <c r="F21" i="90" s="1"/>
  <c r="U22" i="81"/>
  <c r="M43" i="81"/>
  <c r="M72" i="81"/>
  <c r="M73" i="81" s="1"/>
  <c r="X81" i="81"/>
  <c r="H81" i="82" s="1"/>
  <c r="M89" i="81"/>
  <c r="R90" i="81"/>
  <c r="AA92" i="81"/>
  <c r="K91" i="82"/>
  <c r="AA91" i="82" s="1"/>
  <c r="K96" i="90" s="1"/>
  <c r="E98" i="81"/>
  <c r="E117" i="81"/>
  <c r="M143" i="81"/>
  <c r="N162" i="81"/>
  <c r="S162" i="81"/>
  <c r="AB161" i="81"/>
  <c r="L160" i="82" s="1"/>
  <c r="L154" i="82"/>
  <c r="AB154" i="82" s="1"/>
  <c r="L165" i="90" s="1"/>
  <c r="AB165" i="90" s="1"/>
  <c r="L167" i="93" s="1"/>
  <c r="AB167" i="93" s="1"/>
  <c r="L173" i="107" s="1"/>
  <c r="AB173" i="107" s="1"/>
  <c r="L176" i="108" s="1"/>
  <c r="AB176" i="108" s="1"/>
  <c r="L178" i="112" s="1"/>
  <c r="AB178" i="112" s="1"/>
  <c r="L182" i="113" s="1"/>
  <c r="AB182" i="113" s="1"/>
  <c r="L194" i="117" s="1"/>
  <c r="X161" i="81"/>
  <c r="H160" i="82" s="1"/>
  <c r="AB192" i="81"/>
  <c r="L203" i="82" s="1"/>
  <c r="V198" i="81"/>
  <c r="AA199" i="81"/>
  <c r="U12" i="81"/>
  <c r="J12" i="82"/>
  <c r="Z12" i="82" s="1"/>
  <c r="J12" i="90" s="1"/>
  <c r="Z12" i="90" s="1"/>
  <c r="J12" i="93" s="1"/>
  <c r="Z12" i="93" s="1"/>
  <c r="J12" i="107" s="1"/>
  <c r="Z12" i="107" s="1"/>
  <c r="J12" i="108" s="1"/>
  <c r="Z12" i="108" s="1"/>
  <c r="J12" i="112" s="1"/>
  <c r="Z12" i="112" s="1"/>
  <c r="J12" i="113" s="1"/>
  <c r="Z12" i="113" s="1"/>
  <c r="J12" i="117" s="1"/>
  <c r="Z12" i="117" s="1"/>
  <c r="J12" i="121" s="1"/>
  <c r="Z12" i="121" s="1"/>
  <c r="J12" i="122" s="1"/>
  <c r="Z12" i="122" s="1"/>
  <c r="U33" i="81"/>
  <c r="H33" i="82"/>
  <c r="X33" i="82" s="1"/>
  <c r="H38" i="90" s="1"/>
  <c r="X38" i="90" s="1"/>
  <c r="H38" i="93" s="1"/>
  <c r="X38" i="93" s="1"/>
  <c r="H39" i="107" s="1"/>
  <c r="X39" i="107" s="1"/>
  <c r="H39" i="108" s="1"/>
  <c r="X39" i="108" s="1"/>
  <c r="H39" i="112" s="1"/>
  <c r="X39" i="112" s="1"/>
  <c r="H39" i="113" s="1"/>
  <c r="X39" i="113" s="1"/>
  <c r="H45" i="117" s="1"/>
  <c r="X45" i="117" s="1"/>
  <c r="H46" i="121" s="1"/>
  <c r="X46" i="121" s="1"/>
  <c r="H46" i="122" s="1"/>
  <c r="X46" i="122" s="1"/>
  <c r="E36" i="81"/>
  <c r="E37" i="81" s="1"/>
  <c r="AA36" i="81"/>
  <c r="K36" i="82" s="1"/>
  <c r="AA36" i="82" s="1"/>
  <c r="K41" i="90" s="1"/>
  <c r="AA41" i="90" s="1"/>
  <c r="K41" i="93" s="1"/>
  <c r="AA41" i="93" s="1"/>
  <c r="K42" i="107" s="1"/>
  <c r="AA42" i="107" s="1"/>
  <c r="K42" i="108" s="1"/>
  <c r="K37" i="81"/>
  <c r="AA37" i="81" s="1"/>
  <c r="K37" i="82" s="1"/>
  <c r="AA37" i="82" s="1"/>
  <c r="K42" i="90" s="1"/>
  <c r="AA42" i="90" s="1"/>
  <c r="K42" i="93" s="1"/>
  <c r="AA42" i="93" s="1"/>
  <c r="K43" i="107" s="1"/>
  <c r="AA43" i="107" s="1"/>
  <c r="K43" i="108" s="1"/>
  <c r="U42" i="81"/>
  <c r="H42" i="82"/>
  <c r="X42" i="82" s="1"/>
  <c r="H47" i="90" s="1"/>
  <c r="X47" i="90" s="1"/>
  <c r="H47" i="93" s="1"/>
  <c r="X47" i="93" s="1"/>
  <c r="H48" i="107" s="1"/>
  <c r="X48" i="107" s="1"/>
  <c r="H48" i="108" s="1"/>
  <c r="X48" i="108" s="1"/>
  <c r="H48" i="112" s="1"/>
  <c r="X48" i="112" s="1"/>
  <c r="H48" i="113" s="1"/>
  <c r="X48" i="113" s="1"/>
  <c r="H58" i="117" s="1"/>
  <c r="X58" i="117" s="1"/>
  <c r="H59" i="121" s="1"/>
  <c r="X59" i="121" s="1"/>
  <c r="H59" i="122" s="1"/>
  <c r="X59" i="122" s="1"/>
  <c r="R52" i="81"/>
  <c r="X72" i="81"/>
  <c r="H72" i="82" s="1"/>
  <c r="H64" i="82"/>
  <c r="X64" i="82" s="1"/>
  <c r="H69" i="90" s="1"/>
  <c r="X69" i="90" s="1"/>
  <c r="H69" i="93" s="1"/>
  <c r="X69" i="93" s="1"/>
  <c r="H70" i="107" s="1"/>
  <c r="X70" i="107" s="1"/>
  <c r="H71" i="108" s="1"/>
  <c r="X71" i="108" s="1"/>
  <c r="H71" i="112" s="1"/>
  <c r="X71" i="112" s="1"/>
  <c r="H71" i="113" s="1"/>
  <c r="X71" i="113" s="1"/>
  <c r="H81" i="117" s="1"/>
  <c r="X81" i="117" s="1"/>
  <c r="H81" i="121" s="1"/>
  <c r="X81" i="121" s="1"/>
  <c r="H81" i="122" s="1"/>
  <c r="X81" i="122" s="1"/>
  <c r="X89" i="81"/>
  <c r="H83" i="82"/>
  <c r="X83" i="82" s="1"/>
  <c r="H88" i="90" s="1"/>
  <c r="X88" i="90" s="1"/>
  <c r="H88" i="93" s="1"/>
  <c r="X88" i="93" s="1"/>
  <c r="H89" i="107" s="1"/>
  <c r="X89" i="107" s="1"/>
  <c r="H90" i="108" s="1"/>
  <c r="X90" i="108" s="1"/>
  <c r="H90" i="112" s="1"/>
  <c r="X90" i="112" s="1"/>
  <c r="H90" i="113" s="1"/>
  <c r="X90" i="113" s="1"/>
  <c r="H100" i="117" s="1"/>
  <c r="X100" i="117" s="1"/>
  <c r="H98" i="121" s="1"/>
  <c r="X98" i="121" s="1"/>
  <c r="H98" i="122" s="1"/>
  <c r="X98" i="122" s="1"/>
  <c r="E104" i="81"/>
  <c r="E108" i="81"/>
  <c r="E125" i="81"/>
  <c r="U133" i="81"/>
  <c r="P136" i="81"/>
  <c r="AA169" i="81"/>
  <c r="K174" i="82" s="1"/>
  <c r="K179" i="81"/>
  <c r="X179" i="81"/>
  <c r="H184" i="82" s="1"/>
  <c r="M198" i="81"/>
  <c r="V199" i="81"/>
  <c r="U11" i="81"/>
  <c r="U13" i="81"/>
  <c r="V13" i="82"/>
  <c r="F13" i="90" s="1"/>
  <c r="V13" i="90" s="1"/>
  <c r="F13" i="93" s="1"/>
  <c r="U14" i="81"/>
  <c r="V14" i="90"/>
  <c r="F14" i="93" s="1"/>
  <c r="V14" i="93" s="1"/>
  <c r="F14" i="107" s="1"/>
  <c r="V14" i="107" s="1"/>
  <c r="F14" i="108" s="1"/>
  <c r="V14" i="108" s="1"/>
  <c r="U19" i="81"/>
  <c r="J19" i="82"/>
  <c r="Z19" i="82" s="1"/>
  <c r="J19" i="90" s="1"/>
  <c r="Z19" i="90" s="1"/>
  <c r="J19" i="93" s="1"/>
  <c r="Z19" i="93" s="1"/>
  <c r="J19" i="107" s="1"/>
  <c r="Z19" i="107" s="1"/>
  <c r="J19" i="108" s="1"/>
  <c r="Z19" i="108" s="1"/>
  <c r="J19" i="112" s="1"/>
  <c r="Z19" i="112" s="1"/>
  <c r="J19" i="113" s="1"/>
  <c r="Z19" i="113" s="1"/>
  <c r="J21" i="117" s="1"/>
  <c r="Z21" i="117" s="1"/>
  <c r="J21" i="121" s="1"/>
  <c r="Z21" i="121" s="1"/>
  <c r="J21" i="122" s="1"/>
  <c r="Z21" i="122" s="1"/>
  <c r="K32" i="81"/>
  <c r="AA32" i="81" s="1"/>
  <c r="K32" i="82" s="1"/>
  <c r="AA32" i="82" s="1"/>
  <c r="K35" i="90" s="1"/>
  <c r="AA35" i="90" s="1"/>
  <c r="K35" i="93" s="1"/>
  <c r="AA35" i="93" s="1"/>
  <c r="K36" i="107" s="1"/>
  <c r="AA36" i="107" s="1"/>
  <c r="K36" i="108" s="1"/>
  <c r="AA36" i="108" s="1"/>
  <c r="K36" i="112" s="1"/>
  <c r="AA36" i="112" s="1"/>
  <c r="K36" i="113" s="1"/>
  <c r="AA36" i="113" s="1"/>
  <c r="K42" i="117" s="1"/>
  <c r="AA42" i="117" s="1"/>
  <c r="K43" i="121" s="1"/>
  <c r="AA43" i="121" s="1"/>
  <c r="K43" i="122" s="1"/>
  <c r="AA43" i="122" s="1"/>
  <c r="E30" i="81"/>
  <c r="W35" i="81"/>
  <c r="G35" i="82" s="1"/>
  <c r="W35" i="82" s="1"/>
  <c r="W35" i="90" s="1"/>
  <c r="G35" i="93" s="1"/>
  <c r="W35" i="93" s="1"/>
  <c r="G36" i="107" s="1"/>
  <c r="W36" i="107" s="1"/>
  <c r="G36" i="108" s="1"/>
  <c r="W36" i="108" s="1"/>
  <c r="G36" i="112" s="1"/>
  <c r="W36" i="112" s="1"/>
  <c r="G36" i="113" s="1"/>
  <c r="W36" i="113" s="1"/>
  <c r="G42" i="117" s="1"/>
  <c r="W42" i="117" s="1"/>
  <c r="G43" i="121" s="1"/>
  <c r="W43" i="121" s="1"/>
  <c r="G43" i="122" s="1"/>
  <c r="W43" i="122" s="1"/>
  <c r="M47" i="81"/>
  <c r="M52" i="81" s="1"/>
  <c r="X51" i="81"/>
  <c r="H51" i="82" s="1"/>
  <c r="H48" i="82"/>
  <c r="X48" i="82" s="1"/>
  <c r="H53" i="90" s="1"/>
  <c r="X53" i="90" s="1"/>
  <c r="H53" i="93" s="1"/>
  <c r="X53" i="93" s="1"/>
  <c r="H54" i="107" s="1"/>
  <c r="X54" i="107" s="1"/>
  <c r="H55" i="108" s="1"/>
  <c r="X55" i="108" s="1"/>
  <c r="H55" i="112" s="1"/>
  <c r="X55" i="112" s="1"/>
  <c r="H55" i="113" s="1"/>
  <c r="X55" i="113" s="1"/>
  <c r="H65" i="117" s="1"/>
  <c r="X65" i="117" s="1"/>
  <c r="H66" i="121" s="1"/>
  <c r="X66" i="121" s="1"/>
  <c r="H66" i="122" s="1"/>
  <c r="X66" i="122" s="1"/>
  <c r="N52" i="81"/>
  <c r="S52" i="81"/>
  <c r="E53" i="81"/>
  <c r="E60" i="81"/>
  <c r="E68" i="81"/>
  <c r="O90" i="81"/>
  <c r="T90" i="81"/>
  <c r="R136" i="81"/>
  <c r="E164" i="81"/>
  <c r="X174" i="81"/>
  <c r="H179" i="82" s="1"/>
  <c r="H178" i="82"/>
  <c r="X178" i="82" s="1"/>
  <c r="H192" i="90" s="1"/>
  <c r="X192" i="90" s="1"/>
  <c r="H199" i="93" s="1"/>
  <c r="X199" i="93" s="1"/>
  <c r="H206" i="107" s="1"/>
  <c r="X206" i="107" s="1"/>
  <c r="H209" i="108" s="1"/>
  <c r="X209" i="108" s="1"/>
  <c r="H211" i="112" s="1"/>
  <c r="X211" i="112" s="1"/>
  <c r="H215" i="113" s="1"/>
  <c r="X215" i="113" s="1"/>
  <c r="H230" i="117" s="1"/>
  <c r="X230" i="117" s="1"/>
  <c r="H234" i="121" s="1"/>
  <c r="X234" i="121" s="1"/>
  <c r="H234" i="122" s="1"/>
  <c r="X234" i="122" s="1"/>
  <c r="X183" i="81"/>
  <c r="H188" i="82" s="1"/>
  <c r="H187" i="82"/>
  <c r="X187" i="82" s="1"/>
  <c r="H201" i="90" s="1"/>
  <c r="X201" i="90" s="1"/>
  <c r="H208" i="93" s="1"/>
  <c r="X208" i="93" s="1"/>
  <c r="H215" i="107" s="1"/>
  <c r="X215" i="107" s="1"/>
  <c r="H218" i="108" s="1"/>
  <c r="X218" i="108" s="1"/>
  <c r="H220" i="112" s="1"/>
  <c r="X220" i="112" s="1"/>
  <c r="H224" i="113" s="1"/>
  <c r="X224" i="113" s="1"/>
  <c r="H239" i="117" s="1"/>
  <c r="X239" i="117" s="1"/>
  <c r="H243" i="121" s="1"/>
  <c r="X243" i="121" s="1"/>
  <c r="H243" i="122" s="1"/>
  <c r="X243" i="122" s="1"/>
  <c r="X192" i="81"/>
  <c r="H203" i="82" s="1"/>
  <c r="H201" i="82"/>
  <c r="X201" i="82" s="1"/>
  <c r="H215" i="90" s="1"/>
  <c r="X215" i="90" s="1"/>
  <c r="H225" i="93" s="1"/>
  <c r="X225" i="93" s="1"/>
  <c r="H232" i="107" s="1"/>
  <c r="X232" i="107" s="1"/>
  <c r="H235" i="108" s="1"/>
  <c r="X235" i="108" s="1"/>
  <c r="H237" i="112" s="1"/>
  <c r="X237" i="112" s="1"/>
  <c r="H242" i="113" s="1"/>
  <c r="X242" i="113" s="1"/>
  <c r="H257" i="117" s="1"/>
  <c r="X257" i="117" s="1"/>
  <c r="H261" i="121" s="1"/>
  <c r="X261" i="121" s="1"/>
  <c r="H261" i="122" s="1"/>
  <c r="X261" i="122" s="1"/>
  <c r="W51" i="81"/>
  <c r="G51" i="82" s="1"/>
  <c r="G48" i="82"/>
  <c r="W48" i="82" s="1"/>
  <c r="U102" i="81"/>
  <c r="J102" i="82"/>
  <c r="Z102" i="82" s="1"/>
  <c r="J107" i="90" s="1"/>
  <c r="Z107" i="90" s="1"/>
  <c r="J107" i="93" s="1"/>
  <c r="Z107" i="93" s="1"/>
  <c r="J108" i="107" s="1"/>
  <c r="Z108" i="107" s="1"/>
  <c r="J109" i="108" s="1"/>
  <c r="Z109" i="108" s="1"/>
  <c r="J109" i="112" s="1"/>
  <c r="Z109" i="112" s="1"/>
  <c r="J109" i="113" s="1"/>
  <c r="Z109" i="113" s="1"/>
  <c r="J119" i="117" s="1"/>
  <c r="Z119" i="117" s="1"/>
  <c r="J117" i="121" s="1"/>
  <c r="Z117" i="121" s="1"/>
  <c r="J117" i="122" s="1"/>
  <c r="Z117" i="122" s="1"/>
  <c r="U117" i="81"/>
  <c r="V115" i="82"/>
  <c r="F123" i="90" s="1"/>
  <c r="V123" i="90" s="1"/>
  <c r="F123" i="93" s="1"/>
  <c r="V123" i="93" s="1"/>
  <c r="F124" i="107" s="1"/>
  <c r="V124" i="107" s="1"/>
  <c r="F125" i="108" s="1"/>
  <c r="V125" i="108" s="1"/>
  <c r="F125" i="112" s="1"/>
  <c r="V125" i="112" s="1"/>
  <c r="F127" i="113" s="1"/>
  <c r="V127" i="113" s="1"/>
  <c r="F138" i="117" s="1"/>
  <c r="V138" i="117" s="1"/>
  <c r="F136" i="121" s="1"/>
  <c r="V136" i="121" s="1"/>
  <c r="F136" i="122" s="1"/>
  <c r="V136" i="122" s="1"/>
  <c r="U145" i="81"/>
  <c r="V143" i="82"/>
  <c r="F152" i="90" s="1"/>
  <c r="V152" i="90" s="1"/>
  <c r="F152" i="93" s="1"/>
  <c r="V152" i="93" s="1"/>
  <c r="F158" i="107" s="1"/>
  <c r="V158" i="107" s="1"/>
  <c r="F160" i="108" s="1"/>
  <c r="V160" i="108" s="1"/>
  <c r="F162" i="112" s="1"/>
  <c r="V162" i="112" s="1"/>
  <c r="F166" i="113" s="1"/>
  <c r="V166" i="113" s="1"/>
  <c r="F178" i="117" s="1"/>
  <c r="V178" i="117" s="1"/>
  <c r="F176" i="121" s="1"/>
  <c r="V176" i="121" s="1"/>
  <c r="F176" i="122" s="1"/>
  <c r="V176" i="122" s="1"/>
  <c r="W47" i="81"/>
  <c r="G47" i="82" s="1"/>
  <c r="G44" i="82"/>
  <c r="W44" i="82" s="1"/>
  <c r="U55" i="81"/>
  <c r="V55" i="82"/>
  <c r="F60" i="90" s="1"/>
  <c r="V60" i="90" s="1"/>
  <c r="F60" i="93" s="1"/>
  <c r="V60" i="93" s="1"/>
  <c r="F61" i="107" s="1"/>
  <c r="V61" i="107" s="1"/>
  <c r="F62" i="108" s="1"/>
  <c r="V62" i="108" s="1"/>
  <c r="F62" i="112" s="1"/>
  <c r="V62" i="112" s="1"/>
  <c r="F62" i="113" s="1"/>
  <c r="V62" i="113" s="1"/>
  <c r="F72" i="117" s="1"/>
  <c r="V72" i="117" s="1"/>
  <c r="F73" i="121" s="1"/>
  <c r="V73" i="121" s="1"/>
  <c r="F73" i="122" s="1"/>
  <c r="V73" i="122" s="1"/>
  <c r="Z174" i="81"/>
  <c r="J179" i="82" s="1"/>
  <c r="J178" i="82"/>
  <c r="Z178" i="82" s="1"/>
  <c r="J192" i="90" s="1"/>
  <c r="Z192" i="90" s="1"/>
  <c r="J199" i="93" s="1"/>
  <c r="Z199" i="93" s="1"/>
  <c r="J206" i="107" s="1"/>
  <c r="Z206" i="107" s="1"/>
  <c r="J209" i="108" s="1"/>
  <c r="Z209" i="108" s="1"/>
  <c r="J211" i="112" s="1"/>
  <c r="Z211" i="112" s="1"/>
  <c r="J215" i="113" s="1"/>
  <c r="Z215" i="113" s="1"/>
  <c r="J230" i="117" s="1"/>
  <c r="Z230" i="117" s="1"/>
  <c r="J234" i="121" s="1"/>
  <c r="Z234" i="121" s="1"/>
  <c r="J234" i="122" s="1"/>
  <c r="Z234" i="122" s="1"/>
  <c r="U41" i="81"/>
  <c r="H41" i="82"/>
  <c r="X41" i="82" s="1"/>
  <c r="H46" i="90" s="1"/>
  <c r="X46" i="90" s="1"/>
  <c r="H46" i="93" s="1"/>
  <c r="X46" i="93" s="1"/>
  <c r="H47" i="107" s="1"/>
  <c r="X47" i="107" s="1"/>
  <c r="H47" i="108" s="1"/>
  <c r="U67" i="81"/>
  <c r="J67" i="82"/>
  <c r="Z67" i="82" s="1"/>
  <c r="J72" i="90" s="1"/>
  <c r="Z72" i="90" s="1"/>
  <c r="J72" i="93" s="1"/>
  <c r="Z72" i="93" s="1"/>
  <c r="J73" i="107" s="1"/>
  <c r="Z73" i="107" s="1"/>
  <c r="J74" i="108" s="1"/>
  <c r="Z74" i="108" s="1"/>
  <c r="J74" i="112" s="1"/>
  <c r="Z74" i="112" s="1"/>
  <c r="J74" i="113" s="1"/>
  <c r="Z74" i="113" s="1"/>
  <c r="J84" i="117" s="1"/>
  <c r="Z84" i="117" s="1"/>
  <c r="J83" i="121" s="1"/>
  <c r="Z83" i="121" s="1"/>
  <c r="J83" i="122" s="1"/>
  <c r="Z83" i="122" s="1"/>
  <c r="U149" i="81"/>
  <c r="V147" i="82"/>
  <c r="F156" i="90" s="1"/>
  <c r="V156" i="90" s="1"/>
  <c r="F156" i="93" s="1"/>
  <c r="V156" i="93" s="1"/>
  <c r="F162" i="107" s="1"/>
  <c r="V162" i="107" s="1"/>
  <c r="F164" i="108" s="1"/>
  <c r="V164" i="108" s="1"/>
  <c r="F166" i="112" s="1"/>
  <c r="V166" i="112" s="1"/>
  <c r="F170" i="113" s="1"/>
  <c r="V170" i="113" s="1"/>
  <c r="F182" i="117" s="1"/>
  <c r="V182" i="117" s="1"/>
  <c r="F180" i="121" s="1"/>
  <c r="V180" i="121" s="1"/>
  <c r="F180" i="122" s="1"/>
  <c r="V180" i="122" s="1"/>
  <c r="V172" i="81"/>
  <c r="V175" i="82"/>
  <c r="F189" i="90" s="1"/>
  <c r="V189" i="90" s="1"/>
  <c r="F196" i="93" s="1"/>
  <c r="V196" i="93" s="1"/>
  <c r="F203" i="107" s="1"/>
  <c r="V203" i="107" s="1"/>
  <c r="F206" i="108" s="1"/>
  <c r="V206" i="108" s="1"/>
  <c r="F208" i="112" s="1"/>
  <c r="V208" i="112" s="1"/>
  <c r="F212" i="113" s="1"/>
  <c r="V212" i="113" s="1"/>
  <c r="F227" i="117" s="1"/>
  <c r="V227" i="117" s="1"/>
  <c r="F231" i="121" s="1"/>
  <c r="V231" i="121" s="1"/>
  <c r="F231" i="122" s="1"/>
  <c r="V231" i="122" s="1"/>
  <c r="G32" i="81"/>
  <c r="W32" i="81" s="1"/>
  <c r="AB35" i="81"/>
  <c r="L35" i="82" s="1"/>
  <c r="AB35" i="82" s="1"/>
  <c r="L40" i="90" s="1"/>
  <c r="G47" i="81"/>
  <c r="E55" i="81"/>
  <c r="E63" i="81"/>
  <c r="E69" i="81"/>
  <c r="E70" i="81"/>
  <c r="AA81" i="81"/>
  <c r="K81" i="82" s="1"/>
  <c r="K74" i="82"/>
  <c r="AA74" i="82" s="1"/>
  <c r="K79" i="90" s="1"/>
  <c r="AA79" i="90" s="1"/>
  <c r="K79" i="93" s="1"/>
  <c r="AA79" i="93" s="1"/>
  <c r="K80" i="107" s="1"/>
  <c r="AA80" i="107" s="1"/>
  <c r="K81" i="108" s="1"/>
  <c r="AA81" i="108" s="1"/>
  <c r="K81" i="112" s="1"/>
  <c r="AA81" i="112" s="1"/>
  <c r="K81" i="113" s="1"/>
  <c r="AA81" i="113" s="1"/>
  <c r="K91" i="117" s="1"/>
  <c r="AA91" i="117" s="1"/>
  <c r="K89" i="121" s="1"/>
  <c r="K81" i="81"/>
  <c r="E96" i="81"/>
  <c r="V98" i="81"/>
  <c r="V98" i="82" s="1"/>
  <c r="F103" i="90" s="1"/>
  <c r="V103" i="90" s="1"/>
  <c r="F103" i="93" s="1"/>
  <c r="V103" i="93" s="1"/>
  <c r="F104" i="107" s="1"/>
  <c r="V104" i="107" s="1"/>
  <c r="F105" i="108" s="1"/>
  <c r="V105" i="108" s="1"/>
  <c r="F105" i="112" s="1"/>
  <c r="V105" i="112" s="1"/>
  <c r="F105" i="113" s="1"/>
  <c r="V105" i="113" s="1"/>
  <c r="F115" i="117" s="1"/>
  <c r="V115" i="117" s="1"/>
  <c r="F113" i="121" s="1"/>
  <c r="V113" i="121" s="1"/>
  <c r="F113" i="122" s="1"/>
  <c r="V113" i="122" s="1"/>
  <c r="E109" i="81"/>
  <c r="U110" i="81"/>
  <c r="J108" i="82"/>
  <c r="Z108" i="82" s="1"/>
  <c r="J113" i="90" s="1"/>
  <c r="Z113" i="90" s="1"/>
  <c r="J113" i="93" s="1"/>
  <c r="Z113" i="93" s="1"/>
  <c r="J114" i="107" s="1"/>
  <c r="Z114" i="107" s="1"/>
  <c r="J115" i="108" s="1"/>
  <c r="Z115" i="108" s="1"/>
  <c r="J115" i="112" s="1"/>
  <c r="Z115" i="112" s="1"/>
  <c r="J115" i="113" s="1"/>
  <c r="Z115" i="113" s="1"/>
  <c r="J125" i="117" s="1"/>
  <c r="Z125" i="117" s="1"/>
  <c r="J123" i="121" s="1"/>
  <c r="Z123" i="121" s="1"/>
  <c r="J123" i="122" s="1"/>
  <c r="Z123" i="122" s="1"/>
  <c r="E121" i="81"/>
  <c r="V123" i="81"/>
  <c r="E121" i="82" s="1"/>
  <c r="E139" i="81"/>
  <c r="G151" i="82"/>
  <c r="W151" i="82" s="1"/>
  <c r="G153" i="90" s="1"/>
  <c r="W153" i="90" s="1"/>
  <c r="G153" i="93" s="1"/>
  <c r="W153" i="93" s="1"/>
  <c r="G159" i="107" s="1"/>
  <c r="W159" i="107" s="1"/>
  <c r="G161" i="108" s="1"/>
  <c r="W161" i="108" s="1"/>
  <c r="G163" i="112" s="1"/>
  <c r="W163" i="112" s="1"/>
  <c r="G167" i="113" s="1"/>
  <c r="W167" i="113" s="1"/>
  <c r="G179" i="117" s="1"/>
  <c r="W179" i="117" s="1"/>
  <c r="G177" i="121" s="1"/>
  <c r="W177" i="121" s="1"/>
  <c r="G177" i="122" s="1"/>
  <c r="W177" i="122" s="1"/>
  <c r="G150" i="82"/>
  <c r="W150" i="82" s="1"/>
  <c r="G152" i="90" s="1"/>
  <c r="W152" i="90" s="1"/>
  <c r="G152" i="93" s="1"/>
  <c r="W152" i="93" s="1"/>
  <c r="G158" i="107" s="1"/>
  <c r="W158" i="107" s="1"/>
  <c r="G160" i="108" s="1"/>
  <c r="W160" i="108" s="1"/>
  <c r="G162" i="112" s="1"/>
  <c r="W162" i="112" s="1"/>
  <c r="G166" i="113" s="1"/>
  <c r="W166" i="113" s="1"/>
  <c r="G178" i="117" s="1"/>
  <c r="W178" i="117" s="1"/>
  <c r="G176" i="121" s="1"/>
  <c r="W176" i="121" s="1"/>
  <c r="G176" i="122" s="1"/>
  <c r="W176" i="122" s="1"/>
  <c r="AA164" i="81"/>
  <c r="K163" i="82" s="1"/>
  <c r="AA163" i="82" s="1"/>
  <c r="K174" i="90" s="1"/>
  <c r="AA174" i="90" s="1"/>
  <c r="AB172" i="81"/>
  <c r="L177" i="82" s="1"/>
  <c r="AA173" i="81"/>
  <c r="U173" i="81" s="1"/>
  <c r="U174" i="81" s="1"/>
  <c r="J174" i="81"/>
  <c r="AA176" i="81"/>
  <c r="K181" i="82" s="1"/>
  <c r="AA181" i="82" s="1"/>
  <c r="K195" i="90" s="1"/>
  <c r="AA195" i="90" s="1"/>
  <c r="K202" i="93" s="1"/>
  <c r="AA202" i="93" s="1"/>
  <c r="K209" i="107" s="1"/>
  <c r="AA209" i="107" s="1"/>
  <c r="K212" i="108" s="1"/>
  <c r="AA212" i="108" s="1"/>
  <c r="K214" i="112" s="1"/>
  <c r="AA214" i="112" s="1"/>
  <c r="K218" i="113" s="1"/>
  <c r="AA218" i="113" s="1"/>
  <c r="K233" i="117" s="1"/>
  <c r="AA233" i="117" s="1"/>
  <c r="K237" i="121" s="1"/>
  <c r="AA237" i="121" s="1"/>
  <c r="K237" i="122" s="1"/>
  <c r="AA237" i="122" s="1"/>
  <c r="W177" i="81"/>
  <c r="E182" i="81"/>
  <c r="E183" i="81" s="1"/>
  <c r="K190" i="82"/>
  <c r="AA190" i="82" s="1"/>
  <c r="K204" i="90" s="1"/>
  <c r="AA204" i="90" s="1"/>
  <c r="K189" i="82"/>
  <c r="AA189" i="82" s="1"/>
  <c r="K203" i="90" s="1"/>
  <c r="AA203" i="90" s="1"/>
  <c r="K210" i="93" s="1"/>
  <c r="AA210" i="93" s="1"/>
  <c r="K217" i="107" s="1"/>
  <c r="AA217" i="107" s="1"/>
  <c r="K220" i="108" s="1"/>
  <c r="AA220" i="108" s="1"/>
  <c r="K222" i="112" s="1"/>
  <c r="AA222" i="112" s="1"/>
  <c r="K226" i="113" s="1"/>
  <c r="AA226" i="113" s="1"/>
  <c r="K241" i="117" s="1"/>
  <c r="AA241" i="117" s="1"/>
  <c r="K245" i="121" s="1"/>
  <c r="Z198" i="81"/>
  <c r="V189" i="82"/>
  <c r="F203" i="90" s="1"/>
  <c r="V203" i="90" s="1"/>
  <c r="F210" i="93" s="1"/>
  <c r="V210" i="93" s="1"/>
  <c r="F217" i="107" s="1"/>
  <c r="V217" i="107" s="1"/>
  <c r="F220" i="108" s="1"/>
  <c r="V220" i="108" s="1"/>
  <c r="F222" i="112" s="1"/>
  <c r="V222" i="112" s="1"/>
  <c r="F226" i="113" s="1"/>
  <c r="V226" i="113" s="1"/>
  <c r="F241" i="117" s="1"/>
  <c r="V241" i="117" s="1"/>
  <c r="F245" i="121" s="1"/>
  <c r="V245" i="121" s="1"/>
  <c r="F245" i="122" s="1"/>
  <c r="V245" i="122" s="1"/>
  <c r="V138" i="82"/>
  <c r="V118" i="82"/>
  <c r="F126" i="90" s="1"/>
  <c r="V126" i="90" s="1"/>
  <c r="F126" i="93" s="1"/>
  <c r="V126" i="93" s="1"/>
  <c r="F127" i="107" s="1"/>
  <c r="V127" i="107" s="1"/>
  <c r="F128" i="108" s="1"/>
  <c r="V128" i="108" s="1"/>
  <c r="F128" i="112" s="1"/>
  <c r="V128" i="112" s="1"/>
  <c r="F130" i="113" s="1"/>
  <c r="V130" i="113" s="1"/>
  <c r="F141" i="117" s="1"/>
  <c r="V141" i="117" s="1"/>
  <c r="F139" i="121" s="1"/>
  <c r="V139" i="121" s="1"/>
  <c r="F139" i="122" s="1"/>
  <c r="V139" i="122" s="1"/>
  <c r="U28" i="81"/>
  <c r="J28" i="82"/>
  <c r="Z28" i="82" s="1"/>
  <c r="J31" i="90" s="1"/>
  <c r="Z31" i="90" s="1"/>
  <c r="J31" i="93" s="1"/>
  <c r="Z31" i="93" s="1"/>
  <c r="J32" i="107" s="1"/>
  <c r="Z32" i="107" s="1"/>
  <c r="J32" i="108" s="1"/>
  <c r="Z32" i="108" s="1"/>
  <c r="J32" i="112" s="1"/>
  <c r="Z32" i="112" s="1"/>
  <c r="J32" i="113" s="1"/>
  <c r="Z32" i="113" s="1"/>
  <c r="J36" i="117" s="1"/>
  <c r="Z36" i="117" s="1"/>
  <c r="J37" i="121" s="1"/>
  <c r="Z37" i="121" s="1"/>
  <c r="J37" i="122" s="1"/>
  <c r="Z37" i="122" s="1"/>
  <c r="E31" i="81"/>
  <c r="L32" i="81"/>
  <c r="AB32" i="81" s="1"/>
  <c r="L32" i="82" s="1"/>
  <c r="AB32" i="82" s="1"/>
  <c r="L35" i="90" s="1"/>
  <c r="AB35" i="90" s="1"/>
  <c r="L35" i="93" s="1"/>
  <c r="AB35" i="93" s="1"/>
  <c r="L36" i="107" s="1"/>
  <c r="AB36" i="107" s="1"/>
  <c r="L36" i="108" s="1"/>
  <c r="E45" i="81"/>
  <c r="E46" i="81"/>
  <c r="H47" i="81"/>
  <c r="W61" i="81"/>
  <c r="G61" i="82" s="1"/>
  <c r="W61" i="82" s="1"/>
  <c r="G63" i="90" s="1"/>
  <c r="W63" i="90" s="1"/>
  <c r="G63" i="93" s="1"/>
  <c r="W63" i="93" s="1"/>
  <c r="G64" i="107" s="1"/>
  <c r="W64" i="107" s="1"/>
  <c r="G65" i="108" s="1"/>
  <c r="W65" i="108" s="1"/>
  <c r="G65" i="112" s="1"/>
  <c r="W65" i="112" s="1"/>
  <c r="G65" i="113" s="1"/>
  <c r="W65" i="113" s="1"/>
  <c r="G75" i="117" s="1"/>
  <c r="W75" i="117" s="1"/>
  <c r="G76" i="121" s="1"/>
  <c r="W76" i="121" s="1"/>
  <c r="G76" i="122" s="1"/>
  <c r="W76" i="122" s="1"/>
  <c r="AA72" i="81"/>
  <c r="K65" i="82"/>
  <c r="AA65" i="82" s="1"/>
  <c r="K70" i="90" s="1"/>
  <c r="AA70" i="90" s="1"/>
  <c r="K70" i="93" s="1"/>
  <c r="AA70" i="93" s="1"/>
  <c r="K71" i="107" s="1"/>
  <c r="AA71" i="107" s="1"/>
  <c r="K72" i="108" s="1"/>
  <c r="Z68" i="81"/>
  <c r="J68" i="82" s="1"/>
  <c r="Z68" i="82" s="1"/>
  <c r="J73" i="90" s="1"/>
  <c r="Z73" i="90" s="1"/>
  <c r="J73" i="93" s="1"/>
  <c r="Z73" i="93" s="1"/>
  <c r="J74" i="107" s="1"/>
  <c r="Z74" i="107" s="1"/>
  <c r="J75" i="108" s="1"/>
  <c r="Z75" i="108" s="1"/>
  <c r="J75" i="112" s="1"/>
  <c r="Z75" i="112" s="1"/>
  <c r="J75" i="113" s="1"/>
  <c r="Z75" i="113" s="1"/>
  <c r="J85" i="117" s="1"/>
  <c r="Z85" i="117" s="1"/>
  <c r="E76" i="81"/>
  <c r="U77" i="81"/>
  <c r="J77" i="82"/>
  <c r="Z77" i="82" s="1"/>
  <c r="J82" i="90" s="1"/>
  <c r="Z82" i="90" s="1"/>
  <c r="J82" i="93" s="1"/>
  <c r="Z82" i="93" s="1"/>
  <c r="J83" i="107" s="1"/>
  <c r="Z83" i="107" s="1"/>
  <c r="J84" i="108" s="1"/>
  <c r="Z84" i="108" s="1"/>
  <c r="J84" i="112" s="1"/>
  <c r="Z84" i="112" s="1"/>
  <c r="J84" i="113" s="1"/>
  <c r="Z84" i="113" s="1"/>
  <c r="J94" i="117" s="1"/>
  <c r="Z94" i="117" s="1"/>
  <c r="J92" i="121" s="1"/>
  <c r="Z92" i="121" s="1"/>
  <c r="J92" i="122" s="1"/>
  <c r="Z92" i="122" s="1"/>
  <c r="E84" i="81"/>
  <c r="L134" i="81"/>
  <c r="U127" i="81"/>
  <c r="L143" i="81"/>
  <c r="E149" i="81"/>
  <c r="E151" i="81"/>
  <c r="AA155" i="81"/>
  <c r="G163" i="82"/>
  <c r="W163" i="82" s="1"/>
  <c r="G165" i="90" s="1"/>
  <c r="W165" i="90" s="1"/>
  <c r="G167" i="93" s="1"/>
  <c r="W167" i="93" s="1"/>
  <c r="G173" i="107" s="1"/>
  <c r="W173" i="107" s="1"/>
  <c r="G176" i="108" s="1"/>
  <c r="W176" i="108" s="1"/>
  <c r="G178" i="112" s="1"/>
  <c r="W178" i="112" s="1"/>
  <c r="G182" i="113" s="1"/>
  <c r="W182" i="113" s="1"/>
  <c r="G194" i="117" s="1"/>
  <c r="W194" i="117" s="1"/>
  <c r="G192" i="121" s="1"/>
  <c r="W192" i="121" s="1"/>
  <c r="G192" i="122" s="1"/>
  <c r="W192" i="122" s="1"/>
  <c r="E178" i="81"/>
  <c r="V180" i="81"/>
  <c r="V185" i="82" s="1"/>
  <c r="F199" i="90" s="1"/>
  <c r="V199" i="90" s="1"/>
  <c r="F206" i="93" s="1"/>
  <c r="V206" i="93" s="1"/>
  <c r="F213" i="107" s="1"/>
  <c r="V213" i="107" s="1"/>
  <c r="F216" i="108" s="1"/>
  <c r="V216" i="108" s="1"/>
  <c r="F218" i="112" s="1"/>
  <c r="V218" i="112" s="1"/>
  <c r="F222" i="113" s="1"/>
  <c r="V222" i="113" s="1"/>
  <c r="F237" i="117" s="1"/>
  <c r="V237" i="117" s="1"/>
  <c r="F241" i="121" s="1"/>
  <c r="V241" i="121" s="1"/>
  <c r="F241" i="122" s="1"/>
  <c r="V241" i="122" s="1"/>
  <c r="AB185" i="81"/>
  <c r="L190" i="82"/>
  <c r="L189" i="82"/>
  <c r="AB189" i="82" s="1"/>
  <c r="L203" i="90" s="1"/>
  <c r="AB203" i="90" s="1"/>
  <c r="L210" i="93" s="1"/>
  <c r="AB210" i="93" s="1"/>
  <c r="L217" i="107" s="1"/>
  <c r="AB217" i="107" s="1"/>
  <c r="L220" i="108" s="1"/>
  <c r="J185" i="81"/>
  <c r="AA185" i="81"/>
  <c r="AA188" i="81"/>
  <c r="K193" i="82"/>
  <c r="AA193" i="82" s="1"/>
  <c r="K207" i="90" s="1"/>
  <c r="AA207" i="90" s="1"/>
  <c r="K215" i="93" s="1"/>
  <c r="AA215" i="93" s="1"/>
  <c r="K222" i="107" s="1"/>
  <c r="AA222" i="107" s="1"/>
  <c r="K225" i="108" s="1"/>
  <c r="AA225" i="108" s="1"/>
  <c r="K227" i="112" s="1"/>
  <c r="AA227" i="112" s="1"/>
  <c r="K231" i="113" s="1"/>
  <c r="AA231" i="113" s="1"/>
  <c r="K246" i="117" s="1"/>
  <c r="AA246" i="117" s="1"/>
  <c r="K250" i="121" s="1"/>
  <c r="AA250" i="121" s="1"/>
  <c r="K250" i="122" s="1"/>
  <c r="AA250" i="122" s="1"/>
  <c r="E187" i="81"/>
  <c r="F188" i="81"/>
  <c r="E189" i="81"/>
  <c r="V162" i="82"/>
  <c r="F173" i="90" s="1"/>
  <c r="V173" i="90" s="1"/>
  <c r="F175" i="93" s="1"/>
  <c r="V175" i="93" s="1"/>
  <c r="F182" i="107" s="1"/>
  <c r="V182" i="107" s="1"/>
  <c r="F185" i="108" s="1"/>
  <c r="V185" i="108" s="1"/>
  <c r="F187" i="112" s="1"/>
  <c r="V187" i="112" s="1"/>
  <c r="F191" i="113" s="1"/>
  <c r="V191" i="113" s="1"/>
  <c r="F203" i="117" s="1"/>
  <c r="V203" i="117" s="1"/>
  <c r="F201" i="121" s="1"/>
  <c r="V201" i="121" s="1"/>
  <c r="F201" i="122" s="1"/>
  <c r="V201" i="122" s="1"/>
  <c r="V125" i="82"/>
  <c r="F133" i="90" s="1"/>
  <c r="V133" i="90" s="1"/>
  <c r="F133" i="93" s="1"/>
  <c r="V133" i="93" s="1"/>
  <c r="F134" i="107" s="1"/>
  <c r="V134" i="107" s="1"/>
  <c r="F135" i="108" s="1"/>
  <c r="V135" i="108" s="1"/>
  <c r="F135" i="112" s="1"/>
  <c r="V135" i="112" s="1"/>
  <c r="F137" i="113" s="1"/>
  <c r="V137" i="113" s="1"/>
  <c r="F148" i="117" s="1"/>
  <c r="V148" i="117" s="1"/>
  <c r="F146" i="121" s="1"/>
  <c r="V146" i="121" s="1"/>
  <c r="F146" i="122" s="1"/>
  <c r="V146" i="122" s="1"/>
  <c r="X15" i="81"/>
  <c r="AA31" i="81"/>
  <c r="K31" i="82" s="1"/>
  <c r="AA31" i="82" s="1"/>
  <c r="K34" i="90" s="1"/>
  <c r="AA34" i="90" s="1"/>
  <c r="K34" i="93" s="1"/>
  <c r="AA34" i="93" s="1"/>
  <c r="K35" i="107" s="1"/>
  <c r="AA35" i="107" s="1"/>
  <c r="K35" i="108" s="1"/>
  <c r="Z36" i="81"/>
  <c r="J36" i="82" s="1"/>
  <c r="Z36" i="82" s="1"/>
  <c r="J41" i="90" s="1"/>
  <c r="Z41" i="90" s="1"/>
  <c r="J41" i="93" s="1"/>
  <c r="Z41" i="93" s="1"/>
  <c r="J42" i="107" s="1"/>
  <c r="Z42" i="107" s="1"/>
  <c r="J42" i="108" s="1"/>
  <c r="Z42" i="108" s="1"/>
  <c r="J42" i="112" s="1"/>
  <c r="Z42" i="112" s="1"/>
  <c r="J42" i="113" s="1"/>
  <c r="Z42" i="113" s="1"/>
  <c r="J48" i="117" s="1"/>
  <c r="Z48" i="117" s="1"/>
  <c r="J49" i="121" s="1"/>
  <c r="Z49" i="121" s="1"/>
  <c r="J49" i="122" s="1"/>
  <c r="Z49" i="122" s="1"/>
  <c r="E38" i="81"/>
  <c r="E40" i="81"/>
  <c r="E41" i="81"/>
  <c r="G51" i="81"/>
  <c r="F62" i="81"/>
  <c r="L62" i="81"/>
  <c r="E64" i="81"/>
  <c r="Z64" i="81"/>
  <c r="J64" i="82" s="1"/>
  <c r="Z64" i="82" s="1"/>
  <c r="J69" i="90" s="1"/>
  <c r="Z69" i="90" s="1"/>
  <c r="J69" i="93" s="1"/>
  <c r="Z69" i="93" s="1"/>
  <c r="J70" i="107" s="1"/>
  <c r="Z70" i="107" s="1"/>
  <c r="J71" i="108" s="1"/>
  <c r="Z71" i="108" s="1"/>
  <c r="J71" i="112" s="1"/>
  <c r="Z71" i="112" s="1"/>
  <c r="J71" i="113" s="1"/>
  <c r="Z71" i="113" s="1"/>
  <c r="J81" i="117" s="1"/>
  <c r="Z81" i="117" s="1"/>
  <c r="U79" i="81"/>
  <c r="V79" i="82"/>
  <c r="F84" i="90" s="1"/>
  <c r="V84" i="90" s="1"/>
  <c r="F84" i="93" s="1"/>
  <c r="V84" i="93" s="1"/>
  <c r="F85" i="107" s="1"/>
  <c r="V85" i="107" s="1"/>
  <c r="F86" i="108" s="1"/>
  <c r="V86" i="108" s="1"/>
  <c r="F86" i="112" s="1"/>
  <c r="V86" i="112" s="1"/>
  <c r="F86" i="113" s="1"/>
  <c r="V86" i="113" s="1"/>
  <c r="F96" i="117" s="1"/>
  <c r="V96" i="117" s="1"/>
  <c r="F94" i="121" s="1"/>
  <c r="V94" i="121" s="1"/>
  <c r="F94" i="122" s="1"/>
  <c r="V94" i="122" s="1"/>
  <c r="E94" i="81"/>
  <c r="Z108" i="81"/>
  <c r="U108" i="81" s="1"/>
  <c r="E131" i="81"/>
  <c r="E133" i="81"/>
  <c r="U141" i="81"/>
  <c r="K151" i="82"/>
  <c r="AA151" i="82" s="1"/>
  <c r="K160" i="90" s="1"/>
  <c r="AA160" i="90" s="1"/>
  <c r="K160" i="93" s="1"/>
  <c r="AA160" i="93" s="1"/>
  <c r="K166" i="107" s="1"/>
  <c r="AA166" i="107" s="1"/>
  <c r="K168" i="108" s="1"/>
  <c r="AA168" i="108" s="1"/>
  <c r="K170" i="112" s="1"/>
  <c r="AA170" i="112" s="1"/>
  <c r="K174" i="113" s="1"/>
  <c r="AA174" i="113" s="1"/>
  <c r="K186" i="117" s="1"/>
  <c r="AA186" i="117" s="1"/>
  <c r="K184" i="121" s="1"/>
  <c r="AA184" i="121" s="1"/>
  <c r="K184" i="122" s="1"/>
  <c r="AA184" i="122" s="1"/>
  <c r="K150" i="82"/>
  <c r="AA150" i="82" s="1"/>
  <c r="K159" i="90" s="1"/>
  <c r="AA159" i="90" s="1"/>
  <c r="K159" i="93" s="1"/>
  <c r="AA159" i="93" s="1"/>
  <c r="K165" i="107" s="1"/>
  <c r="AA165" i="107" s="1"/>
  <c r="K167" i="108" s="1"/>
  <c r="AA167" i="108" s="1"/>
  <c r="K169" i="112" s="1"/>
  <c r="AA169" i="112" s="1"/>
  <c r="K173" i="113" s="1"/>
  <c r="AA173" i="113" s="1"/>
  <c r="K185" i="117" s="1"/>
  <c r="AA185" i="117" s="1"/>
  <c r="K183" i="121" s="1"/>
  <c r="AA183" i="121" s="1"/>
  <c r="K183" i="122" s="1"/>
  <c r="AA183" i="122" s="1"/>
  <c r="F165" i="81"/>
  <c r="W174" i="81"/>
  <c r="G179" i="82" s="1"/>
  <c r="Z177" i="81"/>
  <c r="J182" i="82" s="1"/>
  <c r="Z182" i="82" s="1"/>
  <c r="J196" i="90" s="1"/>
  <c r="Z196" i="90" s="1"/>
  <c r="J203" i="93" s="1"/>
  <c r="Z203" i="93" s="1"/>
  <c r="J210" i="107" s="1"/>
  <c r="Z210" i="107" s="1"/>
  <c r="J213" i="108" s="1"/>
  <c r="Z213" i="108" s="1"/>
  <c r="J215" i="112" s="1"/>
  <c r="Z215" i="112" s="1"/>
  <c r="J219" i="113" s="1"/>
  <c r="Z219" i="113" s="1"/>
  <c r="J234" i="117" s="1"/>
  <c r="Z234" i="117" s="1"/>
  <c r="J238" i="121" s="1"/>
  <c r="Z238" i="121" s="1"/>
  <c r="J238" i="122" s="1"/>
  <c r="Z238" i="122" s="1"/>
  <c r="X180" i="81"/>
  <c r="F183" i="81"/>
  <c r="K188" i="81"/>
  <c r="AB188" i="81"/>
  <c r="Z189" i="81"/>
  <c r="J199" i="82" s="1"/>
  <c r="Z199" i="82" s="1"/>
  <c r="J213" i="90" s="1"/>
  <c r="Z213" i="90" s="1"/>
  <c r="J223" i="93" s="1"/>
  <c r="Z223" i="93" s="1"/>
  <c r="J230" i="107" s="1"/>
  <c r="Z230" i="107" s="1"/>
  <c r="J233" i="108" s="1"/>
  <c r="Z233" i="108" s="1"/>
  <c r="J235" i="112" s="1"/>
  <c r="Z235" i="112" s="1"/>
  <c r="J240" i="113" s="1"/>
  <c r="Z240" i="113" s="1"/>
  <c r="J255" i="117" s="1"/>
  <c r="Z255" i="117" s="1"/>
  <c r="J259" i="121" s="1"/>
  <c r="Z259" i="121" s="1"/>
  <c r="J259" i="122" s="1"/>
  <c r="Z259" i="122" s="1"/>
  <c r="W198" i="81"/>
  <c r="E29" i="81"/>
  <c r="U38" i="81"/>
  <c r="E49" i="81"/>
  <c r="E50" i="81"/>
  <c r="H51" i="81"/>
  <c r="G62" i="81"/>
  <c r="E57" i="81"/>
  <c r="E67" i="81"/>
  <c r="W74" i="81"/>
  <c r="G74" i="82" s="1"/>
  <c r="W74" i="82" s="1"/>
  <c r="G76" i="90" s="1"/>
  <c r="W76" i="90" s="1"/>
  <c r="G76" i="93" s="1"/>
  <c r="W76" i="93" s="1"/>
  <c r="G77" i="107" s="1"/>
  <c r="W77" i="107" s="1"/>
  <c r="G78" i="108" s="1"/>
  <c r="W78" i="108" s="1"/>
  <c r="G78" i="112" s="1"/>
  <c r="W78" i="112" s="1"/>
  <c r="G78" i="113" s="1"/>
  <c r="W78" i="113" s="1"/>
  <c r="G88" i="117" s="1"/>
  <c r="W88" i="117" s="1"/>
  <c r="G86" i="121" s="1"/>
  <c r="W86" i="121" s="1"/>
  <c r="G86" i="122" s="1"/>
  <c r="W86" i="122" s="1"/>
  <c r="U75" i="81"/>
  <c r="J75" i="82"/>
  <c r="Z75" i="82" s="1"/>
  <c r="J80" i="90" s="1"/>
  <c r="Z80" i="90" s="1"/>
  <c r="J80" i="93" s="1"/>
  <c r="Z80" i="93" s="1"/>
  <c r="J81" i="107" s="1"/>
  <c r="Z81" i="107" s="1"/>
  <c r="J82" i="108" s="1"/>
  <c r="Z82" i="108" s="1"/>
  <c r="J82" i="112" s="1"/>
  <c r="Z82" i="112" s="1"/>
  <c r="J82" i="113" s="1"/>
  <c r="Z82" i="113" s="1"/>
  <c r="J92" i="117" s="1"/>
  <c r="Z92" i="117" s="1"/>
  <c r="J90" i="121" s="1"/>
  <c r="Z90" i="121" s="1"/>
  <c r="J90" i="122" s="1"/>
  <c r="Z90" i="122" s="1"/>
  <c r="E102" i="81"/>
  <c r="U105" i="81"/>
  <c r="J104" i="82"/>
  <c r="Z104" i="82" s="1"/>
  <c r="J109" i="90" s="1"/>
  <c r="Z109" i="90" s="1"/>
  <c r="J109" i="93" s="1"/>
  <c r="Z109" i="93" s="1"/>
  <c r="J110" i="107" s="1"/>
  <c r="Z110" i="107" s="1"/>
  <c r="J111" i="108" s="1"/>
  <c r="Z111" i="108" s="1"/>
  <c r="J111" i="112" s="1"/>
  <c r="Z111" i="112" s="1"/>
  <c r="J111" i="113" s="1"/>
  <c r="Z111" i="113" s="1"/>
  <c r="J121" i="117" s="1"/>
  <c r="Z121" i="117" s="1"/>
  <c r="J119" i="121" s="1"/>
  <c r="Z119" i="121" s="1"/>
  <c r="J119" i="122" s="1"/>
  <c r="Z119" i="122" s="1"/>
  <c r="E119" i="81"/>
  <c r="E127" i="81"/>
  <c r="U129" i="81"/>
  <c r="J127" i="82"/>
  <c r="Z127" i="82" s="1"/>
  <c r="J135" i="90" s="1"/>
  <c r="Z135" i="90" s="1"/>
  <c r="J135" i="93" s="1"/>
  <c r="Z135" i="93" s="1"/>
  <c r="J136" i="107" s="1"/>
  <c r="Z136" i="107" s="1"/>
  <c r="J137" i="108" s="1"/>
  <c r="Z137" i="108" s="1"/>
  <c r="J137" i="112" s="1"/>
  <c r="Z137" i="112" s="1"/>
  <c r="J139" i="113" s="1"/>
  <c r="Z139" i="113" s="1"/>
  <c r="J150" i="117" s="1"/>
  <c r="Z150" i="117" s="1"/>
  <c r="J148" i="121" s="1"/>
  <c r="Z148" i="121" s="1"/>
  <c r="J148" i="122" s="1"/>
  <c r="Z148" i="122" s="1"/>
  <c r="U130" i="81"/>
  <c r="H128" i="82"/>
  <c r="X128" i="82" s="1"/>
  <c r="H136" i="90" s="1"/>
  <c r="X136" i="90" s="1"/>
  <c r="H136" i="93" s="1"/>
  <c r="X136" i="93" s="1"/>
  <c r="H137" i="107" s="1"/>
  <c r="X137" i="107" s="1"/>
  <c r="H138" i="108" s="1"/>
  <c r="Z131" i="81"/>
  <c r="J129" i="82" s="1"/>
  <c r="Z129" i="82" s="1"/>
  <c r="J137" i="90" s="1"/>
  <c r="Z137" i="90" s="1"/>
  <c r="J137" i="93" s="1"/>
  <c r="Z137" i="93" s="1"/>
  <c r="J138" i="107" s="1"/>
  <c r="Z138" i="107" s="1"/>
  <c r="J139" i="108" s="1"/>
  <c r="Z139" i="108" s="1"/>
  <c r="J139" i="112" s="1"/>
  <c r="Z139" i="112" s="1"/>
  <c r="J141" i="113" s="1"/>
  <c r="Z141" i="113" s="1"/>
  <c r="J152" i="117" s="1"/>
  <c r="Z152" i="117" s="1"/>
  <c r="J150" i="121" s="1"/>
  <c r="Z150" i="121" s="1"/>
  <c r="J150" i="122" s="1"/>
  <c r="Z150" i="122" s="1"/>
  <c r="AA154" i="81"/>
  <c r="K153" i="82" s="1"/>
  <c r="K142" i="82"/>
  <c r="AA142" i="82" s="1"/>
  <c r="K151" i="90" s="1"/>
  <c r="AA151" i="90" s="1"/>
  <c r="K151" i="93" s="1"/>
  <c r="AA151" i="93" s="1"/>
  <c r="K157" i="107" s="1"/>
  <c r="AA157" i="107" s="1"/>
  <c r="K159" i="108" s="1"/>
  <c r="AA159" i="108" s="1"/>
  <c r="K161" i="112" s="1"/>
  <c r="AA161" i="112" s="1"/>
  <c r="K165" i="113" s="1"/>
  <c r="AA165" i="113" s="1"/>
  <c r="K177" i="117" s="1"/>
  <c r="AA177" i="117" s="1"/>
  <c r="K175" i="121" s="1"/>
  <c r="AA175" i="121" s="1"/>
  <c r="K175" i="122" s="1"/>
  <c r="AA175" i="122" s="1"/>
  <c r="L151" i="82"/>
  <c r="L150" i="82"/>
  <c r="AB150" i="82" s="1"/>
  <c r="L159" i="90" s="1"/>
  <c r="AB159" i="90" s="1"/>
  <c r="L159" i="93" s="1"/>
  <c r="AB159" i="93" s="1"/>
  <c r="L165" i="107" s="1"/>
  <c r="AB165" i="107" s="1"/>
  <c r="L167" i="108" s="1"/>
  <c r="F161" i="81"/>
  <c r="W165" i="81"/>
  <c r="G164" i="82" s="1"/>
  <c r="G162" i="82"/>
  <c r="W162" i="82" s="1"/>
  <c r="G164" i="90" s="1"/>
  <c r="W164" i="90" s="1"/>
  <c r="G166" i="93" s="1"/>
  <c r="W166" i="93" s="1"/>
  <c r="G172" i="107" s="1"/>
  <c r="W172" i="107" s="1"/>
  <c r="Z166" i="81"/>
  <c r="Z170" i="81"/>
  <c r="J175" i="82" s="1"/>
  <c r="Z175" i="82" s="1"/>
  <c r="J189" i="90" s="1"/>
  <c r="Z189" i="90" s="1"/>
  <c r="J196" i="93" s="1"/>
  <c r="Z196" i="93" s="1"/>
  <c r="J203" i="107" s="1"/>
  <c r="Z203" i="107" s="1"/>
  <c r="J206" i="108" s="1"/>
  <c r="Z206" i="108" s="1"/>
  <c r="J208" i="112" s="1"/>
  <c r="Z208" i="112" s="1"/>
  <c r="J212" i="113" s="1"/>
  <c r="Z212" i="113" s="1"/>
  <c r="J227" i="117" s="1"/>
  <c r="Z227" i="117" s="1"/>
  <c r="J231" i="121" s="1"/>
  <c r="Z231" i="121" s="1"/>
  <c r="J231" i="122" s="1"/>
  <c r="Z231" i="122" s="1"/>
  <c r="Z176" i="81"/>
  <c r="J181" i="82" s="1"/>
  <c r="Z181" i="82" s="1"/>
  <c r="J195" i="90" s="1"/>
  <c r="Z195" i="90" s="1"/>
  <c r="J202" i="93" s="1"/>
  <c r="Z202" i="93" s="1"/>
  <c r="J209" i="107" s="1"/>
  <c r="Z209" i="107" s="1"/>
  <c r="J212" i="108" s="1"/>
  <c r="Z212" i="108" s="1"/>
  <c r="J214" i="112" s="1"/>
  <c r="Z214" i="112" s="1"/>
  <c r="J218" i="113" s="1"/>
  <c r="Z218" i="113" s="1"/>
  <c r="J233" i="117" s="1"/>
  <c r="Z233" i="117" s="1"/>
  <c r="J237" i="121" s="1"/>
  <c r="Z237" i="121" s="1"/>
  <c r="J237" i="122" s="1"/>
  <c r="Z237" i="122" s="1"/>
  <c r="U178" i="81"/>
  <c r="J183" i="82"/>
  <c r="Z183" i="82" s="1"/>
  <c r="J197" i="90" s="1"/>
  <c r="Z197" i="90" s="1"/>
  <c r="J204" i="93" s="1"/>
  <c r="Z204" i="93" s="1"/>
  <c r="J211" i="107" s="1"/>
  <c r="Z211" i="107" s="1"/>
  <c r="J214" i="108" s="1"/>
  <c r="Z214" i="108" s="1"/>
  <c r="J216" i="112" s="1"/>
  <c r="Z216" i="112" s="1"/>
  <c r="J220" i="113" s="1"/>
  <c r="Z220" i="113" s="1"/>
  <c r="J235" i="117" s="1"/>
  <c r="Z235" i="117" s="1"/>
  <c r="J239" i="121" s="1"/>
  <c r="Z239" i="121" s="1"/>
  <c r="J239" i="122" s="1"/>
  <c r="Z239" i="122" s="1"/>
  <c r="AA180" i="81"/>
  <c r="W183" i="81"/>
  <c r="G188" i="82" s="1"/>
  <c r="G187" i="82"/>
  <c r="W187" i="82" s="1"/>
  <c r="G191" i="90" s="1"/>
  <c r="W191" i="90" s="1"/>
  <c r="G198" i="93" s="1"/>
  <c r="W198" i="93" s="1"/>
  <c r="G205" i="107" s="1"/>
  <c r="W205" i="107" s="1"/>
  <c r="G208" i="108" s="1"/>
  <c r="W208" i="108" s="1"/>
  <c r="G210" i="112" s="1"/>
  <c r="W210" i="112" s="1"/>
  <c r="G214" i="113" s="1"/>
  <c r="W214" i="113" s="1"/>
  <c r="G229" i="117" s="1"/>
  <c r="W229" i="117" s="1"/>
  <c r="G233" i="121" s="1"/>
  <c r="W233" i="121" s="1"/>
  <c r="G233" i="122" s="1"/>
  <c r="W233" i="122" s="1"/>
  <c r="Z185" i="81"/>
  <c r="J190" i="82"/>
  <c r="Z190" i="82" s="1"/>
  <c r="J204" i="90" s="1"/>
  <c r="Z204" i="90" s="1"/>
  <c r="J189" i="82"/>
  <c r="Z189" i="82" s="1"/>
  <c r="J203" i="90" s="1"/>
  <c r="Z203" i="90" s="1"/>
  <c r="J210" i="93" s="1"/>
  <c r="Z210" i="93" s="1"/>
  <c r="J217" i="107" s="1"/>
  <c r="Z217" i="107" s="1"/>
  <c r="J220" i="108" s="1"/>
  <c r="Z220" i="108" s="1"/>
  <c r="J222" i="112" s="1"/>
  <c r="Z222" i="112" s="1"/>
  <c r="J226" i="113" s="1"/>
  <c r="Z226" i="113" s="1"/>
  <c r="J241" i="117" s="1"/>
  <c r="Z241" i="117" s="1"/>
  <c r="J245" i="121" s="1"/>
  <c r="Z245" i="121" s="1"/>
  <c r="J245" i="122" s="1"/>
  <c r="Z245" i="122" s="1"/>
  <c r="E198" i="81"/>
  <c r="X198" i="81"/>
  <c r="V139" i="82"/>
  <c r="F148" i="90" s="1"/>
  <c r="V148" i="90" s="1"/>
  <c r="F148" i="93" s="1"/>
  <c r="V148" i="93" s="1"/>
  <c r="F153" i="107" s="1"/>
  <c r="V153" i="107" s="1"/>
  <c r="F155" i="108" s="1"/>
  <c r="V155" i="108" s="1"/>
  <c r="F157" i="112" s="1"/>
  <c r="V157" i="112" s="1"/>
  <c r="F161" i="113" s="1"/>
  <c r="V161" i="113" s="1"/>
  <c r="F172" i="117" s="1"/>
  <c r="V172" i="117" s="1"/>
  <c r="F170" i="121" s="1"/>
  <c r="V170" i="121" s="1"/>
  <c r="F170" i="122" s="1"/>
  <c r="V170" i="122" s="1"/>
  <c r="AA165" i="82"/>
  <c r="K176" i="90" s="1"/>
  <c r="AA176" i="90" s="1"/>
  <c r="K178" i="93" s="1"/>
  <c r="AA178" i="93" s="1"/>
  <c r="K185" i="107" s="1"/>
  <c r="AA185" i="107" s="1"/>
  <c r="K188" i="108" s="1"/>
  <c r="AA188" i="108" s="1"/>
  <c r="K190" i="112" s="1"/>
  <c r="AA190" i="112" s="1"/>
  <c r="K194" i="113" s="1"/>
  <c r="AA194" i="113" s="1"/>
  <c r="K206" i="117" s="1"/>
  <c r="AA206" i="117" s="1"/>
  <c r="K204" i="121" s="1"/>
  <c r="AA204" i="121" s="1"/>
  <c r="K204" i="122" s="1"/>
  <c r="AA204" i="122" s="1"/>
  <c r="K169" i="82"/>
  <c r="M153" i="82"/>
  <c r="M188" i="82"/>
  <c r="X12" i="82"/>
  <c r="H12" i="90" s="1"/>
  <c r="X12" i="90" s="1"/>
  <c r="H12" i="93" s="1"/>
  <c r="X12" i="93" s="1"/>
  <c r="H12" i="107" s="1"/>
  <c r="X12" i="107" s="1"/>
  <c r="H12" i="108" s="1"/>
  <c r="X12" i="108" s="1"/>
  <c r="M204" i="82"/>
  <c r="M206" i="82"/>
  <c r="AA12" i="82"/>
  <c r="K12" i="90" s="1"/>
  <c r="AA12" i="90" s="1"/>
  <c r="K12" i="93" s="1"/>
  <c r="AA12" i="93" s="1"/>
  <c r="K12" i="107" s="1"/>
  <c r="AA12" i="107" s="1"/>
  <c r="K12" i="108" s="1"/>
  <c r="AA12" i="108" s="1"/>
  <c r="K12" i="112" s="1"/>
  <c r="AA12" i="112" s="1"/>
  <c r="K12" i="113" s="1"/>
  <c r="AA12" i="113" s="1"/>
  <c r="K12" i="117" s="1"/>
  <c r="AA12" i="117" s="1"/>
  <c r="K12" i="121" s="1"/>
  <c r="AA12" i="121" s="1"/>
  <c r="K12" i="122" s="1"/>
  <c r="AA12" i="122" s="1"/>
  <c r="K26" i="82"/>
  <c r="AB12" i="82"/>
  <c r="L12" i="90" s="1"/>
  <c r="AB12" i="90" s="1"/>
  <c r="L12" i="93" s="1"/>
  <c r="L26" i="82"/>
  <c r="W12" i="82"/>
  <c r="G12" i="90" s="1"/>
  <c r="G26" i="82"/>
  <c r="M81" i="82"/>
  <c r="M179" i="82"/>
  <c r="M181" i="82"/>
  <c r="M35" i="82"/>
  <c r="M47" i="82"/>
  <c r="M89" i="82"/>
  <c r="M177" i="82"/>
  <c r="M184" i="82"/>
  <c r="Y207" i="82"/>
  <c r="Y211" i="82" s="1"/>
  <c r="N210" i="82"/>
  <c r="M210" i="82" s="1"/>
  <c r="M209" i="82"/>
  <c r="M51" i="82"/>
  <c r="M132" i="82"/>
  <c r="N73" i="82"/>
  <c r="M73" i="82" s="1"/>
  <c r="M72" i="82"/>
  <c r="M112" i="82"/>
  <c r="M141" i="82"/>
  <c r="M160" i="82"/>
  <c r="M164" i="82"/>
  <c r="M186" i="82"/>
  <c r="AB209" i="82"/>
  <c r="V193" i="82"/>
  <c r="F207" i="90" s="1"/>
  <c r="V207" i="90" s="1"/>
  <c r="F215" i="93" s="1"/>
  <c r="V215" i="93" s="1"/>
  <c r="F222" i="107" s="1"/>
  <c r="V222" i="107" s="1"/>
  <c r="F225" i="108" s="1"/>
  <c r="V225" i="108" s="1"/>
  <c r="F227" i="112" s="1"/>
  <c r="V227" i="112" s="1"/>
  <c r="F231" i="113" s="1"/>
  <c r="V231" i="113" s="1"/>
  <c r="F246" i="117" s="1"/>
  <c r="V246" i="117" s="1"/>
  <c r="F250" i="121" s="1"/>
  <c r="V250" i="121" s="1"/>
  <c r="F250" i="122" s="1"/>
  <c r="V250" i="122" s="1"/>
  <c r="L198" i="82"/>
  <c r="V181" i="82"/>
  <c r="F195" i="90" s="1"/>
  <c r="V195" i="90" s="1"/>
  <c r="F202" i="93" s="1"/>
  <c r="V202" i="93" s="1"/>
  <c r="F209" i="107" s="1"/>
  <c r="V209" i="107" s="1"/>
  <c r="F212" i="108" s="1"/>
  <c r="V212" i="108" s="1"/>
  <c r="F214" i="112" s="1"/>
  <c r="V214" i="112" s="1"/>
  <c r="F218" i="113" s="1"/>
  <c r="V218" i="113" s="1"/>
  <c r="F233" i="117" s="1"/>
  <c r="V233" i="117" s="1"/>
  <c r="F237" i="121" s="1"/>
  <c r="V237" i="121" s="1"/>
  <c r="F237" i="122" s="1"/>
  <c r="V237" i="122" s="1"/>
  <c r="V165" i="82"/>
  <c r="F176" i="90" s="1"/>
  <c r="V176" i="90" s="1"/>
  <c r="F178" i="93" s="1"/>
  <c r="V178" i="93" s="1"/>
  <c r="F185" i="107" s="1"/>
  <c r="V185" i="107" s="1"/>
  <c r="F188" i="108" s="1"/>
  <c r="V188" i="108" s="1"/>
  <c r="F190" i="112" s="1"/>
  <c r="V190" i="112" s="1"/>
  <c r="F194" i="113" s="1"/>
  <c r="V194" i="113" s="1"/>
  <c r="F206" i="117" s="1"/>
  <c r="V206" i="117" s="1"/>
  <c r="F204" i="121" s="1"/>
  <c r="V204" i="121" s="1"/>
  <c r="F204" i="122" s="1"/>
  <c r="V204" i="122" s="1"/>
  <c r="T134" i="82"/>
  <c r="O134" i="82"/>
  <c r="E167" i="82"/>
  <c r="O52" i="82"/>
  <c r="P52" i="82"/>
  <c r="R52" i="82"/>
  <c r="O90" i="82"/>
  <c r="T90" i="82"/>
  <c r="O161" i="82"/>
  <c r="E13" i="82"/>
  <c r="Z43" i="82"/>
  <c r="J48" i="90" s="1"/>
  <c r="Z48" i="90" s="1"/>
  <c r="J48" i="93" s="1"/>
  <c r="Z48" i="93" s="1"/>
  <c r="J49" i="107" s="1"/>
  <c r="Z49" i="107" s="1"/>
  <c r="J50" i="108" s="1"/>
  <c r="Z50" i="108" s="1"/>
  <c r="J50" i="112" s="1"/>
  <c r="Z50" i="112" s="1"/>
  <c r="J50" i="113" s="1"/>
  <c r="Z50" i="113" s="1"/>
  <c r="J60" i="117" s="1"/>
  <c r="Z60" i="117" s="1"/>
  <c r="J61" i="121" s="1"/>
  <c r="Z61" i="121" s="1"/>
  <c r="J61" i="122" s="1"/>
  <c r="Z61" i="122" s="1"/>
  <c r="T52" i="82"/>
  <c r="V206" i="82"/>
  <c r="F220" i="90" s="1"/>
  <c r="V220" i="90" s="1"/>
  <c r="F230" i="93" s="1"/>
  <c r="V230" i="93" s="1"/>
  <c r="F237" i="107" s="1"/>
  <c r="V237" i="107" s="1"/>
  <c r="F240" i="108" s="1"/>
  <c r="V240" i="108" s="1"/>
  <c r="F242" i="112" s="1"/>
  <c r="E20" i="82"/>
  <c r="L20" i="90"/>
  <c r="AB20" i="90" s="1"/>
  <c r="L20" i="93" s="1"/>
  <c r="E25" i="82"/>
  <c r="E17" i="82"/>
  <c r="E14" i="82"/>
  <c r="T37" i="82"/>
  <c r="P90" i="82"/>
  <c r="E11" i="82"/>
  <c r="E12" i="82"/>
  <c r="N90" i="82"/>
  <c r="S90" i="82"/>
  <c r="R134" i="82"/>
  <c r="U18" i="82"/>
  <c r="AB61" i="82"/>
  <c r="L66" i="90" s="1"/>
  <c r="AB66" i="90" s="1"/>
  <c r="L66" i="93" s="1"/>
  <c r="AB66" i="93" s="1"/>
  <c r="L67" i="107" s="1"/>
  <c r="AB67" i="107" s="1"/>
  <c r="L68" i="108" s="1"/>
  <c r="AB68" i="108" s="1"/>
  <c r="L68" i="112" s="1"/>
  <c r="AB68" i="112" s="1"/>
  <c r="L68" i="113" s="1"/>
  <c r="AB68" i="113" s="1"/>
  <c r="L78" i="117" s="1"/>
  <c r="AB41" i="82"/>
  <c r="L46" i="90" s="1"/>
  <c r="AB46" i="90" s="1"/>
  <c r="L46" i="93" s="1"/>
  <c r="AB46" i="93" s="1"/>
  <c r="L47" i="107" s="1"/>
  <c r="AB47" i="107" s="1"/>
  <c r="L47" i="108" s="1"/>
  <c r="AB47" i="108" s="1"/>
  <c r="L47" i="112" s="1"/>
  <c r="AB47" i="112" s="1"/>
  <c r="L47" i="113" s="1"/>
  <c r="AB47" i="113" s="1"/>
  <c r="L57" i="117" s="1"/>
  <c r="AB49" i="82"/>
  <c r="L54" i="90" s="1"/>
  <c r="AB54" i="90" s="1"/>
  <c r="L54" i="93" s="1"/>
  <c r="AB54" i="93" s="1"/>
  <c r="L55" i="107" s="1"/>
  <c r="AB55" i="107" s="1"/>
  <c r="L56" i="108" s="1"/>
  <c r="E84" i="82"/>
  <c r="E119" i="82"/>
  <c r="X184" i="82"/>
  <c r="H198" i="90" s="1"/>
  <c r="X198" i="90" s="1"/>
  <c r="H205" i="93" s="1"/>
  <c r="X205" i="93" s="1"/>
  <c r="H212" i="107" s="1"/>
  <c r="X212" i="107" s="1"/>
  <c r="H215" i="108" s="1"/>
  <c r="X215" i="108" s="1"/>
  <c r="H217" i="112" s="1"/>
  <c r="X217" i="112" s="1"/>
  <c r="H221" i="113" s="1"/>
  <c r="X221" i="113" s="1"/>
  <c r="H236" i="117" s="1"/>
  <c r="X236" i="117" s="1"/>
  <c r="H240" i="121" s="1"/>
  <c r="X240" i="121" s="1"/>
  <c r="H240" i="122" s="1"/>
  <c r="X240" i="122" s="1"/>
  <c r="E122" i="82"/>
  <c r="E131" i="82"/>
  <c r="E69" i="82"/>
  <c r="AB57" i="82"/>
  <c r="L62" i="90" s="1"/>
  <c r="AB62" i="90" s="1"/>
  <c r="L62" i="93" s="1"/>
  <c r="AB62" i="93" s="1"/>
  <c r="L63" i="107" s="1"/>
  <c r="AB63" i="107" s="1"/>
  <c r="L64" i="108" s="1"/>
  <c r="E57" i="82"/>
  <c r="AB16" i="82"/>
  <c r="L16" i="90" s="1"/>
  <c r="AB16" i="90" s="1"/>
  <c r="L16" i="93" s="1"/>
  <c r="AB16" i="93" s="1"/>
  <c r="L16" i="107" s="1"/>
  <c r="AB16" i="107" s="1"/>
  <c r="L16" i="108" s="1"/>
  <c r="AB16" i="108" s="1"/>
  <c r="L16" i="112" s="1"/>
  <c r="AB16" i="112" s="1"/>
  <c r="L16" i="113" s="1"/>
  <c r="AB16" i="113" s="1"/>
  <c r="L18" i="117" s="1"/>
  <c r="AB17" i="82"/>
  <c r="L17" i="90" s="1"/>
  <c r="AB17" i="90" s="1"/>
  <c r="L17" i="93" s="1"/>
  <c r="AB33" i="82"/>
  <c r="L38" i="90" s="1"/>
  <c r="AB38" i="90" s="1"/>
  <c r="L38" i="93" s="1"/>
  <c r="AB38" i="93" s="1"/>
  <c r="L39" i="107" s="1"/>
  <c r="AB39" i="107" s="1"/>
  <c r="L39" i="108" s="1"/>
  <c r="AB39" i="108" s="1"/>
  <c r="L39" i="112" s="1"/>
  <c r="AB39" i="112" s="1"/>
  <c r="L39" i="113" s="1"/>
  <c r="AB39" i="113" s="1"/>
  <c r="L45" i="117" s="1"/>
  <c r="AB45" i="117" s="1"/>
  <c r="L46" i="121" s="1"/>
  <c r="AB46" i="121" s="1"/>
  <c r="L46" i="122" s="1"/>
  <c r="N52" i="82"/>
  <c r="S52" i="82"/>
  <c r="AB115" i="82"/>
  <c r="L123" i="90" s="1"/>
  <c r="AB123" i="90" s="1"/>
  <c r="L123" i="93" s="1"/>
  <c r="AB123" i="93" s="1"/>
  <c r="L124" i="107" s="1"/>
  <c r="AB124" i="107" s="1"/>
  <c r="L125" i="108" s="1"/>
  <c r="T161" i="82"/>
  <c r="E123" i="82"/>
  <c r="AB69" i="82"/>
  <c r="L74" i="90" s="1"/>
  <c r="AB74" i="90" s="1"/>
  <c r="L74" i="93" s="1"/>
  <c r="AB74" i="93" s="1"/>
  <c r="L75" i="107" s="1"/>
  <c r="AB75" i="107" s="1"/>
  <c r="L76" i="108" s="1"/>
  <c r="AB76" i="108" s="1"/>
  <c r="L76" i="112" s="1"/>
  <c r="AB76" i="112" s="1"/>
  <c r="L76" i="113" s="1"/>
  <c r="AB76" i="113" s="1"/>
  <c r="L86" i="117" s="1"/>
  <c r="AB123" i="82"/>
  <c r="L131" i="90" s="1"/>
  <c r="AB131" i="90" s="1"/>
  <c r="L131" i="93" s="1"/>
  <c r="AB131" i="93" s="1"/>
  <c r="L132" i="107" s="1"/>
  <c r="AB132" i="107" s="1"/>
  <c r="L133" i="108" s="1"/>
  <c r="AB147" i="82"/>
  <c r="L156" i="90" s="1"/>
  <c r="AB156" i="90" s="1"/>
  <c r="L156" i="93" s="1"/>
  <c r="AB156" i="93" s="1"/>
  <c r="L162" i="107" s="1"/>
  <c r="AB162" i="107" s="1"/>
  <c r="L164" i="108" s="1"/>
  <c r="P161" i="82"/>
  <c r="U110" i="82"/>
  <c r="P134" i="82"/>
  <c r="N161" i="82"/>
  <c r="S161" i="82"/>
  <c r="AB181" i="82"/>
  <c r="L195" i="90" s="1"/>
  <c r="AB195" i="90" s="1"/>
  <c r="L202" i="93" s="1"/>
  <c r="AB202" i="93" s="1"/>
  <c r="L209" i="107" s="1"/>
  <c r="AB209" i="107" s="1"/>
  <c r="L212" i="108" s="1"/>
  <c r="E42" i="82"/>
  <c r="E34" i="82"/>
  <c r="E22" i="82"/>
  <c r="E18" i="82"/>
  <c r="X160" i="82"/>
  <c r="H171" i="90" s="1"/>
  <c r="X171" i="90" s="1"/>
  <c r="H173" i="93" s="1"/>
  <c r="X173" i="93" s="1"/>
  <c r="H180" i="107" s="1"/>
  <c r="X180" i="107" s="1"/>
  <c r="H183" i="108" s="1"/>
  <c r="X183" i="108" s="1"/>
  <c r="H185" i="112" s="1"/>
  <c r="X185" i="112" s="1"/>
  <c r="H189" i="113" s="1"/>
  <c r="X189" i="113" s="1"/>
  <c r="H201" i="117" s="1"/>
  <c r="X201" i="117" s="1"/>
  <c r="H199" i="121" s="1"/>
  <c r="X199" i="121" s="1"/>
  <c r="H199" i="122" s="1"/>
  <c r="X199" i="122" s="1"/>
  <c r="X81" i="82"/>
  <c r="H86" i="90" s="1"/>
  <c r="X86" i="90" s="1"/>
  <c r="H86" i="93" s="1"/>
  <c r="X86" i="93" s="1"/>
  <c r="H87" i="107" s="1"/>
  <c r="X87" i="107" s="1"/>
  <c r="H88" i="108" s="1"/>
  <c r="X88" i="108" s="1"/>
  <c r="H88" i="112" s="1"/>
  <c r="X88" i="112" s="1"/>
  <c r="H88" i="113" s="1"/>
  <c r="X88" i="113" s="1"/>
  <c r="H98" i="117" s="1"/>
  <c r="X98" i="117" s="1"/>
  <c r="H96" i="121" s="1"/>
  <c r="X96" i="121" s="1"/>
  <c r="H96" i="122" s="1"/>
  <c r="X96" i="122" s="1"/>
  <c r="AB203" i="82"/>
  <c r="L217" i="90" s="1"/>
  <c r="AB217" i="90" s="1"/>
  <c r="L227" i="93" s="1"/>
  <c r="AB227" i="93" s="1"/>
  <c r="L234" i="107" s="1"/>
  <c r="AB234" i="107" s="1"/>
  <c r="L237" i="108" s="1"/>
  <c r="AB237" i="108" s="1"/>
  <c r="L239" i="112" s="1"/>
  <c r="AB239" i="112" s="1"/>
  <c r="L244" i="113" s="1"/>
  <c r="AB244" i="113" s="1"/>
  <c r="L259" i="117" s="1"/>
  <c r="U24" i="82"/>
  <c r="E118" i="82"/>
  <c r="E88" i="82"/>
  <c r="E24" i="82"/>
  <c r="U11" i="82"/>
  <c r="AA92" i="82"/>
  <c r="K97" i="90" s="1"/>
  <c r="U91" i="82"/>
  <c r="AA43" i="82"/>
  <c r="K48" i="90" s="1"/>
  <c r="AA48" i="90" s="1"/>
  <c r="K48" i="93" s="1"/>
  <c r="AA48" i="93" s="1"/>
  <c r="K49" i="107" s="1"/>
  <c r="AA49" i="107" s="1"/>
  <c r="K50" i="108" s="1"/>
  <c r="AA50" i="108" s="1"/>
  <c r="K50" i="112" s="1"/>
  <c r="AA50" i="112" s="1"/>
  <c r="K50" i="113" s="1"/>
  <c r="AA50" i="113" s="1"/>
  <c r="K60" i="117" s="1"/>
  <c r="AA60" i="117" s="1"/>
  <c r="K61" i="121" s="1"/>
  <c r="AA61" i="121" s="1"/>
  <c r="K61" i="122" s="1"/>
  <c r="AA61" i="122" s="1"/>
  <c r="E91" i="82"/>
  <c r="U167" i="82"/>
  <c r="U34" i="82"/>
  <c r="U42" i="82"/>
  <c r="X141" i="82"/>
  <c r="H150" i="90" s="1"/>
  <c r="X150" i="90" s="1"/>
  <c r="H150" i="93" s="1"/>
  <c r="X150" i="93" s="1"/>
  <c r="H156" i="107" s="1"/>
  <c r="X156" i="107" s="1"/>
  <c r="H158" i="108" s="1"/>
  <c r="X158" i="108" s="1"/>
  <c r="H160" i="112" s="1"/>
  <c r="X160" i="112" s="1"/>
  <c r="H164" i="113" s="1"/>
  <c r="X164" i="113" s="1"/>
  <c r="H176" i="117" s="1"/>
  <c r="X176" i="117" s="1"/>
  <c r="H174" i="121" s="1"/>
  <c r="X174" i="121" s="1"/>
  <c r="H174" i="122" s="1"/>
  <c r="X174" i="122" s="1"/>
  <c r="U152" i="82"/>
  <c r="X177" i="82"/>
  <c r="H191" i="90" s="1"/>
  <c r="X191" i="90" s="1"/>
  <c r="H198" i="93" s="1"/>
  <c r="X198" i="93" s="1"/>
  <c r="H205" i="107" s="1"/>
  <c r="X205" i="107" s="1"/>
  <c r="H208" i="108" s="1"/>
  <c r="X208" i="108" s="1"/>
  <c r="H210" i="112" s="1"/>
  <c r="X210" i="112" s="1"/>
  <c r="H214" i="113" s="1"/>
  <c r="X214" i="113" s="1"/>
  <c r="H229" i="117" s="1"/>
  <c r="X229" i="117" s="1"/>
  <c r="H233" i="121" s="1"/>
  <c r="X233" i="121" s="1"/>
  <c r="H233" i="122" s="1"/>
  <c r="X233" i="122" s="1"/>
  <c r="X51" i="82"/>
  <c r="H56" i="90" s="1"/>
  <c r="X56" i="90" s="1"/>
  <c r="H56" i="93" s="1"/>
  <c r="X56" i="93" s="1"/>
  <c r="H57" i="107" s="1"/>
  <c r="X57" i="107" s="1"/>
  <c r="H58" i="108" s="1"/>
  <c r="X58" i="108" s="1"/>
  <c r="H58" i="112" s="1"/>
  <c r="X58" i="112" s="1"/>
  <c r="H58" i="113" s="1"/>
  <c r="X58" i="113" s="1"/>
  <c r="H68" i="117" s="1"/>
  <c r="X68" i="117" s="1"/>
  <c r="H69" i="121" s="1"/>
  <c r="X69" i="121" s="1"/>
  <c r="H69" i="122" s="1"/>
  <c r="X69" i="122" s="1"/>
  <c r="X89" i="82"/>
  <c r="H94" i="90" s="1"/>
  <c r="X94" i="90" s="1"/>
  <c r="H94" i="93" s="1"/>
  <c r="X94" i="93" s="1"/>
  <c r="H95" i="107" s="1"/>
  <c r="X95" i="107" s="1"/>
  <c r="H96" i="108" s="1"/>
  <c r="X96" i="108" s="1"/>
  <c r="H96" i="112" s="1"/>
  <c r="X96" i="112" s="1"/>
  <c r="H96" i="113" s="1"/>
  <c r="X96" i="113" s="1"/>
  <c r="H106" i="117" s="1"/>
  <c r="X106" i="117" s="1"/>
  <c r="H104" i="121" s="1"/>
  <c r="X104" i="121" s="1"/>
  <c r="H104" i="122" s="1"/>
  <c r="X104" i="122" s="1"/>
  <c r="X203" i="82"/>
  <c r="H217" i="90" s="1"/>
  <c r="X217" i="90" s="1"/>
  <c r="H227" i="93" s="1"/>
  <c r="X227" i="93" s="1"/>
  <c r="H234" i="107" s="1"/>
  <c r="X234" i="107" s="1"/>
  <c r="H237" i="108" s="1"/>
  <c r="X237" i="108" s="1"/>
  <c r="H239" i="112" s="1"/>
  <c r="X239" i="112" s="1"/>
  <c r="H244" i="113" s="1"/>
  <c r="X244" i="113" s="1"/>
  <c r="H259" i="117" s="1"/>
  <c r="X259" i="117" s="1"/>
  <c r="H263" i="121" s="1"/>
  <c r="X263" i="121" s="1"/>
  <c r="H263" i="122" s="1"/>
  <c r="X263" i="122" s="1"/>
  <c r="U38" i="82"/>
  <c r="U14" i="82"/>
  <c r="G15" i="90"/>
  <c r="U22" i="82"/>
  <c r="E59" i="82"/>
  <c r="E137" i="82"/>
  <c r="E39" i="82"/>
  <c r="U19" i="82"/>
  <c r="E180" i="82"/>
  <c r="V39" i="82"/>
  <c r="F44" i="90" s="1"/>
  <c r="E125" i="82"/>
  <c r="V145" i="82"/>
  <c r="F154" i="90" s="1"/>
  <c r="V154" i="90" s="1"/>
  <c r="F154" i="93" s="1"/>
  <c r="V154" i="93" s="1"/>
  <c r="F160" i="107" s="1"/>
  <c r="V160" i="107" s="1"/>
  <c r="F162" i="108" s="1"/>
  <c r="V162" i="108" s="1"/>
  <c r="F164" i="112" s="1"/>
  <c r="V164" i="112" s="1"/>
  <c r="F168" i="113" s="1"/>
  <c r="V168" i="113" s="1"/>
  <c r="F180" i="117" s="1"/>
  <c r="V180" i="117" s="1"/>
  <c r="F178" i="121" s="1"/>
  <c r="V178" i="121" s="1"/>
  <c r="F178" i="122" s="1"/>
  <c r="V178" i="122" s="1"/>
  <c r="E38" i="82"/>
  <c r="U84" i="82"/>
  <c r="E94" i="82"/>
  <c r="E120" i="82"/>
  <c r="U23" i="82"/>
  <c r="V43" i="82"/>
  <c r="F48" i="90" s="1"/>
  <c r="V48" i="90" s="1"/>
  <c r="F48" i="93" s="1"/>
  <c r="V48" i="93" s="1"/>
  <c r="F49" i="107" s="1"/>
  <c r="V49" i="107" s="1"/>
  <c r="F50" i="108" s="1"/>
  <c r="V50" i="108" s="1"/>
  <c r="F50" i="112" s="1"/>
  <c r="V50" i="112" s="1"/>
  <c r="F50" i="113" s="1"/>
  <c r="V50" i="113" s="1"/>
  <c r="F60" i="117" s="1"/>
  <c r="V60" i="117" s="1"/>
  <c r="F61" i="121" s="1"/>
  <c r="V61" i="121" s="1"/>
  <c r="F61" i="122" s="1"/>
  <c r="V61" i="122" s="1"/>
  <c r="AB97" i="82"/>
  <c r="L102" i="90" s="1"/>
  <c r="AB102" i="90" s="1"/>
  <c r="L102" i="93" s="1"/>
  <c r="AB102" i="93" s="1"/>
  <c r="L103" i="107" s="1"/>
  <c r="AB103" i="107" s="1"/>
  <c r="L104" i="108" s="1"/>
  <c r="E21" i="82"/>
  <c r="AA21" i="82"/>
  <c r="K21" i="90" s="1"/>
  <c r="AA21" i="90" s="1"/>
  <c r="K21" i="93" s="1"/>
  <c r="AA21" i="93" s="1"/>
  <c r="K21" i="107" s="1"/>
  <c r="AA21" i="107" s="1"/>
  <c r="K21" i="108" s="1"/>
  <c r="AA21" i="108" s="1"/>
  <c r="K21" i="112" s="1"/>
  <c r="AA21" i="112" s="1"/>
  <c r="K21" i="113" s="1"/>
  <c r="AA21" i="113" s="1"/>
  <c r="K24" i="117" s="1"/>
  <c r="AA24" i="117" s="1"/>
  <c r="K24" i="121" s="1"/>
  <c r="AA24" i="121" s="1"/>
  <c r="K24" i="122" s="1"/>
  <c r="AA24" i="122" s="1"/>
  <c r="AB28" i="82"/>
  <c r="L31" i="90" s="1"/>
  <c r="AB31" i="90" s="1"/>
  <c r="L31" i="93" s="1"/>
  <c r="AB31" i="93" s="1"/>
  <c r="L32" i="107" s="1"/>
  <c r="AB32" i="107" s="1"/>
  <c r="L32" i="108" s="1"/>
  <c r="W58" i="82"/>
  <c r="G60" i="90" s="1"/>
  <c r="W60" i="90" s="1"/>
  <c r="G60" i="93" s="1"/>
  <c r="W60" i="93" s="1"/>
  <c r="G61" i="107" s="1"/>
  <c r="W61" i="107" s="1"/>
  <c r="G62" i="108" s="1"/>
  <c r="W62" i="108" s="1"/>
  <c r="G62" i="112" s="1"/>
  <c r="W62" i="112" s="1"/>
  <c r="G62" i="113" s="1"/>
  <c r="W62" i="113" s="1"/>
  <c r="G72" i="117" s="1"/>
  <c r="W72" i="117" s="1"/>
  <c r="G73" i="121" s="1"/>
  <c r="W73" i="121" s="1"/>
  <c r="G73" i="122" s="1"/>
  <c r="W73" i="122" s="1"/>
  <c r="V160" i="82"/>
  <c r="F171" i="90" s="1"/>
  <c r="V171" i="90" s="1"/>
  <c r="F173" i="93" s="1"/>
  <c r="V173" i="93" s="1"/>
  <c r="F180" i="107" s="1"/>
  <c r="V180" i="107" s="1"/>
  <c r="F183" i="108" s="1"/>
  <c r="V183" i="108" s="1"/>
  <c r="F185" i="112" s="1"/>
  <c r="V185" i="112" s="1"/>
  <c r="F189" i="113" s="1"/>
  <c r="V189" i="113" s="1"/>
  <c r="F201" i="117" s="1"/>
  <c r="V201" i="117" s="1"/>
  <c r="F199" i="121" s="1"/>
  <c r="V199" i="121" s="1"/>
  <c r="F199" i="122" s="1"/>
  <c r="V199" i="122" s="1"/>
  <c r="V188" i="82"/>
  <c r="F202" i="90" s="1"/>
  <c r="V202" i="90" s="1"/>
  <c r="F209" i="93" s="1"/>
  <c r="V209" i="93" s="1"/>
  <c r="F216" i="107" s="1"/>
  <c r="V216" i="107" s="1"/>
  <c r="F219" i="108" s="1"/>
  <c r="V219" i="108" s="1"/>
  <c r="F221" i="112" s="1"/>
  <c r="Z27" i="82"/>
  <c r="J30" i="90" s="1"/>
  <c r="Z30" i="90" s="1"/>
  <c r="J30" i="93" s="1"/>
  <c r="Z30" i="93" s="1"/>
  <c r="J31" i="107" s="1"/>
  <c r="Z31" i="107" s="1"/>
  <c r="J31" i="108" s="1"/>
  <c r="Z31" i="108" s="1"/>
  <c r="J31" i="112" s="1"/>
  <c r="Z31" i="112" s="1"/>
  <c r="J31" i="113" s="1"/>
  <c r="Z31" i="113" s="1"/>
  <c r="J35" i="117" s="1"/>
  <c r="Z35" i="117" s="1"/>
  <c r="J36" i="121" s="1"/>
  <c r="Z36" i="121" s="1"/>
  <c r="J36" i="122" s="1"/>
  <c r="Z36" i="122" s="1"/>
  <c r="Z29" i="82"/>
  <c r="J32" i="90" s="1"/>
  <c r="Z32" i="90" s="1"/>
  <c r="J32" i="93" s="1"/>
  <c r="Z32" i="93" s="1"/>
  <c r="J33" i="107" s="1"/>
  <c r="Z33" i="107" s="1"/>
  <c r="J33" i="108" s="1"/>
  <c r="Z33" i="108" s="1"/>
  <c r="J33" i="112" s="1"/>
  <c r="Z33" i="112" s="1"/>
  <c r="J33" i="113" s="1"/>
  <c r="Z33" i="113" s="1"/>
  <c r="J39" i="117" s="1"/>
  <c r="Z39" i="117" s="1"/>
  <c r="J40" i="121" s="1"/>
  <c r="Z40" i="121" s="1"/>
  <c r="J40" i="122" s="1"/>
  <c r="Z40" i="122" s="1"/>
  <c r="AB30" i="82"/>
  <c r="L33" i="90" s="1"/>
  <c r="AB33" i="90" s="1"/>
  <c r="L33" i="93" s="1"/>
  <c r="AB33" i="93" s="1"/>
  <c r="L34" i="107" s="1"/>
  <c r="AB34" i="107" s="1"/>
  <c r="L34" i="108" s="1"/>
  <c r="E110" i="82"/>
  <c r="AB117" i="82"/>
  <c r="L125" i="90" s="1"/>
  <c r="AB125" i="90" s="1"/>
  <c r="L125" i="93" s="1"/>
  <c r="AB125" i="93" s="1"/>
  <c r="L126" i="107" s="1"/>
  <c r="AB126" i="107" s="1"/>
  <c r="L127" i="108" s="1"/>
  <c r="E117" i="82"/>
  <c r="AB27" i="82"/>
  <c r="L30" i="90" s="1"/>
  <c r="AB30" i="90" s="1"/>
  <c r="L30" i="93" s="1"/>
  <c r="AB30" i="93" s="1"/>
  <c r="L31" i="107" s="1"/>
  <c r="AB31" i="107" s="1"/>
  <c r="L31" i="108" s="1"/>
  <c r="AA46" i="82"/>
  <c r="K51" i="90" s="1"/>
  <c r="AA51" i="90" s="1"/>
  <c r="K51" i="93" s="1"/>
  <c r="AA51" i="93" s="1"/>
  <c r="K52" i="107" s="1"/>
  <c r="AA52" i="107" s="1"/>
  <c r="K53" i="108" s="1"/>
  <c r="AA53" i="108" s="1"/>
  <c r="K53" i="112" s="1"/>
  <c r="AA53" i="112" s="1"/>
  <c r="K53" i="113" s="1"/>
  <c r="AA53" i="113" s="1"/>
  <c r="K63" i="117" s="1"/>
  <c r="AA63" i="117" s="1"/>
  <c r="K64" i="121" s="1"/>
  <c r="AA64" i="121" s="1"/>
  <c r="K64" i="122" s="1"/>
  <c r="AA64" i="122" s="1"/>
  <c r="W54" i="82"/>
  <c r="G56" i="90" s="1"/>
  <c r="W56" i="90" s="1"/>
  <c r="G56" i="93" s="1"/>
  <c r="W56" i="93" s="1"/>
  <c r="G57" i="107" s="1"/>
  <c r="W57" i="107" s="1"/>
  <c r="G58" i="108" s="1"/>
  <c r="W58" i="108" s="1"/>
  <c r="G58" i="112" s="1"/>
  <c r="W58" i="112" s="1"/>
  <c r="G58" i="113" s="1"/>
  <c r="W58" i="113" s="1"/>
  <c r="G68" i="117" s="1"/>
  <c r="W68" i="117" s="1"/>
  <c r="G69" i="121" s="1"/>
  <c r="W69" i="121" s="1"/>
  <c r="G69" i="122" s="1"/>
  <c r="W69" i="122" s="1"/>
  <c r="W67" i="82"/>
  <c r="G69" i="90" s="1"/>
  <c r="W69" i="90" s="1"/>
  <c r="G69" i="93" s="1"/>
  <c r="W69" i="93" s="1"/>
  <c r="G70" i="107" s="1"/>
  <c r="W70" i="107" s="1"/>
  <c r="G71" i="108" s="1"/>
  <c r="W71" i="108" s="1"/>
  <c r="G71" i="112" s="1"/>
  <c r="W71" i="112" s="1"/>
  <c r="G71" i="113" s="1"/>
  <c r="W71" i="113" s="1"/>
  <c r="G81" i="117" s="1"/>
  <c r="W81" i="117" s="1"/>
  <c r="U88" i="82"/>
  <c r="E96" i="82"/>
  <c r="Z96" i="82"/>
  <c r="J101" i="90" s="1"/>
  <c r="Z101" i="90" s="1"/>
  <c r="J101" i="93" s="1"/>
  <c r="Z101" i="93" s="1"/>
  <c r="J102" i="107" s="1"/>
  <c r="Z102" i="107" s="1"/>
  <c r="J103" i="108" s="1"/>
  <c r="Z103" i="108" s="1"/>
  <c r="J103" i="112" s="1"/>
  <c r="Z103" i="112" s="1"/>
  <c r="J103" i="113" s="1"/>
  <c r="Z103" i="113" s="1"/>
  <c r="J113" i="117" s="1"/>
  <c r="Z113" i="117" s="1"/>
  <c r="J111" i="121" s="1"/>
  <c r="Z111" i="121" s="1"/>
  <c r="J111" i="122" s="1"/>
  <c r="Z111" i="122" s="1"/>
  <c r="Z109" i="82"/>
  <c r="J114" i="90" s="1"/>
  <c r="Z114" i="90" s="1"/>
  <c r="J114" i="93" s="1"/>
  <c r="Z114" i="93" s="1"/>
  <c r="J115" i="107" s="1"/>
  <c r="Z115" i="107" s="1"/>
  <c r="J116" i="108" s="1"/>
  <c r="Z116" i="108" s="1"/>
  <c r="J116" i="112" s="1"/>
  <c r="Z116" i="112" s="1"/>
  <c r="J116" i="113" s="1"/>
  <c r="Z116" i="113" s="1"/>
  <c r="J126" i="117" s="1"/>
  <c r="Z126" i="117" s="1"/>
  <c r="J124" i="121" s="1"/>
  <c r="Z124" i="121" s="1"/>
  <c r="J124" i="122" s="1"/>
  <c r="Z124" i="122" s="1"/>
  <c r="E116" i="82"/>
  <c r="Z116" i="82"/>
  <c r="J124" i="90" s="1"/>
  <c r="Z124" i="90" s="1"/>
  <c r="J124" i="93" s="1"/>
  <c r="Z124" i="93" s="1"/>
  <c r="J125" i="107" s="1"/>
  <c r="Z125" i="107" s="1"/>
  <c r="J126" i="108" s="1"/>
  <c r="Z126" i="108" s="1"/>
  <c r="J126" i="112" s="1"/>
  <c r="Z126" i="112" s="1"/>
  <c r="J128" i="113" s="1"/>
  <c r="Z128" i="113" s="1"/>
  <c r="J139" i="117" s="1"/>
  <c r="Z139" i="117" s="1"/>
  <c r="J137" i="121" s="1"/>
  <c r="Z137" i="121" s="1"/>
  <c r="J137" i="122" s="1"/>
  <c r="Z137" i="122" s="1"/>
  <c r="U119" i="82"/>
  <c r="X47" i="82"/>
  <c r="H52" i="90" s="1"/>
  <c r="X52" i="90" s="1"/>
  <c r="H52" i="93" s="1"/>
  <c r="X52" i="93" s="1"/>
  <c r="H53" i="107" s="1"/>
  <c r="X53" i="107" s="1"/>
  <c r="H54" i="108" s="1"/>
  <c r="X54" i="108" s="1"/>
  <c r="H54" i="112" s="1"/>
  <c r="X54" i="112" s="1"/>
  <c r="H54" i="113" s="1"/>
  <c r="X54" i="113" s="1"/>
  <c r="H64" i="117" s="1"/>
  <c r="X64" i="117" s="1"/>
  <c r="H65" i="121" s="1"/>
  <c r="X65" i="121" s="1"/>
  <c r="H65" i="122" s="1"/>
  <c r="X65" i="122" s="1"/>
  <c r="AA50" i="82"/>
  <c r="K55" i="90" s="1"/>
  <c r="AA55" i="90" s="1"/>
  <c r="K55" i="93" s="1"/>
  <c r="AA55" i="93" s="1"/>
  <c r="K56" i="107" s="1"/>
  <c r="AA56" i="107" s="1"/>
  <c r="K57" i="108" s="1"/>
  <c r="AA57" i="108" s="1"/>
  <c r="K57" i="112" s="1"/>
  <c r="AA57" i="112" s="1"/>
  <c r="K57" i="113" s="1"/>
  <c r="AA57" i="113" s="1"/>
  <c r="K67" i="117" s="1"/>
  <c r="AA67" i="117" s="1"/>
  <c r="K68" i="121" s="1"/>
  <c r="AA68" i="121" s="1"/>
  <c r="K68" i="122" s="1"/>
  <c r="AA68" i="122" s="1"/>
  <c r="W56" i="82"/>
  <c r="G58" i="90" s="1"/>
  <c r="W58" i="90" s="1"/>
  <c r="G58" i="93" s="1"/>
  <c r="W58" i="93" s="1"/>
  <c r="G59" i="107" s="1"/>
  <c r="W59" i="107" s="1"/>
  <c r="G60" i="108" s="1"/>
  <c r="W60" i="108" s="1"/>
  <c r="G60" i="112" s="1"/>
  <c r="W60" i="112" s="1"/>
  <c r="G60" i="113" s="1"/>
  <c r="W60" i="113" s="1"/>
  <c r="G70" i="117" s="1"/>
  <c r="W70" i="117" s="1"/>
  <c r="G71" i="121" s="1"/>
  <c r="W71" i="121" s="1"/>
  <c r="G71" i="122" s="1"/>
  <c r="W71" i="122" s="1"/>
  <c r="U59" i="82"/>
  <c r="W60" i="82"/>
  <c r="G62" i="90" s="1"/>
  <c r="W62" i="90" s="1"/>
  <c r="G62" i="93" s="1"/>
  <c r="W62" i="93" s="1"/>
  <c r="G63" i="107" s="1"/>
  <c r="W63" i="107" s="1"/>
  <c r="G64" i="108" s="1"/>
  <c r="W64" i="108" s="1"/>
  <c r="G64" i="112" s="1"/>
  <c r="W64" i="112" s="1"/>
  <c r="G64" i="113" s="1"/>
  <c r="W64" i="113" s="1"/>
  <c r="G74" i="117" s="1"/>
  <c r="W74" i="117" s="1"/>
  <c r="G75" i="121" s="1"/>
  <c r="W75" i="121" s="1"/>
  <c r="G75" i="122" s="1"/>
  <c r="W75" i="122" s="1"/>
  <c r="R90" i="82"/>
  <c r="P37" i="82"/>
  <c r="W53" i="82"/>
  <c r="G55" i="90" s="1"/>
  <c r="W55" i="90" s="1"/>
  <c r="G55" i="93" s="1"/>
  <c r="W55" i="93" s="1"/>
  <c r="G56" i="107" s="1"/>
  <c r="W56" i="107" s="1"/>
  <c r="G57" i="108" s="1"/>
  <c r="W57" i="108" s="1"/>
  <c r="G57" i="112" s="1"/>
  <c r="W57" i="112" s="1"/>
  <c r="G57" i="113" s="1"/>
  <c r="W57" i="113" s="1"/>
  <c r="G67" i="117" s="1"/>
  <c r="W67" i="117" s="1"/>
  <c r="G68" i="121" s="1"/>
  <c r="W68" i="121" s="1"/>
  <c r="G68" i="122" s="1"/>
  <c r="W68" i="122" s="1"/>
  <c r="V63" i="82"/>
  <c r="F68" i="90" s="1"/>
  <c r="V68" i="90" s="1"/>
  <c r="F68" i="93" s="1"/>
  <c r="V68" i="93" s="1"/>
  <c r="F69" i="107" s="1"/>
  <c r="V69" i="107" s="1"/>
  <c r="F70" i="108" s="1"/>
  <c r="V70" i="108" s="1"/>
  <c r="F70" i="112" s="1"/>
  <c r="V70" i="112" s="1"/>
  <c r="F70" i="113" s="1"/>
  <c r="V70" i="113" s="1"/>
  <c r="F80" i="117" s="1"/>
  <c r="V80" i="117" s="1"/>
  <c r="F81" i="121" s="1"/>
  <c r="V81" i="121" s="1"/>
  <c r="F81" i="122" s="1"/>
  <c r="V81" i="122" s="1"/>
  <c r="AA63" i="82"/>
  <c r="K68" i="90" s="1"/>
  <c r="AA68" i="90" s="1"/>
  <c r="K68" i="93" s="1"/>
  <c r="AA68" i="93" s="1"/>
  <c r="K69" i="107" s="1"/>
  <c r="AA69" i="107" s="1"/>
  <c r="K70" i="108" s="1"/>
  <c r="E79" i="82"/>
  <c r="V82" i="82"/>
  <c r="F87" i="90" s="1"/>
  <c r="V87" i="90" s="1"/>
  <c r="F87" i="93" s="1"/>
  <c r="V87" i="93" s="1"/>
  <c r="F88" i="107" s="1"/>
  <c r="V88" i="107" s="1"/>
  <c r="F89" i="108" s="1"/>
  <c r="V89" i="108" s="1"/>
  <c r="F89" i="112" s="1"/>
  <c r="V89" i="112" s="1"/>
  <c r="F89" i="113" s="1"/>
  <c r="V89" i="113" s="1"/>
  <c r="F99" i="117" s="1"/>
  <c r="V99" i="117" s="1"/>
  <c r="F97" i="121" s="1"/>
  <c r="V97" i="121" s="1"/>
  <c r="F97" i="122" s="1"/>
  <c r="V97" i="122" s="1"/>
  <c r="Z94" i="82"/>
  <c r="J99" i="90" s="1"/>
  <c r="Z99" i="90" s="1"/>
  <c r="J99" i="93" s="1"/>
  <c r="Z99" i="93" s="1"/>
  <c r="J100" i="107" s="1"/>
  <c r="Z100" i="107" s="1"/>
  <c r="J101" i="108" s="1"/>
  <c r="Z101" i="108" s="1"/>
  <c r="J101" i="112" s="1"/>
  <c r="Z101" i="112" s="1"/>
  <c r="J101" i="113" s="1"/>
  <c r="Z101" i="113" s="1"/>
  <c r="J111" i="117" s="1"/>
  <c r="Z111" i="117" s="1"/>
  <c r="J109" i="121" s="1"/>
  <c r="Z109" i="121" s="1"/>
  <c r="J109" i="122" s="1"/>
  <c r="Z109" i="122" s="1"/>
  <c r="E98" i="82"/>
  <c r="Z101" i="82"/>
  <c r="J106" i="90" s="1"/>
  <c r="Z106" i="90" s="1"/>
  <c r="J106" i="93" s="1"/>
  <c r="Z106" i="93" s="1"/>
  <c r="J107" i="107" s="1"/>
  <c r="Z107" i="107" s="1"/>
  <c r="J108" i="108" s="1"/>
  <c r="Z108" i="108" s="1"/>
  <c r="J108" i="112" s="1"/>
  <c r="Z108" i="112" s="1"/>
  <c r="J108" i="113" s="1"/>
  <c r="Z108" i="113" s="1"/>
  <c r="J118" i="117" s="1"/>
  <c r="Z118" i="117" s="1"/>
  <c r="J116" i="121" s="1"/>
  <c r="Z116" i="121" s="1"/>
  <c r="J116" i="122" s="1"/>
  <c r="Z116" i="122" s="1"/>
  <c r="W132" i="82"/>
  <c r="G137" i="90" s="1"/>
  <c r="W137" i="90" s="1"/>
  <c r="G137" i="93" s="1"/>
  <c r="W137" i="93" s="1"/>
  <c r="G138" i="107" s="1"/>
  <c r="W138" i="107" s="1"/>
  <c r="G139" i="108" s="1"/>
  <c r="W139" i="108" s="1"/>
  <c r="G139" i="112" s="1"/>
  <c r="W139" i="112" s="1"/>
  <c r="G141" i="113" s="1"/>
  <c r="W141" i="113" s="1"/>
  <c r="G152" i="117" s="1"/>
  <c r="W152" i="117" s="1"/>
  <c r="G150" i="121" s="1"/>
  <c r="W150" i="121" s="1"/>
  <c r="G150" i="122" s="1"/>
  <c r="W150" i="122" s="1"/>
  <c r="Z125" i="82"/>
  <c r="J133" i="90" s="1"/>
  <c r="Z133" i="90" s="1"/>
  <c r="J133" i="93" s="1"/>
  <c r="Z133" i="93" s="1"/>
  <c r="J134" i="107" s="1"/>
  <c r="Z134" i="107" s="1"/>
  <c r="J135" i="108" s="1"/>
  <c r="Z135" i="108" s="1"/>
  <c r="J135" i="112" s="1"/>
  <c r="Z135" i="112" s="1"/>
  <c r="J137" i="113" s="1"/>
  <c r="Z137" i="113" s="1"/>
  <c r="J148" i="117" s="1"/>
  <c r="Z148" i="117" s="1"/>
  <c r="J146" i="121" s="1"/>
  <c r="Z146" i="121" s="1"/>
  <c r="J146" i="122" s="1"/>
  <c r="Z146" i="122" s="1"/>
  <c r="E138" i="82"/>
  <c r="X153" i="82"/>
  <c r="H164" i="90" s="1"/>
  <c r="X164" i="90" s="1"/>
  <c r="H166" i="93" s="1"/>
  <c r="X166" i="93" s="1"/>
  <c r="H172" i="107" s="1"/>
  <c r="X172" i="107" s="1"/>
  <c r="H175" i="108" s="1"/>
  <c r="X175" i="108" s="1"/>
  <c r="H177" i="112" s="1"/>
  <c r="X177" i="112" s="1"/>
  <c r="H181" i="113" s="1"/>
  <c r="X181" i="113" s="1"/>
  <c r="H193" i="117" s="1"/>
  <c r="X193" i="117" s="1"/>
  <c r="H191" i="121" s="1"/>
  <c r="X191" i="121" s="1"/>
  <c r="H191" i="122" s="1"/>
  <c r="X191" i="122" s="1"/>
  <c r="AA155" i="82"/>
  <c r="K166" i="90" s="1"/>
  <c r="AA166" i="90" s="1"/>
  <c r="K168" i="93" s="1"/>
  <c r="AA168" i="93" s="1"/>
  <c r="K174" i="107" s="1"/>
  <c r="AA174" i="107" s="1"/>
  <c r="K177" i="108" s="1"/>
  <c r="E155" i="82"/>
  <c r="AA156" i="82"/>
  <c r="K167" i="90" s="1"/>
  <c r="AA167" i="90" s="1"/>
  <c r="K169" i="93" s="1"/>
  <c r="AA169" i="93" s="1"/>
  <c r="K175" i="107" s="1"/>
  <c r="AA175" i="107" s="1"/>
  <c r="K178" i="108" s="1"/>
  <c r="E156" i="82"/>
  <c r="AA157" i="82"/>
  <c r="K168" i="90" s="1"/>
  <c r="AA168" i="90" s="1"/>
  <c r="K170" i="93" s="1"/>
  <c r="AA170" i="93" s="1"/>
  <c r="K176" i="107" s="1"/>
  <c r="AA176" i="107" s="1"/>
  <c r="K179" i="108" s="1"/>
  <c r="E157" i="82"/>
  <c r="AA158" i="82"/>
  <c r="K169" i="90" s="1"/>
  <c r="AA169" i="90" s="1"/>
  <c r="K171" i="93" s="1"/>
  <c r="AA171" i="93" s="1"/>
  <c r="K177" i="107" s="1"/>
  <c r="AA177" i="107" s="1"/>
  <c r="K180" i="108" s="1"/>
  <c r="E158" i="82"/>
  <c r="Z159" i="82"/>
  <c r="J170" i="90" s="1"/>
  <c r="Z170" i="90" s="1"/>
  <c r="J172" i="93" s="1"/>
  <c r="Z172" i="93" s="1"/>
  <c r="J178" i="107" s="1"/>
  <c r="Z178" i="107" s="1"/>
  <c r="J181" i="108" s="1"/>
  <c r="Z181" i="108" s="1"/>
  <c r="J183" i="112" s="1"/>
  <c r="Z183" i="112" s="1"/>
  <c r="J187" i="113" s="1"/>
  <c r="Z187" i="113" s="1"/>
  <c r="J199" i="117" s="1"/>
  <c r="Z199" i="117" s="1"/>
  <c r="J197" i="121" s="1"/>
  <c r="Z197" i="121" s="1"/>
  <c r="J197" i="122" s="1"/>
  <c r="Z197" i="122" s="1"/>
  <c r="V112" i="82"/>
  <c r="AB102" i="82"/>
  <c r="L107" i="90" s="1"/>
  <c r="AB107" i="90" s="1"/>
  <c r="L107" i="93" s="1"/>
  <c r="AB107" i="93" s="1"/>
  <c r="L108" i="107" s="1"/>
  <c r="AB108" i="107" s="1"/>
  <c r="L109" i="108" s="1"/>
  <c r="AB105" i="82"/>
  <c r="L110" i="90" s="1"/>
  <c r="AB110" i="90" s="1"/>
  <c r="L110" i="93" s="1"/>
  <c r="AB110" i="93" s="1"/>
  <c r="L111" i="107" s="1"/>
  <c r="AB111" i="107" s="1"/>
  <c r="L112" i="108" s="1"/>
  <c r="N134" i="82"/>
  <c r="S134" i="82"/>
  <c r="U137" i="82"/>
  <c r="R161" i="82"/>
  <c r="AB183" i="82"/>
  <c r="L197" i="90" s="1"/>
  <c r="AB197" i="90" s="1"/>
  <c r="L204" i="93" s="1"/>
  <c r="AB204" i="93" s="1"/>
  <c r="L211" i="107" s="1"/>
  <c r="AB211" i="107" s="1"/>
  <c r="L214" i="108" s="1"/>
  <c r="E205" i="82"/>
  <c r="X205" i="82"/>
  <c r="H219" i="90" s="1"/>
  <c r="X219" i="90" s="1"/>
  <c r="H229" i="93" s="1"/>
  <c r="X229" i="93" s="1"/>
  <c r="H236" i="107" s="1"/>
  <c r="X236" i="107" s="1"/>
  <c r="H239" i="108" s="1"/>
  <c r="X239" i="108" s="1"/>
  <c r="H241" i="112" s="1"/>
  <c r="X241" i="112" s="1"/>
  <c r="H246" i="113" s="1"/>
  <c r="X246" i="113" s="1"/>
  <c r="H261" i="117" s="1"/>
  <c r="X261" i="117" s="1"/>
  <c r="H265" i="121" s="1"/>
  <c r="X265" i="121" s="1"/>
  <c r="H265" i="122" s="1"/>
  <c r="X265" i="122" s="1"/>
  <c r="Z118" i="82"/>
  <c r="J126" i="90" s="1"/>
  <c r="Z126" i="90" s="1"/>
  <c r="J126" i="93" s="1"/>
  <c r="Z126" i="93" s="1"/>
  <c r="J127" i="107" s="1"/>
  <c r="Z127" i="107" s="1"/>
  <c r="J128" i="108" s="1"/>
  <c r="Z128" i="108" s="1"/>
  <c r="J128" i="112" s="1"/>
  <c r="Z128" i="112" s="1"/>
  <c r="J130" i="113" s="1"/>
  <c r="Z130" i="113" s="1"/>
  <c r="J141" i="117" s="1"/>
  <c r="Z141" i="117" s="1"/>
  <c r="J139" i="121" s="1"/>
  <c r="Z139" i="121" s="1"/>
  <c r="J139" i="122" s="1"/>
  <c r="Z139" i="122" s="1"/>
  <c r="Z120" i="82"/>
  <c r="J128" i="90" s="1"/>
  <c r="Z128" i="90" s="1"/>
  <c r="J128" i="93" s="1"/>
  <c r="Z128" i="93" s="1"/>
  <c r="J129" i="107" s="1"/>
  <c r="Z129" i="107" s="1"/>
  <c r="J130" i="108" s="1"/>
  <c r="Z130" i="108" s="1"/>
  <c r="J130" i="112" s="1"/>
  <c r="Z130" i="112" s="1"/>
  <c r="J132" i="113" s="1"/>
  <c r="Z132" i="113" s="1"/>
  <c r="J143" i="117" s="1"/>
  <c r="Z143" i="117" s="1"/>
  <c r="J141" i="121" s="1"/>
  <c r="Z141" i="121" s="1"/>
  <c r="J141" i="122" s="1"/>
  <c r="Z141" i="122" s="1"/>
  <c r="Z122" i="82"/>
  <c r="J130" i="90" s="1"/>
  <c r="Z130" i="90" s="1"/>
  <c r="J130" i="93" s="1"/>
  <c r="Z130" i="93" s="1"/>
  <c r="J131" i="107" s="1"/>
  <c r="Z131" i="107" s="1"/>
  <c r="J132" i="108" s="1"/>
  <c r="Z132" i="108" s="1"/>
  <c r="J132" i="112" s="1"/>
  <c r="Z132" i="112" s="1"/>
  <c r="J134" i="113" s="1"/>
  <c r="Z134" i="113" s="1"/>
  <c r="J145" i="117" s="1"/>
  <c r="Z145" i="117" s="1"/>
  <c r="J143" i="121" s="1"/>
  <c r="Z143" i="121" s="1"/>
  <c r="J143" i="122" s="1"/>
  <c r="Z143" i="122" s="1"/>
  <c r="AB135" i="82"/>
  <c r="L144" i="90" s="1"/>
  <c r="AB144" i="90" s="1"/>
  <c r="L144" i="93" s="1"/>
  <c r="AB144" i="93" s="1"/>
  <c r="L149" i="107" s="1"/>
  <c r="AB149" i="107" s="1"/>
  <c r="L151" i="108" s="1"/>
  <c r="Z136" i="82"/>
  <c r="J145" i="90" s="1"/>
  <c r="Z145" i="90" s="1"/>
  <c r="J145" i="93" s="1"/>
  <c r="Z145" i="93" s="1"/>
  <c r="J150" i="107" s="1"/>
  <c r="Z150" i="107" s="1"/>
  <c r="J152" i="108" s="1"/>
  <c r="Z152" i="108" s="1"/>
  <c r="J154" i="112" s="1"/>
  <c r="Z154" i="112" s="1"/>
  <c r="J158" i="113" s="1"/>
  <c r="Z158" i="113" s="1"/>
  <c r="J169" i="117" s="1"/>
  <c r="Z169" i="117" s="1"/>
  <c r="J167" i="121" s="1"/>
  <c r="Z167" i="121" s="1"/>
  <c r="J167" i="122" s="1"/>
  <c r="Z167" i="122" s="1"/>
  <c r="Z138" i="82"/>
  <c r="J147" i="90" s="1"/>
  <c r="Z147" i="90" s="1"/>
  <c r="J147" i="93" s="1"/>
  <c r="Z147" i="93" s="1"/>
  <c r="J152" i="107" s="1"/>
  <c r="Z152" i="107" s="1"/>
  <c r="J154" i="108" s="1"/>
  <c r="Z154" i="108" s="1"/>
  <c r="J156" i="112" s="1"/>
  <c r="Z156" i="112" s="1"/>
  <c r="J160" i="113" s="1"/>
  <c r="Z160" i="113" s="1"/>
  <c r="J171" i="117" s="1"/>
  <c r="Z171" i="117" s="1"/>
  <c r="J169" i="121" s="1"/>
  <c r="Z169" i="121" s="1"/>
  <c r="J169" i="122" s="1"/>
  <c r="Z169" i="122" s="1"/>
  <c r="Z142" i="82"/>
  <c r="J151" i="90" s="1"/>
  <c r="Z151" i="90" s="1"/>
  <c r="J151" i="93" s="1"/>
  <c r="Z151" i="93" s="1"/>
  <c r="J157" i="107" s="1"/>
  <c r="Z157" i="107" s="1"/>
  <c r="J159" i="108" s="1"/>
  <c r="Z159" i="108" s="1"/>
  <c r="J161" i="112" s="1"/>
  <c r="Z161" i="112" s="1"/>
  <c r="J165" i="113" s="1"/>
  <c r="Z165" i="113" s="1"/>
  <c r="J177" i="117" s="1"/>
  <c r="Z177" i="117" s="1"/>
  <c r="J175" i="121" s="1"/>
  <c r="Z175" i="121" s="1"/>
  <c r="J175" i="122" s="1"/>
  <c r="Z175" i="122" s="1"/>
  <c r="Z144" i="82"/>
  <c r="J153" i="90" s="1"/>
  <c r="Z153" i="90" s="1"/>
  <c r="J153" i="93" s="1"/>
  <c r="Z153" i="93" s="1"/>
  <c r="J159" i="107" s="1"/>
  <c r="Z159" i="107" s="1"/>
  <c r="J161" i="108" s="1"/>
  <c r="Z161" i="108" s="1"/>
  <c r="J163" i="112" s="1"/>
  <c r="Z163" i="112" s="1"/>
  <c r="J167" i="113" s="1"/>
  <c r="Z167" i="113" s="1"/>
  <c r="J179" i="117" s="1"/>
  <c r="Z179" i="117" s="1"/>
  <c r="J177" i="121" s="1"/>
  <c r="Z177" i="121" s="1"/>
  <c r="J177" i="122" s="1"/>
  <c r="Z177" i="122" s="1"/>
  <c r="Z146" i="82"/>
  <c r="J155" i="90" s="1"/>
  <c r="Z155" i="90" s="1"/>
  <c r="J155" i="93" s="1"/>
  <c r="Z155" i="93" s="1"/>
  <c r="J161" i="107" s="1"/>
  <c r="Z161" i="107" s="1"/>
  <c r="J163" i="108" s="1"/>
  <c r="Z163" i="108" s="1"/>
  <c r="J165" i="112" s="1"/>
  <c r="Z165" i="112" s="1"/>
  <c r="J169" i="113" s="1"/>
  <c r="Z169" i="113" s="1"/>
  <c r="J181" i="117" s="1"/>
  <c r="Z181" i="117" s="1"/>
  <c r="J179" i="121" s="1"/>
  <c r="Z179" i="121" s="1"/>
  <c r="J179" i="122" s="1"/>
  <c r="Z179" i="122" s="1"/>
  <c r="Z148" i="82"/>
  <c r="J157" i="90" s="1"/>
  <c r="Z157" i="90" s="1"/>
  <c r="J157" i="93" s="1"/>
  <c r="Z157" i="93" s="1"/>
  <c r="J163" i="107" s="1"/>
  <c r="Z163" i="107" s="1"/>
  <c r="J165" i="108" s="1"/>
  <c r="Z165" i="108" s="1"/>
  <c r="J167" i="112" s="1"/>
  <c r="Z167" i="112" s="1"/>
  <c r="J171" i="113" s="1"/>
  <c r="Z171" i="113" s="1"/>
  <c r="J183" i="117" s="1"/>
  <c r="Z183" i="117" s="1"/>
  <c r="J181" i="121" s="1"/>
  <c r="Z181" i="121" s="1"/>
  <c r="J181" i="122" s="1"/>
  <c r="Z181" i="122" s="1"/>
  <c r="V179" i="82"/>
  <c r="F193" i="90" s="1"/>
  <c r="V193" i="90" s="1"/>
  <c r="F200" i="93" s="1"/>
  <c r="V200" i="93" s="1"/>
  <c r="F207" i="107" s="1"/>
  <c r="V207" i="107" s="1"/>
  <c r="F210" i="108" s="1"/>
  <c r="V210" i="108" s="1"/>
  <c r="F212" i="112" s="1"/>
  <c r="V212" i="112" s="1"/>
  <c r="F216" i="113" s="1"/>
  <c r="V216" i="113" s="1"/>
  <c r="F231" i="117" s="1"/>
  <c r="V231" i="117" s="1"/>
  <c r="F235" i="121" s="1"/>
  <c r="V235" i="121" s="1"/>
  <c r="F235" i="122" s="1"/>
  <c r="V235" i="122" s="1"/>
  <c r="AB175" i="82"/>
  <c r="L189" i="90" s="1"/>
  <c r="X180" i="82"/>
  <c r="H194" i="90" s="1"/>
  <c r="X194" i="90" s="1"/>
  <c r="H201" i="93" s="1"/>
  <c r="X201" i="93" s="1"/>
  <c r="H208" i="107" s="1"/>
  <c r="X208" i="107" s="1"/>
  <c r="H211" i="108" s="1"/>
  <c r="X211" i="108" s="1"/>
  <c r="H213" i="112" s="1"/>
  <c r="X213" i="112" s="1"/>
  <c r="H217" i="113" s="1"/>
  <c r="X217" i="113" s="1"/>
  <c r="H232" i="117" s="1"/>
  <c r="X232" i="117" s="1"/>
  <c r="H236" i="121" s="1"/>
  <c r="X236" i="121" s="1"/>
  <c r="H236" i="122" s="1"/>
  <c r="X236" i="122" s="1"/>
  <c r="E152" i="82"/>
  <c r="Z176" i="82"/>
  <c r="Z193" i="82"/>
  <c r="J207" i="90" s="1"/>
  <c r="Z207" i="90" s="1"/>
  <c r="J215" i="93" s="1"/>
  <c r="Z215" i="93" s="1"/>
  <c r="J222" i="107" s="1"/>
  <c r="Z222" i="107" s="1"/>
  <c r="J225" i="108" s="1"/>
  <c r="Z225" i="108" s="1"/>
  <c r="J227" i="112" s="1"/>
  <c r="Z227" i="112" s="1"/>
  <c r="J231" i="113" s="1"/>
  <c r="Z231" i="113" s="1"/>
  <c r="J246" i="117" s="1"/>
  <c r="Z246" i="117" s="1"/>
  <c r="J250" i="121" s="1"/>
  <c r="Z250" i="121" s="1"/>
  <c r="J250" i="122" s="1"/>
  <c r="Z250" i="122" s="1"/>
  <c r="V37" i="81"/>
  <c r="V37" i="82" s="1"/>
  <c r="F42" i="90" s="1"/>
  <c r="V42" i="90" s="1"/>
  <c r="F42" i="93" s="1"/>
  <c r="V42" i="93" s="1"/>
  <c r="F43" i="107" s="1"/>
  <c r="V43" i="107" s="1"/>
  <c r="F43" i="108" s="1"/>
  <c r="V43" i="108" s="1"/>
  <c r="F43" i="112" s="1"/>
  <c r="V43" i="112" s="1"/>
  <c r="F43" i="113" s="1"/>
  <c r="V43" i="113" s="1"/>
  <c r="F49" i="117" s="1"/>
  <c r="V49" i="117" s="1"/>
  <c r="F50" i="121" s="1"/>
  <c r="V50" i="121" s="1"/>
  <c r="F50" i="122" s="1"/>
  <c r="V50" i="122" s="1"/>
  <c r="AB76" i="81"/>
  <c r="L76" i="82" s="1"/>
  <c r="E76" i="82" s="1"/>
  <c r="F89" i="81"/>
  <c r="V83" i="81"/>
  <c r="Z85" i="81"/>
  <c r="J85" i="82" s="1"/>
  <c r="E85" i="82" s="1"/>
  <c r="E85" i="81"/>
  <c r="Z115" i="81"/>
  <c r="U115" i="81" s="1"/>
  <c r="J134" i="81"/>
  <c r="E115" i="81"/>
  <c r="X16" i="81"/>
  <c r="H16" i="82" s="1"/>
  <c r="X16" i="82" s="1"/>
  <c r="H16" i="90" s="1"/>
  <c r="X16" i="90" s="1"/>
  <c r="H16" i="93" s="1"/>
  <c r="X16" i="93" s="1"/>
  <c r="H16" i="107" s="1"/>
  <c r="X16" i="107" s="1"/>
  <c r="H16" i="108" s="1"/>
  <c r="X16" i="108" s="1"/>
  <c r="H16" i="112" s="1"/>
  <c r="X16" i="112" s="1"/>
  <c r="H16" i="113" s="1"/>
  <c r="X16" i="113" s="1"/>
  <c r="H18" i="117" s="1"/>
  <c r="X18" i="117" s="1"/>
  <c r="H18" i="121" s="1"/>
  <c r="X18" i="121" s="1"/>
  <c r="H18" i="122" s="1"/>
  <c r="X18" i="122" s="1"/>
  <c r="U20" i="81"/>
  <c r="U34" i="81"/>
  <c r="Z35" i="81"/>
  <c r="J35" i="82" s="1"/>
  <c r="Z35" i="82" s="1"/>
  <c r="J40" i="90" s="1"/>
  <c r="Z40" i="90" s="1"/>
  <c r="J40" i="93" s="1"/>
  <c r="Z40" i="93" s="1"/>
  <c r="J41" i="107" s="1"/>
  <c r="Z41" i="107" s="1"/>
  <c r="J41" i="108" s="1"/>
  <c r="Z41" i="108" s="1"/>
  <c r="J41" i="112" s="1"/>
  <c r="Z41" i="112" s="1"/>
  <c r="J41" i="113" s="1"/>
  <c r="Z41" i="113" s="1"/>
  <c r="J47" i="117" s="1"/>
  <c r="Z47" i="117" s="1"/>
  <c r="J48" i="121" s="1"/>
  <c r="Z48" i="121" s="1"/>
  <c r="J48" i="122" s="1"/>
  <c r="Z48" i="122" s="1"/>
  <c r="AB43" i="81"/>
  <c r="L43" i="82" s="1"/>
  <c r="AB43" i="82" s="1"/>
  <c r="L48" i="90" s="1"/>
  <c r="AB48" i="90" s="1"/>
  <c r="L48" i="93" s="1"/>
  <c r="AB48" i="93" s="1"/>
  <c r="L49" i="107" s="1"/>
  <c r="AB49" i="107" s="1"/>
  <c r="L50" i="108" s="1"/>
  <c r="AB50" i="108" s="1"/>
  <c r="L50" i="112" s="1"/>
  <c r="AB50" i="112" s="1"/>
  <c r="L50" i="113" s="1"/>
  <c r="AB50" i="113" s="1"/>
  <c r="L60" i="117" s="1"/>
  <c r="F47" i="81"/>
  <c r="V44" i="81"/>
  <c r="V44" i="82" s="1"/>
  <c r="F49" i="90" s="1"/>
  <c r="V49" i="90" s="1"/>
  <c r="F49" i="93" s="1"/>
  <c r="V49" i="93" s="1"/>
  <c r="F50" i="107" s="1"/>
  <c r="V50" i="107" s="1"/>
  <c r="F51" i="108" s="1"/>
  <c r="V51" i="108" s="1"/>
  <c r="F51" i="112" s="1"/>
  <c r="V51" i="112" s="1"/>
  <c r="F51" i="113" s="1"/>
  <c r="V51" i="113" s="1"/>
  <c r="F61" i="117" s="1"/>
  <c r="V61" i="117" s="1"/>
  <c r="F62" i="121" s="1"/>
  <c r="V62" i="121" s="1"/>
  <c r="F62" i="122" s="1"/>
  <c r="V62" i="122" s="1"/>
  <c r="E44" i="81"/>
  <c r="AB44" i="81"/>
  <c r="L44" i="82" s="1"/>
  <c r="F51" i="81"/>
  <c r="V48" i="81"/>
  <c r="V48" i="82" s="1"/>
  <c r="F53" i="90" s="1"/>
  <c r="V53" i="90" s="1"/>
  <c r="F53" i="93" s="1"/>
  <c r="V53" i="93" s="1"/>
  <c r="F54" i="107" s="1"/>
  <c r="V54" i="107" s="1"/>
  <c r="F55" i="108" s="1"/>
  <c r="V55" i="108" s="1"/>
  <c r="F55" i="112" s="1"/>
  <c r="V55" i="112" s="1"/>
  <c r="F55" i="113" s="1"/>
  <c r="V55" i="113" s="1"/>
  <c r="F65" i="117" s="1"/>
  <c r="V65" i="117" s="1"/>
  <c r="F66" i="121" s="1"/>
  <c r="V66" i="121" s="1"/>
  <c r="F66" i="122" s="1"/>
  <c r="V66" i="122" s="1"/>
  <c r="E48" i="81"/>
  <c r="AB48" i="81"/>
  <c r="L48" i="82" s="1"/>
  <c r="AB48" i="82" s="1"/>
  <c r="L53" i="90" s="1"/>
  <c r="AB53" i="90" s="1"/>
  <c r="L53" i="93" s="1"/>
  <c r="AB53" i="93" s="1"/>
  <c r="L54" i="107" s="1"/>
  <c r="AB54" i="107" s="1"/>
  <c r="L55" i="108" s="1"/>
  <c r="E58" i="81"/>
  <c r="K72" i="81"/>
  <c r="F72" i="81"/>
  <c r="V64" i="81"/>
  <c r="V64" i="82" s="1"/>
  <c r="F69" i="90" s="1"/>
  <c r="V69" i="90" s="1"/>
  <c r="F69" i="93" s="1"/>
  <c r="V69" i="93" s="1"/>
  <c r="F70" i="107" s="1"/>
  <c r="V70" i="107" s="1"/>
  <c r="F71" i="108" s="1"/>
  <c r="V71" i="108" s="1"/>
  <c r="F71" i="112" s="1"/>
  <c r="V71" i="112" s="1"/>
  <c r="F71" i="113" s="1"/>
  <c r="V71" i="113" s="1"/>
  <c r="F81" i="117" s="1"/>
  <c r="V81" i="117" s="1"/>
  <c r="V74" i="81"/>
  <c r="V74" i="82" s="1"/>
  <c r="F79" i="90" s="1"/>
  <c r="V79" i="90" s="1"/>
  <c r="F79" i="93" s="1"/>
  <c r="V79" i="93" s="1"/>
  <c r="F80" i="107" s="1"/>
  <c r="V80" i="107" s="1"/>
  <c r="F81" i="108" s="1"/>
  <c r="V81" i="108" s="1"/>
  <c r="F81" i="112" s="1"/>
  <c r="V81" i="112" s="1"/>
  <c r="F81" i="113" s="1"/>
  <c r="V81" i="113" s="1"/>
  <c r="F91" i="117" s="1"/>
  <c r="V91" i="117" s="1"/>
  <c r="F89" i="121" s="1"/>
  <c r="V89" i="121" s="1"/>
  <c r="F89" i="122" s="1"/>
  <c r="V89" i="122" s="1"/>
  <c r="F81" i="81"/>
  <c r="L81" i="81"/>
  <c r="L90" i="81" s="1"/>
  <c r="E74" i="81"/>
  <c r="AB74" i="81"/>
  <c r="J89" i="81"/>
  <c r="U84" i="81"/>
  <c r="U88" i="81"/>
  <c r="U94" i="81"/>
  <c r="W95" i="81"/>
  <c r="G95" i="82" s="1"/>
  <c r="W95" i="82" s="1"/>
  <c r="G97" i="90" s="1"/>
  <c r="W97" i="90" s="1"/>
  <c r="G97" i="93" s="1"/>
  <c r="W97" i="93" s="1"/>
  <c r="G98" i="107" s="1"/>
  <c r="W98" i="107" s="1"/>
  <c r="G99" i="108" s="1"/>
  <c r="E95" i="81"/>
  <c r="W99" i="81"/>
  <c r="G99" i="82" s="1"/>
  <c r="W99" i="82" s="1"/>
  <c r="G101" i="90" s="1"/>
  <c r="W101" i="90" s="1"/>
  <c r="G101" i="93" s="1"/>
  <c r="W101" i="93" s="1"/>
  <c r="G102" i="107" s="1"/>
  <c r="W102" i="107" s="1"/>
  <c r="G103" i="108" s="1"/>
  <c r="W103" i="108" s="1"/>
  <c r="G103" i="112" s="1"/>
  <c r="W103" i="112" s="1"/>
  <c r="G103" i="113" s="1"/>
  <c r="W103" i="113" s="1"/>
  <c r="G113" i="117" s="1"/>
  <c r="W113" i="117" s="1"/>
  <c r="G111" i="121" s="1"/>
  <c r="W111" i="121" s="1"/>
  <c r="G111" i="122" s="1"/>
  <c r="W111" i="122" s="1"/>
  <c r="E99" i="81"/>
  <c r="AB103" i="81"/>
  <c r="E103" i="81"/>
  <c r="V143" i="81"/>
  <c r="H26" i="81"/>
  <c r="X26" i="81" s="1"/>
  <c r="Z49" i="81"/>
  <c r="H73" i="81"/>
  <c r="G89" i="81"/>
  <c r="W82" i="81"/>
  <c r="G82" i="82" s="1"/>
  <c r="W82" i="82" s="1"/>
  <c r="G84" i="90" s="1"/>
  <c r="W84" i="90" s="1"/>
  <c r="G84" i="93" s="1"/>
  <c r="W84" i="93" s="1"/>
  <c r="G85" i="107" s="1"/>
  <c r="W85" i="107" s="1"/>
  <c r="G86" i="108" s="1"/>
  <c r="W86" i="108" s="1"/>
  <c r="G86" i="112" s="1"/>
  <c r="W86" i="112" s="1"/>
  <c r="G86" i="113" s="1"/>
  <c r="W86" i="113" s="1"/>
  <c r="G96" i="117" s="1"/>
  <c r="W96" i="117" s="1"/>
  <c r="G94" i="121" s="1"/>
  <c r="W94" i="121" s="1"/>
  <c r="G94" i="122" s="1"/>
  <c r="W94" i="122" s="1"/>
  <c r="E82" i="81"/>
  <c r="W86" i="81"/>
  <c r="E86" i="81"/>
  <c r="AB26" i="81"/>
  <c r="M32" i="81"/>
  <c r="X29" i="81"/>
  <c r="H29" i="82" s="1"/>
  <c r="X29" i="82" s="1"/>
  <c r="H32" i="90" s="1"/>
  <c r="X32" i="90" s="1"/>
  <c r="H32" i="93" s="1"/>
  <c r="X32" i="93" s="1"/>
  <c r="H33" i="107" s="1"/>
  <c r="X33" i="107" s="1"/>
  <c r="H33" i="108" s="1"/>
  <c r="X33" i="108" s="1"/>
  <c r="H33" i="112" s="1"/>
  <c r="X33" i="112" s="1"/>
  <c r="H33" i="113" s="1"/>
  <c r="X33" i="113" s="1"/>
  <c r="H39" i="117" s="1"/>
  <c r="X39" i="117" s="1"/>
  <c r="H40" i="121" s="1"/>
  <c r="X40" i="121" s="1"/>
  <c r="H40" i="122" s="1"/>
  <c r="X40" i="122" s="1"/>
  <c r="W36" i="81"/>
  <c r="G37" i="81"/>
  <c r="W37" i="81" s="1"/>
  <c r="G37" i="82" s="1"/>
  <c r="W37" i="82" s="1"/>
  <c r="G39" i="90" s="1"/>
  <c r="K62" i="81"/>
  <c r="U59" i="81"/>
  <c r="Z66" i="81"/>
  <c r="E66" i="81"/>
  <c r="Z70" i="81"/>
  <c r="J70" i="82" s="1"/>
  <c r="Z70" i="82" s="1"/>
  <c r="J75" i="90" s="1"/>
  <c r="Z75" i="90" s="1"/>
  <c r="J75" i="93" s="1"/>
  <c r="Z75" i="93" s="1"/>
  <c r="J76" i="107" s="1"/>
  <c r="Z76" i="107" s="1"/>
  <c r="J77" i="108" s="1"/>
  <c r="Z77" i="108" s="1"/>
  <c r="J77" i="112" s="1"/>
  <c r="Z77" i="112" s="1"/>
  <c r="J77" i="113" s="1"/>
  <c r="Z77" i="113" s="1"/>
  <c r="J87" i="117" s="1"/>
  <c r="Z87" i="117" s="1"/>
  <c r="J85" i="121" s="1"/>
  <c r="Z85" i="121" s="1"/>
  <c r="J85" i="122" s="1"/>
  <c r="Z85" i="122" s="1"/>
  <c r="E80" i="81"/>
  <c r="AB80" i="81"/>
  <c r="K89" i="81"/>
  <c r="E83" i="81"/>
  <c r="E87" i="81"/>
  <c r="H90" i="81"/>
  <c r="E101" i="81"/>
  <c r="AB101" i="81"/>
  <c r="L101" i="82" s="1"/>
  <c r="E101" i="82" s="1"/>
  <c r="E107" i="81"/>
  <c r="E110" i="81"/>
  <c r="E111" i="81"/>
  <c r="U125" i="81"/>
  <c r="Z45" i="81"/>
  <c r="E88" i="81"/>
  <c r="W26" i="81"/>
  <c r="J32" i="81"/>
  <c r="Z32" i="81" s="1"/>
  <c r="E28" i="81"/>
  <c r="X35" i="81"/>
  <c r="H35" i="82" s="1"/>
  <c r="X35" i="82" s="1"/>
  <c r="H40" i="90" s="1"/>
  <c r="X40" i="90" s="1"/>
  <c r="H40" i="93" s="1"/>
  <c r="X40" i="93" s="1"/>
  <c r="H41" i="107" s="1"/>
  <c r="X41" i="107" s="1"/>
  <c r="H41" i="108" s="1"/>
  <c r="X41" i="108" s="1"/>
  <c r="H41" i="112" s="1"/>
  <c r="X41" i="112" s="1"/>
  <c r="H41" i="113" s="1"/>
  <c r="X41" i="113" s="1"/>
  <c r="H47" i="117" s="1"/>
  <c r="X47" i="117" s="1"/>
  <c r="H48" i="121" s="1"/>
  <c r="X48" i="121" s="1"/>
  <c r="H48" i="122" s="1"/>
  <c r="X48" i="122" s="1"/>
  <c r="E35" i="81"/>
  <c r="J47" i="81"/>
  <c r="J51" i="81"/>
  <c r="P52" i="81"/>
  <c r="E54" i="81"/>
  <c r="U57" i="81"/>
  <c r="G72" i="81"/>
  <c r="W63" i="81"/>
  <c r="U65" i="81"/>
  <c r="U69" i="81"/>
  <c r="E71" i="81"/>
  <c r="AB71" i="81"/>
  <c r="L71" i="82" s="1"/>
  <c r="E71" i="82" s="1"/>
  <c r="Z81" i="81"/>
  <c r="J81" i="82" s="1"/>
  <c r="E78" i="81"/>
  <c r="AB78" i="81"/>
  <c r="L78" i="82" s="1"/>
  <c r="AB78" i="82" s="1"/>
  <c r="L83" i="90" s="1"/>
  <c r="AB83" i="90" s="1"/>
  <c r="L83" i="93" s="1"/>
  <c r="AB83" i="93" s="1"/>
  <c r="L84" i="107" s="1"/>
  <c r="AB84" i="107" s="1"/>
  <c r="L85" i="108" s="1"/>
  <c r="G114" i="81"/>
  <c r="W93" i="81"/>
  <c r="E93" i="81"/>
  <c r="U96" i="81"/>
  <c r="W97" i="81"/>
  <c r="E97" i="81"/>
  <c r="H114" i="81"/>
  <c r="X106" i="81"/>
  <c r="E106" i="81"/>
  <c r="AB113" i="81"/>
  <c r="E113" i="81"/>
  <c r="E132" i="81"/>
  <c r="AB132" i="81"/>
  <c r="L130" i="82" s="1"/>
  <c r="E130" i="82" s="1"/>
  <c r="AA35" i="81"/>
  <c r="K35" i="82" s="1"/>
  <c r="AB46" i="81"/>
  <c r="AB50" i="81"/>
  <c r="AB53" i="81"/>
  <c r="L53" i="82" s="1"/>
  <c r="E53" i="82" s="1"/>
  <c r="Z54" i="81"/>
  <c r="Z56" i="81"/>
  <c r="Z58" i="81"/>
  <c r="J58" i="82" s="1"/>
  <c r="Z58" i="82" s="1"/>
  <c r="J63" i="90" s="1"/>
  <c r="Z63" i="90" s="1"/>
  <c r="J63" i="93" s="1"/>
  <c r="Z63" i="93" s="1"/>
  <c r="J64" i="107" s="1"/>
  <c r="Z64" i="107" s="1"/>
  <c r="J65" i="108" s="1"/>
  <c r="Z65" i="108" s="1"/>
  <c r="J65" i="112" s="1"/>
  <c r="Z65" i="112" s="1"/>
  <c r="J65" i="113" s="1"/>
  <c r="Z65" i="113" s="1"/>
  <c r="J75" i="117" s="1"/>
  <c r="Z75" i="117" s="1"/>
  <c r="J76" i="121" s="1"/>
  <c r="Z76" i="121" s="1"/>
  <c r="J76" i="122" s="1"/>
  <c r="Z76" i="122" s="1"/>
  <c r="Z60" i="81"/>
  <c r="J62" i="81"/>
  <c r="J72" i="81"/>
  <c r="E75" i="81"/>
  <c r="E77" i="81"/>
  <c r="E79" i="81"/>
  <c r="J81" i="81"/>
  <c r="AA82" i="81"/>
  <c r="K82" i="82" s="1"/>
  <c r="AA82" i="82" s="1"/>
  <c r="K87" i="90" s="1"/>
  <c r="AA87" i="90" s="1"/>
  <c r="K87" i="93" s="1"/>
  <c r="AA87" i="93" s="1"/>
  <c r="K88" i="107" s="1"/>
  <c r="AA88" i="107" s="1"/>
  <c r="K89" i="108" s="1"/>
  <c r="Z83" i="81"/>
  <c r="Z87" i="81"/>
  <c r="J87" i="82" s="1"/>
  <c r="Z87" i="82" s="1"/>
  <c r="J92" i="90" s="1"/>
  <c r="Z92" i="90" s="1"/>
  <c r="J92" i="93" s="1"/>
  <c r="Z92" i="93" s="1"/>
  <c r="J93" i="107" s="1"/>
  <c r="Z93" i="107" s="1"/>
  <c r="J94" i="108" s="1"/>
  <c r="Z94" i="108" s="1"/>
  <c r="J94" i="112" s="1"/>
  <c r="Z94" i="112" s="1"/>
  <c r="J94" i="113" s="1"/>
  <c r="Z94" i="113" s="1"/>
  <c r="J104" i="117" s="1"/>
  <c r="Z104" i="117" s="1"/>
  <c r="J102" i="121" s="1"/>
  <c r="Z102" i="121" s="1"/>
  <c r="J102" i="122" s="1"/>
  <c r="Z102" i="122" s="1"/>
  <c r="Z93" i="81"/>
  <c r="AB107" i="81"/>
  <c r="L106" i="82" s="1"/>
  <c r="AB106" i="82" s="1"/>
  <c r="L111" i="90" s="1"/>
  <c r="AB111" i="90" s="1"/>
  <c r="L111" i="93" s="1"/>
  <c r="AB111" i="93" s="1"/>
  <c r="L112" i="107" s="1"/>
  <c r="AB112" i="107" s="1"/>
  <c r="L113" i="108" s="1"/>
  <c r="AB109" i="81"/>
  <c r="L107" i="82" s="1"/>
  <c r="AB107" i="82" s="1"/>
  <c r="L112" i="90" s="1"/>
  <c r="AB112" i="90" s="1"/>
  <c r="L112" i="93" s="1"/>
  <c r="AB112" i="93" s="1"/>
  <c r="L113" i="107" s="1"/>
  <c r="AB113" i="107" s="1"/>
  <c r="L114" i="108" s="1"/>
  <c r="AB111" i="81"/>
  <c r="K134" i="81"/>
  <c r="U119" i="81"/>
  <c r="U122" i="81"/>
  <c r="E128" i="81"/>
  <c r="AB128" i="81"/>
  <c r="L126" i="82" s="1"/>
  <c r="E126" i="82" s="1"/>
  <c r="G134" i="81"/>
  <c r="U139" i="81"/>
  <c r="AB142" i="81"/>
  <c r="E142" i="81"/>
  <c r="E152" i="81"/>
  <c r="Z152" i="81"/>
  <c r="R162" i="81"/>
  <c r="R196" i="81" s="1"/>
  <c r="E163" i="81"/>
  <c r="Z163" i="81"/>
  <c r="J162" i="82" s="1"/>
  <c r="Z162" i="82" s="1"/>
  <c r="J173" i="90" s="1"/>
  <c r="Z173" i="90" s="1"/>
  <c r="J175" i="93" s="1"/>
  <c r="Z175" i="93" s="1"/>
  <c r="J182" i="107" s="1"/>
  <c r="Z182" i="107" s="1"/>
  <c r="J185" i="108" s="1"/>
  <c r="Z185" i="108" s="1"/>
  <c r="J187" i="112" s="1"/>
  <c r="Z187" i="112" s="1"/>
  <c r="J191" i="113" s="1"/>
  <c r="Z191" i="113" s="1"/>
  <c r="J203" i="117" s="1"/>
  <c r="Z203" i="117" s="1"/>
  <c r="J201" i="121" s="1"/>
  <c r="Z201" i="121" s="1"/>
  <c r="J201" i="122" s="1"/>
  <c r="Z201" i="122" s="1"/>
  <c r="G172" i="81"/>
  <c r="W170" i="81"/>
  <c r="G175" i="82" s="1"/>
  <c r="W175" i="82" s="1"/>
  <c r="G177" i="90" s="1"/>
  <c r="W177" i="90" s="1"/>
  <c r="G179" i="93" s="1"/>
  <c r="W179" i="93" s="1"/>
  <c r="G186" i="107" s="1"/>
  <c r="W186" i="107" s="1"/>
  <c r="G189" i="108" s="1"/>
  <c r="W189" i="108" s="1"/>
  <c r="G191" i="112" s="1"/>
  <c r="W191" i="112" s="1"/>
  <c r="G195" i="113" s="1"/>
  <c r="W195" i="113" s="1"/>
  <c r="G207" i="117" s="1"/>
  <c r="W207" i="117" s="1"/>
  <c r="G205" i="121" s="1"/>
  <c r="W205" i="121" s="1"/>
  <c r="G205" i="122" s="1"/>
  <c r="W205" i="122" s="1"/>
  <c r="AA27" i="81"/>
  <c r="AA29" i="81"/>
  <c r="K29" i="82" s="1"/>
  <c r="AA29" i="82" s="1"/>
  <c r="K32" i="90" s="1"/>
  <c r="AA32" i="90" s="1"/>
  <c r="K32" i="93" s="1"/>
  <c r="AA32" i="93" s="1"/>
  <c r="K33" i="107" s="1"/>
  <c r="AA33" i="107" s="1"/>
  <c r="K33" i="108" s="1"/>
  <c r="AA33" i="108" s="1"/>
  <c r="K33" i="112" s="1"/>
  <c r="AA33" i="112" s="1"/>
  <c r="K33" i="113" s="1"/>
  <c r="AA33" i="113" s="1"/>
  <c r="K39" i="117" s="1"/>
  <c r="AA39" i="117" s="1"/>
  <c r="K40" i="121" s="1"/>
  <c r="AA40" i="121" s="1"/>
  <c r="K40" i="122" s="1"/>
  <c r="AA40" i="122" s="1"/>
  <c r="X40" i="81"/>
  <c r="Z44" i="81"/>
  <c r="Z48" i="81"/>
  <c r="AB70" i="81"/>
  <c r="K114" i="81"/>
  <c r="AA93" i="81"/>
  <c r="E105" i="81"/>
  <c r="F134" i="81"/>
  <c r="M134" i="81"/>
  <c r="U121" i="81"/>
  <c r="U124" i="81"/>
  <c r="AA137" i="81"/>
  <c r="Z147" i="81"/>
  <c r="E147" i="81"/>
  <c r="J154" i="81"/>
  <c r="V161" i="81"/>
  <c r="U156" i="81"/>
  <c r="U157" i="81"/>
  <c r="U158" i="81"/>
  <c r="U159" i="81"/>
  <c r="E27" i="81"/>
  <c r="AA44" i="81"/>
  <c r="AA48" i="81"/>
  <c r="F114" i="81"/>
  <c r="L114" i="81"/>
  <c r="AB93" i="81"/>
  <c r="L93" i="82" s="1"/>
  <c r="AB93" i="82" s="1"/>
  <c r="L98" i="90" s="1"/>
  <c r="AB98" i="90" s="1"/>
  <c r="L98" i="93" s="1"/>
  <c r="AB98" i="93" s="1"/>
  <c r="L99" i="107" s="1"/>
  <c r="AB99" i="107" s="1"/>
  <c r="L100" i="108" s="1"/>
  <c r="W134" i="81"/>
  <c r="G132" i="82" s="1"/>
  <c r="U118" i="81"/>
  <c r="E126" i="81"/>
  <c r="AB126" i="81"/>
  <c r="L124" i="82" s="1"/>
  <c r="AB124" i="82" s="1"/>
  <c r="L132" i="90" s="1"/>
  <c r="AB132" i="90" s="1"/>
  <c r="L132" i="93" s="1"/>
  <c r="AB132" i="93" s="1"/>
  <c r="L133" i="107" s="1"/>
  <c r="AB133" i="107" s="1"/>
  <c r="L134" i="108" s="1"/>
  <c r="E130" i="81"/>
  <c r="E135" i="81"/>
  <c r="W135" i="81"/>
  <c r="G133" i="82" s="1"/>
  <c r="W133" i="82" s="1"/>
  <c r="G138" i="90" s="1"/>
  <c r="W138" i="90" s="1"/>
  <c r="G138" i="93" s="1"/>
  <c r="W138" i="93" s="1"/>
  <c r="G139" i="107" s="1"/>
  <c r="W139" i="107" s="1"/>
  <c r="G140" i="108" s="1"/>
  <c r="W140" i="108" s="1"/>
  <c r="G140" i="112" s="1"/>
  <c r="W140" i="112" s="1"/>
  <c r="G142" i="113" s="1"/>
  <c r="W142" i="113" s="1"/>
  <c r="G153" i="117" s="1"/>
  <c r="W153" i="117" s="1"/>
  <c r="G151" i="121" s="1"/>
  <c r="W151" i="121" s="1"/>
  <c r="G151" i="122" s="1"/>
  <c r="W151" i="122" s="1"/>
  <c r="G143" i="81"/>
  <c r="G154" i="81"/>
  <c r="W144" i="81"/>
  <c r="E146" i="81"/>
  <c r="AB146" i="81"/>
  <c r="E129" i="81"/>
  <c r="H134" i="81"/>
  <c r="F143" i="81"/>
  <c r="W137" i="81"/>
  <c r="E148" i="81"/>
  <c r="AB148" i="81"/>
  <c r="Z151" i="81"/>
  <c r="U153" i="81"/>
  <c r="J161" i="81"/>
  <c r="Z155" i="81"/>
  <c r="W160" i="81"/>
  <c r="G159" i="82" s="1"/>
  <c r="W159" i="82" s="1"/>
  <c r="G161" i="90" s="1"/>
  <c r="W161" i="90" s="1"/>
  <c r="E160" i="81"/>
  <c r="V174" i="81"/>
  <c r="W180" i="81"/>
  <c r="G181" i="81"/>
  <c r="E180" i="81"/>
  <c r="E181" i="81" s="1"/>
  <c r="E199" i="81"/>
  <c r="AB199" i="81"/>
  <c r="E116" i="81"/>
  <c r="AA116" i="81"/>
  <c r="U116" i="81" s="1"/>
  <c r="E118" i="81"/>
  <c r="E120" i="81"/>
  <c r="E122" i="81"/>
  <c r="E124" i="81"/>
  <c r="X143" i="81"/>
  <c r="H141" i="82" s="1"/>
  <c r="E138" i="81"/>
  <c r="E140" i="81"/>
  <c r="H143" i="81"/>
  <c r="H162" i="81" s="1"/>
  <c r="X154" i="81"/>
  <c r="H153" i="82" s="1"/>
  <c r="E150" i="81"/>
  <c r="AB150" i="81"/>
  <c r="L148" i="82" s="1"/>
  <c r="AB148" i="82" s="1"/>
  <c r="L157" i="90" s="1"/>
  <c r="AB157" i="90" s="1"/>
  <c r="L157" i="93" s="1"/>
  <c r="AB157" i="93" s="1"/>
  <c r="L163" i="107" s="1"/>
  <c r="AB163" i="107" s="1"/>
  <c r="L165" i="108" s="1"/>
  <c r="E155" i="81"/>
  <c r="E156" i="81"/>
  <c r="E157" i="81"/>
  <c r="E158" i="81"/>
  <c r="E159" i="81"/>
  <c r="G169" i="81"/>
  <c r="M169" i="81"/>
  <c r="J188" i="81"/>
  <c r="Z187" i="81"/>
  <c r="J143" i="81"/>
  <c r="Z137" i="81"/>
  <c r="AB138" i="81"/>
  <c r="U138" i="81" s="1"/>
  <c r="V144" i="81"/>
  <c r="V142" i="82" s="1"/>
  <c r="F151" i="90" s="1"/>
  <c r="V151" i="90" s="1"/>
  <c r="F151" i="93" s="1"/>
  <c r="V151" i="93" s="1"/>
  <c r="F157" i="107" s="1"/>
  <c r="V157" i="107" s="1"/>
  <c r="F159" i="108" s="1"/>
  <c r="V159" i="108" s="1"/>
  <c r="F161" i="112" s="1"/>
  <c r="V161" i="112" s="1"/>
  <c r="F165" i="113" s="1"/>
  <c r="V165" i="113" s="1"/>
  <c r="F177" i="117" s="1"/>
  <c r="V177" i="117" s="1"/>
  <c r="F175" i="121" s="1"/>
  <c r="V175" i="121" s="1"/>
  <c r="F175" i="122" s="1"/>
  <c r="V175" i="122" s="1"/>
  <c r="F154" i="81"/>
  <c r="L154" i="81"/>
  <c r="E144" i="81"/>
  <c r="AB144" i="81"/>
  <c r="P162" i="81"/>
  <c r="H169" i="81"/>
  <c r="X166" i="81"/>
  <c r="H165" i="82" s="1"/>
  <c r="X165" i="82" s="1"/>
  <c r="H176" i="90" s="1"/>
  <c r="X176" i="90" s="1"/>
  <c r="H178" i="93" s="1"/>
  <c r="X178" i="93" s="1"/>
  <c r="H185" i="107" s="1"/>
  <c r="X185" i="107" s="1"/>
  <c r="H188" i="108" s="1"/>
  <c r="X188" i="108" s="1"/>
  <c r="H190" i="112" s="1"/>
  <c r="X190" i="112" s="1"/>
  <c r="H194" i="113" s="1"/>
  <c r="X194" i="113" s="1"/>
  <c r="H206" i="117" s="1"/>
  <c r="X206" i="117" s="1"/>
  <c r="H204" i="121" s="1"/>
  <c r="X204" i="121" s="1"/>
  <c r="H204" i="122" s="1"/>
  <c r="X204" i="122" s="1"/>
  <c r="E166" i="81"/>
  <c r="V167" i="81"/>
  <c r="F169" i="81"/>
  <c r="AB167" i="81"/>
  <c r="L166" i="82" s="1"/>
  <c r="AB166" i="82" s="1"/>
  <c r="L177" i="90" s="1"/>
  <c r="AB177" i="90" s="1"/>
  <c r="L179" i="93" s="1"/>
  <c r="AB179" i="93" s="1"/>
  <c r="L186" i="107" s="1"/>
  <c r="AB186" i="107" s="1"/>
  <c r="L189" i="108" s="1"/>
  <c r="E167" i="81"/>
  <c r="V177" i="81"/>
  <c r="V182" i="82" s="1"/>
  <c r="F196" i="90" s="1"/>
  <c r="V196" i="90" s="1"/>
  <c r="F203" i="93" s="1"/>
  <c r="V203" i="93" s="1"/>
  <c r="F210" i="107" s="1"/>
  <c r="V210" i="107" s="1"/>
  <c r="F213" i="108" s="1"/>
  <c r="V213" i="108" s="1"/>
  <c r="F215" i="112" s="1"/>
  <c r="V215" i="112" s="1"/>
  <c r="F219" i="113" s="1"/>
  <c r="V219" i="113" s="1"/>
  <c r="F234" i="117" s="1"/>
  <c r="V234" i="117" s="1"/>
  <c r="F238" i="121" s="1"/>
  <c r="V238" i="121" s="1"/>
  <c r="F238" i="122" s="1"/>
  <c r="V238" i="122" s="1"/>
  <c r="F179" i="81"/>
  <c r="E177" i="81"/>
  <c r="L179" i="81"/>
  <c r="AB177" i="81"/>
  <c r="Y196" i="81"/>
  <c r="Y201" i="81" s="1"/>
  <c r="V183" i="81"/>
  <c r="W155" i="81"/>
  <c r="AA163" i="81"/>
  <c r="G165" i="81"/>
  <c r="F174" i="81"/>
  <c r="U175" i="81"/>
  <c r="V188" i="81"/>
  <c r="K154" i="81"/>
  <c r="AB163" i="81"/>
  <c r="L169" i="81"/>
  <c r="W166" i="81"/>
  <c r="AB166" i="81"/>
  <c r="E168" i="81"/>
  <c r="E170" i="81"/>
  <c r="G174" i="81"/>
  <c r="W176" i="81"/>
  <c r="G181" i="82" s="1"/>
  <c r="W181" i="82" s="1"/>
  <c r="G183" i="90" s="1"/>
  <c r="J181" i="81"/>
  <c r="Z180" i="81"/>
  <c r="V185" i="81"/>
  <c r="W186" i="81"/>
  <c r="G188" i="81"/>
  <c r="E190" i="81"/>
  <c r="G192" i="81"/>
  <c r="W190" i="81"/>
  <c r="U197" i="81"/>
  <c r="R199" i="81"/>
  <c r="Z199" i="81" s="1"/>
  <c r="E171" i="81"/>
  <c r="F172" i="81"/>
  <c r="L172" i="81"/>
  <c r="E173" i="81"/>
  <c r="E174" i="81" s="1"/>
  <c r="W184" i="81"/>
  <c r="G185" i="81"/>
  <c r="E191" i="81"/>
  <c r="V191" i="81"/>
  <c r="V202" i="82" s="1"/>
  <c r="F216" i="90" s="1"/>
  <c r="V216" i="90" s="1"/>
  <c r="F226" i="93" s="1"/>
  <c r="V226" i="93" s="1"/>
  <c r="F233" i="107" s="1"/>
  <c r="V233" i="107" s="1"/>
  <c r="F236" i="108" s="1"/>
  <c r="V236" i="108" s="1"/>
  <c r="F238" i="112" s="1"/>
  <c r="V238" i="112" s="1"/>
  <c r="F243" i="113" s="1"/>
  <c r="V243" i="113" s="1"/>
  <c r="F258" i="117" s="1"/>
  <c r="V258" i="117" s="1"/>
  <c r="F262" i="121" s="1"/>
  <c r="V262" i="121" s="1"/>
  <c r="F262" i="122" s="1"/>
  <c r="V262" i="122" s="1"/>
  <c r="F192" i="81"/>
  <c r="N193" i="81"/>
  <c r="S193" i="81"/>
  <c r="U194" i="81"/>
  <c r="U195" i="81"/>
  <c r="AA171" i="81"/>
  <c r="E175" i="81"/>
  <c r="AA182" i="81"/>
  <c r="G183" i="81"/>
  <c r="F185" i="81"/>
  <c r="K185" i="81"/>
  <c r="L188" i="81"/>
  <c r="AA190" i="81"/>
  <c r="M195" i="81"/>
  <c r="AA198" i="81"/>
  <c r="AB182" i="81"/>
  <c r="E184" i="81"/>
  <c r="E185" i="81" s="1"/>
  <c r="L185" i="81"/>
  <c r="E186" i="81"/>
  <c r="H188" i="81"/>
  <c r="H193" i="81" s="1"/>
  <c r="E194" i="81"/>
  <c r="AA177" i="81"/>
  <c r="AB81" i="122" l="1"/>
  <c r="AB46" i="122"/>
  <c r="L269" i="122"/>
  <c r="AB269" i="122" s="1"/>
  <c r="L269" i="121"/>
  <c r="AB269" i="121" s="1"/>
  <c r="L268" i="122"/>
  <c r="L268" i="121"/>
  <c r="AB268" i="121" s="1"/>
  <c r="AB261" i="122"/>
  <c r="AB193" i="122"/>
  <c r="AB42" i="122"/>
  <c r="AB262" i="122"/>
  <c r="AB56" i="122"/>
  <c r="AB195" i="122"/>
  <c r="AB47" i="122"/>
  <c r="AB196" i="122"/>
  <c r="L82" i="121"/>
  <c r="AB82" i="121" s="1"/>
  <c r="L82" i="122" s="1"/>
  <c r="AB24" i="122"/>
  <c r="J268" i="121"/>
  <c r="Z268" i="121" s="1"/>
  <c r="J268" i="122"/>
  <c r="Z268" i="122" s="1"/>
  <c r="H268" i="121"/>
  <c r="X268" i="121" s="1"/>
  <c r="H268" i="122"/>
  <c r="X268" i="122" s="1"/>
  <c r="AB234" i="122"/>
  <c r="AB102" i="122"/>
  <c r="AB54" i="122"/>
  <c r="AB16" i="122"/>
  <c r="AA206" i="122"/>
  <c r="AB103" i="122"/>
  <c r="AB100" i="122"/>
  <c r="AB20" i="122"/>
  <c r="AB31" i="122"/>
  <c r="AB14" i="122"/>
  <c r="H270" i="122"/>
  <c r="H270" i="121"/>
  <c r="F268" i="121"/>
  <c r="V268" i="121" s="1"/>
  <c r="F268" i="122"/>
  <c r="V268" i="122" s="1"/>
  <c r="AB98" i="122"/>
  <c r="AB53" i="122"/>
  <c r="AB194" i="122"/>
  <c r="AB99" i="122"/>
  <c r="AB59" i="122"/>
  <c r="AB241" i="122"/>
  <c r="AB30" i="122"/>
  <c r="K268" i="121"/>
  <c r="K268" i="122"/>
  <c r="AA268" i="122" s="1"/>
  <c r="AA125" i="122"/>
  <c r="AB197" i="122"/>
  <c r="AB83" i="122"/>
  <c r="AB202" i="122"/>
  <c r="AB49" i="122"/>
  <c r="X232" i="122"/>
  <c r="AB101" i="122"/>
  <c r="AB29" i="122"/>
  <c r="AA245" i="121"/>
  <c r="K245" i="122" s="1"/>
  <c r="AA245" i="122" s="1"/>
  <c r="AA89" i="121"/>
  <c r="K89" i="122" s="1"/>
  <c r="AA89" i="122" s="1"/>
  <c r="U268" i="121"/>
  <c r="AA259" i="121"/>
  <c r="K259" i="122" s="1"/>
  <c r="AA259" i="122" s="1"/>
  <c r="AA268" i="121"/>
  <c r="E268" i="121"/>
  <c r="E179" i="81"/>
  <c r="K264" i="117"/>
  <c r="AA264" i="117" s="1"/>
  <c r="F264" i="117"/>
  <c r="V264" i="117" s="1"/>
  <c r="N196" i="81"/>
  <c r="N201" i="81" s="1"/>
  <c r="AB37" i="82"/>
  <c r="L42" i="90" s="1"/>
  <c r="AB42" i="90" s="1"/>
  <c r="L42" i="93" s="1"/>
  <c r="AB42" i="93" s="1"/>
  <c r="L43" i="107" s="1"/>
  <c r="AB43" i="107" s="1"/>
  <c r="L43" i="108" s="1"/>
  <c r="AB43" i="108" s="1"/>
  <c r="L43" i="112" s="1"/>
  <c r="AB43" i="112" s="1"/>
  <c r="L43" i="113" s="1"/>
  <c r="AB43" i="113" s="1"/>
  <c r="L49" i="117" s="1"/>
  <c r="AB49" i="117" s="1"/>
  <c r="L50" i="121" s="1"/>
  <c r="AB50" i="121" s="1"/>
  <c r="L50" i="122" s="1"/>
  <c r="J264" i="117"/>
  <c r="Z264" i="117" s="1"/>
  <c r="H264" i="117"/>
  <c r="X264" i="117" s="1"/>
  <c r="AB78" i="117"/>
  <c r="L79" i="121" s="1"/>
  <c r="AB79" i="121" s="1"/>
  <c r="L79" i="122" s="1"/>
  <c r="H12" i="112"/>
  <c r="X12" i="112" s="1"/>
  <c r="F17" i="112"/>
  <c r="V17" i="112" s="1"/>
  <c r="F17" i="113" s="1"/>
  <c r="V17" i="113" s="1"/>
  <c r="AB99" i="117"/>
  <c r="L97" i="121" s="1"/>
  <c r="AB97" i="121" s="1"/>
  <c r="L97" i="122" s="1"/>
  <c r="AB231" i="117"/>
  <c r="L235" i="121" s="1"/>
  <c r="AB235" i="121" s="1"/>
  <c r="L235" i="122" s="1"/>
  <c r="AB238" i="117"/>
  <c r="L242" i="121" s="1"/>
  <c r="AB242" i="121" s="1"/>
  <c r="L242" i="122" s="1"/>
  <c r="AB147" i="107"/>
  <c r="L149" i="108" s="1"/>
  <c r="L147" i="108"/>
  <c r="AB147" i="108" s="1"/>
  <c r="AA11" i="117"/>
  <c r="K11" i="121" s="1"/>
  <c r="AA11" i="121" s="1"/>
  <c r="K11" i="122" s="1"/>
  <c r="AB57" i="117"/>
  <c r="L58" i="121" s="1"/>
  <c r="AB58" i="121" s="1"/>
  <c r="L58" i="122" s="1"/>
  <c r="AB86" i="117"/>
  <c r="L84" i="121" s="1"/>
  <c r="AB84" i="121" s="1"/>
  <c r="L84" i="122" s="1"/>
  <c r="AB18" i="117"/>
  <c r="L18" i="121" s="1"/>
  <c r="AB18" i="121" s="1"/>
  <c r="L18" i="122" s="1"/>
  <c r="H241" i="107"/>
  <c r="H266" i="117"/>
  <c r="H251" i="113"/>
  <c r="H246" i="112"/>
  <c r="H244" i="108"/>
  <c r="Z11" i="117"/>
  <c r="J11" i="121" s="1"/>
  <c r="Z11" i="121" s="1"/>
  <c r="J11" i="122" s="1"/>
  <c r="L240" i="107"/>
  <c r="L265" i="117"/>
  <c r="L250" i="113"/>
  <c r="AB250" i="113" s="1"/>
  <c r="L245" i="112"/>
  <c r="AB245" i="112" s="1"/>
  <c r="L243" i="108"/>
  <c r="AB243" i="108" s="1"/>
  <c r="AB60" i="117"/>
  <c r="L61" i="121" s="1"/>
  <c r="AB61" i="121" s="1"/>
  <c r="L61" i="122" s="1"/>
  <c r="AB259" i="117"/>
  <c r="L263" i="121" s="1"/>
  <c r="AB263" i="121" s="1"/>
  <c r="L263" i="122" s="1"/>
  <c r="X117" i="117"/>
  <c r="H115" i="121" s="1"/>
  <c r="X115" i="121" s="1"/>
  <c r="H115" i="122" s="1"/>
  <c r="X147" i="107"/>
  <c r="H149" i="108" s="1"/>
  <c r="H147" i="108"/>
  <c r="X147" i="108" s="1"/>
  <c r="AB11" i="117"/>
  <c r="L11" i="121" s="1"/>
  <c r="AB11" i="121" s="1"/>
  <c r="L11" i="122" s="1"/>
  <c r="H206" i="112"/>
  <c r="X206" i="112" s="1"/>
  <c r="X246" i="108"/>
  <c r="AB194" i="117"/>
  <c r="L192" i="121" s="1"/>
  <c r="AB192" i="121" s="1"/>
  <c r="L192" i="122" s="1"/>
  <c r="X79" i="117"/>
  <c r="H80" i="121" s="1"/>
  <c r="X80" i="121" s="1"/>
  <c r="H80" i="122" s="1"/>
  <c r="L239" i="107"/>
  <c r="L264" i="117"/>
  <c r="L249" i="113"/>
  <c r="AB249" i="113" s="1"/>
  <c r="L244" i="112"/>
  <c r="AB244" i="112" s="1"/>
  <c r="L242" i="108"/>
  <c r="AB242" i="108" s="1"/>
  <c r="E68" i="108"/>
  <c r="U68" i="108" s="1"/>
  <c r="J249" i="113"/>
  <c r="Z249" i="113" s="1"/>
  <c r="H249" i="113"/>
  <c r="X249" i="113" s="1"/>
  <c r="F249" i="113"/>
  <c r="V249" i="113" s="1"/>
  <c r="E246" i="113"/>
  <c r="U246" i="113" s="1"/>
  <c r="AB246" i="113"/>
  <c r="L261" i="117" s="1"/>
  <c r="K249" i="113"/>
  <c r="AB247" i="113"/>
  <c r="L262" i="117" s="1"/>
  <c r="G73" i="81"/>
  <c r="E104" i="82"/>
  <c r="E179" i="108"/>
  <c r="U179" i="108" s="1"/>
  <c r="AA179" i="108"/>
  <c r="K181" i="112" s="1"/>
  <c r="E104" i="108"/>
  <c r="U104" i="108" s="1"/>
  <c r="AB104" i="108"/>
  <c r="L104" i="112" s="1"/>
  <c r="E220" i="108"/>
  <c r="U220" i="108" s="1"/>
  <c r="AB220" i="108"/>
  <c r="L222" i="112" s="1"/>
  <c r="E42" i="108"/>
  <c r="U42" i="108" s="1"/>
  <c r="AA42" i="108"/>
  <c r="K42" i="112" s="1"/>
  <c r="AB234" i="108"/>
  <c r="L236" i="112" s="1"/>
  <c r="F239" i="107"/>
  <c r="V239" i="107" s="1"/>
  <c r="F244" i="112"/>
  <c r="V244" i="112" s="1"/>
  <c r="F242" i="108"/>
  <c r="V242" i="108" s="1"/>
  <c r="F20" i="112"/>
  <c r="V20" i="112" s="1"/>
  <c r="F20" i="113" s="1"/>
  <c r="V20" i="113" s="1"/>
  <c r="F22" i="117" s="1"/>
  <c r="V22" i="117" s="1"/>
  <c r="F22" i="121" s="1"/>
  <c r="V22" i="121" s="1"/>
  <c r="F22" i="122" s="1"/>
  <c r="V22" i="122" s="1"/>
  <c r="E69" i="108"/>
  <c r="U69" i="108" s="1"/>
  <c r="W69" i="108"/>
  <c r="G69" i="112" s="1"/>
  <c r="AB135" i="112"/>
  <c r="L137" i="113" s="1"/>
  <c r="E65" i="112"/>
  <c r="U65" i="112" s="1"/>
  <c r="AB65" i="112"/>
  <c r="L65" i="113" s="1"/>
  <c r="AB128" i="112"/>
  <c r="L130" i="113" s="1"/>
  <c r="AB33" i="112"/>
  <c r="L33" i="113" s="1"/>
  <c r="E111" i="112"/>
  <c r="U111" i="112" s="1"/>
  <c r="AB111" i="112"/>
  <c r="L111" i="113" s="1"/>
  <c r="AA76" i="112"/>
  <c r="K76" i="113" s="1"/>
  <c r="E162" i="112"/>
  <c r="U162" i="112" s="1"/>
  <c r="AB162" i="112"/>
  <c r="L166" i="113" s="1"/>
  <c r="AA94" i="112"/>
  <c r="K94" i="113" s="1"/>
  <c r="AB155" i="112"/>
  <c r="L159" i="113" s="1"/>
  <c r="AA95" i="112"/>
  <c r="K95" i="113" s="1"/>
  <c r="E95" i="112"/>
  <c r="U95" i="112" s="1"/>
  <c r="AB132" i="112"/>
  <c r="L134" i="113" s="1"/>
  <c r="AA71" i="112"/>
  <c r="K71" i="113" s="1"/>
  <c r="E71" i="112"/>
  <c r="U71" i="112" s="1"/>
  <c r="E105" i="112"/>
  <c r="U105" i="112" s="1"/>
  <c r="AB105" i="112"/>
  <c r="L105" i="113" s="1"/>
  <c r="E115" i="112"/>
  <c r="U115" i="112" s="1"/>
  <c r="AB115" i="112"/>
  <c r="L115" i="113" s="1"/>
  <c r="E89" i="108"/>
  <c r="U89" i="108" s="1"/>
  <c r="AA89" i="108"/>
  <c r="K89" i="112" s="1"/>
  <c r="AB112" i="108"/>
  <c r="L112" i="112" s="1"/>
  <c r="AB167" i="108"/>
  <c r="L169" i="112" s="1"/>
  <c r="E72" i="108"/>
  <c r="U72" i="108" s="1"/>
  <c r="AA72" i="108"/>
  <c r="K72" i="112" s="1"/>
  <c r="F14" i="112"/>
  <c r="V14" i="112" s="1"/>
  <c r="F14" i="113" s="1"/>
  <c r="V14" i="113" s="1"/>
  <c r="F14" i="117" s="1"/>
  <c r="K239" i="107"/>
  <c r="AA239" i="107" s="1"/>
  <c r="K244" i="112"/>
  <c r="K242" i="108"/>
  <c r="E228" i="108"/>
  <c r="U228" i="108" s="1"/>
  <c r="W228" i="108"/>
  <c r="G230" i="112" s="1"/>
  <c r="E196" i="108"/>
  <c r="U196" i="108" s="1"/>
  <c r="W196" i="108"/>
  <c r="G198" i="112" s="1"/>
  <c r="E65" i="108"/>
  <c r="U65" i="108" s="1"/>
  <c r="E111" i="108"/>
  <c r="U111" i="108" s="1"/>
  <c r="E160" i="108"/>
  <c r="U160" i="108" s="1"/>
  <c r="E240" i="108"/>
  <c r="U240" i="108" s="1"/>
  <c r="E71" i="108"/>
  <c r="U71" i="108" s="1"/>
  <c r="E105" i="108"/>
  <c r="U105" i="108" s="1"/>
  <c r="E115" i="108"/>
  <c r="U115" i="108" s="1"/>
  <c r="E109" i="108"/>
  <c r="U109" i="108" s="1"/>
  <c r="AB109" i="108"/>
  <c r="L109" i="112" s="1"/>
  <c r="AA178" i="108"/>
  <c r="K180" i="112" s="1"/>
  <c r="V221" i="112"/>
  <c r="F225" i="113" s="1"/>
  <c r="V225" i="113" s="1"/>
  <c r="F240" i="117" s="1"/>
  <c r="V240" i="117" s="1"/>
  <c r="F244" i="121" s="1"/>
  <c r="V244" i="121" s="1"/>
  <c r="F244" i="122" s="1"/>
  <c r="V244" i="122" s="1"/>
  <c r="AB164" i="108"/>
  <c r="L166" i="112" s="1"/>
  <c r="X47" i="108"/>
  <c r="H47" i="112" s="1"/>
  <c r="AB232" i="108"/>
  <c r="L234" i="112" s="1"/>
  <c r="AB234" i="112" s="1"/>
  <c r="L239" i="113" s="1"/>
  <c r="AB239" i="113" s="1"/>
  <c r="L254" i="117" s="1"/>
  <c r="E91" i="112"/>
  <c r="U91" i="112" s="1"/>
  <c r="AA91" i="112"/>
  <c r="K91" i="113" s="1"/>
  <c r="AA92" i="112"/>
  <c r="K92" i="113" s="1"/>
  <c r="AB101" i="112"/>
  <c r="L101" i="113" s="1"/>
  <c r="AB67" i="112"/>
  <c r="L67" i="113" s="1"/>
  <c r="AA147" i="108"/>
  <c r="AB139" i="112"/>
  <c r="L141" i="113" s="1"/>
  <c r="AA68" i="112"/>
  <c r="K68" i="113" s="1"/>
  <c r="E68" i="112"/>
  <c r="U68" i="112" s="1"/>
  <c r="AB164" i="112"/>
  <c r="L168" i="113" s="1"/>
  <c r="AB124" i="112"/>
  <c r="L126" i="113" s="1"/>
  <c r="E62" i="112"/>
  <c r="U62" i="112" s="1"/>
  <c r="AB62" i="112"/>
  <c r="L62" i="113" s="1"/>
  <c r="E82" i="112"/>
  <c r="U82" i="112" s="1"/>
  <c r="AB82" i="112"/>
  <c r="L82" i="113" s="1"/>
  <c r="AB106" i="112"/>
  <c r="L106" i="113" s="1"/>
  <c r="E106" i="112"/>
  <c r="U106" i="112" s="1"/>
  <c r="AB134" i="108"/>
  <c r="L134" i="112" s="1"/>
  <c r="AB31" i="108"/>
  <c r="L31" i="112" s="1"/>
  <c r="AB133" i="108"/>
  <c r="L133" i="112" s="1"/>
  <c r="J239" i="107"/>
  <c r="Z239" i="107" s="1"/>
  <c r="J244" i="112"/>
  <c r="Z244" i="112" s="1"/>
  <c r="J242" i="108"/>
  <c r="Z242" i="108" s="1"/>
  <c r="H239" i="107"/>
  <c r="X239" i="107" s="1"/>
  <c r="H244" i="112"/>
  <c r="X244" i="112" s="1"/>
  <c r="H242" i="108"/>
  <c r="X242" i="108" s="1"/>
  <c r="V11" i="108"/>
  <c r="F11" i="112" s="1"/>
  <c r="E44" i="108"/>
  <c r="U44" i="108" s="1"/>
  <c r="V44" i="108"/>
  <c r="F44" i="112" s="1"/>
  <c r="E241" i="112"/>
  <c r="U241" i="112" s="1"/>
  <c r="E239" i="108"/>
  <c r="U239" i="108" s="1"/>
  <c r="E62" i="108"/>
  <c r="U62" i="108" s="1"/>
  <c r="E82" i="108"/>
  <c r="U82" i="108" s="1"/>
  <c r="E114" i="108"/>
  <c r="U114" i="108" s="1"/>
  <c r="AB114" i="108"/>
  <c r="L114" i="112" s="1"/>
  <c r="AB55" i="108"/>
  <c r="L55" i="112" s="1"/>
  <c r="AB214" i="108"/>
  <c r="L216" i="112" s="1"/>
  <c r="AA177" i="108"/>
  <c r="K179" i="112" s="1"/>
  <c r="AB212" i="108"/>
  <c r="L214" i="112" s="1"/>
  <c r="V16" i="108"/>
  <c r="AB84" i="112"/>
  <c r="L84" i="113" s="1"/>
  <c r="E84" i="112"/>
  <c r="U84" i="112" s="1"/>
  <c r="AB235" i="112"/>
  <c r="L240" i="113" s="1"/>
  <c r="E75" i="112"/>
  <c r="U75" i="112" s="1"/>
  <c r="AA75" i="112"/>
  <c r="K75" i="113" s="1"/>
  <c r="AB137" i="112"/>
  <c r="L139" i="113" s="1"/>
  <c r="AA93" i="112"/>
  <c r="K93" i="113" s="1"/>
  <c r="AB52" i="112"/>
  <c r="L52" i="113" s="1"/>
  <c r="AB130" i="112"/>
  <c r="L132" i="113" s="1"/>
  <c r="AA238" i="112"/>
  <c r="K243" i="113" s="1"/>
  <c r="E238" i="112"/>
  <c r="U238" i="112" s="1"/>
  <c r="AB131" i="112"/>
  <c r="L133" i="113" s="1"/>
  <c r="AB61" i="112"/>
  <c r="L61" i="113" s="1"/>
  <c r="AB157" i="112"/>
  <c r="L161" i="113" s="1"/>
  <c r="E157" i="112"/>
  <c r="U157" i="112" s="1"/>
  <c r="AB123" i="112"/>
  <c r="L125" i="113" s="1"/>
  <c r="AB228" i="112"/>
  <c r="L232" i="113" s="1"/>
  <c r="AB63" i="112"/>
  <c r="L63" i="113" s="1"/>
  <c r="AA90" i="112"/>
  <c r="K90" i="113" s="1"/>
  <c r="E165" i="108"/>
  <c r="U165" i="108" s="1"/>
  <c r="AB165" i="108"/>
  <c r="L167" i="112" s="1"/>
  <c r="E113" i="108"/>
  <c r="U113" i="108" s="1"/>
  <c r="AB113" i="108"/>
  <c r="L113" i="112" s="1"/>
  <c r="AB85" i="108"/>
  <c r="L85" i="112" s="1"/>
  <c r="AB127" i="108"/>
  <c r="L127" i="112" s="1"/>
  <c r="AB32" i="108"/>
  <c r="L32" i="112" s="1"/>
  <c r="AB56" i="108"/>
  <c r="L56" i="112" s="1"/>
  <c r="E242" i="112"/>
  <c r="U242" i="112" s="1"/>
  <c r="V242" i="112"/>
  <c r="F247" i="113" s="1"/>
  <c r="V247" i="113" s="1"/>
  <c r="F262" i="117" s="1"/>
  <c r="V262" i="117" s="1"/>
  <c r="F266" i="121" s="1"/>
  <c r="V266" i="121" s="1"/>
  <c r="F266" i="122" s="1"/>
  <c r="V266" i="122" s="1"/>
  <c r="E35" i="108"/>
  <c r="U35" i="108" s="1"/>
  <c r="AA35" i="108"/>
  <c r="K35" i="112" s="1"/>
  <c r="E227" i="108"/>
  <c r="U227" i="108" s="1"/>
  <c r="W227" i="108"/>
  <c r="G229" i="112" s="1"/>
  <c r="E84" i="108"/>
  <c r="U84" i="108" s="1"/>
  <c r="E75" i="108"/>
  <c r="U75" i="108" s="1"/>
  <c r="E236" i="108"/>
  <c r="U236" i="108" s="1"/>
  <c r="E155" i="108"/>
  <c r="U155" i="108" s="1"/>
  <c r="AB189" i="108"/>
  <c r="L191" i="112" s="1"/>
  <c r="W99" i="108"/>
  <c r="G99" i="112" s="1"/>
  <c r="AB151" i="108"/>
  <c r="L153" i="112" s="1"/>
  <c r="E180" i="108"/>
  <c r="U180" i="108" s="1"/>
  <c r="AA180" i="108"/>
  <c r="K182" i="112" s="1"/>
  <c r="E70" i="108"/>
  <c r="U70" i="108" s="1"/>
  <c r="AA70" i="108"/>
  <c r="K70" i="112" s="1"/>
  <c r="E64" i="108"/>
  <c r="U64" i="108" s="1"/>
  <c r="AB64" i="108"/>
  <c r="L64" i="112" s="1"/>
  <c r="G174" i="108"/>
  <c r="W174" i="108" s="1"/>
  <c r="G176" i="112" s="1"/>
  <c r="W176" i="112" s="1"/>
  <c r="G180" i="113" s="1"/>
  <c r="W180" i="113" s="1"/>
  <c r="G192" i="117" s="1"/>
  <c r="W192" i="117" s="1"/>
  <c r="G190" i="121" s="1"/>
  <c r="W190" i="121" s="1"/>
  <c r="G190" i="122" s="1"/>
  <c r="W190" i="122" s="1"/>
  <c r="G175" i="108"/>
  <c r="W175" i="108" s="1"/>
  <c r="G177" i="112" s="1"/>
  <c r="W177" i="112" s="1"/>
  <c r="G181" i="113" s="1"/>
  <c r="W181" i="113" s="1"/>
  <c r="G193" i="117" s="1"/>
  <c r="W193" i="117" s="1"/>
  <c r="G191" i="121" s="1"/>
  <c r="W191" i="121" s="1"/>
  <c r="G191" i="122" s="1"/>
  <c r="W191" i="122" s="1"/>
  <c r="X138" i="108"/>
  <c r="H138" i="112" s="1"/>
  <c r="AB213" i="112"/>
  <c r="L217" i="113" s="1"/>
  <c r="E74" i="112"/>
  <c r="U74" i="112" s="1"/>
  <c r="AA74" i="112"/>
  <c r="K74" i="113" s="1"/>
  <c r="AB168" i="112"/>
  <c r="L172" i="113" s="1"/>
  <c r="E66" i="112"/>
  <c r="U66" i="112" s="1"/>
  <c r="AB66" i="112"/>
  <c r="L66" i="113" s="1"/>
  <c r="AB129" i="112"/>
  <c r="L131" i="113" s="1"/>
  <c r="E86" i="112"/>
  <c r="U86" i="112" s="1"/>
  <c r="AB86" i="112"/>
  <c r="L86" i="113" s="1"/>
  <c r="AA183" i="112"/>
  <c r="K187" i="113" s="1"/>
  <c r="E183" i="112"/>
  <c r="U183" i="112" s="1"/>
  <c r="AB102" i="112"/>
  <c r="L102" i="113" s="1"/>
  <c r="E102" i="112"/>
  <c r="U102" i="112" s="1"/>
  <c r="AB171" i="112"/>
  <c r="L175" i="113" s="1"/>
  <c r="E103" i="112"/>
  <c r="U103" i="112" s="1"/>
  <c r="AB103" i="112"/>
  <c r="L103" i="113" s="1"/>
  <c r="AB156" i="112"/>
  <c r="L160" i="113" s="1"/>
  <c r="W98" i="112"/>
  <c r="G98" i="113" s="1"/>
  <c r="AB227" i="112"/>
  <c r="L231" i="113" s="1"/>
  <c r="AB126" i="112"/>
  <c r="L128" i="113" s="1"/>
  <c r="AA73" i="112"/>
  <c r="K73" i="113" s="1"/>
  <c r="AB100" i="108"/>
  <c r="L100" i="112" s="1"/>
  <c r="AB34" i="108"/>
  <c r="L34" i="112" s="1"/>
  <c r="AB125" i="108"/>
  <c r="L125" i="112" s="1"/>
  <c r="AB36" i="108"/>
  <c r="L36" i="112" s="1"/>
  <c r="AA43" i="108"/>
  <c r="K43" i="112" s="1"/>
  <c r="E74" i="108"/>
  <c r="U74" i="108" s="1"/>
  <c r="E86" i="108"/>
  <c r="U86" i="108" s="1"/>
  <c r="E181" i="108"/>
  <c r="U181" i="108" s="1"/>
  <c r="E103" i="108"/>
  <c r="U103" i="108" s="1"/>
  <c r="AB239" i="107"/>
  <c r="U11" i="93"/>
  <c r="E11" i="107" s="1"/>
  <c r="H11" i="107"/>
  <c r="E155" i="107"/>
  <c r="U155" i="107" s="1"/>
  <c r="U145" i="107"/>
  <c r="AB240" i="107"/>
  <c r="G211" i="93"/>
  <c r="W211" i="93" s="1"/>
  <c r="G218" i="107" s="1"/>
  <c r="W218" i="107" s="1"/>
  <c r="G221" i="108" s="1"/>
  <c r="W221" i="108" s="1"/>
  <c r="G223" i="112" s="1"/>
  <c r="W223" i="112" s="1"/>
  <c r="G227" i="113" s="1"/>
  <c r="W227" i="113" s="1"/>
  <c r="G242" i="117" s="1"/>
  <c r="W242" i="117" s="1"/>
  <c r="G246" i="121" s="1"/>
  <c r="W246" i="121" s="1"/>
  <c r="G246" i="122" s="1"/>
  <c r="W246" i="122" s="1"/>
  <c r="G212" i="93"/>
  <c r="W212" i="93" s="1"/>
  <c r="G219" i="107" s="1"/>
  <c r="W219" i="107" s="1"/>
  <c r="G222" i="108" s="1"/>
  <c r="W222" i="108" s="1"/>
  <c r="G224" i="112" s="1"/>
  <c r="W224" i="112" s="1"/>
  <c r="G228" i="113" s="1"/>
  <c r="W228" i="113" s="1"/>
  <c r="G243" i="117" s="1"/>
  <c r="W243" i="117" s="1"/>
  <c r="G247" i="121" s="1"/>
  <c r="W247" i="121" s="1"/>
  <c r="G247" i="122" s="1"/>
  <c r="W247" i="122" s="1"/>
  <c r="M90" i="81"/>
  <c r="X72" i="82"/>
  <c r="H77" i="90" s="1"/>
  <c r="X77" i="90" s="1"/>
  <c r="H77" i="93" s="1"/>
  <c r="X77" i="93" s="1"/>
  <c r="H78" i="107" s="1"/>
  <c r="X78" i="107" s="1"/>
  <c r="H79" i="108" s="1"/>
  <c r="X79" i="108" s="1"/>
  <c r="H79" i="112" s="1"/>
  <c r="X79" i="112" s="1"/>
  <c r="H79" i="113" s="1"/>
  <c r="X79" i="113" s="1"/>
  <c r="H89" i="117" s="1"/>
  <c r="J211" i="93"/>
  <c r="Z211" i="93" s="1"/>
  <c r="J218" i="107" s="1"/>
  <c r="Z218" i="107" s="1"/>
  <c r="J221" i="108" s="1"/>
  <c r="Z221" i="108" s="1"/>
  <c r="J223" i="112" s="1"/>
  <c r="Z223" i="112" s="1"/>
  <c r="J227" i="113" s="1"/>
  <c r="Z227" i="113" s="1"/>
  <c r="J242" i="117" s="1"/>
  <c r="Z242" i="117" s="1"/>
  <c r="J246" i="121" s="1"/>
  <c r="Z246" i="121" s="1"/>
  <c r="J246" i="122" s="1"/>
  <c r="Z246" i="122" s="1"/>
  <c r="J212" i="93"/>
  <c r="Z212" i="93" s="1"/>
  <c r="J219" i="107" s="1"/>
  <c r="Z219" i="107" s="1"/>
  <c r="J222" i="108" s="1"/>
  <c r="Z222" i="108" s="1"/>
  <c r="J224" i="112" s="1"/>
  <c r="Z224" i="112" s="1"/>
  <c r="J228" i="113" s="1"/>
  <c r="Z228" i="113" s="1"/>
  <c r="J243" i="117" s="1"/>
  <c r="Z243" i="117" s="1"/>
  <c r="J247" i="121" s="1"/>
  <c r="Z247" i="121" s="1"/>
  <c r="J247" i="122" s="1"/>
  <c r="Z247" i="122" s="1"/>
  <c r="K211" i="93"/>
  <c r="AA211" i="93" s="1"/>
  <c r="K218" i="107" s="1"/>
  <c r="AA218" i="107" s="1"/>
  <c r="K221" i="108" s="1"/>
  <c r="AA221" i="108" s="1"/>
  <c r="K223" i="112" s="1"/>
  <c r="AA223" i="112" s="1"/>
  <c r="K227" i="113" s="1"/>
  <c r="AA227" i="113" s="1"/>
  <c r="K242" i="117" s="1"/>
  <c r="AA242" i="117" s="1"/>
  <c r="K246" i="121" s="1"/>
  <c r="K212" i="93"/>
  <c r="AA212" i="93" s="1"/>
  <c r="K219" i="107" s="1"/>
  <c r="AA219" i="107" s="1"/>
  <c r="K222" i="108" s="1"/>
  <c r="AA222" i="108" s="1"/>
  <c r="K224" i="112" s="1"/>
  <c r="AA224" i="112" s="1"/>
  <c r="K228" i="113" s="1"/>
  <c r="K90" i="81"/>
  <c r="E19" i="82"/>
  <c r="H198" i="82"/>
  <c r="J26" i="82"/>
  <c r="X73" i="81"/>
  <c r="H73" i="82" s="1"/>
  <c r="Z26" i="82"/>
  <c r="J29" i="90" s="1"/>
  <c r="Z29" i="90" s="1"/>
  <c r="J29" i="93" s="1"/>
  <c r="Z29" i="93" s="1"/>
  <c r="J30" i="107" s="1"/>
  <c r="AB89" i="82"/>
  <c r="L94" i="90" s="1"/>
  <c r="AB94" i="90" s="1"/>
  <c r="L94" i="93" s="1"/>
  <c r="AB94" i="93" s="1"/>
  <c r="L95" i="107" s="1"/>
  <c r="AB95" i="107" s="1"/>
  <c r="L96" i="108" s="1"/>
  <c r="AB96" i="108" s="1"/>
  <c r="L96" i="112" s="1"/>
  <c r="AB96" i="112" s="1"/>
  <c r="L96" i="113" s="1"/>
  <c r="AB96" i="113" s="1"/>
  <c r="L106" i="117" s="1"/>
  <c r="X164" i="82"/>
  <c r="H175" i="90" s="1"/>
  <c r="X175" i="90" s="1"/>
  <c r="H177" i="93" s="1"/>
  <c r="X177" i="93" s="1"/>
  <c r="H184" i="107" s="1"/>
  <c r="X184" i="107" s="1"/>
  <c r="H187" i="108" s="1"/>
  <c r="X187" i="108" s="1"/>
  <c r="H189" i="112" s="1"/>
  <c r="X189" i="112" s="1"/>
  <c r="H193" i="113" s="1"/>
  <c r="X193" i="113" s="1"/>
  <c r="H205" i="117" s="1"/>
  <c r="X205" i="117" s="1"/>
  <c r="H203" i="121" s="1"/>
  <c r="X203" i="121" s="1"/>
  <c r="H203" i="122" s="1"/>
  <c r="X203" i="122" s="1"/>
  <c r="E102" i="82"/>
  <c r="X30" i="93"/>
  <c r="H215" i="93"/>
  <c r="X215" i="93" s="1"/>
  <c r="H222" i="107" s="1"/>
  <c r="X222" i="107" s="1"/>
  <c r="H225" i="108" s="1"/>
  <c r="X225" i="108" s="1"/>
  <c r="H227" i="112" s="1"/>
  <c r="X227" i="112" s="1"/>
  <c r="H231" i="113" s="1"/>
  <c r="X231" i="113" s="1"/>
  <c r="H246" i="117" s="1"/>
  <c r="X246" i="117" s="1"/>
  <c r="H250" i="121" s="1"/>
  <c r="X250" i="121" s="1"/>
  <c r="H250" i="122" s="1"/>
  <c r="X250" i="122" s="1"/>
  <c r="E75" i="82"/>
  <c r="AB193" i="81"/>
  <c r="L204" i="82" s="1"/>
  <c r="L73" i="81"/>
  <c r="Z192" i="81"/>
  <c r="J203" i="82" s="1"/>
  <c r="U75" i="82"/>
  <c r="F73" i="81"/>
  <c r="J136" i="81"/>
  <c r="J187" i="82"/>
  <c r="Z187" i="82" s="1"/>
  <c r="J201" i="90" s="1"/>
  <c r="Z201" i="90" s="1"/>
  <c r="J208" i="93" s="1"/>
  <c r="Z208" i="93" s="1"/>
  <c r="J215" i="107" s="1"/>
  <c r="Z215" i="107" s="1"/>
  <c r="J218" i="108" s="1"/>
  <c r="Z218" i="108" s="1"/>
  <c r="J220" i="112" s="1"/>
  <c r="Z220" i="112" s="1"/>
  <c r="J224" i="113" s="1"/>
  <c r="Z224" i="113" s="1"/>
  <c r="J239" i="117" s="1"/>
  <c r="Z239" i="117" s="1"/>
  <c r="J243" i="121" s="1"/>
  <c r="Z243" i="121" s="1"/>
  <c r="J243" i="122" s="1"/>
  <c r="Z243" i="122" s="1"/>
  <c r="AA97" i="90"/>
  <c r="E97" i="90"/>
  <c r="L233" i="93"/>
  <c r="AB233" i="93" s="1"/>
  <c r="L223" i="90"/>
  <c r="AB223" i="90" s="1"/>
  <c r="AA96" i="90"/>
  <c r="K96" i="93" s="1"/>
  <c r="AA96" i="93" s="1"/>
  <c r="K97" i="107" s="1"/>
  <c r="AA97" i="107" s="1"/>
  <c r="K98" i="108" s="1"/>
  <c r="E96" i="90"/>
  <c r="O196" i="81"/>
  <c r="O201" i="81" s="1"/>
  <c r="T196" i="81"/>
  <c r="T201" i="81" s="1"/>
  <c r="E66" i="90"/>
  <c r="W22" i="93"/>
  <c r="E22" i="93"/>
  <c r="AB17" i="93"/>
  <c r="L17" i="107" s="1"/>
  <c r="AB17" i="107" s="1"/>
  <c r="L17" i="108" s="1"/>
  <c r="AB12" i="93"/>
  <c r="L12" i="107" s="1"/>
  <c r="AB12" i="107" s="1"/>
  <c r="L12" i="108" s="1"/>
  <c r="L232" i="93"/>
  <c r="AB232" i="93" s="1"/>
  <c r="L222" i="90"/>
  <c r="AB222" i="90" s="1"/>
  <c r="M162" i="81"/>
  <c r="M136" i="81"/>
  <c r="U66" i="90"/>
  <c r="E105" i="90"/>
  <c r="U24" i="90"/>
  <c r="G24" i="93"/>
  <c r="U67" i="90"/>
  <c r="E47" i="90"/>
  <c r="E19" i="90"/>
  <c r="E66" i="93"/>
  <c r="U66" i="93" s="1"/>
  <c r="E67" i="107" s="1"/>
  <c r="U67" i="107" s="1"/>
  <c r="M199" i="81"/>
  <c r="E12" i="90"/>
  <c r="X193" i="81"/>
  <c r="H204" i="82" s="1"/>
  <c r="H234" i="93"/>
  <c r="H224" i="90"/>
  <c r="U28" i="90"/>
  <c r="G28" i="93"/>
  <c r="U23" i="90"/>
  <c r="G23" i="93"/>
  <c r="U123" i="81"/>
  <c r="U13" i="82"/>
  <c r="U61" i="81"/>
  <c r="U31" i="81"/>
  <c r="E84" i="93"/>
  <c r="U84" i="93" s="1"/>
  <c r="E85" i="107" s="1"/>
  <c r="U85" i="107" s="1"/>
  <c r="Z179" i="81"/>
  <c r="J184" i="82" s="1"/>
  <c r="U85" i="81"/>
  <c r="E126" i="93"/>
  <c r="U126" i="93" s="1"/>
  <c r="E127" i="107" s="1"/>
  <c r="U55" i="82"/>
  <c r="E69" i="93"/>
  <c r="U69" i="93" s="1"/>
  <c r="E70" i="107" s="1"/>
  <c r="U70" i="107" s="1"/>
  <c r="E157" i="93"/>
  <c r="U157" i="93" s="1"/>
  <c r="E163" i="107" s="1"/>
  <c r="U163" i="107" s="1"/>
  <c r="E102" i="93"/>
  <c r="U102" i="93" s="1"/>
  <c r="E103" i="107" s="1"/>
  <c r="U103" i="107" s="1"/>
  <c r="E41" i="93"/>
  <c r="F222" i="90"/>
  <c r="V222" i="90" s="1"/>
  <c r="F232" i="93"/>
  <c r="V232" i="93" s="1"/>
  <c r="U47" i="90"/>
  <c r="G47" i="93"/>
  <c r="W47" i="93" s="1"/>
  <c r="G48" i="107" s="1"/>
  <c r="W48" i="107" s="1"/>
  <c r="G48" i="108" s="1"/>
  <c r="E60" i="93"/>
  <c r="U60" i="93" s="1"/>
  <c r="E61" i="107" s="1"/>
  <c r="U61" i="107" s="1"/>
  <c r="E152" i="93"/>
  <c r="U152" i="93" s="1"/>
  <c r="E158" i="107" s="1"/>
  <c r="U158" i="107" s="1"/>
  <c r="E113" i="93"/>
  <c r="U113" i="93" s="1"/>
  <c r="E114" i="107" s="1"/>
  <c r="U114" i="107" s="1"/>
  <c r="E112" i="93"/>
  <c r="U112" i="93" s="1"/>
  <c r="E113" i="107" s="1"/>
  <c r="U113" i="107" s="1"/>
  <c r="E131" i="93"/>
  <c r="U131" i="93" s="1"/>
  <c r="E132" i="107" s="1"/>
  <c r="AB20" i="93"/>
  <c r="E20" i="93"/>
  <c r="E70" i="93"/>
  <c r="U70" i="93" s="1"/>
  <c r="E71" i="107" s="1"/>
  <c r="U71" i="107" s="1"/>
  <c r="K222" i="90"/>
  <c r="AA222" i="90" s="1"/>
  <c r="K232" i="93"/>
  <c r="AA232" i="93" s="1"/>
  <c r="U178" i="90"/>
  <c r="G180" i="93"/>
  <c r="W180" i="93" s="1"/>
  <c r="G187" i="107" s="1"/>
  <c r="W187" i="107" s="1"/>
  <c r="G190" i="108" s="1"/>
  <c r="F98" i="93"/>
  <c r="V98" i="93" s="1"/>
  <c r="F99" i="107" s="1"/>
  <c r="V99" i="107" s="1"/>
  <c r="F100" i="108" s="1"/>
  <c r="V100" i="108" s="1"/>
  <c r="F100" i="112" s="1"/>
  <c r="V100" i="112" s="1"/>
  <c r="F100" i="113" s="1"/>
  <c r="V100" i="113" s="1"/>
  <c r="F110" i="117" s="1"/>
  <c r="V110" i="117" s="1"/>
  <c r="F108" i="121" s="1"/>
  <c r="V108" i="121" s="1"/>
  <c r="F108" i="122" s="1"/>
  <c r="V108" i="122" s="1"/>
  <c r="E229" i="93"/>
  <c r="U229" i="93" s="1"/>
  <c r="E236" i="107" s="1"/>
  <c r="U236" i="107" s="1"/>
  <c r="E137" i="93"/>
  <c r="U137" i="93" s="1"/>
  <c r="E138" i="107" s="1"/>
  <c r="E111" i="93"/>
  <c r="U111" i="93" s="1"/>
  <c r="E112" i="107" s="1"/>
  <c r="U112" i="107" s="1"/>
  <c r="E171" i="93"/>
  <c r="U171" i="93" s="1"/>
  <c r="E177" i="107" s="1"/>
  <c r="U177" i="107" s="1"/>
  <c r="U25" i="90"/>
  <c r="F25" i="93"/>
  <c r="E226" i="93"/>
  <c r="U226" i="93" s="1"/>
  <c r="E233" i="107" s="1"/>
  <c r="U233" i="107" s="1"/>
  <c r="E109" i="93"/>
  <c r="U109" i="93" s="1"/>
  <c r="E110" i="107" s="1"/>
  <c r="U110" i="107" s="1"/>
  <c r="E63" i="93"/>
  <c r="U63" i="93" s="1"/>
  <c r="E64" i="107" s="1"/>
  <c r="U64" i="107" s="1"/>
  <c r="E135" i="93"/>
  <c r="U135" i="93" s="1"/>
  <c r="E136" i="107" s="1"/>
  <c r="E73" i="93"/>
  <c r="U73" i="93" s="1"/>
  <c r="E74" i="107" s="1"/>
  <c r="U74" i="107" s="1"/>
  <c r="U161" i="90"/>
  <c r="G161" i="93"/>
  <c r="W161" i="93" s="1"/>
  <c r="G167" i="107" s="1"/>
  <c r="W167" i="107" s="1"/>
  <c r="G169" i="108" s="1"/>
  <c r="E68" i="93"/>
  <c r="U68" i="93" s="1"/>
  <c r="E69" i="107" s="1"/>
  <c r="U69" i="107" s="1"/>
  <c r="E230" i="93"/>
  <c r="U230" i="93" s="1"/>
  <c r="E237" i="107" s="1"/>
  <c r="U237" i="107" s="1"/>
  <c r="E34" i="93"/>
  <c r="U34" i="93" s="1"/>
  <c r="E35" i="107" s="1"/>
  <c r="U35" i="107" s="1"/>
  <c r="V13" i="93"/>
  <c r="E13" i="93"/>
  <c r="J222" i="90"/>
  <c r="Z222" i="90" s="1"/>
  <c r="J232" i="93"/>
  <c r="Z232" i="93" s="1"/>
  <c r="H222" i="90"/>
  <c r="X222" i="90" s="1"/>
  <c r="H232" i="93"/>
  <c r="U105" i="90"/>
  <c r="G105" i="93"/>
  <c r="W105" i="93" s="1"/>
  <c r="G106" i="107" s="1"/>
  <c r="W106" i="107" s="1"/>
  <c r="G107" i="108" s="1"/>
  <c r="E80" i="93"/>
  <c r="U80" i="93" s="1"/>
  <c r="E81" i="107" s="1"/>
  <c r="U81" i="107" s="1"/>
  <c r="E128" i="93"/>
  <c r="U128" i="93" s="1"/>
  <c r="E129" i="107" s="1"/>
  <c r="E210" i="93"/>
  <c r="E170" i="93"/>
  <c r="U170" i="93" s="1"/>
  <c r="E176" i="107" s="1"/>
  <c r="U176" i="107" s="1"/>
  <c r="E125" i="93"/>
  <c r="U125" i="93" s="1"/>
  <c r="E126" i="107" s="1"/>
  <c r="E62" i="93"/>
  <c r="U62" i="93" s="1"/>
  <c r="E63" i="107" s="1"/>
  <c r="U63" i="107" s="1"/>
  <c r="E136" i="93"/>
  <c r="U136" i="93" s="1"/>
  <c r="E137" i="107" s="1"/>
  <c r="V18" i="93"/>
  <c r="F18" i="107" s="1"/>
  <c r="V18" i="107" s="1"/>
  <c r="F18" i="108" s="1"/>
  <c r="U19" i="90"/>
  <c r="F19" i="93"/>
  <c r="E130" i="93"/>
  <c r="U130" i="93" s="1"/>
  <c r="E131" i="107" s="1"/>
  <c r="E101" i="93"/>
  <c r="U101" i="93" s="1"/>
  <c r="E102" i="107" s="1"/>
  <c r="U102" i="107" s="1"/>
  <c r="E124" i="93"/>
  <c r="U124" i="93" s="1"/>
  <c r="E125" i="107" s="1"/>
  <c r="E82" i="93"/>
  <c r="U82" i="93" s="1"/>
  <c r="E83" i="107" s="1"/>
  <c r="U83" i="107" s="1"/>
  <c r="U174" i="90"/>
  <c r="K176" i="93"/>
  <c r="AA176" i="93" s="1"/>
  <c r="K183" i="107" s="1"/>
  <c r="AA183" i="107" s="1"/>
  <c r="K186" i="108" s="1"/>
  <c r="W81" i="81"/>
  <c r="G81" i="82" s="1"/>
  <c r="E107" i="93"/>
  <c r="U107" i="93" s="1"/>
  <c r="E108" i="107" s="1"/>
  <c r="U108" i="107" s="1"/>
  <c r="E123" i="93"/>
  <c r="U123" i="93" s="1"/>
  <c r="E124" i="107" s="1"/>
  <c r="E172" i="93"/>
  <c r="U172" i="93" s="1"/>
  <c r="E178" i="107" s="1"/>
  <c r="U178" i="107" s="1"/>
  <c r="E133" i="93"/>
  <c r="U133" i="93" s="1"/>
  <c r="E134" i="107" s="1"/>
  <c r="E132" i="93"/>
  <c r="U132" i="93" s="1"/>
  <c r="E133" i="107" s="1"/>
  <c r="E87" i="93"/>
  <c r="U87" i="93" s="1"/>
  <c r="E88" i="107" s="1"/>
  <c r="U88" i="107" s="1"/>
  <c r="U115" i="90"/>
  <c r="G115" i="93"/>
  <c r="W115" i="93" s="1"/>
  <c r="G116" i="107" s="1"/>
  <c r="W116" i="107" s="1"/>
  <c r="G117" i="108" s="1"/>
  <c r="E186" i="93"/>
  <c r="U186" i="93" s="1"/>
  <c r="E193" i="107" s="1"/>
  <c r="U193" i="107" s="1"/>
  <c r="E148" i="93"/>
  <c r="U148" i="93" s="1"/>
  <c r="E153" i="107" s="1"/>
  <c r="U153" i="107" s="1"/>
  <c r="E103" i="93"/>
  <c r="U103" i="93" s="1"/>
  <c r="E104" i="107" s="1"/>
  <c r="U104" i="107" s="1"/>
  <c r="E72" i="93"/>
  <c r="U72" i="93" s="1"/>
  <c r="E73" i="107" s="1"/>
  <c r="U73" i="107" s="1"/>
  <c r="E43" i="93"/>
  <c r="U43" i="93" s="1"/>
  <c r="E44" i="107" s="1"/>
  <c r="U44" i="107" s="1"/>
  <c r="U189" i="81"/>
  <c r="U68" i="81"/>
  <c r="F52" i="81"/>
  <c r="U98" i="82"/>
  <c r="E68" i="82"/>
  <c r="E129" i="82"/>
  <c r="U129" i="82"/>
  <c r="V114" i="81"/>
  <c r="U98" i="81"/>
  <c r="U199" i="82"/>
  <c r="U200" i="82" s="1"/>
  <c r="E199" i="82"/>
  <c r="F147" i="90"/>
  <c r="V147" i="90" s="1"/>
  <c r="F147" i="93" s="1"/>
  <c r="V147" i="93" s="1"/>
  <c r="F152" i="107" s="1"/>
  <c r="V152" i="107" s="1"/>
  <c r="F154" i="108" s="1"/>
  <c r="V154" i="108" s="1"/>
  <c r="F156" i="112" s="1"/>
  <c r="V156" i="112" s="1"/>
  <c r="F160" i="113" s="1"/>
  <c r="V160" i="113" s="1"/>
  <c r="F171" i="117" s="1"/>
  <c r="V171" i="117" s="1"/>
  <c r="F169" i="121" s="1"/>
  <c r="V169" i="121" s="1"/>
  <c r="F169" i="122" s="1"/>
  <c r="V169" i="122" s="1"/>
  <c r="W45" i="90"/>
  <c r="G45" i="93" s="1"/>
  <c r="W45" i="93" s="1"/>
  <c r="G46" i="107" s="1"/>
  <c r="W46" i="107" s="1"/>
  <c r="G46" i="108" s="1"/>
  <c r="W46" i="108" s="1"/>
  <c r="G46" i="112" s="1"/>
  <c r="W46" i="112" s="1"/>
  <c r="G46" i="113" s="1"/>
  <c r="F120" i="90"/>
  <c r="V120" i="90" s="1"/>
  <c r="F120" i="93" s="1"/>
  <c r="V120" i="93" s="1"/>
  <c r="F121" i="107" s="1"/>
  <c r="V121" i="107" s="1"/>
  <c r="F122" i="108" s="1"/>
  <c r="V122" i="108" s="1"/>
  <c r="F122" i="112" s="1"/>
  <c r="V122" i="112" s="1"/>
  <c r="F124" i="113" s="1"/>
  <c r="V124" i="113" s="1"/>
  <c r="F135" i="117" s="1"/>
  <c r="V135" i="117" s="1"/>
  <c r="F133" i="121" s="1"/>
  <c r="V133" i="121" s="1"/>
  <c r="F133" i="122" s="1"/>
  <c r="V133" i="122" s="1"/>
  <c r="U220" i="90"/>
  <c r="E220" i="90"/>
  <c r="U13" i="90"/>
  <c r="AB40" i="90"/>
  <c r="L40" i="93" s="1"/>
  <c r="AB40" i="93" s="1"/>
  <c r="L41" i="107" s="1"/>
  <c r="AB41" i="107" s="1"/>
  <c r="L41" i="108" s="1"/>
  <c r="W183" i="90"/>
  <c r="G187" i="93" s="1"/>
  <c r="W187" i="93" s="1"/>
  <c r="G194" i="107" s="1"/>
  <c r="W194" i="107" s="1"/>
  <c r="G197" i="108" s="1"/>
  <c r="E183" i="90"/>
  <c r="W181" i="90"/>
  <c r="G185" i="93" s="1"/>
  <c r="W185" i="93" s="1"/>
  <c r="G192" i="107" s="1"/>
  <c r="W192" i="107" s="1"/>
  <c r="G195" i="108" s="1"/>
  <c r="E181" i="90"/>
  <c r="AB189" i="90"/>
  <c r="L196" i="93" s="1"/>
  <c r="AB196" i="93" s="1"/>
  <c r="L203" i="107" s="1"/>
  <c r="AB203" i="107" s="1"/>
  <c r="L206" i="108" s="1"/>
  <c r="W12" i="90"/>
  <c r="E20" i="90"/>
  <c r="U20" i="90"/>
  <c r="V21" i="90"/>
  <c r="E21" i="90"/>
  <c r="V26" i="90"/>
  <c r="F26" i="93" s="1"/>
  <c r="V44" i="90"/>
  <c r="E13" i="90"/>
  <c r="H52" i="81"/>
  <c r="E161" i="90"/>
  <c r="U71" i="81"/>
  <c r="W39" i="90"/>
  <c r="E39" i="90"/>
  <c r="W47" i="82"/>
  <c r="G49" i="90" s="1"/>
  <c r="W49" i="90" s="1"/>
  <c r="G49" i="93" s="1"/>
  <c r="W49" i="93" s="1"/>
  <c r="G50" i="107" s="1"/>
  <c r="W50" i="107" s="1"/>
  <c r="G51" i="108" s="1"/>
  <c r="W51" i="108" s="1"/>
  <c r="G51" i="112" s="1"/>
  <c r="W51" i="112" s="1"/>
  <c r="G51" i="113" s="1"/>
  <c r="W51" i="113" s="1"/>
  <c r="G61" i="117" s="1"/>
  <c r="W61" i="117" s="1"/>
  <c r="G62" i="121" s="1"/>
  <c r="W62" i="121" s="1"/>
  <c r="G62" i="122" s="1"/>
  <c r="W62" i="122" s="1"/>
  <c r="G46" i="90"/>
  <c r="W46" i="90" s="1"/>
  <c r="W51" i="82"/>
  <c r="G53" i="90" s="1"/>
  <c r="W53" i="90" s="1"/>
  <c r="G53" i="93" s="1"/>
  <c r="W53" i="93" s="1"/>
  <c r="G54" i="107" s="1"/>
  <c r="W54" i="107" s="1"/>
  <c r="G55" i="108" s="1"/>
  <c r="W55" i="108" s="1"/>
  <c r="G55" i="112" s="1"/>
  <c r="W55" i="112" s="1"/>
  <c r="G55" i="113" s="1"/>
  <c r="W55" i="113" s="1"/>
  <c r="G65" i="117" s="1"/>
  <c r="W65" i="117" s="1"/>
  <c r="G66" i="121" s="1"/>
  <c r="W66" i="121" s="1"/>
  <c r="G66" i="122" s="1"/>
  <c r="W66" i="122" s="1"/>
  <c r="G50" i="90"/>
  <c r="W50" i="90" s="1"/>
  <c r="G50" i="93" s="1"/>
  <c r="W50" i="93" s="1"/>
  <c r="G51" i="107" s="1"/>
  <c r="W51" i="107" s="1"/>
  <c r="G52" i="108" s="1"/>
  <c r="W52" i="108" s="1"/>
  <c r="G52" i="112" s="1"/>
  <c r="W52" i="112" s="1"/>
  <c r="G52" i="113" s="1"/>
  <c r="W52" i="113" s="1"/>
  <c r="G62" i="117" s="1"/>
  <c r="W62" i="117" s="1"/>
  <c r="G63" i="121" s="1"/>
  <c r="W63" i="121" s="1"/>
  <c r="G63" i="122" s="1"/>
  <c r="W63" i="122" s="1"/>
  <c r="W15" i="90"/>
  <c r="G15" i="93" s="1"/>
  <c r="W15" i="93" s="1"/>
  <c r="G15" i="107" s="1"/>
  <c r="W15" i="107" s="1"/>
  <c r="G15" i="108" s="1"/>
  <c r="W15" i="108" s="1"/>
  <c r="G15" i="112" s="1"/>
  <c r="W15" i="112" s="1"/>
  <c r="G15" i="113" s="1"/>
  <c r="W15" i="113" s="1"/>
  <c r="G16" i="117" s="1"/>
  <c r="W16" i="117" s="1"/>
  <c r="G16" i="121" s="1"/>
  <c r="W16" i="121" s="1"/>
  <c r="G16" i="122" s="1"/>
  <c r="W16" i="122" s="1"/>
  <c r="G212" i="90"/>
  <c r="W212" i="90" s="1"/>
  <c r="G222" i="93" s="1"/>
  <c r="W222" i="93" s="1"/>
  <c r="G229" i="107" s="1"/>
  <c r="W229" i="107" s="1"/>
  <c r="G232" i="108" s="1"/>
  <c r="W232" i="108" s="1"/>
  <c r="G234" i="112" s="1"/>
  <c r="W234" i="112" s="1"/>
  <c r="G239" i="113" s="1"/>
  <c r="W239" i="113" s="1"/>
  <c r="G254" i="117" s="1"/>
  <c r="W254" i="117" s="1"/>
  <c r="G258" i="121" s="1"/>
  <c r="W258" i="121" s="1"/>
  <c r="G258" i="122" s="1"/>
  <c r="W258" i="122" s="1"/>
  <c r="L52" i="81"/>
  <c r="U109" i="90"/>
  <c r="U219" i="90"/>
  <c r="U82" i="90"/>
  <c r="Z172" i="81"/>
  <c r="J177" i="82" s="1"/>
  <c r="G136" i="81"/>
  <c r="U63" i="90"/>
  <c r="W52" i="81"/>
  <c r="G52" i="82" s="1"/>
  <c r="E47" i="81"/>
  <c r="U130" i="90"/>
  <c r="U73" i="90"/>
  <c r="U137" i="90"/>
  <c r="E34" i="90"/>
  <c r="U34" i="90"/>
  <c r="U152" i="90"/>
  <c r="U170" i="90"/>
  <c r="U135" i="90"/>
  <c r="U113" i="90"/>
  <c r="K162" i="81"/>
  <c r="V141" i="82"/>
  <c r="F150" i="90" s="1"/>
  <c r="V150" i="90" s="1"/>
  <c r="F150" i="93" s="1"/>
  <c r="V150" i="93" s="1"/>
  <c r="F156" i="107" s="1"/>
  <c r="V156" i="107" s="1"/>
  <c r="F158" i="108" s="1"/>
  <c r="V158" i="108" s="1"/>
  <c r="F160" i="112" s="1"/>
  <c r="V160" i="112" s="1"/>
  <c r="F164" i="113" s="1"/>
  <c r="V164" i="113" s="1"/>
  <c r="F176" i="117" s="1"/>
  <c r="V176" i="117" s="1"/>
  <c r="F174" i="121" s="1"/>
  <c r="V174" i="121" s="1"/>
  <c r="F174" i="122" s="1"/>
  <c r="V174" i="122" s="1"/>
  <c r="U139" i="82"/>
  <c r="U108" i="82"/>
  <c r="E127" i="82"/>
  <c r="E136" i="90"/>
  <c r="U136" i="90"/>
  <c r="U84" i="90"/>
  <c r="K52" i="81"/>
  <c r="G52" i="81"/>
  <c r="E77" i="82"/>
  <c r="U127" i="82"/>
  <c r="U101" i="90"/>
  <c r="U80" i="90"/>
  <c r="U103" i="90"/>
  <c r="U72" i="90"/>
  <c r="E170" i="90"/>
  <c r="E103" i="90"/>
  <c r="U124" i="90"/>
  <c r="E113" i="90"/>
  <c r="U126" i="90"/>
  <c r="E152" i="90"/>
  <c r="U148" i="90"/>
  <c r="U169" i="90"/>
  <c r="E169" i="90"/>
  <c r="E41" i="90"/>
  <c r="E42" i="90" s="1"/>
  <c r="V181" i="81"/>
  <c r="E165" i="81"/>
  <c r="E107" i="90"/>
  <c r="U107" i="90"/>
  <c r="V186" i="82"/>
  <c r="F200" i="90" s="1"/>
  <c r="V200" i="90" s="1"/>
  <c r="F207" i="93" s="1"/>
  <c r="V207" i="93" s="1"/>
  <c r="F214" i="107" s="1"/>
  <c r="V214" i="107" s="1"/>
  <c r="F217" i="108" s="1"/>
  <c r="V217" i="108" s="1"/>
  <c r="F219" i="112" s="1"/>
  <c r="V219" i="112" s="1"/>
  <c r="F223" i="113" s="1"/>
  <c r="V223" i="113" s="1"/>
  <c r="F238" i="117" s="1"/>
  <c r="V238" i="117" s="1"/>
  <c r="F242" i="121" s="1"/>
  <c r="V242" i="121" s="1"/>
  <c r="F242" i="122" s="1"/>
  <c r="V242" i="122" s="1"/>
  <c r="E68" i="90"/>
  <c r="V121" i="82"/>
  <c r="F129" i="90" s="1"/>
  <c r="V129" i="90" s="1"/>
  <c r="F129" i="93" s="1"/>
  <c r="V129" i="93" s="1"/>
  <c r="F130" i="107" s="1"/>
  <c r="V130" i="107" s="1"/>
  <c r="F131" i="108" s="1"/>
  <c r="V131" i="108" s="1"/>
  <c r="F131" i="112" s="1"/>
  <c r="V131" i="112" s="1"/>
  <c r="F133" i="113" s="1"/>
  <c r="V133" i="113" s="1"/>
  <c r="F144" i="117" s="1"/>
  <c r="V144" i="117" s="1"/>
  <c r="F142" i="121" s="1"/>
  <c r="V142" i="121" s="1"/>
  <c r="F142" i="122" s="1"/>
  <c r="V142" i="122" s="1"/>
  <c r="U79" i="82"/>
  <c r="U163" i="82"/>
  <c r="AA81" i="82"/>
  <c r="K86" i="90" s="1"/>
  <c r="AA86" i="90" s="1"/>
  <c r="K86" i="93" s="1"/>
  <c r="AA86" i="93" s="1"/>
  <c r="K87" i="107" s="1"/>
  <c r="AA87" i="107" s="1"/>
  <c r="K88" i="108" s="1"/>
  <c r="AA88" i="108" s="1"/>
  <c r="K88" i="112" s="1"/>
  <c r="AA88" i="112" s="1"/>
  <c r="K88" i="113" s="1"/>
  <c r="AA88" i="113" s="1"/>
  <c r="K98" i="117" s="1"/>
  <c r="AA98" i="117" s="1"/>
  <c r="K96" i="121" s="1"/>
  <c r="AA96" i="121" s="1"/>
  <c r="K96" i="122" s="1"/>
  <c r="AA96" i="122" s="1"/>
  <c r="E115" i="82"/>
  <c r="K198" i="82"/>
  <c r="E124" i="90"/>
  <c r="E80" i="90"/>
  <c r="E73" i="90"/>
  <c r="U60" i="90"/>
  <c r="U133" i="90"/>
  <c r="E72" i="90"/>
  <c r="E111" i="90"/>
  <c r="U111" i="90"/>
  <c r="E157" i="90"/>
  <c r="E132" i="90"/>
  <c r="U132" i="90"/>
  <c r="V134" i="81"/>
  <c r="L136" i="81"/>
  <c r="U30" i="81"/>
  <c r="G90" i="81"/>
  <c r="U69" i="90"/>
  <c r="U168" i="90"/>
  <c r="E168" i="90"/>
  <c r="U68" i="90"/>
  <c r="E67" i="82"/>
  <c r="E128" i="82"/>
  <c r="AA198" i="82"/>
  <c r="K212" i="90" s="1"/>
  <c r="AA212" i="90" s="1"/>
  <c r="K222" i="93" s="1"/>
  <c r="AA222" i="93" s="1"/>
  <c r="K229" i="107" s="1"/>
  <c r="AA229" i="107" s="1"/>
  <c r="K232" i="108" s="1"/>
  <c r="AA232" i="108" s="1"/>
  <c r="K234" i="112" s="1"/>
  <c r="AA234" i="112" s="1"/>
  <c r="K239" i="113" s="1"/>
  <c r="AA239" i="113" s="1"/>
  <c r="K254" i="117" s="1"/>
  <c r="AA254" i="117" s="1"/>
  <c r="K258" i="121" s="1"/>
  <c r="AA258" i="121" s="1"/>
  <c r="K258" i="122" s="1"/>
  <c r="AA258" i="122" s="1"/>
  <c r="U41" i="90"/>
  <c r="U70" i="90"/>
  <c r="E70" i="90"/>
  <c r="E203" i="90"/>
  <c r="X52" i="81"/>
  <c r="H52" i="82" s="1"/>
  <c r="E135" i="90"/>
  <c r="E216" i="90"/>
  <c r="U157" i="90"/>
  <c r="E128" i="90"/>
  <c r="E126" i="90"/>
  <c r="E101" i="90"/>
  <c r="E60" i="90"/>
  <c r="E133" i="90"/>
  <c r="E82" i="90"/>
  <c r="E63" i="90"/>
  <c r="E87" i="90"/>
  <c r="U125" i="90"/>
  <c r="E125" i="90"/>
  <c r="U102" i="90"/>
  <c r="E102" i="90"/>
  <c r="E123" i="90"/>
  <c r="E174" i="90"/>
  <c r="U123" i="90"/>
  <c r="U216" i="90"/>
  <c r="U112" i="90"/>
  <c r="E112" i="90"/>
  <c r="E51" i="81"/>
  <c r="V177" i="82"/>
  <c r="F191" i="90" s="1"/>
  <c r="V191" i="90" s="1"/>
  <c r="F198" i="93" s="1"/>
  <c r="V198" i="93" s="1"/>
  <c r="F205" i="107" s="1"/>
  <c r="V205" i="107" s="1"/>
  <c r="F208" i="108" s="1"/>
  <c r="V208" i="108" s="1"/>
  <c r="F210" i="112" s="1"/>
  <c r="V210" i="112" s="1"/>
  <c r="F214" i="113" s="1"/>
  <c r="V214" i="113" s="1"/>
  <c r="F229" i="117" s="1"/>
  <c r="V229" i="117" s="1"/>
  <c r="F233" i="121" s="1"/>
  <c r="V233" i="121" s="1"/>
  <c r="F233" i="122" s="1"/>
  <c r="V233" i="122" s="1"/>
  <c r="X132" i="82"/>
  <c r="E131" i="90"/>
  <c r="U131" i="90"/>
  <c r="U62" i="90"/>
  <c r="E62" i="90"/>
  <c r="J193" i="81"/>
  <c r="E69" i="90"/>
  <c r="E219" i="90"/>
  <c r="E137" i="90"/>
  <c r="U128" i="90"/>
  <c r="E109" i="90"/>
  <c r="E84" i="90"/>
  <c r="E148" i="90"/>
  <c r="E130" i="90"/>
  <c r="AA89" i="82"/>
  <c r="K94" i="90" s="1"/>
  <c r="AA94" i="90" s="1"/>
  <c r="K94" i="93" s="1"/>
  <c r="AA94" i="93" s="1"/>
  <c r="K95" i="107" s="1"/>
  <c r="AA95" i="107" s="1"/>
  <c r="K96" i="108" s="1"/>
  <c r="U118" i="82"/>
  <c r="U117" i="82"/>
  <c r="U21" i="82"/>
  <c r="U16" i="82"/>
  <c r="U20" i="82"/>
  <c r="F210" i="82"/>
  <c r="V210" i="82" s="1"/>
  <c r="K210" i="82"/>
  <c r="AA210" i="82" s="1"/>
  <c r="U100" i="82"/>
  <c r="L193" i="81"/>
  <c r="X162" i="81"/>
  <c r="H161" i="82" s="1"/>
  <c r="U131" i="81"/>
  <c r="U99" i="82"/>
  <c r="U180" i="82"/>
  <c r="U205" i="82"/>
  <c r="E183" i="82"/>
  <c r="U143" i="82"/>
  <c r="U125" i="82"/>
  <c r="U94" i="82"/>
  <c r="U96" i="82"/>
  <c r="V164" i="82"/>
  <c r="F175" i="90" s="1"/>
  <c r="V175" i="90" s="1"/>
  <c r="F177" i="93" s="1"/>
  <c r="V177" i="93" s="1"/>
  <c r="F184" i="107" s="1"/>
  <c r="V184" i="107" s="1"/>
  <c r="F187" i="108" s="1"/>
  <c r="V187" i="108" s="1"/>
  <c r="F189" i="112" s="1"/>
  <c r="V189" i="112" s="1"/>
  <c r="F193" i="113" s="1"/>
  <c r="V193" i="113" s="1"/>
  <c r="F205" i="117" s="1"/>
  <c r="V205" i="117" s="1"/>
  <c r="F203" i="121" s="1"/>
  <c r="V203" i="121" s="1"/>
  <c r="F203" i="122" s="1"/>
  <c r="V203" i="122" s="1"/>
  <c r="E23" i="82"/>
  <c r="W81" i="82"/>
  <c r="G83" i="90" s="1"/>
  <c r="W83" i="90" s="1"/>
  <c r="U69" i="82"/>
  <c r="E143" i="82"/>
  <c r="W188" i="82"/>
  <c r="G192" i="90" s="1"/>
  <c r="W192" i="90" s="1"/>
  <c r="G199" i="93" s="1"/>
  <c r="W199" i="93" s="1"/>
  <c r="G206" i="107" s="1"/>
  <c r="W206" i="107" s="1"/>
  <c r="G209" i="108" s="1"/>
  <c r="W209" i="108" s="1"/>
  <c r="G211" i="112" s="1"/>
  <c r="W211" i="112" s="1"/>
  <c r="G215" i="113" s="1"/>
  <c r="W215" i="113" s="1"/>
  <c r="G230" i="117" s="1"/>
  <c r="W230" i="117" s="1"/>
  <c r="G234" i="121" s="1"/>
  <c r="W234" i="121" s="1"/>
  <c r="G234" i="122" s="1"/>
  <c r="W234" i="122" s="1"/>
  <c r="U128" i="82"/>
  <c r="G209" i="82"/>
  <c r="W209" i="82" s="1"/>
  <c r="J209" i="82"/>
  <c r="Z209" i="82" s="1"/>
  <c r="F209" i="82"/>
  <c r="V209" i="82" s="1"/>
  <c r="U62" i="82"/>
  <c r="G210" i="82"/>
  <c r="W210" i="82" s="1"/>
  <c r="U95" i="82"/>
  <c r="U155" i="82"/>
  <c r="AA72" i="82"/>
  <c r="K77" i="90" s="1"/>
  <c r="AA77" i="90" s="1"/>
  <c r="K77" i="93" s="1"/>
  <c r="AA77" i="93" s="1"/>
  <c r="K78" i="107" s="1"/>
  <c r="AA78" i="107" s="1"/>
  <c r="K79" i="108" s="1"/>
  <c r="AA79" i="108" s="1"/>
  <c r="K79" i="112" s="1"/>
  <c r="AA79" i="112" s="1"/>
  <c r="K79" i="113" s="1"/>
  <c r="AA79" i="113" s="1"/>
  <c r="K89" i="117" s="1"/>
  <c r="AA89" i="117" s="1"/>
  <c r="K87" i="121" s="1"/>
  <c r="AA87" i="121" s="1"/>
  <c r="K87" i="122" s="1"/>
  <c r="AA87" i="122" s="1"/>
  <c r="H209" i="82"/>
  <c r="X209" i="82" s="1"/>
  <c r="X179" i="82"/>
  <c r="H193" i="90" s="1"/>
  <c r="X193" i="90" s="1"/>
  <c r="H200" i="93" s="1"/>
  <c r="X200" i="93" s="1"/>
  <c r="H207" i="107" s="1"/>
  <c r="X207" i="107" s="1"/>
  <c r="H210" i="108" s="1"/>
  <c r="X210" i="108" s="1"/>
  <c r="H212" i="112" s="1"/>
  <c r="X212" i="112" s="1"/>
  <c r="H216" i="113" s="1"/>
  <c r="X216" i="113" s="1"/>
  <c r="H231" i="117" s="1"/>
  <c r="X231" i="117" s="1"/>
  <c r="H235" i="121" s="1"/>
  <c r="X235" i="121" s="1"/>
  <c r="H235" i="122" s="1"/>
  <c r="X235" i="122" s="1"/>
  <c r="F193" i="81"/>
  <c r="E188" i="81"/>
  <c r="K193" i="81"/>
  <c r="U202" i="82"/>
  <c r="U176" i="81"/>
  <c r="R201" i="81"/>
  <c r="E192" i="81"/>
  <c r="P196" i="81"/>
  <c r="P201" i="81" s="1"/>
  <c r="L162" i="81"/>
  <c r="W177" i="82"/>
  <c r="G179" i="90" s="1"/>
  <c r="U87" i="82"/>
  <c r="U78" i="82"/>
  <c r="U99" i="81"/>
  <c r="U76" i="81"/>
  <c r="X43" i="81"/>
  <c r="U43" i="81" s="1"/>
  <c r="U16" i="81"/>
  <c r="U208" i="82"/>
  <c r="Z179" i="82"/>
  <c r="J193" i="90" s="1"/>
  <c r="Z193" i="90" s="1"/>
  <c r="J200" i="93" s="1"/>
  <c r="Z200" i="93" s="1"/>
  <c r="J207" i="107" s="1"/>
  <c r="Z207" i="107" s="1"/>
  <c r="J210" i="108" s="1"/>
  <c r="Z210" i="108" s="1"/>
  <c r="J212" i="112" s="1"/>
  <c r="Z212" i="112" s="1"/>
  <c r="J216" i="113" s="1"/>
  <c r="Z216" i="113" s="1"/>
  <c r="J231" i="117" s="1"/>
  <c r="Z231" i="117" s="1"/>
  <c r="J235" i="121" s="1"/>
  <c r="Z235" i="121" s="1"/>
  <c r="J235" i="122" s="1"/>
  <c r="Z235" i="122" s="1"/>
  <c r="AA153" i="82"/>
  <c r="K164" i="90" s="1"/>
  <c r="AA164" i="90" s="1"/>
  <c r="K166" i="93" s="1"/>
  <c r="AA166" i="93" s="1"/>
  <c r="K172" i="107" s="1"/>
  <c r="AA172" i="107" s="1"/>
  <c r="K175" i="108" s="1"/>
  <c r="AA175" i="108" s="1"/>
  <c r="K177" i="112" s="1"/>
  <c r="AA177" i="112" s="1"/>
  <c r="K181" i="113" s="1"/>
  <c r="AA181" i="113" s="1"/>
  <c r="K193" i="117" s="1"/>
  <c r="AA193" i="117" s="1"/>
  <c r="K191" i="121" s="1"/>
  <c r="AA191" i="121" s="1"/>
  <c r="K191" i="122" s="1"/>
  <c r="AA191" i="122" s="1"/>
  <c r="U122" i="82"/>
  <c r="U158" i="82"/>
  <c r="U156" i="82"/>
  <c r="U68" i="82"/>
  <c r="U104" i="82"/>
  <c r="U116" i="82"/>
  <c r="U67" i="82"/>
  <c r="E108" i="82"/>
  <c r="U77" i="82"/>
  <c r="E163" i="82"/>
  <c r="E208" i="82"/>
  <c r="AB160" i="82"/>
  <c r="L171" i="90" s="1"/>
  <c r="AB171" i="90" s="1"/>
  <c r="L173" i="93" s="1"/>
  <c r="AB173" i="93" s="1"/>
  <c r="L180" i="107" s="1"/>
  <c r="AB180" i="107" s="1"/>
  <c r="L183" i="108" s="1"/>
  <c r="AB183" i="108" s="1"/>
  <c r="L185" i="112" s="1"/>
  <c r="AB185" i="112" s="1"/>
  <c r="L189" i="113" s="1"/>
  <c r="AB189" i="113" s="1"/>
  <c r="L201" i="117" s="1"/>
  <c r="U33" i="82"/>
  <c r="U57" i="82"/>
  <c r="E100" i="82"/>
  <c r="E65" i="82"/>
  <c r="E33" i="82"/>
  <c r="E28" i="82"/>
  <c r="X198" i="82"/>
  <c r="H212" i="90" s="1"/>
  <c r="X212" i="90" s="1"/>
  <c r="AA169" i="82"/>
  <c r="K180" i="90" s="1"/>
  <c r="AA180" i="90" s="1"/>
  <c r="K184" i="93" s="1"/>
  <c r="AA184" i="93" s="1"/>
  <c r="K191" i="107" s="1"/>
  <c r="AA191" i="107" s="1"/>
  <c r="K194" i="108" s="1"/>
  <c r="AA194" i="108" s="1"/>
  <c r="K196" i="112" s="1"/>
  <c r="AA196" i="112" s="1"/>
  <c r="K200" i="113" s="1"/>
  <c r="AA200" i="113" s="1"/>
  <c r="K214" i="117" s="1"/>
  <c r="AA214" i="117" s="1"/>
  <c r="K213" i="121" s="1"/>
  <c r="AA213" i="121" s="1"/>
  <c r="K213" i="122" s="1"/>
  <c r="AA213" i="122" s="1"/>
  <c r="Z81" i="82"/>
  <c r="J86" i="90" s="1"/>
  <c r="Z86" i="90" s="1"/>
  <c r="J86" i="93" s="1"/>
  <c r="Z86" i="93" s="1"/>
  <c r="J87" i="107" s="1"/>
  <c r="Z87" i="107" s="1"/>
  <c r="J88" i="108" s="1"/>
  <c r="Z88" i="108" s="1"/>
  <c r="J88" i="112" s="1"/>
  <c r="Z88" i="112" s="1"/>
  <c r="J88" i="113" s="1"/>
  <c r="Z88" i="113" s="1"/>
  <c r="J98" i="117" s="1"/>
  <c r="Z98" i="117" s="1"/>
  <c r="J96" i="121" s="1"/>
  <c r="Z96" i="121" s="1"/>
  <c r="J96" i="122" s="1"/>
  <c r="Z96" i="122" s="1"/>
  <c r="Z200" i="82"/>
  <c r="J214" i="90" s="1"/>
  <c r="Z214" i="90" s="1"/>
  <c r="J224" i="93" s="1"/>
  <c r="Z224" i="93" s="1"/>
  <c r="J231" i="107" s="1"/>
  <c r="Z231" i="107" s="1"/>
  <c r="J234" i="108" s="1"/>
  <c r="Z234" i="108" s="1"/>
  <c r="J236" i="112" s="1"/>
  <c r="Z236" i="112" s="1"/>
  <c r="J241" i="113" s="1"/>
  <c r="Z241" i="113" s="1"/>
  <c r="J256" i="117" s="1"/>
  <c r="Z256" i="117" s="1"/>
  <c r="J260" i="121" s="1"/>
  <c r="Z260" i="121" s="1"/>
  <c r="J260" i="122" s="1"/>
  <c r="Z260" i="122" s="1"/>
  <c r="X188" i="82"/>
  <c r="H202" i="90" s="1"/>
  <c r="X202" i="90" s="1"/>
  <c r="H209" i="93" s="1"/>
  <c r="X209" i="93" s="1"/>
  <c r="H216" i="107" s="1"/>
  <c r="X216" i="107" s="1"/>
  <c r="H219" i="108" s="1"/>
  <c r="X219" i="108" s="1"/>
  <c r="H221" i="112" s="1"/>
  <c r="X221" i="112" s="1"/>
  <c r="H225" i="113" s="1"/>
  <c r="X225" i="113" s="1"/>
  <c r="H240" i="117" s="1"/>
  <c r="X240" i="117" s="1"/>
  <c r="H244" i="121" s="1"/>
  <c r="X244" i="121" s="1"/>
  <c r="H244" i="122" s="1"/>
  <c r="X244" i="122" s="1"/>
  <c r="Z164" i="82"/>
  <c r="J175" i="90" s="1"/>
  <c r="Z175" i="90" s="1"/>
  <c r="J177" i="93" s="1"/>
  <c r="Z177" i="93" s="1"/>
  <c r="J184" i="107" s="1"/>
  <c r="Z184" i="107" s="1"/>
  <c r="J187" i="108" s="1"/>
  <c r="Z187" i="108" s="1"/>
  <c r="J189" i="112" s="1"/>
  <c r="Z189" i="112" s="1"/>
  <c r="J193" i="113" s="1"/>
  <c r="Z193" i="113" s="1"/>
  <c r="J205" i="117" s="1"/>
  <c r="Z205" i="117" s="1"/>
  <c r="J203" i="121" s="1"/>
  <c r="Z203" i="121" s="1"/>
  <c r="J203" i="122" s="1"/>
  <c r="Z203" i="122" s="1"/>
  <c r="U106" i="82"/>
  <c r="U183" i="82"/>
  <c r="U157" i="82"/>
  <c r="X73" i="82"/>
  <c r="H78" i="90" s="1"/>
  <c r="X78" i="90" s="1"/>
  <c r="H78" i="93" s="1"/>
  <c r="X78" i="93" s="1"/>
  <c r="H79" i="107" s="1"/>
  <c r="X79" i="107" s="1"/>
  <c r="H80" i="108" s="1"/>
  <c r="X80" i="108" s="1"/>
  <c r="H80" i="112" s="1"/>
  <c r="X80" i="112" s="1"/>
  <c r="H80" i="113" s="1"/>
  <c r="X80" i="113" s="1"/>
  <c r="H90" i="117" s="1"/>
  <c r="U123" i="82"/>
  <c r="U61" i="82"/>
  <c r="V198" i="82"/>
  <c r="F212" i="90" s="1"/>
  <c r="V212" i="90" s="1"/>
  <c r="F222" i="93" s="1"/>
  <c r="V222" i="93" s="1"/>
  <c r="F229" i="107" s="1"/>
  <c r="V229" i="107" s="1"/>
  <c r="F232" i="108" s="1"/>
  <c r="V232" i="108" s="1"/>
  <c r="F234" i="112" s="1"/>
  <c r="S196" i="81"/>
  <c r="S201" i="81" s="1"/>
  <c r="L210" i="82"/>
  <c r="AB210" i="82" s="1"/>
  <c r="U107" i="82"/>
  <c r="U95" i="81"/>
  <c r="Z184" i="82"/>
  <c r="J198" i="90" s="1"/>
  <c r="Z198" i="90" s="1"/>
  <c r="J205" i="93" s="1"/>
  <c r="Z205" i="93" s="1"/>
  <c r="J212" i="107" s="1"/>
  <c r="Z212" i="107" s="1"/>
  <c r="J215" i="108" s="1"/>
  <c r="Z215" i="108" s="1"/>
  <c r="J217" i="112" s="1"/>
  <c r="Z217" i="112" s="1"/>
  <c r="J221" i="113" s="1"/>
  <c r="Z221" i="113" s="1"/>
  <c r="J236" i="117" s="1"/>
  <c r="Z236" i="117" s="1"/>
  <c r="J240" i="121" s="1"/>
  <c r="Z240" i="121" s="1"/>
  <c r="J240" i="122" s="1"/>
  <c r="Z240" i="122" s="1"/>
  <c r="AB177" i="82"/>
  <c r="L191" i="90" s="1"/>
  <c r="AB191" i="90" s="1"/>
  <c r="L198" i="93" s="1"/>
  <c r="AB198" i="93" s="1"/>
  <c r="L205" i="107" s="1"/>
  <c r="AB205" i="107" s="1"/>
  <c r="L208" i="108" s="1"/>
  <c r="U138" i="82"/>
  <c r="U120" i="82"/>
  <c r="U102" i="82"/>
  <c r="U65" i="82"/>
  <c r="E55" i="82"/>
  <c r="Z203" i="82"/>
  <c r="J217" i="90" s="1"/>
  <c r="Z217" i="90" s="1"/>
  <c r="J227" i="93" s="1"/>
  <c r="Z227" i="93" s="1"/>
  <c r="J234" i="107" s="1"/>
  <c r="Z234" i="107" s="1"/>
  <c r="J237" i="108" s="1"/>
  <c r="Z237" i="108" s="1"/>
  <c r="J239" i="112" s="1"/>
  <c r="Z239" i="112" s="1"/>
  <c r="J244" i="113" s="1"/>
  <c r="Z244" i="113" s="1"/>
  <c r="J259" i="117" s="1"/>
  <c r="Z259" i="117" s="1"/>
  <c r="J263" i="121" s="1"/>
  <c r="Z263" i="121" s="1"/>
  <c r="J263" i="122" s="1"/>
  <c r="Z263" i="122" s="1"/>
  <c r="U92" i="82"/>
  <c r="W164" i="82"/>
  <c r="G166" i="90" s="1"/>
  <c r="W166" i="90" s="1"/>
  <c r="E147" i="82"/>
  <c r="U115" i="82"/>
  <c r="U17" i="82"/>
  <c r="U41" i="82"/>
  <c r="E41" i="82"/>
  <c r="X192" i="82"/>
  <c r="H206" i="90" s="1"/>
  <c r="X206" i="90" s="1"/>
  <c r="H214" i="93" s="1"/>
  <c r="X214" i="93" s="1"/>
  <c r="H221" i="107" s="1"/>
  <c r="X221" i="107" s="1"/>
  <c r="H224" i="108" s="1"/>
  <c r="X224" i="108" s="1"/>
  <c r="H226" i="112" s="1"/>
  <c r="X226" i="112" s="1"/>
  <c r="H230" i="113" s="1"/>
  <c r="X230" i="113" s="1"/>
  <c r="H245" i="117" s="1"/>
  <c r="X245" i="117" s="1"/>
  <c r="H249" i="121" s="1"/>
  <c r="X249" i="121" s="1"/>
  <c r="H249" i="122" s="1"/>
  <c r="X249" i="122" s="1"/>
  <c r="U28" i="82"/>
  <c r="K92" i="82"/>
  <c r="E92" i="82" s="1"/>
  <c r="U92" i="81"/>
  <c r="F162" i="81"/>
  <c r="E35" i="82"/>
  <c r="E139" i="82"/>
  <c r="E61" i="82"/>
  <c r="E62" i="81"/>
  <c r="U101" i="81"/>
  <c r="E16" i="82"/>
  <c r="U164" i="81"/>
  <c r="X90" i="81"/>
  <c r="H90" i="82" s="1"/>
  <c r="H89" i="82"/>
  <c r="AA183" i="81"/>
  <c r="K188" i="82" s="1"/>
  <c r="K187" i="82"/>
  <c r="AA187" i="82" s="1"/>
  <c r="K201" i="90" s="1"/>
  <c r="AA201" i="90" s="1"/>
  <c r="K208" i="93" s="1"/>
  <c r="AA208" i="93" s="1"/>
  <c r="K215" i="107" s="1"/>
  <c r="AA215" i="107" s="1"/>
  <c r="K218" i="108" s="1"/>
  <c r="AA218" i="108" s="1"/>
  <c r="K220" i="112" s="1"/>
  <c r="AA220" i="112" s="1"/>
  <c r="K224" i="113" s="1"/>
  <c r="AA224" i="113" s="1"/>
  <c r="K239" i="117" s="1"/>
  <c r="AA239" i="117" s="1"/>
  <c r="K243" i="121" s="1"/>
  <c r="AA243" i="121" s="1"/>
  <c r="K243" i="122" s="1"/>
  <c r="AA243" i="122" s="1"/>
  <c r="W185" i="81"/>
  <c r="G190" i="82"/>
  <c r="W190" i="82" s="1"/>
  <c r="G194" i="90" s="1"/>
  <c r="W194" i="90" s="1"/>
  <c r="G189" i="82"/>
  <c r="W161" i="81"/>
  <c r="G154" i="82"/>
  <c r="W154" i="82" s="1"/>
  <c r="G156" i="90" s="1"/>
  <c r="W156" i="90" s="1"/>
  <c r="W143" i="81"/>
  <c r="G141" i="82" s="1"/>
  <c r="G135" i="82"/>
  <c r="W135" i="82" s="1"/>
  <c r="G140" i="90" s="1"/>
  <c r="W140" i="90" s="1"/>
  <c r="G140" i="93" s="1"/>
  <c r="W140" i="93" s="1"/>
  <c r="G141" i="107" s="1"/>
  <c r="W141" i="107" s="1"/>
  <c r="G142" i="108" s="1"/>
  <c r="W142" i="108" s="1"/>
  <c r="G142" i="112" s="1"/>
  <c r="W142" i="112" s="1"/>
  <c r="G144" i="113" s="1"/>
  <c r="W144" i="113" s="1"/>
  <c r="G155" i="117" s="1"/>
  <c r="W155" i="117" s="1"/>
  <c r="G153" i="121" s="1"/>
  <c r="W153" i="121" s="1"/>
  <c r="G153" i="122" s="1"/>
  <c r="W153" i="122" s="1"/>
  <c r="AB72" i="81"/>
  <c r="L70" i="82"/>
  <c r="AA192" i="81"/>
  <c r="K201" i="82"/>
  <c r="W192" i="81"/>
  <c r="G203" i="82" s="1"/>
  <c r="G201" i="82"/>
  <c r="W201" i="82" s="1"/>
  <c r="G205" i="90" s="1"/>
  <c r="W205" i="90" s="1"/>
  <c r="G213" i="93" s="1"/>
  <c r="W213" i="93" s="1"/>
  <c r="G220" i="107" s="1"/>
  <c r="W220" i="107" s="1"/>
  <c r="G223" i="108" s="1"/>
  <c r="W223" i="108" s="1"/>
  <c r="G225" i="112" s="1"/>
  <c r="W225" i="112" s="1"/>
  <c r="G229" i="113" s="1"/>
  <c r="W229" i="113" s="1"/>
  <c r="G244" i="117" s="1"/>
  <c r="W244" i="117" s="1"/>
  <c r="G248" i="121" s="1"/>
  <c r="W248" i="121" s="1"/>
  <c r="G248" i="122" s="1"/>
  <c r="W248" i="122" s="1"/>
  <c r="W188" i="81"/>
  <c r="G193" i="82"/>
  <c r="AB169" i="81"/>
  <c r="L174" i="82" s="1"/>
  <c r="L165" i="82"/>
  <c r="AA165" i="81"/>
  <c r="K164" i="82" s="1"/>
  <c r="K162" i="82"/>
  <c r="AA162" i="82" s="1"/>
  <c r="K173" i="90" s="1"/>
  <c r="AA173" i="90" s="1"/>
  <c r="K175" i="93" s="1"/>
  <c r="AA175" i="93" s="1"/>
  <c r="K182" i="107" s="1"/>
  <c r="AA182" i="107" s="1"/>
  <c r="K185" i="108" s="1"/>
  <c r="AA185" i="108" s="1"/>
  <c r="K187" i="112" s="1"/>
  <c r="AA187" i="112" s="1"/>
  <c r="K191" i="113" s="1"/>
  <c r="AA191" i="113" s="1"/>
  <c r="K203" i="117" s="1"/>
  <c r="G162" i="81"/>
  <c r="U126" i="81"/>
  <c r="U160" i="81"/>
  <c r="U147" i="81"/>
  <c r="J145" i="82"/>
  <c r="U40" i="81"/>
  <c r="H40" i="82"/>
  <c r="U111" i="81"/>
  <c r="L109" i="82"/>
  <c r="U54" i="81"/>
  <c r="J54" i="82"/>
  <c r="U106" i="81"/>
  <c r="H105" i="82"/>
  <c r="U78" i="81"/>
  <c r="W72" i="81"/>
  <c r="G63" i="82"/>
  <c r="U32" i="81"/>
  <c r="J32" i="82"/>
  <c r="Z32" i="82" s="1"/>
  <c r="J35" i="90" s="1"/>
  <c r="Z35" i="90" s="1"/>
  <c r="J35" i="93" s="1"/>
  <c r="Z35" i="93" s="1"/>
  <c r="J36" i="107" s="1"/>
  <c r="Z36" i="107" s="1"/>
  <c r="J36" i="108" s="1"/>
  <c r="Z36" i="108" s="1"/>
  <c r="J36" i="112" s="1"/>
  <c r="Z36" i="112" s="1"/>
  <c r="J36" i="113" s="1"/>
  <c r="Z36" i="113" s="1"/>
  <c r="J42" i="117" s="1"/>
  <c r="Z42" i="117" s="1"/>
  <c r="J43" i="121" s="1"/>
  <c r="Z43" i="121" s="1"/>
  <c r="J43" i="122" s="1"/>
  <c r="Z43" i="122" s="1"/>
  <c r="U45" i="81"/>
  <c r="J45" i="82"/>
  <c r="E72" i="81"/>
  <c r="U58" i="81"/>
  <c r="E26" i="81"/>
  <c r="U86" i="81"/>
  <c r="G86" i="82"/>
  <c r="Z134" i="81"/>
  <c r="J113" i="82"/>
  <c r="E202" i="82"/>
  <c r="E124" i="82"/>
  <c r="E159" i="82"/>
  <c r="AA35" i="82"/>
  <c r="K40" i="90" s="1"/>
  <c r="AA40" i="90" s="1"/>
  <c r="E87" i="82"/>
  <c r="AB71" i="82"/>
  <c r="L76" i="90" s="1"/>
  <c r="AB76" i="90" s="1"/>
  <c r="L76" i="93" s="1"/>
  <c r="AB76" i="93" s="1"/>
  <c r="L77" i="107" s="1"/>
  <c r="AB77" i="107" s="1"/>
  <c r="L78" i="108" s="1"/>
  <c r="Z85" i="82"/>
  <c r="J90" i="90" s="1"/>
  <c r="Z90" i="90" s="1"/>
  <c r="E148" i="82"/>
  <c r="V153" i="82"/>
  <c r="F164" i="90" s="1"/>
  <c r="V164" i="90" s="1"/>
  <c r="F166" i="93" s="1"/>
  <c r="V166" i="93" s="1"/>
  <c r="F172" i="107" s="1"/>
  <c r="V172" i="107" s="1"/>
  <c r="F175" i="108" s="1"/>
  <c r="V175" i="108" s="1"/>
  <c r="F177" i="112" s="1"/>
  <c r="V177" i="112" s="1"/>
  <c r="F181" i="113" s="1"/>
  <c r="V181" i="113" s="1"/>
  <c r="F193" i="117" s="1"/>
  <c r="V193" i="117" s="1"/>
  <c r="F191" i="121" s="1"/>
  <c r="V191" i="121" s="1"/>
  <c r="F191" i="122" s="1"/>
  <c r="V191" i="122" s="1"/>
  <c r="AB101" i="82"/>
  <c r="L106" i="90" s="1"/>
  <c r="AB106" i="90" s="1"/>
  <c r="L106" i="93" s="1"/>
  <c r="AB106" i="93" s="1"/>
  <c r="L107" i="107" s="1"/>
  <c r="AB107" i="107" s="1"/>
  <c r="L108" i="108" s="1"/>
  <c r="H169" i="82"/>
  <c r="J191" i="82"/>
  <c r="Z191" i="82" s="1"/>
  <c r="J205" i="90" s="1"/>
  <c r="Z205" i="90" s="1"/>
  <c r="J213" i="93" s="1"/>
  <c r="Z213" i="93" s="1"/>
  <c r="J220" i="107" s="1"/>
  <c r="Z220" i="107" s="1"/>
  <c r="J223" i="108" s="1"/>
  <c r="Z223" i="108" s="1"/>
  <c r="J225" i="112" s="1"/>
  <c r="Z225" i="112" s="1"/>
  <c r="J229" i="113" s="1"/>
  <c r="Z229" i="113" s="1"/>
  <c r="J244" i="117" s="1"/>
  <c r="Z244" i="117" s="1"/>
  <c r="J248" i="121" s="1"/>
  <c r="Z248" i="121" s="1"/>
  <c r="J248" i="122" s="1"/>
  <c r="Z248" i="122" s="1"/>
  <c r="J192" i="82"/>
  <c r="Z169" i="81"/>
  <c r="J174" i="82" s="1"/>
  <c r="J165" i="82"/>
  <c r="K191" i="82"/>
  <c r="AA191" i="82" s="1"/>
  <c r="K205" i="90" s="1"/>
  <c r="AA205" i="90" s="1"/>
  <c r="K213" i="93" s="1"/>
  <c r="AA213" i="93" s="1"/>
  <c r="K220" i="107" s="1"/>
  <c r="AA220" i="107" s="1"/>
  <c r="K223" i="108" s="1"/>
  <c r="AA223" i="108" s="1"/>
  <c r="K225" i="112" s="1"/>
  <c r="AA225" i="112" s="1"/>
  <c r="K229" i="113" s="1"/>
  <c r="AA229" i="113" s="1"/>
  <c r="K244" i="117" s="1"/>
  <c r="AA244" i="117" s="1"/>
  <c r="K248" i="121" s="1"/>
  <c r="AA248" i="121" s="1"/>
  <c r="K248" i="122" s="1"/>
  <c r="AA248" i="122" s="1"/>
  <c r="K192" i="82"/>
  <c r="L191" i="82"/>
  <c r="L192" i="82"/>
  <c r="AA161" i="81"/>
  <c r="K154" i="82"/>
  <c r="AA73" i="81"/>
  <c r="K73" i="82" s="1"/>
  <c r="K72" i="82"/>
  <c r="W179" i="81"/>
  <c r="G184" i="82" s="1"/>
  <c r="G182" i="82"/>
  <c r="W182" i="82" s="1"/>
  <c r="G187" i="90" s="1"/>
  <c r="E187" i="90" s="1"/>
  <c r="U60" i="81"/>
  <c r="J60" i="82"/>
  <c r="E114" i="81"/>
  <c r="U80" i="81"/>
  <c r="L80" i="82"/>
  <c r="U66" i="81"/>
  <c r="J66" i="82"/>
  <c r="U36" i="81"/>
  <c r="G36" i="82"/>
  <c r="X114" i="81"/>
  <c r="AB81" i="81"/>
  <c r="L74" i="82"/>
  <c r="AB130" i="82"/>
  <c r="L138" i="90" s="1"/>
  <c r="AB138" i="90" s="1"/>
  <c r="L138" i="93" s="1"/>
  <c r="AB138" i="93" s="1"/>
  <c r="L139" i="107" s="1"/>
  <c r="AB139" i="107" s="1"/>
  <c r="L140" i="108" s="1"/>
  <c r="U159" i="82"/>
  <c r="AB53" i="82"/>
  <c r="L58" i="90" s="1"/>
  <c r="AB58" i="90" s="1"/>
  <c r="L58" i="93" s="1"/>
  <c r="AB58" i="93" s="1"/>
  <c r="L59" i="107" s="1"/>
  <c r="AB59" i="107" s="1"/>
  <c r="L60" i="108" s="1"/>
  <c r="E82" i="82"/>
  <c r="AB76" i="82"/>
  <c r="L81" i="90" s="1"/>
  <c r="AB81" i="90" s="1"/>
  <c r="L81" i="93" s="1"/>
  <c r="AB81" i="93" s="1"/>
  <c r="L82" i="107" s="1"/>
  <c r="AB82" i="107" s="1"/>
  <c r="L83" i="108" s="1"/>
  <c r="E58" i="82"/>
  <c r="E95" i="82"/>
  <c r="AB151" i="82"/>
  <c r="L160" i="90" s="1"/>
  <c r="AB160" i="90" s="1"/>
  <c r="L160" i="93" s="1"/>
  <c r="AB160" i="93" s="1"/>
  <c r="L166" i="107" s="1"/>
  <c r="AB166" i="107" s="1"/>
  <c r="L168" i="108" s="1"/>
  <c r="AB183" i="81"/>
  <c r="L188" i="82" s="1"/>
  <c r="L187" i="82"/>
  <c r="AB154" i="81"/>
  <c r="L153" i="82" s="1"/>
  <c r="L142" i="82"/>
  <c r="AA143" i="81"/>
  <c r="K141" i="82" s="1"/>
  <c r="K135" i="82"/>
  <c r="Z89" i="81"/>
  <c r="J83" i="82"/>
  <c r="U198" i="81"/>
  <c r="K209" i="82"/>
  <c r="U167" i="81"/>
  <c r="AB143" i="81"/>
  <c r="L141" i="82" s="1"/>
  <c r="L136" i="82"/>
  <c r="U187" i="81"/>
  <c r="J194" i="82"/>
  <c r="W181" i="81"/>
  <c r="G186" i="82" s="1"/>
  <c r="G185" i="82"/>
  <c r="W185" i="82" s="1"/>
  <c r="G190" i="90" s="1"/>
  <c r="E190" i="90" s="1"/>
  <c r="U151" i="81"/>
  <c r="J149" i="82"/>
  <c r="AA47" i="81"/>
  <c r="K47" i="82" s="1"/>
  <c r="K44" i="82"/>
  <c r="AA44" i="82" s="1"/>
  <c r="K49" i="90" s="1"/>
  <c r="AA49" i="90" s="1"/>
  <c r="K49" i="93" s="1"/>
  <c r="AA49" i="93" s="1"/>
  <c r="K50" i="107" s="1"/>
  <c r="AA50" i="107" s="1"/>
  <c r="K51" i="108" s="1"/>
  <c r="AA51" i="108" s="1"/>
  <c r="K51" i="112" s="1"/>
  <c r="AA51" i="112" s="1"/>
  <c r="K51" i="113" s="1"/>
  <c r="AA51" i="113" s="1"/>
  <c r="K61" i="117" s="1"/>
  <c r="AA61" i="117" s="1"/>
  <c r="K62" i="121" s="1"/>
  <c r="AA62" i="121" s="1"/>
  <c r="K62" i="122" s="1"/>
  <c r="AA62" i="122" s="1"/>
  <c r="AA114" i="81"/>
  <c r="K112" i="82" s="1"/>
  <c r="K93" i="82"/>
  <c r="AA93" i="82" s="1"/>
  <c r="K98" i="90" s="1"/>
  <c r="AA98" i="90" s="1"/>
  <c r="K98" i="93" s="1"/>
  <c r="AA98" i="93" s="1"/>
  <c r="K99" i="107" s="1"/>
  <c r="AA99" i="107" s="1"/>
  <c r="K100" i="108" s="1"/>
  <c r="AA100" i="108" s="1"/>
  <c r="K100" i="112" s="1"/>
  <c r="AA100" i="112" s="1"/>
  <c r="K100" i="113" s="1"/>
  <c r="AA100" i="113" s="1"/>
  <c r="K110" i="117" s="1"/>
  <c r="AA110" i="117" s="1"/>
  <c r="K108" i="121" s="1"/>
  <c r="AA108" i="121" s="1"/>
  <c r="K108" i="122" s="1"/>
  <c r="AA108" i="122" s="1"/>
  <c r="Z51" i="81"/>
  <c r="J48" i="82"/>
  <c r="Z48" i="82" s="1"/>
  <c r="J53" i="90" s="1"/>
  <c r="Z53" i="90" s="1"/>
  <c r="J53" i="93" s="1"/>
  <c r="Z53" i="93" s="1"/>
  <c r="J54" i="107" s="1"/>
  <c r="Z54" i="107" s="1"/>
  <c r="J55" i="108" s="1"/>
  <c r="Z55" i="108" s="1"/>
  <c r="J55" i="112" s="1"/>
  <c r="Z55" i="112" s="1"/>
  <c r="J55" i="113" s="1"/>
  <c r="Z55" i="113" s="1"/>
  <c r="J65" i="117" s="1"/>
  <c r="Z65" i="117" s="1"/>
  <c r="J66" i="121" s="1"/>
  <c r="Z66" i="121" s="1"/>
  <c r="J66" i="122" s="1"/>
  <c r="Z66" i="122" s="1"/>
  <c r="U27" i="81"/>
  <c r="K27" i="82"/>
  <c r="V169" i="81"/>
  <c r="U142" i="81"/>
  <c r="L140" i="82"/>
  <c r="U50" i="81"/>
  <c r="L50" i="82"/>
  <c r="U113" i="81"/>
  <c r="L111" i="82"/>
  <c r="W114" i="81"/>
  <c r="G112" i="82" s="1"/>
  <c r="G93" i="82"/>
  <c r="W93" i="82" s="1"/>
  <c r="G95" i="90" s="1"/>
  <c r="W95" i="90" s="1"/>
  <c r="G95" i="93" s="1"/>
  <c r="W95" i="93" s="1"/>
  <c r="G96" i="107" s="1"/>
  <c r="W96" i="107" s="1"/>
  <c r="G97" i="108" s="1"/>
  <c r="W97" i="108" s="1"/>
  <c r="G97" i="112" s="1"/>
  <c r="W97" i="112" s="1"/>
  <c r="G97" i="113" s="1"/>
  <c r="W97" i="113" s="1"/>
  <c r="G107" i="117" s="1"/>
  <c r="W107" i="117" s="1"/>
  <c r="G105" i="121" s="1"/>
  <c r="W105" i="121" s="1"/>
  <c r="G105" i="122" s="1"/>
  <c r="W105" i="122" s="1"/>
  <c r="U35" i="81"/>
  <c r="U109" i="81"/>
  <c r="U103" i="81"/>
  <c r="L103" i="82"/>
  <c r="E133" i="82"/>
  <c r="E107" i="82"/>
  <c r="AB126" i="82"/>
  <c r="L134" i="90" s="1"/>
  <c r="AB134" i="90" s="1"/>
  <c r="L134" i="93" s="1"/>
  <c r="AB134" i="93" s="1"/>
  <c r="L135" i="107" s="1"/>
  <c r="AB135" i="107" s="1"/>
  <c r="L136" i="108" s="1"/>
  <c r="U58" i="82"/>
  <c r="E181" i="82"/>
  <c r="H185" i="82"/>
  <c r="X185" i="82" s="1"/>
  <c r="H199" i="90" s="1"/>
  <c r="X199" i="90" s="1"/>
  <c r="H206" i="93" s="1"/>
  <c r="X206" i="93" s="1"/>
  <c r="H213" i="107" s="1"/>
  <c r="X213" i="107" s="1"/>
  <c r="H216" i="108" s="1"/>
  <c r="X216" i="108" s="1"/>
  <c r="H218" i="112" s="1"/>
  <c r="X218" i="112" s="1"/>
  <c r="H222" i="113" s="1"/>
  <c r="X222" i="113" s="1"/>
  <c r="H237" i="117" s="1"/>
  <c r="X237" i="117" s="1"/>
  <c r="H241" i="121" s="1"/>
  <c r="X241" i="121" s="1"/>
  <c r="H241" i="122" s="1"/>
  <c r="X241" i="122" s="1"/>
  <c r="X181" i="81"/>
  <c r="H186" i="82" s="1"/>
  <c r="H15" i="82"/>
  <c r="U15" i="81"/>
  <c r="V191" i="82"/>
  <c r="F205" i="90" s="1"/>
  <c r="V205" i="90" s="1"/>
  <c r="F213" i="93" s="1"/>
  <c r="V213" i="93" s="1"/>
  <c r="F220" i="107" s="1"/>
  <c r="V220" i="107" s="1"/>
  <c r="F223" i="108" s="1"/>
  <c r="V223" i="108" s="1"/>
  <c r="F225" i="112" s="1"/>
  <c r="V225" i="112" s="1"/>
  <c r="F229" i="113" s="1"/>
  <c r="V229" i="113" s="1"/>
  <c r="F244" i="117" s="1"/>
  <c r="V244" i="117" s="1"/>
  <c r="F248" i="121" s="1"/>
  <c r="V248" i="121" s="1"/>
  <c r="F248" i="122" s="1"/>
  <c r="V248" i="122" s="1"/>
  <c r="W169" i="81"/>
  <c r="G174" i="82" s="1"/>
  <c r="G165" i="82"/>
  <c r="AB179" i="81"/>
  <c r="L184" i="82" s="1"/>
  <c r="L182" i="82"/>
  <c r="AA134" i="81"/>
  <c r="K114" i="82"/>
  <c r="U146" i="81"/>
  <c r="L144" i="82"/>
  <c r="AA51" i="81"/>
  <c r="K48" i="82"/>
  <c r="AA48" i="82" s="1"/>
  <c r="K53" i="90" s="1"/>
  <c r="AA53" i="90" s="1"/>
  <c r="K53" i="93" s="1"/>
  <c r="AA53" i="93" s="1"/>
  <c r="K54" i="107" s="1"/>
  <c r="AA54" i="107" s="1"/>
  <c r="K55" i="108" s="1"/>
  <c r="AA55" i="108" s="1"/>
  <c r="K55" i="112" s="1"/>
  <c r="AA55" i="112" s="1"/>
  <c r="K55" i="113" s="1"/>
  <c r="AA55" i="113" s="1"/>
  <c r="K65" i="117" s="1"/>
  <c r="AA65" i="117" s="1"/>
  <c r="K66" i="121" s="1"/>
  <c r="AA66" i="121" s="1"/>
  <c r="K66" i="122" s="1"/>
  <c r="AA66" i="122" s="1"/>
  <c r="Z181" i="81"/>
  <c r="J186" i="82" s="1"/>
  <c r="J185" i="82"/>
  <c r="Z185" i="82" s="1"/>
  <c r="J199" i="90" s="1"/>
  <c r="Z199" i="90" s="1"/>
  <c r="J206" i="93" s="1"/>
  <c r="Z206" i="93" s="1"/>
  <c r="J213" i="107" s="1"/>
  <c r="Z213" i="107" s="1"/>
  <c r="J216" i="108" s="1"/>
  <c r="Z216" i="108" s="1"/>
  <c r="J218" i="112" s="1"/>
  <c r="Z218" i="112" s="1"/>
  <c r="J222" i="113" s="1"/>
  <c r="Z222" i="113" s="1"/>
  <c r="J237" i="117" s="1"/>
  <c r="Z237" i="117" s="1"/>
  <c r="J241" i="121" s="1"/>
  <c r="Z241" i="121" s="1"/>
  <c r="J241" i="122" s="1"/>
  <c r="Z241" i="122" s="1"/>
  <c r="AA179" i="81"/>
  <c r="K184" i="82" s="1"/>
  <c r="K182" i="82"/>
  <c r="AA182" i="82" s="1"/>
  <c r="K196" i="90" s="1"/>
  <c r="AA196" i="90" s="1"/>
  <c r="K203" i="93" s="1"/>
  <c r="AA203" i="93" s="1"/>
  <c r="K210" i="107" s="1"/>
  <c r="AA210" i="107" s="1"/>
  <c r="K213" i="108" s="1"/>
  <c r="AA213" i="108" s="1"/>
  <c r="K215" i="112" s="1"/>
  <c r="AA215" i="112" s="1"/>
  <c r="K219" i="113" s="1"/>
  <c r="AA219" i="113" s="1"/>
  <c r="K234" i="117" s="1"/>
  <c r="AA234" i="117" s="1"/>
  <c r="K238" i="121" s="1"/>
  <c r="AA238" i="121" s="1"/>
  <c r="K238" i="122" s="1"/>
  <c r="AA238" i="122" s="1"/>
  <c r="AA172" i="81"/>
  <c r="K177" i="82" s="1"/>
  <c r="K176" i="82"/>
  <c r="U199" i="81"/>
  <c r="J210" i="82"/>
  <c r="Z210" i="82" s="1"/>
  <c r="AB165" i="81"/>
  <c r="L164" i="82" s="1"/>
  <c r="L162" i="82"/>
  <c r="Z143" i="81"/>
  <c r="J141" i="82" s="1"/>
  <c r="J135" i="82"/>
  <c r="Z135" i="82" s="1"/>
  <c r="J144" i="90" s="1"/>
  <c r="Z144" i="90" s="1"/>
  <c r="J144" i="93" s="1"/>
  <c r="Z144" i="93" s="1"/>
  <c r="J149" i="107" s="1"/>
  <c r="Z149" i="107" s="1"/>
  <c r="J151" i="108" s="1"/>
  <c r="Z151" i="108" s="1"/>
  <c r="J153" i="112" s="1"/>
  <c r="Z153" i="112" s="1"/>
  <c r="J157" i="113" s="1"/>
  <c r="Z157" i="113" s="1"/>
  <c r="J168" i="117" s="1"/>
  <c r="Z168" i="117" s="1"/>
  <c r="J166" i="121" s="1"/>
  <c r="Z166" i="121" s="1"/>
  <c r="J166" i="122" s="1"/>
  <c r="Z166" i="122" s="1"/>
  <c r="U150" i="81"/>
  <c r="E143" i="81"/>
  <c r="Z161" i="81"/>
  <c r="J160" i="82" s="1"/>
  <c r="J154" i="82"/>
  <c r="Z154" i="82" s="1"/>
  <c r="J165" i="90" s="1"/>
  <c r="Z165" i="90" s="1"/>
  <c r="J167" i="93" s="1"/>
  <c r="Z167" i="93" s="1"/>
  <c r="J173" i="107" s="1"/>
  <c r="Z173" i="107" s="1"/>
  <c r="J176" i="108" s="1"/>
  <c r="Z176" i="108" s="1"/>
  <c r="J178" i="112" s="1"/>
  <c r="Z178" i="112" s="1"/>
  <c r="J182" i="113" s="1"/>
  <c r="Z182" i="113" s="1"/>
  <c r="J194" i="117" s="1"/>
  <c r="Z194" i="117" s="1"/>
  <c r="J192" i="121" s="1"/>
  <c r="Z192" i="121" s="1"/>
  <c r="J192" i="122" s="1"/>
  <c r="Z192" i="122" s="1"/>
  <c r="U148" i="81"/>
  <c r="L146" i="82"/>
  <c r="W154" i="81"/>
  <c r="G153" i="82" s="1"/>
  <c r="G142" i="82"/>
  <c r="W142" i="82" s="1"/>
  <c r="G147" i="90" s="1"/>
  <c r="W147" i="90" s="1"/>
  <c r="G147" i="93" s="1"/>
  <c r="W147" i="93" s="1"/>
  <c r="G152" i="107" s="1"/>
  <c r="W152" i="107" s="1"/>
  <c r="G154" i="108" s="1"/>
  <c r="W154" i="108" s="1"/>
  <c r="G156" i="112" s="1"/>
  <c r="W156" i="112" s="1"/>
  <c r="G160" i="113" s="1"/>
  <c r="W160" i="113" s="1"/>
  <c r="G171" i="117" s="1"/>
  <c r="W171" i="117" s="1"/>
  <c r="G169" i="121" s="1"/>
  <c r="W169" i="121" s="1"/>
  <c r="G169" i="122" s="1"/>
  <c r="W169" i="122" s="1"/>
  <c r="Z47" i="81"/>
  <c r="J47" i="82" s="1"/>
  <c r="J44" i="82"/>
  <c r="Z44" i="82" s="1"/>
  <c r="J49" i="90" s="1"/>
  <c r="Z49" i="90" s="1"/>
  <c r="J49" i="93" s="1"/>
  <c r="Z49" i="93" s="1"/>
  <c r="J50" i="107" s="1"/>
  <c r="Z50" i="107" s="1"/>
  <c r="J51" i="108" s="1"/>
  <c r="Z51" i="108" s="1"/>
  <c r="J51" i="112" s="1"/>
  <c r="Z51" i="112" s="1"/>
  <c r="J51" i="113" s="1"/>
  <c r="Z51" i="113" s="1"/>
  <c r="J61" i="117" s="1"/>
  <c r="Z61" i="117" s="1"/>
  <c r="J62" i="121" s="1"/>
  <c r="Z62" i="121" s="1"/>
  <c r="J62" i="122" s="1"/>
  <c r="Z62" i="122" s="1"/>
  <c r="U171" i="81"/>
  <c r="U152" i="81"/>
  <c r="J151" i="82"/>
  <c r="Z151" i="82" s="1"/>
  <c r="J160" i="90" s="1"/>
  <c r="Z160" i="90" s="1"/>
  <c r="J160" i="93" s="1"/>
  <c r="Z160" i="93" s="1"/>
  <c r="J166" i="107" s="1"/>
  <c r="Z166" i="107" s="1"/>
  <c r="J168" i="108" s="1"/>
  <c r="Z168" i="108" s="1"/>
  <c r="J170" i="112" s="1"/>
  <c r="Z170" i="112" s="1"/>
  <c r="J174" i="113" s="1"/>
  <c r="Z174" i="113" s="1"/>
  <c r="J186" i="117" s="1"/>
  <c r="Z186" i="117" s="1"/>
  <c r="J184" i="121" s="1"/>
  <c r="Z184" i="121" s="1"/>
  <c r="J184" i="122" s="1"/>
  <c r="Z184" i="122" s="1"/>
  <c r="J150" i="82"/>
  <c r="U128" i="81"/>
  <c r="AB134" i="81"/>
  <c r="L132" i="82" s="1"/>
  <c r="Z114" i="81"/>
  <c r="J112" i="82" s="1"/>
  <c r="J93" i="82"/>
  <c r="Z93" i="82" s="1"/>
  <c r="J98" i="90" s="1"/>
  <c r="Z98" i="90" s="1"/>
  <c r="J98" i="93" s="1"/>
  <c r="Z98" i="93" s="1"/>
  <c r="J99" i="107" s="1"/>
  <c r="Z99" i="107" s="1"/>
  <c r="J100" i="108" s="1"/>
  <c r="Z100" i="108" s="1"/>
  <c r="J100" i="112" s="1"/>
  <c r="Z100" i="112" s="1"/>
  <c r="J100" i="113" s="1"/>
  <c r="Z100" i="113" s="1"/>
  <c r="J110" i="117" s="1"/>
  <c r="Z110" i="117" s="1"/>
  <c r="J108" i="121" s="1"/>
  <c r="Z108" i="121" s="1"/>
  <c r="J108" i="122" s="1"/>
  <c r="Z108" i="122" s="1"/>
  <c r="J73" i="81"/>
  <c r="U56" i="81"/>
  <c r="J56" i="82"/>
  <c r="U46" i="81"/>
  <c r="L46" i="82"/>
  <c r="U132" i="81"/>
  <c r="U97" i="81"/>
  <c r="G97" i="82"/>
  <c r="J52" i="81"/>
  <c r="U87" i="81"/>
  <c r="U107" i="81"/>
  <c r="U49" i="81"/>
  <c r="J49" i="82"/>
  <c r="U137" i="81"/>
  <c r="U53" i="81"/>
  <c r="U83" i="81"/>
  <c r="V83" i="82"/>
  <c r="F88" i="90" s="1"/>
  <c r="V88" i="90" s="1"/>
  <c r="F88" i="93" s="1"/>
  <c r="V88" i="93" s="1"/>
  <c r="F89" i="107" s="1"/>
  <c r="V89" i="107" s="1"/>
  <c r="F90" i="108" s="1"/>
  <c r="V90" i="108" s="1"/>
  <c r="F90" i="112" s="1"/>
  <c r="V90" i="112" s="1"/>
  <c r="F90" i="113" s="1"/>
  <c r="V90" i="113" s="1"/>
  <c r="F100" i="117" s="1"/>
  <c r="V100" i="117" s="1"/>
  <c r="F98" i="121" s="1"/>
  <c r="V98" i="121" s="1"/>
  <c r="F98" i="122" s="1"/>
  <c r="V98" i="122" s="1"/>
  <c r="U148" i="82"/>
  <c r="E64" i="82"/>
  <c r="E78" i="82"/>
  <c r="AB44" i="82"/>
  <c r="L49" i="90" s="1"/>
  <c r="AB49" i="90" s="1"/>
  <c r="L49" i="93" s="1"/>
  <c r="AB49" i="93" s="1"/>
  <c r="L50" i="107" s="1"/>
  <c r="AB50" i="107" s="1"/>
  <c r="L51" i="108" s="1"/>
  <c r="E106" i="82"/>
  <c r="E99" i="82"/>
  <c r="E175" i="82"/>
  <c r="E29" i="82"/>
  <c r="AA181" i="81"/>
  <c r="K186" i="82" s="1"/>
  <c r="K185" i="82"/>
  <c r="AB190" i="82"/>
  <c r="L204" i="90" s="1"/>
  <c r="AB204" i="90" s="1"/>
  <c r="L212" i="93" s="1"/>
  <c r="AB212" i="93" s="1"/>
  <c r="L219" i="107" s="1"/>
  <c r="AB219" i="107" s="1"/>
  <c r="L222" i="108" s="1"/>
  <c r="K178" i="82"/>
  <c r="AA174" i="81"/>
  <c r="K179" i="82" s="1"/>
  <c r="R207" i="82"/>
  <c r="R211" i="82" s="1"/>
  <c r="T207" i="82"/>
  <c r="T211" i="82" s="1"/>
  <c r="X169" i="82"/>
  <c r="H180" i="90" s="1"/>
  <c r="X180" i="90" s="1"/>
  <c r="H184" i="93" s="1"/>
  <c r="X184" i="93" s="1"/>
  <c r="H191" i="107" s="1"/>
  <c r="X191" i="107" s="1"/>
  <c r="H194" i="108" s="1"/>
  <c r="X194" i="108" s="1"/>
  <c r="H196" i="112" s="1"/>
  <c r="X196" i="112" s="1"/>
  <c r="H200" i="113" s="1"/>
  <c r="X200" i="113" s="1"/>
  <c r="H214" i="117" s="1"/>
  <c r="X214" i="117" s="1"/>
  <c r="H213" i="121" s="1"/>
  <c r="X213" i="121" s="1"/>
  <c r="H213" i="122" s="1"/>
  <c r="X213" i="122" s="1"/>
  <c r="S207" i="82"/>
  <c r="S211" i="82" s="1"/>
  <c r="AA26" i="82"/>
  <c r="K29" i="90" s="1"/>
  <c r="AA29" i="90" s="1"/>
  <c r="K29" i="93" s="1"/>
  <c r="AA29" i="93" s="1"/>
  <c r="K30" i="107" s="1"/>
  <c r="V26" i="82"/>
  <c r="F29" i="90" s="1"/>
  <c r="V29" i="90" s="1"/>
  <c r="F29" i="93" s="1"/>
  <c r="V29" i="93" s="1"/>
  <c r="F30" i="107" s="1"/>
  <c r="V30" i="107" s="1"/>
  <c r="F30" i="108" s="1"/>
  <c r="V30" i="108" s="1"/>
  <c r="F30" i="112" s="1"/>
  <c r="V30" i="112" s="1"/>
  <c r="F30" i="113" s="1"/>
  <c r="V30" i="113" s="1"/>
  <c r="F34" i="117" s="1"/>
  <c r="V34" i="117" s="1"/>
  <c r="F35" i="121" s="1"/>
  <c r="V35" i="121" s="1"/>
  <c r="F35" i="122" s="1"/>
  <c r="V35" i="122" s="1"/>
  <c r="U12" i="82"/>
  <c r="M161" i="82"/>
  <c r="P207" i="82"/>
  <c r="P211" i="82" s="1"/>
  <c r="W26" i="82"/>
  <c r="AB26" i="82"/>
  <c r="L29" i="90" s="1"/>
  <c r="AB29" i="90" s="1"/>
  <c r="L29" i="93" s="1"/>
  <c r="X37" i="82"/>
  <c r="H42" i="90" s="1"/>
  <c r="X42" i="90" s="1"/>
  <c r="H42" i="93" s="1"/>
  <c r="X42" i="93" s="1"/>
  <c r="H43" i="107" s="1"/>
  <c r="X43" i="107" s="1"/>
  <c r="H43" i="108" s="1"/>
  <c r="X43" i="108" s="1"/>
  <c r="H43" i="112" s="1"/>
  <c r="X43" i="112" s="1"/>
  <c r="H43" i="113" s="1"/>
  <c r="X43" i="113" s="1"/>
  <c r="H49" i="117" s="1"/>
  <c r="X49" i="117" s="1"/>
  <c r="H50" i="121" s="1"/>
  <c r="X50" i="121" s="1"/>
  <c r="H50" i="122" s="1"/>
  <c r="X50" i="122" s="1"/>
  <c r="M37" i="82"/>
  <c r="M134" i="82"/>
  <c r="M90" i="82"/>
  <c r="U206" i="82"/>
  <c r="M52" i="82"/>
  <c r="U147" i="82"/>
  <c r="U181" i="82"/>
  <c r="X52" i="82"/>
  <c r="H57" i="90" s="1"/>
  <c r="X57" i="90" s="1"/>
  <c r="H57" i="93" s="1"/>
  <c r="X57" i="93" s="1"/>
  <c r="H58" i="107" s="1"/>
  <c r="X58" i="107" s="1"/>
  <c r="H59" i="108" s="1"/>
  <c r="X59" i="108" s="1"/>
  <c r="H59" i="112" s="1"/>
  <c r="X59" i="112" s="1"/>
  <c r="H59" i="113" s="1"/>
  <c r="X59" i="113" s="1"/>
  <c r="H69" i="117" s="1"/>
  <c r="X69" i="117" s="1"/>
  <c r="H70" i="121" s="1"/>
  <c r="X70" i="121" s="1"/>
  <c r="H70" i="122" s="1"/>
  <c r="X70" i="122" s="1"/>
  <c r="X90" i="82"/>
  <c r="H95" i="90" s="1"/>
  <c r="X95" i="90" s="1"/>
  <c r="H95" i="93" s="1"/>
  <c r="X95" i="93" s="1"/>
  <c r="H96" i="107" s="1"/>
  <c r="X96" i="107" s="1"/>
  <c r="H97" i="108" s="1"/>
  <c r="X97" i="108" s="1"/>
  <c r="H97" i="112" s="1"/>
  <c r="X97" i="112" s="1"/>
  <c r="H97" i="113" s="1"/>
  <c r="X97" i="113" s="1"/>
  <c r="H107" i="117" s="1"/>
  <c r="X107" i="117" s="1"/>
  <c r="H105" i="121" s="1"/>
  <c r="X105" i="121" s="1"/>
  <c r="H105" i="122" s="1"/>
  <c r="X105" i="122" s="1"/>
  <c r="U175" i="82"/>
  <c r="U124" i="82"/>
  <c r="X161" i="82"/>
  <c r="H172" i="90" s="1"/>
  <c r="X172" i="90" s="1"/>
  <c r="H174" i="93" s="1"/>
  <c r="X174" i="93" s="1"/>
  <c r="H181" i="107" s="1"/>
  <c r="X181" i="107" s="1"/>
  <c r="H184" i="108" s="1"/>
  <c r="X184" i="108" s="1"/>
  <c r="H186" i="112" s="1"/>
  <c r="X186" i="112" s="1"/>
  <c r="H190" i="113" s="1"/>
  <c r="X190" i="113" s="1"/>
  <c r="H202" i="117" s="1"/>
  <c r="X202" i="117" s="1"/>
  <c r="H200" i="121" s="1"/>
  <c r="X200" i="121" s="1"/>
  <c r="H200" i="122" s="1"/>
  <c r="X200" i="122" s="1"/>
  <c r="V203" i="82"/>
  <c r="F217" i="90" s="1"/>
  <c r="V217" i="90" s="1"/>
  <c r="F227" i="93" s="1"/>
  <c r="V227" i="93" s="1"/>
  <c r="F234" i="107" s="1"/>
  <c r="V234" i="107" s="1"/>
  <c r="F237" i="108" s="1"/>
  <c r="V237" i="108" s="1"/>
  <c r="F239" i="112" s="1"/>
  <c r="V239" i="112" s="1"/>
  <c r="F244" i="113" s="1"/>
  <c r="V244" i="113" s="1"/>
  <c r="F259" i="117" s="1"/>
  <c r="V259" i="117" s="1"/>
  <c r="F263" i="121" s="1"/>
  <c r="V263" i="121" s="1"/>
  <c r="F263" i="122" s="1"/>
  <c r="V263" i="122" s="1"/>
  <c r="U82" i="82"/>
  <c r="V184" i="82"/>
  <c r="F198" i="90" s="1"/>
  <c r="V198" i="90" s="1"/>
  <c r="F205" i="93" s="1"/>
  <c r="V205" i="93" s="1"/>
  <c r="F212" i="107" s="1"/>
  <c r="V212" i="107" s="1"/>
  <c r="F215" i="108" s="1"/>
  <c r="V215" i="108" s="1"/>
  <c r="F217" i="112" s="1"/>
  <c r="V217" i="112" s="1"/>
  <c r="F221" i="113" s="1"/>
  <c r="V221" i="113" s="1"/>
  <c r="F236" i="117" s="1"/>
  <c r="V236" i="117" s="1"/>
  <c r="F240" i="121" s="1"/>
  <c r="V240" i="121" s="1"/>
  <c r="F240" i="122" s="1"/>
  <c r="V240" i="122" s="1"/>
  <c r="V72" i="82"/>
  <c r="F77" i="90" s="1"/>
  <c r="V77" i="90" s="1"/>
  <c r="F77" i="93" s="1"/>
  <c r="V77" i="93" s="1"/>
  <c r="F78" i="107" s="1"/>
  <c r="V78" i="107" s="1"/>
  <c r="F79" i="108" s="1"/>
  <c r="V79" i="108" s="1"/>
  <c r="F79" i="112" s="1"/>
  <c r="V79" i="112" s="1"/>
  <c r="F79" i="113" s="1"/>
  <c r="V79" i="113" s="1"/>
  <c r="F89" i="117" s="1"/>
  <c r="V89" i="117" s="1"/>
  <c r="F87" i="121" s="1"/>
  <c r="V87" i="121" s="1"/>
  <c r="F87" i="122" s="1"/>
  <c r="V87" i="122" s="1"/>
  <c r="U64" i="82"/>
  <c r="U133" i="82"/>
  <c r="Z177" i="82"/>
  <c r="J191" i="90" s="1"/>
  <c r="Z191" i="90" s="1"/>
  <c r="J198" i="93" s="1"/>
  <c r="Z198" i="93" s="1"/>
  <c r="J205" i="107" s="1"/>
  <c r="Z205" i="107" s="1"/>
  <c r="J208" i="108" s="1"/>
  <c r="Z208" i="108" s="1"/>
  <c r="J210" i="112" s="1"/>
  <c r="Z210" i="112" s="1"/>
  <c r="J214" i="113" s="1"/>
  <c r="Z214" i="113" s="1"/>
  <c r="J229" i="117" s="1"/>
  <c r="Z229" i="117" s="1"/>
  <c r="J233" i="121" s="1"/>
  <c r="Z233" i="121" s="1"/>
  <c r="J233" i="122" s="1"/>
  <c r="Z233" i="122" s="1"/>
  <c r="V81" i="82"/>
  <c r="F86" i="90" s="1"/>
  <c r="V86" i="90" s="1"/>
  <c r="F86" i="93" s="1"/>
  <c r="V86" i="93" s="1"/>
  <c r="F87" i="107" s="1"/>
  <c r="V87" i="107" s="1"/>
  <c r="F88" i="108" s="1"/>
  <c r="V88" i="108" s="1"/>
  <c r="F88" i="112" s="1"/>
  <c r="V88" i="112" s="1"/>
  <c r="F88" i="113" s="1"/>
  <c r="V88" i="113" s="1"/>
  <c r="F98" i="117" s="1"/>
  <c r="V98" i="117" s="1"/>
  <c r="F96" i="121" s="1"/>
  <c r="V96" i="121" s="1"/>
  <c r="F96" i="122" s="1"/>
  <c r="V96" i="122" s="1"/>
  <c r="V47" i="82"/>
  <c r="F52" i="90" s="1"/>
  <c r="V52" i="90" s="1"/>
  <c r="F52" i="93" s="1"/>
  <c r="V52" i="93" s="1"/>
  <c r="F53" i="107" s="1"/>
  <c r="V53" i="107" s="1"/>
  <c r="F54" i="108" s="1"/>
  <c r="V54" i="108" s="1"/>
  <c r="F54" i="112" s="1"/>
  <c r="V54" i="112" s="1"/>
  <c r="F54" i="113" s="1"/>
  <c r="V54" i="113" s="1"/>
  <c r="F64" i="117" s="1"/>
  <c r="V64" i="117" s="1"/>
  <c r="F65" i="121" s="1"/>
  <c r="V65" i="121" s="1"/>
  <c r="F65" i="122" s="1"/>
  <c r="V65" i="122" s="1"/>
  <c r="V51" i="82"/>
  <c r="F56" i="90" s="1"/>
  <c r="V56" i="90" s="1"/>
  <c r="F56" i="93" s="1"/>
  <c r="V56" i="93" s="1"/>
  <c r="F57" i="107" s="1"/>
  <c r="V57" i="107" s="1"/>
  <c r="F58" i="108" s="1"/>
  <c r="V58" i="108" s="1"/>
  <c r="F58" i="112" s="1"/>
  <c r="V58" i="112" s="1"/>
  <c r="F58" i="113" s="1"/>
  <c r="V58" i="113" s="1"/>
  <c r="F68" i="117" s="1"/>
  <c r="V68" i="117" s="1"/>
  <c r="F69" i="121" s="1"/>
  <c r="V69" i="121" s="1"/>
  <c r="F69" i="122" s="1"/>
  <c r="V69" i="122" s="1"/>
  <c r="U190" i="81"/>
  <c r="E172" i="81"/>
  <c r="U180" i="81"/>
  <c r="U181" i="81" s="1"/>
  <c r="U182" i="81"/>
  <c r="U183" i="81" s="1"/>
  <c r="U144" i="81"/>
  <c r="V154" i="81"/>
  <c r="H136" i="81"/>
  <c r="H196" i="81" s="1"/>
  <c r="H201" i="81" s="1"/>
  <c r="U155" i="81"/>
  <c r="Z165" i="81"/>
  <c r="J164" i="82" s="1"/>
  <c r="U163" i="81"/>
  <c r="E32" i="81"/>
  <c r="W89" i="81"/>
  <c r="E81" i="81"/>
  <c r="K73" i="81"/>
  <c r="AB51" i="81"/>
  <c r="L51" i="82" s="1"/>
  <c r="AB47" i="81"/>
  <c r="L47" i="82" s="1"/>
  <c r="U93" i="81"/>
  <c r="F90" i="81"/>
  <c r="U37" i="81"/>
  <c r="U26" i="81"/>
  <c r="V192" i="81"/>
  <c r="U191" i="81"/>
  <c r="V179" i="81"/>
  <c r="U177" i="81"/>
  <c r="U179" i="81" s="1"/>
  <c r="E89" i="81"/>
  <c r="Z188" i="81"/>
  <c r="U186" i="81"/>
  <c r="E169" i="81"/>
  <c r="E154" i="81"/>
  <c r="E161" i="81"/>
  <c r="Z154" i="81"/>
  <c r="J153" i="82" s="1"/>
  <c r="AB114" i="81"/>
  <c r="L112" i="82" s="1"/>
  <c r="F136" i="81"/>
  <c r="W172" i="81"/>
  <c r="G177" i="82" s="1"/>
  <c r="U170" i="81"/>
  <c r="K136" i="81"/>
  <c r="U70" i="81"/>
  <c r="Z72" i="81"/>
  <c r="E134" i="81"/>
  <c r="V89" i="81"/>
  <c r="J162" i="81"/>
  <c r="U74" i="81"/>
  <c r="V81" i="81"/>
  <c r="G193" i="81"/>
  <c r="U184" i="81"/>
  <c r="U185" i="81" s="1"/>
  <c r="X169" i="81"/>
  <c r="U166" i="81"/>
  <c r="U135" i="81"/>
  <c r="AA89" i="81"/>
  <c r="U82" i="81"/>
  <c r="U63" i="81"/>
  <c r="U29" i="81"/>
  <c r="J90" i="81"/>
  <c r="U64" i="81"/>
  <c r="V72" i="81"/>
  <c r="U48" i="81"/>
  <c r="V51" i="81"/>
  <c r="U44" i="81"/>
  <c r="V47" i="81"/>
  <c r="F270" i="121" l="1"/>
  <c r="V270" i="121" s="1"/>
  <c r="F270" i="122"/>
  <c r="V270" i="122" s="1"/>
  <c r="AB84" i="122"/>
  <c r="F269" i="121"/>
  <c r="V269" i="121" s="1"/>
  <c r="F269" i="122"/>
  <c r="V269" i="122" s="1"/>
  <c r="X115" i="122"/>
  <c r="Z11" i="122"/>
  <c r="AB58" i="122"/>
  <c r="AB242" i="122"/>
  <c r="AB50" i="122"/>
  <c r="AB82" i="122"/>
  <c r="J270" i="121"/>
  <c r="Z270" i="121" s="1"/>
  <c r="J270" i="122"/>
  <c r="Z270" i="122" s="1"/>
  <c r="L270" i="121"/>
  <c r="L270" i="122"/>
  <c r="J269" i="121"/>
  <c r="Z269" i="121" s="1"/>
  <c r="J269" i="122"/>
  <c r="Z269" i="122" s="1"/>
  <c r="X80" i="122"/>
  <c r="AB263" i="122"/>
  <c r="AA11" i="122"/>
  <c r="AB235" i="122"/>
  <c r="AB79" i="122"/>
  <c r="H269" i="121"/>
  <c r="X269" i="121" s="1"/>
  <c r="H269" i="122"/>
  <c r="K270" i="121"/>
  <c r="AA270" i="121" s="1"/>
  <c r="K270" i="122"/>
  <c r="AA270" i="122" s="1"/>
  <c r="AB192" i="122"/>
  <c r="AB61" i="122"/>
  <c r="AB18" i="122"/>
  <c r="AB97" i="122"/>
  <c r="E268" i="122"/>
  <c r="AB268" i="122"/>
  <c r="U268" i="122" s="1"/>
  <c r="E270" i="121"/>
  <c r="AB270" i="121"/>
  <c r="U270" i="121" s="1"/>
  <c r="AA246" i="121"/>
  <c r="K246" i="122" s="1"/>
  <c r="AA246" i="122" s="1"/>
  <c r="E149" i="108"/>
  <c r="U149" i="108" s="1"/>
  <c r="V161" i="82"/>
  <c r="F172" i="90" s="1"/>
  <c r="V172" i="90" s="1"/>
  <c r="F174" i="93" s="1"/>
  <c r="V174" i="93" s="1"/>
  <c r="F181" i="107" s="1"/>
  <c r="V181" i="107" s="1"/>
  <c r="F184" i="108" s="1"/>
  <c r="V184" i="108" s="1"/>
  <c r="F186" i="112" s="1"/>
  <c r="V186" i="112" s="1"/>
  <c r="F190" i="113" s="1"/>
  <c r="V190" i="113" s="1"/>
  <c r="F202" i="117" s="1"/>
  <c r="V202" i="117" s="1"/>
  <c r="F200" i="121" s="1"/>
  <c r="V200" i="121" s="1"/>
  <c r="F200" i="122" s="1"/>
  <c r="V200" i="122" s="1"/>
  <c r="Z193" i="81"/>
  <c r="J204" i="82" s="1"/>
  <c r="U121" i="82"/>
  <c r="V132" i="82"/>
  <c r="V134" i="82" s="1"/>
  <c r="F143" i="90" s="1"/>
  <c r="V143" i="90" s="1"/>
  <c r="F143" i="93" s="1"/>
  <c r="V143" i="93" s="1"/>
  <c r="F148" i="107" s="1"/>
  <c r="V148" i="107" s="1"/>
  <c r="F150" i="108" s="1"/>
  <c r="V150" i="108" s="1"/>
  <c r="F152" i="112" s="1"/>
  <c r="V152" i="112" s="1"/>
  <c r="F156" i="113" s="1"/>
  <c r="V156" i="113" s="1"/>
  <c r="F167" i="117" s="1"/>
  <c r="V167" i="117" s="1"/>
  <c r="F165" i="121" s="1"/>
  <c r="V165" i="121" s="1"/>
  <c r="F165" i="122" s="1"/>
  <c r="V165" i="122" s="1"/>
  <c r="E147" i="108"/>
  <c r="U147" i="108" s="1"/>
  <c r="U239" i="107"/>
  <c r="M196" i="81"/>
  <c r="M201" i="81" s="1"/>
  <c r="H265" i="117"/>
  <c r="X265" i="117" s="1"/>
  <c r="K266" i="117"/>
  <c r="AA266" i="117" s="1"/>
  <c r="F266" i="117"/>
  <c r="V266" i="117" s="1"/>
  <c r="J265" i="117"/>
  <c r="Z265" i="117" s="1"/>
  <c r="J266" i="117"/>
  <c r="Z266" i="117" s="1"/>
  <c r="L266" i="117"/>
  <c r="F265" i="117"/>
  <c r="V265" i="117" s="1"/>
  <c r="V14" i="117"/>
  <c r="F14" i="121" s="1"/>
  <c r="E14" i="117"/>
  <c r="H210" i="113"/>
  <c r="X210" i="113" s="1"/>
  <c r="H225" i="117" s="1"/>
  <c r="X248" i="112"/>
  <c r="AB265" i="117"/>
  <c r="AB149" i="108"/>
  <c r="L151" i="112" s="1"/>
  <c r="L149" i="112"/>
  <c r="AB149" i="112" s="1"/>
  <c r="AA203" i="117"/>
  <c r="K201" i="121" s="1"/>
  <c r="AA201" i="121" s="1"/>
  <c r="K201" i="122" s="1"/>
  <c r="AA201" i="122" s="1"/>
  <c r="AB262" i="117"/>
  <c r="L266" i="121" s="1"/>
  <c r="E262" i="117"/>
  <c r="U262" i="117" s="1"/>
  <c r="AB264" i="117"/>
  <c r="U264" i="117" s="1"/>
  <c r="E264" i="117"/>
  <c r="X149" i="108"/>
  <c r="H151" i="112" s="1"/>
  <c r="H149" i="112"/>
  <c r="X149" i="112" s="1"/>
  <c r="F19" i="117"/>
  <c r="V19" i="117" s="1"/>
  <c r="F19" i="121" s="1"/>
  <c r="V19" i="121" s="1"/>
  <c r="X90" i="117"/>
  <c r="H88" i="121" s="1"/>
  <c r="X88" i="121" s="1"/>
  <c r="H88" i="122" s="1"/>
  <c r="X88" i="122" s="1"/>
  <c r="AB201" i="117"/>
  <c r="L199" i="121" s="1"/>
  <c r="AB199" i="121" s="1"/>
  <c r="L199" i="122" s="1"/>
  <c r="AB12" i="108"/>
  <c r="AA98" i="108"/>
  <c r="K98" i="112" s="1"/>
  <c r="E98" i="108"/>
  <c r="U98" i="108" s="1"/>
  <c r="X89" i="117"/>
  <c r="H87" i="121" s="1"/>
  <c r="X87" i="121" s="1"/>
  <c r="H87" i="122" s="1"/>
  <c r="X87" i="122" s="1"/>
  <c r="E43" i="108"/>
  <c r="U43" i="108" s="1"/>
  <c r="AB17" i="108"/>
  <c r="AB106" i="117"/>
  <c r="L104" i="121" s="1"/>
  <c r="AB104" i="121" s="1"/>
  <c r="L104" i="122" s="1"/>
  <c r="AB254" i="117"/>
  <c r="L258" i="121" s="1"/>
  <c r="AB261" i="117"/>
  <c r="L265" i="121" s="1"/>
  <c r="E261" i="117"/>
  <c r="U261" i="117" s="1"/>
  <c r="H12" i="113"/>
  <c r="X12" i="113" s="1"/>
  <c r="H250" i="113"/>
  <c r="X250" i="113" s="1"/>
  <c r="K251" i="113"/>
  <c r="AA251" i="113" s="1"/>
  <c r="AA73" i="113"/>
  <c r="K83" i="117" s="1"/>
  <c r="AB175" i="113"/>
  <c r="L187" i="117" s="1"/>
  <c r="AA187" i="113"/>
  <c r="K199" i="117" s="1"/>
  <c r="E187" i="113"/>
  <c r="U187" i="113" s="1"/>
  <c r="AB66" i="113"/>
  <c r="L76" i="117" s="1"/>
  <c r="E66" i="113"/>
  <c r="U66" i="113" s="1"/>
  <c r="AB232" i="113"/>
  <c r="L247" i="117" s="1"/>
  <c r="AB61" i="113"/>
  <c r="L71" i="117" s="1"/>
  <c r="AB71" i="117" s="1"/>
  <c r="L72" i="121" s="1"/>
  <c r="AB132" i="113"/>
  <c r="L143" i="117" s="1"/>
  <c r="AA75" i="113"/>
  <c r="K85" i="117" s="1"/>
  <c r="E75" i="113"/>
  <c r="U75" i="113" s="1"/>
  <c r="AB84" i="113"/>
  <c r="L94" i="117" s="1"/>
  <c r="E84" i="113"/>
  <c r="U84" i="113" s="1"/>
  <c r="AB82" i="113"/>
  <c r="L92" i="117" s="1"/>
  <c r="E82" i="113"/>
  <c r="U82" i="113" s="1"/>
  <c r="AB126" i="113"/>
  <c r="L137" i="117" s="1"/>
  <c r="AB137" i="117" s="1"/>
  <c r="L135" i="121" s="1"/>
  <c r="AB141" i="113"/>
  <c r="L152" i="117" s="1"/>
  <c r="AB101" i="113"/>
  <c r="L111" i="117" s="1"/>
  <c r="AB115" i="113"/>
  <c r="L125" i="117" s="1"/>
  <c r="E115" i="113"/>
  <c r="U115" i="113" s="1"/>
  <c r="AA95" i="113"/>
  <c r="K105" i="117" s="1"/>
  <c r="E95" i="113"/>
  <c r="U95" i="113" s="1"/>
  <c r="AB33" i="113"/>
  <c r="L39" i="117" s="1"/>
  <c r="AB137" i="113"/>
  <c r="L148" i="117" s="1"/>
  <c r="E247" i="113"/>
  <c r="U247" i="113" s="1"/>
  <c r="AA249" i="113"/>
  <c r="E249" i="113"/>
  <c r="F251" i="113"/>
  <c r="V251" i="113" s="1"/>
  <c r="AB128" i="113"/>
  <c r="L139" i="117" s="1"/>
  <c r="AB160" i="113"/>
  <c r="L171" i="117" s="1"/>
  <c r="E160" i="113"/>
  <c r="U160" i="113" s="1"/>
  <c r="AB86" i="113"/>
  <c r="L96" i="117" s="1"/>
  <c r="E86" i="113"/>
  <c r="U86" i="113" s="1"/>
  <c r="AB217" i="113"/>
  <c r="L232" i="117" s="1"/>
  <c r="AB125" i="113"/>
  <c r="L136" i="117" s="1"/>
  <c r="AB133" i="113"/>
  <c r="L144" i="117" s="1"/>
  <c r="AB52" i="113"/>
  <c r="L62" i="117" s="1"/>
  <c r="AB168" i="113"/>
  <c r="L180" i="117" s="1"/>
  <c r="AA92" i="113"/>
  <c r="K102" i="117" s="1"/>
  <c r="AA71" i="113"/>
  <c r="K81" i="117" s="1"/>
  <c r="E71" i="113"/>
  <c r="U71" i="113" s="1"/>
  <c r="AB159" i="113"/>
  <c r="L170" i="117" s="1"/>
  <c r="AA76" i="113"/>
  <c r="K86" i="117" s="1"/>
  <c r="AB130" i="113"/>
  <c r="L141" i="117" s="1"/>
  <c r="AB141" i="117" s="1"/>
  <c r="L139" i="121" s="1"/>
  <c r="J251" i="113"/>
  <c r="Z251" i="113" s="1"/>
  <c r="L251" i="113"/>
  <c r="F250" i="113"/>
  <c r="V250" i="113" s="1"/>
  <c r="AB231" i="113"/>
  <c r="L246" i="117" s="1"/>
  <c r="AB103" i="113"/>
  <c r="L113" i="117" s="1"/>
  <c r="E103" i="113"/>
  <c r="U103" i="113" s="1"/>
  <c r="AB102" i="113"/>
  <c r="L112" i="117" s="1"/>
  <c r="E102" i="113"/>
  <c r="U102" i="113" s="1"/>
  <c r="AB172" i="113"/>
  <c r="L184" i="117" s="1"/>
  <c r="AA90" i="113"/>
  <c r="K100" i="117" s="1"/>
  <c r="AA93" i="113"/>
  <c r="K103" i="117" s="1"/>
  <c r="AB240" i="113"/>
  <c r="L255" i="117" s="1"/>
  <c r="AB62" i="113"/>
  <c r="L72" i="117" s="1"/>
  <c r="E62" i="113"/>
  <c r="U62" i="113" s="1"/>
  <c r="AA91" i="113"/>
  <c r="K101" i="117" s="1"/>
  <c r="E91" i="113"/>
  <c r="U91" i="113" s="1"/>
  <c r="AB105" i="113"/>
  <c r="L115" i="117" s="1"/>
  <c r="E105" i="113"/>
  <c r="U105" i="113" s="1"/>
  <c r="AB134" i="113"/>
  <c r="L145" i="117" s="1"/>
  <c r="AB145" i="117" s="1"/>
  <c r="L143" i="121" s="1"/>
  <c r="AA94" i="113"/>
  <c r="K104" i="117" s="1"/>
  <c r="AB111" i="113"/>
  <c r="L121" i="117" s="1"/>
  <c r="E111" i="113"/>
  <c r="U111" i="113" s="1"/>
  <c r="AB65" i="113"/>
  <c r="L75" i="117" s="1"/>
  <c r="E65" i="113"/>
  <c r="U65" i="113" s="1"/>
  <c r="U249" i="113"/>
  <c r="J250" i="113"/>
  <c r="Z250" i="113" s="1"/>
  <c r="AA228" i="113"/>
  <c r="K243" i="117" s="1"/>
  <c r="AA243" i="117" s="1"/>
  <c r="K247" i="121" s="1"/>
  <c r="W98" i="113"/>
  <c r="G108" i="117" s="1"/>
  <c r="W108" i="117" s="1"/>
  <c r="G106" i="121" s="1"/>
  <c r="AB131" i="113"/>
  <c r="L142" i="117" s="1"/>
  <c r="AA74" i="113"/>
  <c r="K84" i="117" s="1"/>
  <c r="E74" i="113"/>
  <c r="U74" i="113" s="1"/>
  <c r="AB63" i="113"/>
  <c r="L73" i="117" s="1"/>
  <c r="AB161" i="113"/>
  <c r="L172" i="117" s="1"/>
  <c r="E161" i="113"/>
  <c r="U161" i="113" s="1"/>
  <c r="AA243" i="113"/>
  <c r="K258" i="117" s="1"/>
  <c r="E243" i="113"/>
  <c r="U243" i="113" s="1"/>
  <c r="AB139" i="113"/>
  <c r="L150" i="117" s="1"/>
  <c r="AB106" i="113"/>
  <c r="L116" i="117" s="1"/>
  <c r="E106" i="113"/>
  <c r="U106" i="113" s="1"/>
  <c r="AA68" i="113"/>
  <c r="K78" i="117" s="1"/>
  <c r="E68" i="113"/>
  <c r="U68" i="113" s="1"/>
  <c r="AB67" i="113"/>
  <c r="L77" i="117" s="1"/>
  <c r="AB166" i="113"/>
  <c r="L178" i="117" s="1"/>
  <c r="E166" i="113"/>
  <c r="U166" i="113" s="1"/>
  <c r="W46" i="113"/>
  <c r="G55" i="117" s="1"/>
  <c r="W55" i="117" s="1"/>
  <c r="G56" i="121" s="1"/>
  <c r="W56" i="121" s="1"/>
  <c r="G56" i="122" s="1"/>
  <c r="W56" i="122" s="1"/>
  <c r="E239" i="107"/>
  <c r="AA47" i="82"/>
  <c r="K52" i="90" s="1"/>
  <c r="AA52" i="90" s="1"/>
  <c r="K52" i="93" s="1"/>
  <c r="AA52" i="93" s="1"/>
  <c r="K53" i="107" s="1"/>
  <c r="AA53" i="107" s="1"/>
  <c r="K54" i="108" s="1"/>
  <c r="AA54" i="108" s="1"/>
  <c r="K54" i="112" s="1"/>
  <c r="AA54" i="112" s="1"/>
  <c r="K54" i="113" s="1"/>
  <c r="AA54" i="113" s="1"/>
  <c r="K64" i="117" s="1"/>
  <c r="AA64" i="117" s="1"/>
  <c r="K65" i="121" s="1"/>
  <c r="AA65" i="121" s="1"/>
  <c r="K65" i="122" s="1"/>
  <c r="AA65" i="122" s="1"/>
  <c r="U101" i="82"/>
  <c r="Z188" i="82"/>
  <c r="J202" i="90" s="1"/>
  <c r="Z202" i="90" s="1"/>
  <c r="J209" i="93" s="1"/>
  <c r="Z209" i="93" s="1"/>
  <c r="J216" i="107" s="1"/>
  <c r="Z216" i="107" s="1"/>
  <c r="J219" i="108" s="1"/>
  <c r="Z219" i="108" s="1"/>
  <c r="J221" i="112" s="1"/>
  <c r="Z221" i="112" s="1"/>
  <c r="J225" i="113" s="1"/>
  <c r="Z225" i="113" s="1"/>
  <c r="J240" i="117" s="1"/>
  <c r="Z240" i="117" s="1"/>
  <c r="J244" i="121" s="1"/>
  <c r="Z244" i="121" s="1"/>
  <c r="J244" i="122" s="1"/>
  <c r="Z244" i="122" s="1"/>
  <c r="V234" i="112"/>
  <c r="F239" i="113" s="1"/>
  <c r="V239" i="113" s="1"/>
  <c r="F254" i="117" s="1"/>
  <c r="V254" i="117" s="1"/>
  <c r="F258" i="121" s="1"/>
  <c r="V258" i="121" s="1"/>
  <c r="F258" i="122" s="1"/>
  <c r="V258" i="122" s="1"/>
  <c r="AA96" i="108"/>
  <c r="K96" i="112" s="1"/>
  <c r="AB56" i="112"/>
  <c r="L56" i="113" s="1"/>
  <c r="E113" i="112"/>
  <c r="U113" i="112" s="1"/>
  <c r="AB113" i="112"/>
  <c r="L113" i="113" s="1"/>
  <c r="AB216" i="112"/>
  <c r="L220" i="113" s="1"/>
  <c r="AA42" i="112"/>
  <c r="K42" i="113" s="1"/>
  <c r="E42" i="112"/>
  <c r="U42" i="112" s="1"/>
  <c r="AB140" i="108"/>
  <c r="L140" i="112" s="1"/>
  <c r="E78" i="108"/>
  <c r="U78" i="108" s="1"/>
  <c r="AB78" i="108"/>
  <c r="L78" i="112" s="1"/>
  <c r="K241" i="107"/>
  <c r="AA241" i="107" s="1"/>
  <c r="K246" i="112"/>
  <c r="AA246" i="112" s="1"/>
  <c r="K244" i="108"/>
  <c r="AA244" i="108" s="1"/>
  <c r="E197" i="108"/>
  <c r="U197" i="108" s="1"/>
  <c r="W197" i="108"/>
  <c r="G199" i="112" s="1"/>
  <c r="E117" i="108"/>
  <c r="U117" i="108" s="1"/>
  <c r="W117" i="108"/>
  <c r="G117" i="112" s="1"/>
  <c r="AB125" i="112"/>
  <c r="L127" i="113" s="1"/>
  <c r="E64" i="112"/>
  <c r="U64" i="112" s="1"/>
  <c r="AB64" i="112"/>
  <c r="L64" i="113" s="1"/>
  <c r="W99" i="112"/>
  <c r="G99" i="113" s="1"/>
  <c r="AB31" i="112"/>
  <c r="L31" i="113" s="1"/>
  <c r="AB166" i="112"/>
  <c r="L170" i="113" s="1"/>
  <c r="AA89" i="112"/>
  <c r="K89" i="113" s="1"/>
  <c r="E89" i="112"/>
  <c r="U89" i="112" s="1"/>
  <c r="E168" i="108"/>
  <c r="U168" i="108" s="1"/>
  <c r="AB168" i="108"/>
  <c r="L170" i="112" s="1"/>
  <c r="AB208" i="108"/>
  <c r="L210" i="112" s="1"/>
  <c r="F241" i="107"/>
  <c r="V241" i="107" s="1"/>
  <c r="F246" i="112"/>
  <c r="V246" i="112" s="1"/>
  <c r="F244" i="108"/>
  <c r="V244" i="108" s="1"/>
  <c r="AB41" i="108"/>
  <c r="L41" i="112" s="1"/>
  <c r="E186" i="108"/>
  <c r="U186" i="108" s="1"/>
  <c r="AA186" i="108"/>
  <c r="K188" i="112" s="1"/>
  <c r="V18" i="108"/>
  <c r="E107" i="108"/>
  <c r="U107" i="108" s="1"/>
  <c r="W107" i="108"/>
  <c r="G107" i="112" s="1"/>
  <c r="W229" i="112"/>
  <c r="G233" i="113" s="1"/>
  <c r="E229" i="112"/>
  <c r="U229" i="112" s="1"/>
  <c r="AB32" i="112"/>
  <c r="L32" i="113" s="1"/>
  <c r="AB167" i="112"/>
  <c r="L171" i="113" s="1"/>
  <c r="E167" i="112"/>
  <c r="U167" i="112" s="1"/>
  <c r="F16" i="112"/>
  <c r="E55" i="112"/>
  <c r="U55" i="112" s="1"/>
  <c r="AB55" i="112"/>
  <c r="L55" i="113" s="1"/>
  <c r="W198" i="112"/>
  <c r="G202" i="113" s="1"/>
  <c r="E198" i="112"/>
  <c r="U198" i="112" s="1"/>
  <c r="E222" i="112"/>
  <c r="U222" i="112" s="1"/>
  <c r="AB222" i="112"/>
  <c r="L226" i="113" s="1"/>
  <c r="E51" i="108"/>
  <c r="U51" i="108" s="1"/>
  <c r="AB51" i="108"/>
  <c r="L51" i="112" s="1"/>
  <c r="F240" i="107"/>
  <c r="V240" i="107" s="1"/>
  <c r="F245" i="112"/>
  <c r="V245" i="112" s="1"/>
  <c r="F243" i="108"/>
  <c r="V243" i="108" s="1"/>
  <c r="E46" i="90"/>
  <c r="E190" i="108"/>
  <c r="U190" i="108" s="1"/>
  <c r="W190" i="108"/>
  <c r="G192" i="112" s="1"/>
  <c r="AB34" i="112"/>
  <c r="L34" i="113" s="1"/>
  <c r="E70" i="112"/>
  <c r="U70" i="112" s="1"/>
  <c r="AA70" i="112"/>
  <c r="K70" i="113" s="1"/>
  <c r="AB191" i="112"/>
  <c r="L195" i="113" s="1"/>
  <c r="E55" i="108"/>
  <c r="U55" i="108" s="1"/>
  <c r="AB134" i="112"/>
  <c r="L136" i="113" s="1"/>
  <c r="K149" i="112"/>
  <c r="AA149" i="108"/>
  <c r="K151" i="112" s="1"/>
  <c r="E72" i="112"/>
  <c r="U72" i="112" s="1"/>
  <c r="AA72" i="112"/>
  <c r="K72" i="113" s="1"/>
  <c r="E222" i="108"/>
  <c r="U222" i="108" s="1"/>
  <c r="AB222" i="108"/>
  <c r="L224" i="112" s="1"/>
  <c r="J240" i="107"/>
  <c r="Z240" i="107" s="1"/>
  <c r="J245" i="112"/>
  <c r="Z245" i="112" s="1"/>
  <c r="J243" i="108"/>
  <c r="Z243" i="108" s="1"/>
  <c r="AA35" i="112"/>
  <c r="K35" i="113" s="1"/>
  <c r="E35" i="112"/>
  <c r="U35" i="112" s="1"/>
  <c r="AB127" i="112"/>
  <c r="L129" i="113" s="1"/>
  <c r="AB214" i="112"/>
  <c r="L218" i="113" s="1"/>
  <c r="AB114" i="112"/>
  <c r="L114" i="113" s="1"/>
  <c r="E114" i="112"/>
  <c r="U114" i="112" s="1"/>
  <c r="V44" i="112"/>
  <c r="F44" i="113" s="1"/>
  <c r="E44" i="112"/>
  <c r="U44" i="112" s="1"/>
  <c r="W230" i="112"/>
  <c r="G234" i="113" s="1"/>
  <c r="E230" i="112"/>
  <c r="U230" i="112" s="1"/>
  <c r="AB104" i="112"/>
  <c r="L104" i="113" s="1"/>
  <c r="E104" i="112"/>
  <c r="U104" i="112" s="1"/>
  <c r="E83" i="108"/>
  <c r="U83" i="108" s="1"/>
  <c r="AB83" i="108"/>
  <c r="L83" i="112" s="1"/>
  <c r="E108" i="108"/>
  <c r="U108" i="108" s="1"/>
  <c r="AB108" i="108"/>
  <c r="L108" i="112" s="1"/>
  <c r="H240" i="107"/>
  <c r="X240" i="107" s="1"/>
  <c r="H245" i="112"/>
  <c r="X245" i="112" s="1"/>
  <c r="H243" i="108"/>
  <c r="X243" i="108" s="1"/>
  <c r="AB206" i="108"/>
  <c r="L208" i="112" s="1"/>
  <c r="W169" i="108"/>
  <c r="G171" i="112" s="1"/>
  <c r="E169" i="108"/>
  <c r="U169" i="108" s="1"/>
  <c r="E43" i="112"/>
  <c r="U43" i="112" s="1"/>
  <c r="AA43" i="112"/>
  <c r="K43" i="113" s="1"/>
  <c r="AB100" i="112"/>
  <c r="L100" i="113" s="1"/>
  <c r="E100" i="112"/>
  <c r="U100" i="112" s="1"/>
  <c r="X138" i="112"/>
  <c r="H140" i="113" s="1"/>
  <c r="AA182" i="112"/>
  <c r="K186" i="113" s="1"/>
  <c r="E182" i="112"/>
  <c r="U182" i="112" s="1"/>
  <c r="AA180" i="112"/>
  <c r="K184" i="113" s="1"/>
  <c r="AB169" i="112"/>
  <c r="L173" i="113" s="1"/>
  <c r="J241" i="107"/>
  <c r="Z241" i="107" s="1"/>
  <c r="J246" i="112"/>
  <c r="Z246" i="112" s="1"/>
  <c r="J244" i="108"/>
  <c r="Z244" i="108" s="1"/>
  <c r="L241" i="107"/>
  <c r="L246" i="112"/>
  <c r="L244" i="108"/>
  <c r="E154" i="108"/>
  <c r="U154" i="108" s="1"/>
  <c r="E100" i="108"/>
  <c r="U100" i="108" s="1"/>
  <c r="AB85" i="112"/>
  <c r="L85" i="113" s="1"/>
  <c r="AA179" i="112"/>
  <c r="K183" i="113" s="1"/>
  <c r="AA242" i="108"/>
  <c r="U242" i="108" s="1"/>
  <c r="E242" i="108"/>
  <c r="AB236" i="112"/>
  <c r="L241" i="113" s="1"/>
  <c r="E181" i="112"/>
  <c r="U181" i="112" s="1"/>
  <c r="AA181" i="112"/>
  <c r="K185" i="113" s="1"/>
  <c r="AB136" i="108"/>
  <c r="L136" i="112" s="1"/>
  <c r="E60" i="108"/>
  <c r="U60" i="108" s="1"/>
  <c r="AB60" i="108"/>
  <c r="L60" i="112" s="1"/>
  <c r="E195" i="108"/>
  <c r="U195" i="108" s="1"/>
  <c r="W195" i="108"/>
  <c r="E48" i="108"/>
  <c r="U48" i="108" s="1"/>
  <c r="W48" i="108"/>
  <c r="G48" i="112" s="1"/>
  <c r="AB36" i="112"/>
  <c r="L36" i="113" s="1"/>
  <c r="E156" i="112"/>
  <c r="U156" i="112" s="1"/>
  <c r="AB153" i="112"/>
  <c r="L157" i="113" s="1"/>
  <c r="V11" i="112"/>
  <c r="F11" i="113" s="1"/>
  <c r="AB133" i="112"/>
  <c r="L135" i="113" s="1"/>
  <c r="X47" i="112"/>
  <c r="H47" i="113" s="1"/>
  <c r="E109" i="112"/>
  <c r="U109" i="112" s="1"/>
  <c r="AB109" i="112"/>
  <c r="L109" i="113" s="1"/>
  <c r="AA244" i="112"/>
  <c r="U244" i="112" s="1"/>
  <c r="E244" i="112"/>
  <c r="AB112" i="112"/>
  <c r="L112" i="113" s="1"/>
  <c r="E69" i="112"/>
  <c r="U69" i="112" s="1"/>
  <c r="W69" i="112"/>
  <c r="G69" i="113" s="1"/>
  <c r="AA30" i="107"/>
  <c r="K30" i="108" s="1"/>
  <c r="AA30" i="108" s="1"/>
  <c r="K30" i="112" s="1"/>
  <c r="AA30" i="112" s="1"/>
  <c r="K30" i="113" s="1"/>
  <c r="AA30" i="113" s="1"/>
  <c r="K34" i="117" s="1"/>
  <c r="AF30" i="93"/>
  <c r="H31" i="107"/>
  <c r="X31" i="107" s="1"/>
  <c r="Z30" i="107"/>
  <c r="J30" i="108" s="1"/>
  <c r="Z30" i="108" s="1"/>
  <c r="J30" i="112" s="1"/>
  <c r="Z30" i="112" s="1"/>
  <c r="J30" i="113" s="1"/>
  <c r="Z30" i="113" s="1"/>
  <c r="J34" i="117" s="1"/>
  <c r="AB241" i="107"/>
  <c r="U22" i="93"/>
  <c r="E22" i="107" s="1"/>
  <c r="G22" i="107"/>
  <c r="W22" i="107" s="1"/>
  <c r="U13" i="93"/>
  <c r="E13" i="107" s="1"/>
  <c r="F13" i="107"/>
  <c r="V13" i="107" s="1"/>
  <c r="U20" i="93"/>
  <c r="E20" i="107" s="1"/>
  <c r="L20" i="107"/>
  <c r="AB20" i="107" s="1"/>
  <c r="X11" i="107"/>
  <c r="U210" i="93"/>
  <c r="E217" i="107" s="1"/>
  <c r="U217" i="107" s="1"/>
  <c r="U169" i="81"/>
  <c r="E73" i="81"/>
  <c r="E42" i="93"/>
  <c r="U42" i="93" s="1"/>
  <c r="E43" i="107" s="1"/>
  <c r="U43" i="107" s="1"/>
  <c r="U41" i="93"/>
  <c r="E42" i="107" s="1"/>
  <c r="U42" i="107" s="1"/>
  <c r="X204" i="82"/>
  <c r="H218" i="90" s="1"/>
  <c r="U96" i="90"/>
  <c r="U143" i="81"/>
  <c r="E193" i="81"/>
  <c r="U222" i="90"/>
  <c r="E52" i="81"/>
  <c r="U42" i="90"/>
  <c r="W24" i="93"/>
  <c r="E24" i="93"/>
  <c r="U12" i="90"/>
  <c r="G12" i="93"/>
  <c r="W28" i="93"/>
  <c r="E28" i="93"/>
  <c r="W23" i="93"/>
  <c r="E23" i="93"/>
  <c r="E96" i="93"/>
  <c r="U96" i="93" s="1"/>
  <c r="E97" i="107" s="1"/>
  <c r="U97" i="107" s="1"/>
  <c r="U97" i="90"/>
  <c r="K97" i="93"/>
  <c r="AA97" i="93" s="1"/>
  <c r="K98" i="107" s="1"/>
  <c r="AA98" i="107" s="1"/>
  <c r="K99" i="108" s="1"/>
  <c r="AA90" i="82"/>
  <c r="K95" i="90" s="1"/>
  <c r="AA95" i="90" s="1"/>
  <c r="K95" i="93" s="1"/>
  <c r="AA95" i="93" s="1"/>
  <c r="K96" i="107" s="1"/>
  <c r="AA96" i="107" s="1"/>
  <c r="K97" i="108" s="1"/>
  <c r="AA97" i="108" s="1"/>
  <c r="K97" i="112" s="1"/>
  <c r="AA97" i="112" s="1"/>
  <c r="K97" i="113" s="1"/>
  <c r="AA97" i="113" s="1"/>
  <c r="K107" i="117" s="1"/>
  <c r="AA107" i="117" s="1"/>
  <c r="K105" i="121" s="1"/>
  <c r="E222" i="90"/>
  <c r="U48" i="82"/>
  <c r="L196" i="81"/>
  <c r="L201" i="81" s="1"/>
  <c r="E49" i="93"/>
  <c r="U49" i="93" s="1"/>
  <c r="E50" i="107" s="1"/>
  <c r="U50" i="107" s="1"/>
  <c r="U40" i="90"/>
  <c r="K40" i="93"/>
  <c r="AA40" i="93" s="1"/>
  <c r="K41" i="107" s="1"/>
  <c r="AA41" i="107" s="1"/>
  <c r="K41" i="108" s="1"/>
  <c r="AA41" i="108" s="1"/>
  <c r="K41" i="112" s="1"/>
  <c r="AA41" i="112" s="1"/>
  <c r="K41" i="113" s="1"/>
  <c r="AA41" i="113" s="1"/>
  <c r="K47" i="117" s="1"/>
  <c r="AA47" i="117" s="1"/>
  <c r="K48" i="121" s="1"/>
  <c r="AA48" i="121" s="1"/>
  <c r="K48" i="122" s="1"/>
  <c r="AA48" i="122" s="1"/>
  <c r="U194" i="90"/>
  <c r="G201" i="93"/>
  <c r="W201" i="93" s="1"/>
  <c r="G208" i="107" s="1"/>
  <c r="W208" i="107" s="1"/>
  <c r="G211" i="108" s="1"/>
  <c r="U83" i="90"/>
  <c r="G83" i="93"/>
  <c r="W83" i="93" s="1"/>
  <c r="G84" i="107" s="1"/>
  <c r="W84" i="107" s="1"/>
  <c r="G85" i="108" s="1"/>
  <c r="F224" i="90"/>
  <c r="V224" i="90" s="1"/>
  <c r="F234" i="93"/>
  <c r="V234" i="93" s="1"/>
  <c r="F44" i="93"/>
  <c r="V44" i="93" s="1"/>
  <c r="F45" i="107" s="1"/>
  <c r="V45" i="107" s="1"/>
  <c r="F45" i="108" s="1"/>
  <c r="E232" i="93"/>
  <c r="X232" i="93"/>
  <c r="U232" i="93" s="1"/>
  <c r="E147" i="93"/>
  <c r="U147" i="93" s="1"/>
  <c r="E152" i="107" s="1"/>
  <c r="U152" i="107" s="1"/>
  <c r="U204" i="90"/>
  <c r="L211" i="93"/>
  <c r="AB211" i="93" s="1"/>
  <c r="L218" i="107" s="1"/>
  <c r="AB218" i="107" s="1"/>
  <c r="L221" i="108" s="1"/>
  <c r="F223" i="90"/>
  <c r="V223" i="90" s="1"/>
  <c r="F233" i="93"/>
  <c r="V233" i="93" s="1"/>
  <c r="U39" i="90"/>
  <c r="G39" i="93"/>
  <c r="W39" i="93" s="1"/>
  <c r="G40" i="107" s="1"/>
  <c r="W40" i="107" s="1"/>
  <c r="G40" i="108" s="1"/>
  <c r="V26" i="93"/>
  <c r="F26" i="107" s="1"/>
  <c r="V26" i="107" s="1"/>
  <c r="F26" i="108" s="1"/>
  <c r="E185" i="93"/>
  <c r="U185" i="93" s="1"/>
  <c r="E192" i="107" s="1"/>
  <c r="U192" i="107" s="1"/>
  <c r="E180" i="93"/>
  <c r="U180" i="93" s="1"/>
  <c r="E187" i="107" s="1"/>
  <c r="U187" i="107" s="1"/>
  <c r="E81" i="93"/>
  <c r="U81" i="93" s="1"/>
  <c r="E82" i="107" s="1"/>
  <c r="U82" i="107" s="1"/>
  <c r="E106" i="93"/>
  <c r="U106" i="93" s="1"/>
  <c r="E107" i="107" s="1"/>
  <c r="U107" i="107" s="1"/>
  <c r="X218" i="90"/>
  <c r="H228" i="93" s="1"/>
  <c r="X228" i="93" s="1"/>
  <c r="H235" i="107" s="1"/>
  <c r="X235" i="107" s="1"/>
  <c r="H238" i="108" s="1"/>
  <c r="X238" i="108" s="1"/>
  <c r="H240" i="112" s="1"/>
  <c r="X240" i="112" s="1"/>
  <c r="H245" i="113" s="1"/>
  <c r="X245" i="113" s="1"/>
  <c r="H260" i="117" s="1"/>
  <c r="X260" i="117" s="1"/>
  <c r="H264" i="121" s="1"/>
  <c r="X264" i="121" s="1"/>
  <c r="H264" i="122" s="1"/>
  <c r="X264" i="122" s="1"/>
  <c r="H222" i="93"/>
  <c r="X222" i="93" s="1"/>
  <c r="H229" i="107" s="1"/>
  <c r="X229" i="107" s="1"/>
  <c r="H232" i="108" s="1"/>
  <c r="X232" i="108" s="1"/>
  <c r="H234" i="112" s="1"/>
  <c r="X234" i="112" s="1"/>
  <c r="H239" i="113" s="1"/>
  <c r="X239" i="113" s="1"/>
  <c r="H254" i="117" s="1"/>
  <c r="X254" i="117" s="1"/>
  <c r="H258" i="121" s="1"/>
  <c r="X258" i="121" s="1"/>
  <c r="H258" i="122" s="1"/>
  <c r="X258" i="122" s="1"/>
  <c r="J223" i="90"/>
  <c r="Z223" i="90" s="1"/>
  <c r="J233" i="93"/>
  <c r="Z233" i="93" s="1"/>
  <c r="E161" i="93"/>
  <c r="U161" i="93" s="1"/>
  <c r="E167" i="107" s="1"/>
  <c r="U167" i="107" s="1"/>
  <c r="E47" i="93"/>
  <c r="U47" i="93" s="1"/>
  <c r="E48" i="107" s="1"/>
  <c r="U48" i="107" s="1"/>
  <c r="AB29" i="93"/>
  <c r="L30" i="107" s="1"/>
  <c r="J224" i="90"/>
  <c r="Z224" i="90" s="1"/>
  <c r="J234" i="93"/>
  <c r="Z234" i="93" s="1"/>
  <c r="H223" i="90"/>
  <c r="X223" i="90" s="1"/>
  <c r="H233" i="93"/>
  <c r="X233" i="93" s="1"/>
  <c r="U21" i="90"/>
  <c r="F21" i="93"/>
  <c r="E187" i="93"/>
  <c r="U187" i="93" s="1"/>
  <c r="E194" i="107" s="1"/>
  <c r="U194" i="107" s="1"/>
  <c r="E176" i="93"/>
  <c r="U176" i="93" s="1"/>
  <c r="E183" i="107" s="1"/>
  <c r="U183" i="107" s="1"/>
  <c r="E134" i="93"/>
  <c r="U134" i="93" s="1"/>
  <c r="E135" i="107" s="1"/>
  <c r="E58" i="93"/>
  <c r="U58" i="93" s="1"/>
  <c r="E59" i="107" s="1"/>
  <c r="U59" i="107" s="1"/>
  <c r="L224" i="90"/>
  <c r="AB224" i="90" s="1"/>
  <c r="L234" i="93"/>
  <c r="E53" i="93"/>
  <c r="U53" i="93" s="1"/>
  <c r="E54" i="107" s="1"/>
  <c r="U54" i="107" s="1"/>
  <c r="U90" i="90"/>
  <c r="J90" i="93"/>
  <c r="Z90" i="93" s="1"/>
  <c r="J91" i="107" s="1"/>
  <c r="Z91" i="107" s="1"/>
  <c r="J92" i="108" s="1"/>
  <c r="U156" i="90"/>
  <c r="G156" i="93"/>
  <c r="W156" i="93" s="1"/>
  <c r="G162" i="107" s="1"/>
  <c r="W162" i="107" s="1"/>
  <c r="G164" i="108" s="1"/>
  <c r="E129" i="93"/>
  <c r="U129" i="93" s="1"/>
  <c r="E130" i="107" s="1"/>
  <c r="V19" i="93"/>
  <c r="E19" i="93"/>
  <c r="E98" i="93"/>
  <c r="U98" i="93" s="1"/>
  <c r="E99" i="107" s="1"/>
  <c r="U99" i="107" s="1"/>
  <c r="V25" i="93"/>
  <c r="E25" i="93"/>
  <c r="E138" i="93"/>
  <c r="U138" i="93" s="1"/>
  <c r="E139" i="107" s="1"/>
  <c r="E76" i="93"/>
  <c r="U76" i="93" s="1"/>
  <c r="E77" i="107" s="1"/>
  <c r="U77" i="107" s="1"/>
  <c r="U46" i="90"/>
  <c r="G46" i="93"/>
  <c r="W46" i="93" s="1"/>
  <c r="G47" i="107" s="1"/>
  <c r="W47" i="107" s="1"/>
  <c r="G47" i="108" s="1"/>
  <c r="E105" i="93"/>
  <c r="U105" i="93" s="1"/>
  <c r="E106" i="107" s="1"/>
  <c r="U106" i="107" s="1"/>
  <c r="E160" i="93"/>
  <c r="U160" i="93" s="1"/>
  <c r="E166" i="107" s="1"/>
  <c r="U166" i="107" s="1"/>
  <c r="U166" i="90"/>
  <c r="G168" i="93"/>
  <c r="W168" i="93" s="1"/>
  <c r="G174" i="107" s="1"/>
  <c r="W174" i="107" s="1"/>
  <c r="G177" i="108" s="1"/>
  <c r="K224" i="90"/>
  <c r="AA224" i="90" s="1"/>
  <c r="K234" i="93"/>
  <c r="AA234" i="93" s="1"/>
  <c r="E115" i="93"/>
  <c r="U115" i="93" s="1"/>
  <c r="E116" i="107" s="1"/>
  <c r="U116" i="107" s="1"/>
  <c r="V136" i="81"/>
  <c r="W52" i="82"/>
  <c r="G54" i="90" s="1"/>
  <c r="W54" i="90" s="1"/>
  <c r="G54" i="93" s="1"/>
  <c r="W54" i="93" s="1"/>
  <c r="G55" i="107" s="1"/>
  <c r="W55" i="107" s="1"/>
  <c r="G56" i="108" s="1"/>
  <c r="W56" i="108" s="1"/>
  <c r="G56" i="112" s="1"/>
  <c r="W56" i="112" s="1"/>
  <c r="G56" i="113" s="1"/>
  <c r="W56" i="113" s="1"/>
  <c r="G66" i="117" s="1"/>
  <c r="W66" i="117" s="1"/>
  <c r="G67" i="121" s="1"/>
  <c r="W67" i="121" s="1"/>
  <c r="G67" i="122" s="1"/>
  <c r="W67" i="122" s="1"/>
  <c r="U51" i="81"/>
  <c r="AA51" i="82"/>
  <c r="K56" i="90" s="1"/>
  <c r="AA56" i="90" s="1"/>
  <c r="K56" i="93" s="1"/>
  <c r="AA56" i="93" s="1"/>
  <c r="K57" i="107" s="1"/>
  <c r="AA57" i="107" s="1"/>
  <c r="K58" i="108" s="1"/>
  <c r="AA58" i="108" s="1"/>
  <c r="K58" i="112" s="1"/>
  <c r="AA58" i="112" s="1"/>
  <c r="K58" i="113" s="1"/>
  <c r="U147" i="90"/>
  <c r="W26" i="90"/>
  <c r="G26" i="93" s="1"/>
  <c r="W26" i="93" s="1"/>
  <c r="G26" i="107" s="1"/>
  <c r="W26" i="107" s="1"/>
  <c r="G26" i="108" s="1"/>
  <c r="W26" i="108" s="1"/>
  <c r="G26" i="112" s="1"/>
  <c r="W26" i="112" s="1"/>
  <c r="G26" i="113" s="1"/>
  <c r="W26" i="113" s="1"/>
  <c r="G30" i="117" s="1"/>
  <c r="G29" i="90"/>
  <c r="W193" i="81"/>
  <c r="G204" i="82" s="1"/>
  <c r="E40" i="90"/>
  <c r="W187" i="90"/>
  <c r="G194" i="93" s="1"/>
  <c r="W179" i="90"/>
  <c r="G181" i="93" s="1"/>
  <c r="W181" i="93" s="1"/>
  <c r="G188" i="107" s="1"/>
  <c r="W188" i="107" s="1"/>
  <c r="G191" i="108" s="1"/>
  <c r="E179" i="90"/>
  <c r="E26" i="90"/>
  <c r="W17" i="90"/>
  <c r="G214" i="90"/>
  <c r="W214" i="90" s="1"/>
  <c r="G224" i="93" s="1"/>
  <c r="W224" i="93" s="1"/>
  <c r="G231" i="107" s="1"/>
  <c r="W231" i="107" s="1"/>
  <c r="G234" i="108" s="1"/>
  <c r="W234" i="108" s="1"/>
  <c r="G236" i="112" s="1"/>
  <c r="W236" i="112" s="1"/>
  <c r="G241" i="113" s="1"/>
  <c r="W241" i="113" s="1"/>
  <c r="G256" i="117" s="1"/>
  <c r="W256" i="117" s="1"/>
  <c r="G260" i="121" s="1"/>
  <c r="W260" i="121" s="1"/>
  <c r="G260" i="122" s="1"/>
  <c r="W260" i="122" s="1"/>
  <c r="W16" i="90"/>
  <c r="G16" i="93" s="1"/>
  <c r="G213" i="90"/>
  <c r="E194" i="90"/>
  <c r="E136" i="81"/>
  <c r="W190" i="90"/>
  <c r="E156" i="90"/>
  <c r="E83" i="90"/>
  <c r="F140" i="90"/>
  <c r="V140" i="90" s="1"/>
  <c r="F140" i="93" s="1"/>
  <c r="V140" i="93" s="1"/>
  <c r="F141" i="107" s="1"/>
  <c r="V141" i="107" s="1"/>
  <c r="F142" i="108" s="1"/>
  <c r="V142" i="108" s="1"/>
  <c r="F142" i="112" s="1"/>
  <c r="V142" i="112" s="1"/>
  <c r="F144" i="113" s="1"/>
  <c r="V144" i="113" s="1"/>
  <c r="F155" i="117" s="1"/>
  <c r="V155" i="117" s="1"/>
  <c r="F153" i="121" s="1"/>
  <c r="V153" i="121" s="1"/>
  <c r="F153" i="122" s="1"/>
  <c r="V153" i="122" s="1"/>
  <c r="H141" i="90"/>
  <c r="X141" i="90" s="1"/>
  <c r="H141" i="93" s="1"/>
  <c r="X141" i="93" s="1"/>
  <c r="H144" i="107" s="1"/>
  <c r="X144" i="107" s="1"/>
  <c r="H146" i="108" s="1"/>
  <c r="X146" i="108" s="1"/>
  <c r="H148" i="112" s="1"/>
  <c r="X148" i="112" s="1"/>
  <c r="H152" i="113" s="1"/>
  <c r="X152" i="113" s="1"/>
  <c r="H163" i="117" s="1"/>
  <c r="X163" i="117" s="1"/>
  <c r="H161" i="121" s="1"/>
  <c r="X161" i="121" s="1"/>
  <c r="H161" i="122" s="1"/>
  <c r="X161" i="122" s="1"/>
  <c r="X140" i="90"/>
  <c r="H140" i="93" s="1"/>
  <c r="X140" i="93" s="1"/>
  <c r="H141" i="107" s="1"/>
  <c r="X141" i="107" s="1"/>
  <c r="H142" i="108" s="1"/>
  <c r="X142" i="108" s="1"/>
  <c r="H142" i="112" s="1"/>
  <c r="X142" i="112" s="1"/>
  <c r="H144" i="113" s="1"/>
  <c r="X144" i="113" s="1"/>
  <c r="H155" i="117" s="1"/>
  <c r="X155" i="117" s="1"/>
  <c r="H153" i="121" s="1"/>
  <c r="X153" i="121" s="1"/>
  <c r="H153" i="122" s="1"/>
  <c r="X153" i="122" s="1"/>
  <c r="E147" i="90"/>
  <c r="E166" i="90"/>
  <c r="U188" i="81"/>
  <c r="U53" i="82"/>
  <c r="G196" i="81"/>
  <c r="G201" i="81" s="1"/>
  <c r="U44" i="82"/>
  <c r="V89" i="82"/>
  <c r="F94" i="90" s="1"/>
  <c r="V94" i="90" s="1"/>
  <c r="F94" i="93" s="1"/>
  <c r="V94" i="93" s="1"/>
  <c r="F95" i="107" s="1"/>
  <c r="V95" i="107" s="1"/>
  <c r="F96" i="108" s="1"/>
  <c r="V96" i="108" s="1"/>
  <c r="F96" i="112" s="1"/>
  <c r="V96" i="112" s="1"/>
  <c r="F96" i="113" s="1"/>
  <c r="V96" i="113" s="1"/>
  <c r="F106" i="117" s="1"/>
  <c r="V106" i="117" s="1"/>
  <c r="F104" i="121" s="1"/>
  <c r="V104" i="121" s="1"/>
  <c r="F104" i="122" s="1"/>
  <c r="V104" i="122" s="1"/>
  <c r="E17" i="90"/>
  <c r="E16" i="90"/>
  <c r="U53" i="90"/>
  <c r="E53" i="90"/>
  <c r="E129" i="90"/>
  <c r="F196" i="81"/>
  <c r="F201" i="81" s="1"/>
  <c r="U114" i="81"/>
  <c r="U154" i="81"/>
  <c r="AA192" i="82"/>
  <c r="K206" i="90" s="1"/>
  <c r="AA206" i="90" s="1"/>
  <c r="K214" i="93" s="1"/>
  <c r="AA214" i="93" s="1"/>
  <c r="K221" i="107" s="1"/>
  <c r="AA221" i="107" s="1"/>
  <c r="K224" i="108" s="1"/>
  <c r="AA224" i="108" s="1"/>
  <c r="K226" i="112" s="1"/>
  <c r="AA226" i="112" s="1"/>
  <c r="K230" i="113" s="1"/>
  <c r="AA230" i="113" s="1"/>
  <c r="K245" i="117" s="1"/>
  <c r="AA245" i="117" s="1"/>
  <c r="K249" i="121" s="1"/>
  <c r="AA249" i="121" s="1"/>
  <c r="K249" i="122" s="1"/>
  <c r="AA249" i="122" s="1"/>
  <c r="U138" i="90"/>
  <c r="E138" i="90"/>
  <c r="U47" i="81"/>
  <c r="U35" i="82"/>
  <c r="E204" i="90"/>
  <c r="U98" i="90"/>
  <c r="Z192" i="82"/>
  <c r="J206" i="90" s="1"/>
  <c r="Z206" i="90" s="1"/>
  <c r="J214" i="93" s="1"/>
  <c r="Z214" i="93" s="1"/>
  <c r="J221" i="107" s="1"/>
  <c r="Z221" i="107" s="1"/>
  <c r="J224" i="108" s="1"/>
  <c r="Z224" i="108" s="1"/>
  <c r="J226" i="112" s="1"/>
  <c r="Z226" i="112" s="1"/>
  <c r="J230" i="113" s="1"/>
  <c r="Z230" i="113" s="1"/>
  <c r="J245" i="117" s="1"/>
  <c r="Z245" i="117" s="1"/>
  <c r="J249" i="121" s="1"/>
  <c r="Z249" i="121" s="1"/>
  <c r="J249" i="122" s="1"/>
  <c r="Z249" i="122" s="1"/>
  <c r="E160" i="90"/>
  <c r="E106" i="90"/>
  <c r="U106" i="90"/>
  <c r="U76" i="90"/>
  <c r="E76" i="90"/>
  <c r="U203" i="90"/>
  <c r="V162" i="81"/>
  <c r="E190" i="82"/>
  <c r="E49" i="90"/>
  <c r="E134" i="90"/>
  <c r="U81" i="90"/>
  <c r="E81" i="90"/>
  <c r="E90" i="90"/>
  <c r="U81" i="81"/>
  <c r="U161" i="81"/>
  <c r="AB162" i="81"/>
  <c r="L161" i="82" s="1"/>
  <c r="AB136" i="81"/>
  <c r="L134" i="82" s="1"/>
  <c r="Z141" i="82"/>
  <c r="J150" i="90" s="1"/>
  <c r="Z150" i="90" s="1"/>
  <c r="J150" i="93" s="1"/>
  <c r="Z150" i="93" s="1"/>
  <c r="J156" i="107" s="1"/>
  <c r="Z156" i="107" s="1"/>
  <c r="J158" i="108" s="1"/>
  <c r="Z158" i="108" s="1"/>
  <c r="J160" i="112" s="1"/>
  <c r="Z160" i="112" s="1"/>
  <c r="J164" i="113" s="1"/>
  <c r="Z164" i="113" s="1"/>
  <c r="J176" i="117" s="1"/>
  <c r="Z176" i="117" s="1"/>
  <c r="J174" i="121" s="1"/>
  <c r="Z174" i="121" s="1"/>
  <c r="J174" i="122" s="1"/>
  <c r="Z174" i="122" s="1"/>
  <c r="U160" i="90"/>
  <c r="U58" i="90"/>
  <c r="E58" i="90"/>
  <c r="U87" i="90"/>
  <c r="U49" i="90"/>
  <c r="E98" i="90"/>
  <c r="U210" i="82"/>
  <c r="U126" i="82"/>
  <c r="AA112" i="82"/>
  <c r="K120" i="90" s="1"/>
  <c r="AA120" i="90" s="1"/>
  <c r="K120" i="93" s="1"/>
  <c r="AA120" i="93" s="1"/>
  <c r="K121" i="107" s="1"/>
  <c r="AA121" i="107" s="1"/>
  <c r="K122" i="108" s="1"/>
  <c r="AA122" i="108" s="1"/>
  <c r="K122" i="112" s="1"/>
  <c r="AA122" i="112" s="1"/>
  <c r="K124" i="113" s="1"/>
  <c r="AA124" i="113" s="1"/>
  <c r="K135" i="117" s="1"/>
  <c r="AA135" i="117" s="1"/>
  <c r="K133" i="121" s="1"/>
  <c r="AA133" i="121" s="1"/>
  <c r="K133" i="122" s="1"/>
  <c r="AA133" i="122" s="1"/>
  <c r="W141" i="82"/>
  <c r="G146" i="90" s="1"/>
  <c r="U93" i="82"/>
  <c r="U190" i="82"/>
  <c r="W153" i="82"/>
  <c r="G155" i="90" s="1"/>
  <c r="W155" i="90" s="1"/>
  <c r="G155" i="93" s="1"/>
  <c r="W155" i="93" s="1"/>
  <c r="G161" i="107" s="1"/>
  <c r="W161" i="107" s="1"/>
  <c r="G163" i="108" s="1"/>
  <c r="W163" i="108" s="1"/>
  <c r="G165" i="112" s="1"/>
  <c r="W165" i="112" s="1"/>
  <c r="G169" i="113" s="1"/>
  <c r="W169" i="113" s="1"/>
  <c r="G181" i="117" s="1"/>
  <c r="W181" i="117" s="1"/>
  <c r="G179" i="121" s="1"/>
  <c r="W179" i="121" s="1"/>
  <c r="G179" i="122" s="1"/>
  <c r="W179" i="122" s="1"/>
  <c r="AA184" i="82"/>
  <c r="K198" i="90" s="1"/>
  <c r="AA198" i="90" s="1"/>
  <c r="K205" i="93" s="1"/>
  <c r="AA205" i="93" s="1"/>
  <c r="K212" i="107" s="1"/>
  <c r="AA212" i="107" s="1"/>
  <c r="K215" i="108" s="1"/>
  <c r="AA215" i="108" s="1"/>
  <c r="K217" i="112" s="1"/>
  <c r="AA217" i="112" s="1"/>
  <c r="K221" i="113" s="1"/>
  <c r="AA221" i="113" s="1"/>
  <c r="K236" i="117" s="1"/>
  <c r="AA236" i="117" s="1"/>
  <c r="K240" i="121" s="1"/>
  <c r="AA240" i="121" s="1"/>
  <c r="K240" i="122" s="1"/>
  <c r="AA240" i="122" s="1"/>
  <c r="U71" i="82"/>
  <c r="H43" i="82"/>
  <c r="E43" i="82" s="1"/>
  <c r="X186" i="82"/>
  <c r="H200" i="90" s="1"/>
  <c r="X200" i="90" s="1"/>
  <c r="H207" i="93" s="1"/>
  <c r="X207" i="93" s="1"/>
  <c r="H214" i="107" s="1"/>
  <c r="X214" i="107" s="1"/>
  <c r="H217" i="108" s="1"/>
  <c r="X217" i="108" s="1"/>
  <c r="H219" i="112" s="1"/>
  <c r="X219" i="112" s="1"/>
  <c r="H223" i="113" s="1"/>
  <c r="X223" i="113" s="1"/>
  <c r="H238" i="117" s="1"/>
  <c r="X238" i="117" s="1"/>
  <c r="H242" i="121" s="1"/>
  <c r="X242" i="121" s="1"/>
  <c r="H242" i="122" s="1"/>
  <c r="X242" i="122" s="1"/>
  <c r="U76" i="82"/>
  <c r="AA164" i="82"/>
  <c r="K175" i="90" s="1"/>
  <c r="AA175" i="90" s="1"/>
  <c r="K177" i="93" s="1"/>
  <c r="AA177" i="93" s="1"/>
  <c r="K184" i="107" s="1"/>
  <c r="AA184" i="107" s="1"/>
  <c r="K187" i="108" s="1"/>
  <c r="AA187" i="108" s="1"/>
  <c r="K189" i="112" s="1"/>
  <c r="AA189" i="112" s="1"/>
  <c r="K193" i="113" s="1"/>
  <c r="AA193" i="113" s="1"/>
  <c r="K205" i="117" s="1"/>
  <c r="AA205" i="117" s="1"/>
  <c r="K203" i="121" s="1"/>
  <c r="W136" i="81"/>
  <c r="G134" i="82" s="1"/>
  <c r="U89" i="81"/>
  <c r="Z162" i="81"/>
  <c r="J161" i="82" s="1"/>
  <c r="K196" i="81"/>
  <c r="K201" i="81" s="1"/>
  <c r="V73" i="82"/>
  <c r="F78" i="90" s="1"/>
  <c r="V78" i="90" s="1"/>
  <c r="F78" i="93" s="1"/>
  <c r="V78" i="93" s="1"/>
  <c r="F79" i="107" s="1"/>
  <c r="V79" i="107" s="1"/>
  <c r="F80" i="108" s="1"/>
  <c r="V80" i="108" s="1"/>
  <c r="F80" i="112" s="1"/>
  <c r="V80" i="112" s="1"/>
  <c r="F80" i="113" s="1"/>
  <c r="V80" i="113" s="1"/>
  <c r="F90" i="117" s="1"/>
  <c r="V90" i="117" s="1"/>
  <c r="F88" i="121" s="1"/>
  <c r="V88" i="121" s="1"/>
  <c r="F88" i="122" s="1"/>
  <c r="V88" i="122" s="1"/>
  <c r="U37" i="82"/>
  <c r="Z112" i="82"/>
  <c r="J120" i="90" s="1"/>
  <c r="Z120" i="90" s="1"/>
  <c r="J120" i="93" s="1"/>
  <c r="Z120" i="93" s="1"/>
  <c r="J121" i="107" s="1"/>
  <c r="Z121" i="107" s="1"/>
  <c r="J122" i="108" s="1"/>
  <c r="Z122" i="108" s="1"/>
  <c r="J122" i="112" s="1"/>
  <c r="Z122" i="112" s="1"/>
  <c r="J124" i="113" s="1"/>
  <c r="Z124" i="113" s="1"/>
  <c r="J135" i="117" s="1"/>
  <c r="Z135" i="117" s="1"/>
  <c r="J133" i="121" s="1"/>
  <c r="Z133" i="121" s="1"/>
  <c r="J133" i="122" s="1"/>
  <c r="Z133" i="122" s="1"/>
  <c r="AB132" i="82"/>
  <c r="Z160" i="82"/>
  <c r="J171" i="90" s="1"/>
  <c r="Z171" i="90" s="1"/>
  <c r="J173" i="93" s="1"/>
  <c r="Z173" i="93" s="1"/>
  <c r="J180" i="107" s="1"/>
  <c r="Z180" i="107" s="1"/>
  <c r="J183" i="108" s="1"/>
  <c r="Z183" i="108" s="1"/>
  <c r="J185" i="112" s="1"/>
  <c r="Z185" i="112" s="1"/>
  <c r="J189" i="113" s="1"/>
  <c r="Z189" i="113" s="1"/>
  <c r="J201" i="117" s="1"/>
  <c r="Z201" i="117" s="1"/>
  <c r="J199" i="121" s="1"/>
  <c r="Z199" i="121" s="1"/>
  <c r="J199" i="122" s="1"/>
  <c r="Z199" i="122" s="1"/>
  <c r="X174" i="82"/>
  <c r="H188" i="90" s="1"/>
  <c r="X188" i="90" s="1"/>
  <c r="H195" i="93" s="1"/>
  <c r="X195" i="93" s="1"/>
  <c r="H202" i="107" s="1"/>
  <c r="X202" i="107" s="1"/>
  <c r="H205" i="108" s="1"/>
  <c r="X205" i="108" s="1"/>
  <c r="H207" i="112" s="1"/>
  <c r="X207" i="112" s="1"/>
  <c r="H211" i="113" s="1"/>
  <c r="X211" i="113" s="1"/>
  <c r="H226" i="117" s="1"/>
  <c r="X226" i="117" s="1"/>
  <c r="H230" i="121" s="1"/>
  <c r="X230" i="121" s="1"/>
  <c r="H230" i="122" s="1"/>
  <c r="X230" i="122" s="1"/>
  <c r="U151" i="82"/>
  <c r="W186" i="82"/>
  <c r="W184" i="82"/>
  <c r="G189" i="90" s="1"/>
  <c r="E189" i="90" s="1"/>
  <c r="E191" i="90" s="1"/>
  <c r="W203" i="82"/>
  <c r="G207" i="90" s="1"/>
  <c r="W160" i="82"/>
  <c r="G162" i="90" s="1"/>
  <c r="U130" i="82"/>
  <c r="U85" i="82"/>
  <c r="U172" i="81"/>
  <c r="E90" i="81"/>
  <c r="U165" i="81"/>
  <c r="V192" i="82"/>
  <c r="F206" i="90" s="1"/>
  <c r="V206" i="90" s="1"/>
  <c r="F214" i="93" s="1"/>
  <c r="V214" i="93" s="1"/>
  <c r="F221" i="107" s="1"/>
  <c r="V221" i="107" s="1"/>
  <c r="F224" i="108" s="1"/>
  <c r="V224" i="108" s="1"/>
  <c r="F226" i="112" s="1"/>
  <c r="V226" i="112" s="1"/>
  <c r="F230" i="113" s="1"/>
  <c r="V230" i="113" s="1"/>
  <c r="F245" i="117" s="1"/>
  <c r="V245" i="117" s="1"/>
  <c r="F249" i="121" s="1"/>
  <c r="V249" i="121" s="1"/>
  <c r="F249" i="122" s="1"/>
  <c r="V249" i="122" s="1"/>
  <c r="Z186" i="82"/>
  <c r="J200" i="90" s="1"/>
  <c r="Z200" i="90" s="1"/>
  <c r="J207" i="93" s="1"/>
  <c r="Z207" i="93" s="1"/>
  <c r="J214" i="107" s="1"/>
  <c r="Z214" i="107" s="1"/>
  <c r="J217" i="108" s="1"/>
  <c r="Z217" i="108" s="1"/>
  <c r="J219" i="112" s="1"/>
  <c r="Z219" i="112" s="1"/>
  <c r="J223" i="113" s="1"/>
  <c r="Z223" i="113" s="1"/>
  <c r="J238" i="117" s="1"/>
  <c r="Z238" i="117" s="1"/>
  <c r="J242" i="121" s="1"/>
  <c r="Z242" i="121" s="1"/>
  <c r="J242" i="122" s="1"/>
  <c r="Z242" i="122" s="1"/>
  <c r="AA188" i="82"/>
  <c r="K202" i="90" s="1"/>
  <c r="AA202" i="90" s="1"/>
  <c r="K209" i="93" s="1"/>
  <c r="AA209" i="93" s="1"/>
  <c r="K216" i="107" s="1"/>
  <c r="AA216" i="107" s="1"/>
  <c r="K219" i="108" s="1"/>
  <c r="AA219" i="108" s="1"/>
  <c r="K221" i="112" s="1"/>
  <c r="AA221" i="112" s="1"/>
  <c r="K225" i="113" s="1"/>
  <c r="AA225" i="113" s="1"/>
  <c r="K240" i="117" s="1"/>
  <c r="AA240" i="117" s="1"/>
  <c r="K244" i="121" s="1"/>
  <c r="AA174" i="82"/>
  <c r="K188" i="90" s="1"/>
  <c r="AA188" i="90" s="1"/>
  <c r="K195" i="93" s="1"/>
  <c r="AA195" i="93" s="1"/>
  <c r="K202" i="107" s="1"/>
  <c r="AA202" i="107" s="1"/>
  <c r="K205" i="108" s="1"/>
  <c r="AA205" i="108" s="1"/>
  <c r="K207" i="112" s="1"/>
  <c r="AA207" i="112" s="1"/>
  <c r="K211" i="113" s="1"/>
  <c r="AA211" i="113" s="1"/>
  <c r="K226" i="117" s="1"/>
  <c r="AA226" i="117" s="1"/>
  <c r="K230" i="121" s="1"/>
  <c r="AA230" i="121" s="1"/>
  <c r="K230" i="122" s="1"/>
  <c r="AA230" i="122" s="1"/>
  <c r="AA73" i="82"/>
  <c r="K78" i="90" s="1"/>
  <c r="AA78" i="90" s="1"/>
  <c r="K78" i="93" s="1"/>
  <c r="AA78" i="93" s="1"/>
  <c r="K79" i="107" s="1"/>
  <c r="AA79" i="107" s="1"/>
  <c r="K80" i="108" s="1"/>
  <c r="AA80" i="108" s="1"/>
  <c r="K80" i="112" s="1"/>
  <c r="AA80" i="112" s="1"/>
  <c r="K80" i="113" s="1"/>
  <c r="AA80" i="113" s="1"/>
  <c r="K90" i="117" s="1"/>
  <c r="AA90" i="117" s="1"/>
  <c r="K88" i="121" s="1"/>
  <c r="AA88" i="121" s="1"/>
  <c r="K88" i="122" s="1"/>
  <c r="AA88" i="122" s="1"/>
  <c r="E162" i="81"/>
  <c r="U134" i="81"/>
  <c r="V52" i="81"/>
  <c r="H174" i="82"/>
  <c r="V73" i="81"/>
  <c r="W90" i="81"/>
  <c r="G90" i="82" s="1"/>
  <c r="G89" i="82"/>
  <c r="U192" i="81"/>
  <c r="AB146" i="82"/>
  <c r="L155" i="90" s="1"/>
  <c r="AB155" i="90" s="1"/>
  <c r="L155" i="93" s="1"/>
  <c r="AB155" i="93" s="1"/>
  <c r="L161" i="107" s="1"/>
  <c r="AB161" i="107" s="1"/>
  <c r="L163" i="108" s="1"/>
  <c r="E146" i="82"/>
  <c r="E162" i="82"/>
  <c r="E164" i="82" s="1"/>
  <c r="AB162" i="82"/>
  <c r="L173" i="90" s="1"/>
  <c r="AB173" i="90" s="1"/>
  <c r="L175" i="93" s="1"/>
  <c r="AB175" i="93" s="1"/>
  <c r="L182" i="107" s="1"/>
  <c r="AB182" i="107" s="1"/>
  <c r="L185" i="108" s="1"/>
  <c r="AA176" i="82"/>
  <c r="E176" i="82"/>
  <c r="E177" i="82" s="1"/>
  <c r="AB144" i="82"/>
  <c r="L153" i="90" s="1"/>
  <c r="AB153" i="90" s="1"/>
  <c r="L153" i="93" s="1"/>
  <c r="AB153" i="93" s="1"/>
  <c r="L159" i="107" s="1"/>
  <c r="AB159" i="107" s="1"/>
  <c r="L161" i="108" s="1"/>
  <c r="E144" i="82"/>
  <c r="E182" i="82"/>
  <c r="E184" i="82" s="1"/>
  <c r="AB182" i="82"/>
  <c r="L196" i="90" s="1"/>
  <c r="AB196" i="90" s="1"/>
  <c r="L203" i="93" s="1"/>
  <c r="AB203" i="93" s="1"/>
  <c r="L210" i="107" s="1"/>
  <c r="AB210" i="107" s="1"/>
  <c r="L213" i="108" s="1"/>
  <c r="X15" i="82"/>
  <c r="H15" i="90" s="1"/>
  <c r="X15" i="90" s="1"/>
  <c r="H15" i="93" s="1"/>
  <c r="H26" i="82"/>
  <c r="E15" i="82"/>
  <c r="E26" i="82" s="1"/>
  <c r="AA27" i="82"/>
  <c r="K30" i="90" s="1"/>
  <c r="AA30" i="90" s="1"/>
  <c r="K30" i="93" s="1"/>
  <c r="AA30" i="93" s="1"/>
  <c r="K31" i="107" s="1"/>
  <c r="AA31" i="107" s="1"/>
  <c r="K31" i="108" s="1"/>
  <c r="Z149" i="82"/>
  <c r="J158" i="90" s="1"/>
  <c r="Z158" i="90" s="1"/>
  <c r="J158" i="93" s="1"/>
  <c r="Z158" i="93" s="1"/>
  <c r="J164" i="107" s="1"/>
  <c r="Z164" i="107" s="1"/>
  <c r="J166" i="108" s="1"/>
  <c r="E149" i="82"/>
  <c r="Z194" i="82"/>
  <c r="J208" i="90" s="1"/>
  <c r="Z208" i="90" s="1"/>
  <c r="J216" i="93" s="1"/>
  <c r="Z216" i="93" s="1"/>
  <c r="J223" i="107" s="1"/>
  <c r="Z223" i="107" s="1"/>
  <c r="J226" i="108" s="1"/>
  <c r="E194" i="82"/>
  <c r="J198" i="82"/>
  <c r="V166" i="82"/>
  <c r="F177" i="90" s="1"/>
  <c r="V177" i="90" s="1"/>
  <c r="F179" i="93" s="1"/>
  <c r="V179" i="93" s="1"/>
  <c r="F186" i="107" s="1"/>
  <c r="V186" i="107" s="1"/>
  <c r="F189" i="108" s="1"/>
  <c r="E83" i="82"/>
  <c r="Z83" i="82"/>
  <c r="J88" i="90" s="1"/>
  <c r="Z88" i="90" s="1"/>
  <c r="J88" i="93" s="1"/>
  <c r="Z88" i="93" s="1"/>
  <c r="J89" i="107" s="1"/>
  <c r="Z89" i="107" s="1"/>
  <c r="J90" i="108" s="1"/>
  <c r="AB142" i="82"/>
  <c r="L151" i="90" s="1"/>
  <c r="AB151" i="90" s="1"/>
  <c r="L151" i="93" s="1"/>
  <c r="AB151" i="93" s="1"/>
  <c r="L157" i="107" s="1"/>
  <c r="AB157" i="107" s="1"/>
  <c r="L159" i="108" s="1"/>
  <c r="E142" i="82"/>
  <c r="E36" i="82"/>
  <c r="E37" i="82" s="1"/>
  <c r="W36" i="82"/>
  <c r="G38" i="90" s="1"/>
  <c r="AB80" i="82"/>
  <c r="L85" i="90" s="1"/>
  <c r="AB85" i="90" s="1"/>
  <c r="L85" i="93" s="1"/>
  <c r="AB85" i="93" s="1"/>
  <c r="L86" i="107" s="1"/>
  <c r="AB86" i="107" s="1"/>
  <c r="L87" i="108" s="1"/>
  <c r="E80" i="82"/>
  <c r="AB191" i="82"/>
  <c r="L205" i="90" s="1"/>
  <c r="AB205" i="90" s="1"/>
  <c r="L213" i="93" s="1"/>
  <c r="AB213" i="93" s="1"/>
  <c r="L220" i="107" s="1"/>
  <c r="AB220" i="107" s="1"/>
  <c r="L223" i="108" s="1"/>
  <c r="E48" i="82"/>
  <c r="E113" i="82"/>
  <c r="Z113" i="82"/>
  <c r="J121" i="90" s="1"/>
  <c r="Z121" i="90" s="1"/>
  <c r="J121" i="93" s="1"/>
  <c r="Z121" i="93" s="1"/>
  <c r="J122" i="107" s="1"/>
  <c r="Z122" i="107" s="1"/>
  <c r="J123" i="108" s="1"/>
  <c r="W86" i="82"/>
  <c r="G88" i="90" s="1"/>
  <c r="W88" i="90" s="1"/>
  <c r="G88" i="93" s="1"/>
  <c r="W88" i="93" s="1"/>
  <c r="G89" i="107" s="1"/>
  <c r="W89" i="107" s="1"/>
  <c r="G90" i="108" s="1"/>
  <c r="W90" i="108" s="1"/>
  <c r="G90" i="112" s="1"/>
  <c r="W90" i="112" s="1"/>
  <c r="G90" i="113" s="1"/>
  <c r="W90" i="113" s="1"/>
  <c r="G100" i="117" s="1"/>
  <c r="W100" i="117" s="1"/>
  <c r="G98" i="121" s="1"/>
  <c r="W98" i="121" s="1"/>
  <c r="G98" i="122" s="1"/>
  <c r="W98" i="122" s="1"/>
  <c r="E86" i="82"/>
  <c r="E105" i="82"/>
  <c r="X105" i="82"/>
  <c r="H110" i="90" s="1"/>
  <c r="AB109" i="82"/>
  <c r="L114" i="90" s="1"/>
  <c r="AB114" i="90" s="1"/>
  <c r="L114" i="93" s="1"/>
  <c r="AB114" i="93" s="1"/>
  <c r="L115" i="107" s="1"/>
  <c r="AB115" i="107" s="1"/>
  <c r="L116" i="108" s="1"/>
  <c r="E109" i="82"/>
  <c r="Z145" i="82"/>
  <c r="J154" i="90" s="1"/>
  <c r="Z154" i="90" s="1"/>
  <c r="J154" i="93" s="1"/>
  <c r="Z154" i="93" s="1"/>
  <c r="J160" i="107" s="1"/>
  <c r="Z160" i="107" s="1"/>
  <c r="J162" i="108" s="1"/>
  <c r="E145" i="82"/>
  <c r="L168" i="82"/>
  <c r="E165" i="82"/>
  <c r="AB165" i="82"/>
  <c r="L176" i="90" s="1"/>
  <c r="AB176" i="90" s="1"/>
  <c r="L178" i="93" s="1"/>
  <c r="AB178" i="93" s="1"/>
  <c r="L185" i="107" s="1"/>
  <c r="AB185" i="107" s="1"/>
  <c r="L188" i="108" s="1"/>
  <c r="AB70" i="82"/>
  <c r="L75" i="90" s="1"/>
  <c r="AB75" i="90" s="1"/>
  <c r="L75" i="93" s="1"/>
  <c r="AB75" i="93" s="1"/>
  <c r="L76" i="107" s="1"/>
  <c r="AB76" i="107" s="1"/>
  <c r="L77" i="108" s="1"/>
  <c r="E70" i="82"/>
  <c r="G191" i="82"/>
  <c r="W191" i="82" s="1"/>
  <c r="G195" i="90" s="1"/>
  <c r="G192" i="82"/>
  <c r="E210" i="82"/>
  <c r="E49" i="82"/>
  <c r="Z49" i="82"/>
  <c r="J54" i="90" s="1"/>
  <c r="Z54" i="90" s="1"/>
  <c r="J54" i="93" s="1"/>
  <c r="Z54" i="93" s="1"/>
  <c r="J55" i="107" s="1"/>
  <c r="Z55" i="107" s="1"/>
  <c r="J56" i="108" s="1"/>
  <c r="AB46" i="82"/>
  <c r="L51" i="90" s="1"/>
  <c r="AB51" i="90" s="1"/>
  <c r="L51" i="93" s="1"/>
  <c r="AB51" i="93" s="1"/>
  <c r="L52" i="107" s="1"/>
  <c r="AB52" i="107" s="1"/>
  <c r="L53" i="108" s="1"/>
  <c r="E46" i="82"/>
  <c r="AB111" i="82"/>
  <c r="L116" i="90" s="1"/>
  <c r="AB116" i="90" s="1"/>
  <c r="L116" i="93" s="1"/>
  <c r="AB116" i="93" s="1"/>
  <c r="L117" i="107" s="1"/>
  <c r="AB117" i="107" s="1"/>
  <c r="L118" i="108" s="1"/>
  <c r="E111" i="82"/>
  <c r="E140" i="82"/>
  <c r="AB140" i="82"/>
  <c r="L149" i="90" s="1"/>
  <c r="AB149" i="90" s="1"/>
  <c r="L149" i="93" s="1"/>
  <c r="AB149" i="93" s="1"/>
  <c r="L154" i="107" s="1"/>
  <c r="AB154" i="107" s="1"/>
  <c r="L156" i="108" s="1"/>
  <c r="Z90" i="81"/>
  <c r="J90" i="82" s="1"/>
  <c r="J89" i="82"/>
  <c r="E151" i="82"/>
  <c r="E74" i="82"/>
  <c r="E81" i="82" s="1"/>
  <c r="AB74" i="82"/>
  <c r="L79" i="90" s="1"/>
  <c r="AB79" i="90" s="1"/>
  <c r="L79" i="93" s="1"/>
  <c r="AB79" i="93" s="1"/>
  <c r="L80" i="107" s="1"/>
  <c r="AB80" i="107" s="1"/>
  <c r="L81" i="108" s="1"/>
  <c r="AA154" i="82"/>
  <c r="K165" i="90" s="1"/>
  <c r="AA165" i="90" s="1"/>
  <c r="K167" i="93" s="1"/>
  <c r="AA167" i="93" s="1"/>
  <c r="K173" i="107" s="1"/>
  <c r="AA173" i="107" s="1"/>
  <c r="K176" i="108" s="1"/>
  <c r="E154" i="82"/>
  <c r="E160" i="82" s="1"/>
  <c r="J132" i="82"/>
  <c r="Z136" i="81"/>
  <c r="J134" i="82" s="1"/>
  <c r="Z45" i="82"/>
  <c r="J50" i="90" s="1"/>
  <c r="Z50" i="90" s="1"/>
  <c r="J50" i="93" s="1"/>
  <c r="Z50" i="93" s="1"/>
  <c r="J51" i="107" s="1"/>
  <c r="Z51" i="107" s="1"/>
  <c r="J52" i="108" s="1"/>
  <c r="E45" i="82"/>
  <c r="W63" i="82"/>
  <c r="G65" i="90" s="1"/>
  <c r="W65" i="90" s="1"/>
  <c r="G65" i="93" s="1"/>
  <c r="W65" i="93" s="1"/>
  <c r="G66" i="107" s="1"/>
  <c r="W66" i="107" s="1"/>
  <c r="G67" i="108" s="1"/>
  <c r="W67" i="108" s="1"/>
  <c r="G67" i="112" s="1"/>
  <c r="W67" i="112" s="1"/>
  <c r="G67" i="113" s="1"/>
  <c r="W67" i="113" s="1"/>
  <c r="G77" i="117" s="1"/>
  <c r="W77" i="117" s="1"/>
  <c r="G78" i="121" s="1"/>
  <c r="W78" i="121" s="1"/>
  <c r="G78" i="122" s="1"/>
  <c r="W78" i="122" s="1"/>
  <c r="E63" i="82"/>
  <c r="AB73" i="81"/>
  <c r="L73" i="82" s="1"/>
  <c r="L72" i="82"/>
  <c r="W162" i="81"/>
  <c r="G161" i="82" s="1"/>
  <c r="G160" i="82"/>
  <c r="W97" i="82"/>
  <c r="G99" i="90" s="1"/>
  <c r="E97" i="82"/>
  <c r="Z150" i="82"/>
  <c r="J159" i="90" s="1"/>
  <c r="Z159" i="90" s="1"/>
  <c r="J159" i="93" s="1"/>
  <c r="Z159" i="93" s="1"/>
  <c r="J165" i="107" s="1"/>
  <c r="Z165" i="107" s="1"/>
  <c r="J167" i="108" s="1"/>
  <c r="E150" i="82"/>
  <c r="AA114" i="82"/>
  <c r="K122" i="90" s="1"/>
  <c r="AA122" i="90" s="1"/>
  <c r="K122" i="93" s="1"/>
  <c r="AA122" i="93" s="1"/>
  <c r="K123" i="107" s="1"/>
  <c r="E114" i="82"/>
  <c r="W165" i="82"/>
  <c r="G167" i="90" s="1"/>
  <c r="G169" i="82"/>
  <c r="AB136" i="82"/>
  <c r="L145" i="90" s="1"/>
  <c r="AB145" i="90" s="1"/>
  <c r="L145" i="93" s="1"/>
  <c r="AB145" i="93" s="1"/>
  <c r="L150" i="107" s="1"/>
  <c r="AB150" i="107" s="1"/>
  <c r="L152" i="108" s="1"/>
  <c r="E136" i="82"/>
  <c r="E209" i="82"/>
  <c r="AA209" i="82"/>
  <c r="AA135" i="82"/>
  <c r="K144" i="90" s="1"/>
  <c r="AA144" i="90" s="1"/>
  <c r="K144" i="93" s="1"/>
  <c r="AA144" i="93" s="1"/>
  <c r="K149" i="107" s="1"/>
  <c r="AA149" i="107" s="1"/>
  <c r="K151" i="108" s="1"/>
  <c r="E135" i="82"/>
  <c r="E187" i="82"/>
  <c r="E188" i="82" s="1"/>
  <c r="AB187" i="82"/>
  <c r="L201" i="90" s="1"/>
  <c r="AB201" i="90" s="1"/>
  <c r="L208" i="93" s="1"/>
  <c r="AB208" i="93" s="1"/>
  <c r="L215" i="107" s="1"/>
  <c r="AB215" i="107" s="1"/>
  <c r="L218" i="108" s="1"/>
  <c r="L81" i="82"/>
  <c r="AB90" i="81"/>
  <c r="L90" i="82" s="1"/>
  <c r="Z66" i="82"/>
  <c r="J71" i="90" s="1"/>
  <c r="Z71" i="90" s="1"/>
  <c r="J71" i="93" s="1"/>
  <c r="Z71" i="93" s="1"/>
  <c r="J72" i="107" s="1"/>
  <c r="Z72" i="107" s="1"/>
  <c r="J73" i="108" s="1"/>
  <c r="E66" i="82"/>
  <c r="K160" i="82"/>
  <c r="AA162" i="81"/>
  <c r="K161" i="82" s="1"/>
  <c r="E166" i="82"/>
  <c r="W73" i="81"/>
  <c r="G73" i="82" s="1"/>
  <c r="G72" i="82"/>
  <c r="Z54" i="82"/>
  <c r="J59" i="90" s="1"/>
  <c r="Z59" i="90" s="1"/>
  <c r="J59" i="93" s="1"/>
  <c r="Z59" i="93" s="1"/>
  <c r="J60" i="107" s="1"/>
  <c r="Z60" i="107" s="1"/>
  <c r="J61" i="108" s="1"/>
  <c r="E54" i="82"/>
  <c r="X40" i="82"/>
  <c r="H45" i="90" s="1"/>
  <c r="X45" i="90" s="1"/>
  <c r="E40" i="82"/>
  <c r="G198" i="82"/>
  <c r="W193" i="82"/>
  <c r="G197" i="90" s="1"/>
  <c r="E193" i="82"/>
  <c r="AA201" i="82"/>
  <c r="K215" i="90" s="1"/>
  <c r="AA215" i="90" s="1"/>
  <c r="K225" i="93" s="1"/>
  <c r="AA225" i="93" s="1"/>
  <c r="K232" i="107" s="1"/>
  <c r="AA232" i="107" s="1"/>
  <c r="K235" i="108" s="1"/>
  <c r="E201" i="82"/>
  <c r="E203" i="82" s="1"/>
  <c r="W189" i="82"/>
  <c r="G193" i="90" s="1"/>
  <c r="W193" i="90" s="1"/>
  <c r="G200" i="93" s="1"/>
  <c r="W200" i="93" s="1"/>
  <c r="G207" i="107" s="1"/>
  <c r="W207" i="107" s="1"/>
  <c r="G210" i="108" s="1"/>
  <c r="W210" i="108" s="1"/>
  <c r="G212" i="112" s="1"/>
  <c r="W212" i="112" s="1"/>
  <c r="G216" i="113" s="1"/>
  <c r="W216" i="113" s="1"/>
  <c r="G231" i="117" s="1"/>
  <c r="W231" i="117" s="1"/>
  <c r="G235" i="121" s="1"/>
  <c r="W235" i="121" s="1"/>
  <c r="G235" i="122" s="1"/>
  <c r="W235" i="122" s="1"/>
  <c r="E189" i="82"/>
  <c r="E192" i="82" s="1"/>
  <c r="V90" i="81"/>
  <c r="AA90" i="81"/>
  <c r="K89" i="82"/>
  <c r="J196" i="81"/>
  <c r="J201" i="81" s="1"/>
  <c r="Z73" i="81"/>
  <c r="J73" i="82" s="1"/>
  <c r="J72" i="82"/>
  <c r="V193" i="81"/>
  <c r="AA178" i="82"/>
  <c r="K192" i="90" s="1"/>
  <c r="AA192" i="90" s="1"/>
  <c r="K199" i="93" s="1"/>
  <c r="AA199" i="93" s="1"/>
  <c r="K206" i="107" s="1"/>
  <c r="AA206" i="107" s="1"/>
  <c r="K209" i="108" s="1"/>
  <c r="E178" i="82"/>
  <c r="E179" i="82" s="1"/>
  <c r="AA185" i="82"/>
  <c r="K199" i="90" s="1"/>
  <c r="AA199" i="90" s="1"/>
  <c r="K206" i="93" s="1"/>
  <c r="AA206" i="93" s="1"/>
  <c r="K213" i="107" s="1"/>
  <c r="AA213" i="107" s="1"/>
  <c r="K216" i="108" s="1"/>
  <c r="E185" i="82"/>
  <c r="E186" i="82" s="1"/>
  <c r="Z56" i="82"/>
  <c r="J61" i="90" s="1"/>
  <c r="Z61" i="90" s="1"/>
  <c r="J61" i="93" s="1"/>
  <c r="Z61" i="93" s="1"/>
  <c r="J62" i="107" s="1"/>
  <c r="Z62" i="107" s="1"/>
  <c r="J63" i="108" s="1"/>
  <c r="E56" i="82"/>
  <c r="AA52" i="81"/>
  <c r="K52" i="82" s="1"/>
  <c r="K51" i="82"/>
  <c r="AA136" i="81"/>
  <c r="K134" i="82" s="1"/>
  <c r="K132" i="82"/>
  <c r="AB103" i="82"/>
  <c r="L108" i="90" s="1"/>
  <c r="AB108" i="90" s="1"/>
  <c r="L108" i="93" s="1"/>
  <c r="AB108" i="93" s="1"/>
  <c r="L109" i="107" s="1"/>
  <c r="AB109" i="107" s="1"/>
  <c r="L110" i="108" s="1"/>
  <c r="E103" i="82"/>
  <c r="AB50" i="82"/>
  <c r="L55" i="90" s="1"/>
  <c r="AB55" i="90" s="1"/>
  <c r="L55" i="93" s="1"/>
  <c r="AB55" i="93" s="1"/>
  <c r="L56" i="107" s="1"/>
  <c r="AB56" i="107" s="1"/>
  <c r="L57" i="108" s="1"/>
  <c r="E50" i="82"/>
  <c r="Z52" i="81"/>
  <c r="J52" i="82" s="1"/>
  <c r="J51" i="82"/>
  <c r="X136" i="81"/>
  <c r="H134" i="82" s="1"/>
  <c r="H112" i="82"/>
  <c r="Z60" i="82"/>
  <c r="J65" i="90" s="1"/>
  <c r="Z65" i="90" s="1"/>
  <c r="J65" i="93" s="1"/>
  <c r="Z65" i="93" s="1"/>
  <c r="J66" i="107" s="1"/>
  <c r="Z66" i="107" s="1"/>
  <c r="J67" i="108" s="1"/>
  <c r="E60" i="82"/>
  <c r="J169" i="82"/>
  <c r="Z165" i="82"/>
  <c r="J176" i="90" s="1"/>
  <c r="Z176" i="90" s="1"/>
  <c r="J178" i="93" s="1"/>
  <c r="Z178" i="93" s="1"/>
  <c r="J185" i="107" s="1"/>
  <c r="Z185" i="107" s="1"/>
  <c r="J188" i="108" s="1"/>
  <c r="Z188" i="108" s="1"/>
  <c r="J190" i="112" s="1"/>
  <c r="Z190" i="112" s="1"/>
  <c r="J194" i="113" s="1"/>
  <c r="Z194" i="113" s="1"/>
  <c r="J206" i="117" s="1"/>
  <c r="Z206" i="117" s="1"/>
  <c r="J204" i="121" s="1"/>
  <c r="Z204" i="121" s="1"/>
  <c r="J204" i="122" s="1"/>
  <c r="Z204" i="122" s="1"/>
  <c r="E93" i="82"/>
  <c r="AA193" i="81"/>
  <c r="K204" i="82" s="1"/>
  <c r="K203" i="82"/>
  <c r="E44" i="82"/>
  <c r="V52" i="82"/>
  <c r="F57" i="90" s="1"/>
  <c r="V57" i="90" s="1"/>
  <c r="F57" i="93" s="1"/>
  <c r="V57" i="93" s="1"/>
  <c r="F58" i="107" s="1"/>
  <c r="V58" i="107" s="1"/>
  <c r="F59" i="108" s="1"/>
  <c r="V59" i="108" s="1"/>
  <c r="F59" i="112" s="1"/>
  <c r="V59" i="112" s="1"/>
  <c r="F59" i="113" s="1"/>
  <c r="V59" i="113" s="1"/>
  <c r="F69" i="117" s="1"/>
  <c r="V69" i="117" s="1"/>
  <c r="F70" i="121" s="1"/>
  <c r="V70" i="121" s="1"/>
  <c r="F70" i="122" s="1"/>
  <c r="V70" i="122" s="1"/>
  <c r="AB52" i="81"/>
  <c r="U72" i="81"/>
  <c r="U73" i="81" s="1"/>
  <c r="K269" i="121" l="1"/>
  <c r="K269" i="122"/>
  <c r="AA269" i="122" s="1"/>
  <c r="AB104" i="122"/>
  <c r="E270" i="122"/>
  <c r="AB270" i="122"/>
  <c r="F19" i="122"/>
  <c r="V19" i="122" s="1"/>
  <c r="U270" i="122"/>
  <c r="E269" i="122"/>
  <c r="X269" i="122"/>
  <c r="U269" i="122" s="1"/>
  <c r="AB199" i="122"/>
  <c r="AA247" i="121"/>
  <c r="K247" i="122" s="1"/>
  <c r="AA247" i="122" s="1"/>
  <c r="AB258" i="121"/>
  <c r="L258" i="122" s="1"/>
  <c r="AB266" i="121"/>
  <c r="L266" i="122" s="1"/>
  <c r="E266" i="121"/>
  <c r="U266" i="121" s="1"/>
  <c r="V14" i="121"/>
  <c r="E14" i="121"/>
  <c r="AA269" i="121"/>
  <c r="U269" i="121" s="1"/>
  <c r="E269" i="121"/>
  <c r="AA203" i="121"/>
  <c r="K203" i="122" s="1"/>
  <c r="AA203" i="122" s="1"/>
  <c r="AA244" i="121"/>
  <c r="K244" i="122" s="1"/>
  <c r="AA244" i="122" s="1"/>
  <c r="AA105" i="121"/>
  <c r="K105" i="122" s="1"/>
  <c r="AA105" i="122" s="1"/>
  <c r="W106" i="121"/>
  <c r="G106" i="122" s="1"/>
  <c r="W106" i="122" s="1"/>
  <c r="AB139" i="121"/>
  <c r="L139" i="122" s="1"/>
  <c r="AB135" i="121"/>
  <c r="L135" i="122" s="1"/>
  <c r="AB72" i="121"/>
  <c r="L72" i="122" s="1"/>
  <c r="E265" i="121"/>
  <c r="U265" i="121" s="1"/>
  <c r="AB265" i="121"/>
  <c r="L265" i="122" s="1"/>
  <c r="E151" i="112"/>
  <c r="U151" i="112" s="1"/>
  <c r="U16" i="90"/>
  <c r="E266" i="117"/>
  <c r="F141" i="90"/>
  <c r="V141" i="90" s="1"/>
  <c r="F141" i="93" s="1"/>
  <c r="V141" i="93" s="1"/>
  <c r="F144" i="107" s="1"/>
  <c r="V144" i="107" s="1"/>
  <c r="F146" i="108" s="1"/>
  <c r="V146" i="108" s="1"/>
  <c r="F148" i="112" s="1"/>
  <c r="V148" i="112" s="1"/>
  <c r="F152" i="113" s="1"/>
  <c r="V152" i="113" s="1"/>
  <c r="F163" i="117" s="1"/>
  <c r="V163" i="117" s="1"/>
  <c r="F161" i="121" s="1"/>
  <c r="V161" i="121" s="1"/>
  <c r="F161" i="122" s="1"/>
  <c r="V161" i="122" s="1"/>
  <c r="AA52" i="82"/>
  <c r="K57" i="90" s="1"/>
  <c r="AA57" i="90" s="1"/>
  <c r="K57" i="93" s="1"/>
  <c r="AA57" i="93" s="1"/>
  <c r="K58" i="107" s="1"/>
  <c r="AA58" i="107" s="1"/>
  <c r="K59" i="108" s="1"/>
  <c r="AA59" i="108" s="1"/>
  <c r="K59" i="112" s="1"/>
  <c r="AA59" i="112" s="1"/>
  <c r="K59" i="113" s="1"/>
  <c r="AA59" i="113" s="1"/>
  <c r="K69" i="117" s="1"/>
  <c r="AA69" i="117" s="1"/>
  <c r="K70" i="121" s="1"/>
  <c r="AA70" i="121" s="1"/>
  <c r="K70" i="122" s="1"/>
  <c r="AA70" i="122" s="1"/>
  <c r="AB266" i="117"/>
  <c r="U266" i="117" s="1"/>
  <c r="U14" i="117"/>
  <c r="K265" i="117"/>
  <c r="AA265" i="117" s="1"/>
  <c r="U265" i="117" s="1"/>
  <c r="AA104" i="117"/>
  <c r="K102" i="121" s="1"/>
  <c r="AB255" i="117"/>
  <c r="L259" i="121" s="1"/>
  <c r="AB246" i="117"/>
  <c r="L250" i="121" s="1"/>
  <c r="AA81" i="117"/>
  <c r="E81" i="117"/>
  <c r="U81" i="117" s="1"/>
  <c r="AB144" i="117"/>
  <c r="L142" i="121" s="1"/>
  <c r="AB96" i="117"/>
  <c r="L94" i="121" s="1"/>
  <c r="E96" i="117"/>
  <c r="U96" i="117" s="1"/>
  <c r="E94" i="117"/>
  <c r="U94" i="117" s="1"/>
  <c r="AB94" i="117"/>
  <c r="L92" i="121" s="1"/>
  <c r="AA98" i="112"/>
  <c r="K98" i="113" s="1"/>
  <c r="E98" i="112"/>
  <c r="U98" i="112" s="1"/>
  <c r="X225" i="117"/>
  <c r="H229" i="121" s="1"/>
  <c r="X229" i="121" s="1"/>
  <c r="H229" i="122" s="1"/>
  <c r="AB148" i="117"/>
  <c r="L146" i="121" s="1"/>
  <c r="AA34" i="117"/>
  <c r="K35" i="121" s="1"/>
  <c r="AA35" i="121" s="1"/>
  <c r="K35" i="122" s="1"/>
  <c r="AB77" i="117"/>
  <c r="L78" i="121" s="1"/>
  <c r="AB116" i="117"/>
  <c r="L114" i="121" s="1"/>
  <c r="E116" i="117"/>
  <c r="U116" i="117" s="1"/>
  <c r="AA84" i="117"/>
  <c r="K83" i="121" s="1"/>
  <c r="E84" i="117"/>
  <c r="U84" i="117" s="1"/>
  <c r="AB75" i="117"/>
  <c r="L76" i="121" s="1"/>
  <c r="E75" i="117"/>
  <c r="U75" i="117" s="1"/>
  <c r="AA101" i="117"/>
  <c r="K99" i="121" s="1"/>
  <c r="E101" i="117"/>
  <c r="U101" i="117" s="1"/>
  <c r="AA103" i="117"/>
  <c r="K101" i="121" s="1"/>
  <c r="AB112" i="117"/>
  <c r="L110" i="121" s="1"/>
  <c r="E112" i="117"/>
  <c r="U112" i="117" s="1"/>
  <c r="AA86" i="117"/>
  <c r="K84" i="121" s="1"/>
  <c r="AA102" i="117"/>
  <c r="K100" i="121" s="1"/>
  <c r="AB136" i="117"/>
  <c r="L134" i="121" s="1"/>
  <c r="AB39" i="117"/>
  <c r="L40" i="121" s="1"/>
  <c r="AB125" i="117"/>
  <c r="L123" i="121" s="1"/>
  <c r="E125" i="117"/>
  <c r="U125" i="117" s="1"/>
  <c r="AB247" i="117"/>
  <c r="L251" i="121" s="1"/>
  <c r="AA199" i="117"/>
  <c r="K197" i="121" s="1"/>
  <c r="E199" i="117"/>
  <c r="U199" i="117" s="1"/>
  <c r="X151" i="112"/>
  <c r="H155" i="113" s="1"/>
  <c r="H153" i="113"/>
  <c r="X153" i="113" s="1"/>
  <c r="W30" i="117"/>
  <c r="G30" i="121" s="1"/>
  <c r="W30" i="121" s="1"/>
  <c r="G30" i="122" s="1"/>
  <c r="AB178" i="117"/>
  <c r="L176" i="121" s="1"/>
  <c r="E178" i="117"/>
  <c r="U178" i="117" s="1"/>
  <c r="AA258" i="117"/>
  <c r="K262" i="121" s="1"/>
  <c r="E258" i="117"/>
  <c r="U258" i="117" s="1"/>
  <c r="U11" i="107"/>
  <c r="H11" i="108"/>
  <c r="Z34" i="117"/>
  <c r="J35" i="121" s="1"/>
  <c r="Z35" i="121" s="1"/>
  <c r="J35" i="122" s="1"/>
  <c r="AB150" i="117"/>
  <c r="L148" i="121" s="1"/>
  <c r="AB172" i="117"/>
  <c r="L170" i="121" s="1"/>
  <c r="E172" i="117"/>
  <c r="U172" i="117" s="1"/>
  <c r="AB142" i="117"/>
  <c r="L140" i="121" s="1"/>
  <c r="AA100" i="117"/>
  <c r="K98" i="121" s="1"/>
  <c r="AB170" i="117"/>
  <c r="L168" i="121" s="1"/>
  <c r="AB180" i="117"/>
  <c r="L178" i="121" s="1"/>
  <c r="AB232" i="117"/>
  <c r="L236" i="121" s="1"/>
  <c r="AB171" i="117"/>
  <c r="L169" i="121" s="1"/>
  <c r="E171" i="117"/>
  <c r="U171" i="117" s="1"/>
  <c r="AB111" i="117"/>
  <c r="L109" i="121" s="1"/>
  <c r="AB92" i="117"/>
  <c r="L90" i="121" s="1"/>
  <c r="E92" i="117"/>
  <c r="U92" i="117" s="1"/>
  <c r="AA85" i="117"/>
  <c r="E85" i="117"/>
  <c r="U85" i="117" s="1"/>
  <c r="AB187" i="117"/>
  <c r="L185" i="121" s="1"/>
  <c r="L17" i="112"/>
  <c r="L12" i="112"/>
  <c r="AA99" i="108"/>
  <c r="K99" i="112" s="1"/>
  <c r="E99" i="108"/>
  <c r="U99" i="108" s="1"/>
  <c r="U22" i="107"/>
  <c r="G22" i="108"/>
  <c r="AF31" i="107"/>
  <c r="H31" i="108"/>
  <c r="X31" i="108" s="1"/>
  <c r="AA78" i="117"/>
  <c r="K79" i="121" s="1"/>
  <c r="E78" i="117"/>
  <c r="U78" i="117" s="1"/>
  <c r="AB73" i="117"/>
  <c r="L74" i="121" s="1"/>
  <c r="AB121" i="117"/>
  <c r="L119" i="121" s="1"/>
  <c r="E121" i="117"/>
  <c r="U121" i="117" s="1"/>
  <c r="AB115" i="117"/>
  <c r="L113" i="121" s="1"/>
  <c r="E115" i="117"/>
  <c r="U115" i="117" s="1"/>
  <c r="AB72" i="117"/>
  <c r="L73" i="121" s="1"/>
  <c r="E72" i="117"/>
  <c r="U72" i="117" s="1"/>
  <c r="AB184" i="117"/>
  <c r="L182" i="121" s="1"/>
  <c r="E113" i="117"/>
  <c r="U113" i="117" s="1"/>
  <c r="AB113" i="117"/>
  <c r="L111" i="121" s="1"/>
  <c r="AB62" i="117"/>
  <c r="L63" i="121" s="1"/>
  <c r="AB139" i="117"/>
  <c r="L137" i="121" s="1"/>
  <c r="AA105" i="117"/>
  <c r="K103" i="121" s="1"/>
  <c r="E105" i="117"/>
  <c r="U105" i="117" s="1"/>
  <c r="AB152" i="117"/>
  <c r="L150" i="121" s="1"/>
  <c r="AB143" i="117"/>
  <c r="L141" i="121" s="1"/>
  <c r="AB76" i="117"/>
  <c r="L77" i="121" s="1"/>
  <c r="E76" i="117"/>
  <c r="U76" i="117" s="1"/>
  <c r="AA83" i="117"/>
  <c r="H12" i="117"/>
  <c r="AB151" i="112"/>
  <c r="L155" i="113" s="1"/>
  <c r="L153" i="113"/>
  <c r="AB153" i="113" s="1"/>
  <c r="AB112" i="113"/>
  <c r="L122" i="117" s="1"/>
  <c r="AA183" i="113"/>
  <c r="K195" i="117" s="1"/>
  <c r="AB34" i="113"/>
  <c r="L40" i="117" s="1"/>
  <c r="W202" i="113"/>
  <c r="G216" i="117" s="1"/>
  <c r="E202" i="113"/>
  <c r="U202" i="113" s="1"/>
  <c r="AA89" i="113"/>
  <c r="K99" i="117" s="1"/>
  <c r="E89" i="113"/>
  <c r="U89" i="113" s="1"/>
  <c r="AB220" i="113"/>
  <c r="L235" i="117" s="1"/>
  <c r="K250" i="113"/>
  <c r="X47" i="113"/>
  <c r="H57" i="117" s="1"/>
  <c r="AB157" i="113"/>
  <c r="L168" i="117" s="1"/>
  <c r="E241" i="113"/>
  <c r="U241" i="113" s="1"/>
  <c r="AB241" i="113"/>
  <c r="L256" i="117" s="1"/>
  <c r="AB85" i="113"/>
  <c r="L95" i="117" s="1"/>
  <c r="AA186" i="113"/>
  <c r="K198" i="117" s="1"/>
  <c r="E186" i="113"/>
  <c r="U186" i="113" s="1"/>
  <c r="AB100" i="113"/>
  <c r="L110" i="117" s="1"/>
  <c r="E100" i="113"/>
  <c r="U100" i="113" s="1"/>
  <c r="W234" i="113"/>
  <c r="G249" i="117" s="1"/>
  <c r="E234" i="113"/>
  <c r="U234" i="113" s="1"/>
  <c r="AB114" i="113"/>
  <c r="L124" i="117" s="1"/>
  <c r="E114" i="113"/>
  <c r="U114" i="113" s="1"/>
  <c r="AA35" i="113"/>
  <c r="K41" i="117" s="1"/>
  <c r="E35" i="113"/>
  <c r="U35" i="113" s="1"/>
  <c r="AB195" i="113"/>
  <c r="L207" i="117" s="1"/>
  <c r="AB226" i="113"/>
  <c r="L241" i="117" s="1"/>
  <c r="E226" i="113"/>
  <c r="U226" i="113" s="1"/>
  <c r="AB55" i="113"/>
  <c r="L65" i="117" s="1"/>
  <c r="E55" i="113"/>
  <c r="U55" i="113" s="1"/>
  <c r="W233" i="113"/>
  <c r="G248" i="117" s="1"/>
  <c r="E233" i="113"/>
  <c r="U233" i="113" s="1"/>
  <c r="AB170" i="113"/>
  <c r="L182" i="117" s="1"/>
  <c r="AB64" i="113"/>
  <c r="L74" i="117" s="1"/>
  <c r="E64" i="113"/>
  <c r="U64" i="113" s="1"/>
  <c r="AB113" i="113"/>
  <c r="L123" i="117" s="1"/>
  <c r="E113" i="113"/>
  <c r="U113" i="113" s="1"/>
  <c r="AA58" i="113"/>
  <c r="K68" i="117" s="1"/>
  <c r="AA68" i="117" s="1"/>
  <c r="K69" i="121" s="1"/>
  <c r="AA69" i="121" s="1"/>
  <c r="K69" i="122" s="1"/>
  <c r="AA69" i="122" s="1"/>
  <c r="W69" i="113"/>
  <c r="G79" i="117" s="1"/>
  <c r="E69" i="113"/>
  <c r="U69" i="113" s="1"/>
  <c r="AB135" i="113"/>
  <c r="L146" i="117" s="1"/>
  <c r="AB173" i="113"/>
  <c r="L185" i="117" s="1"/>
  <c r="X140" i="113"/>
  <c r="H151" i="117" s="1"/>
  <c r="X151" i="117" s="1"/>
  <c r="H149" i="121" s="1"/>
  <c r="E43" i="113"/>
  <c r="U43" i="113" s="1"/>
  <c r="AA43" i="113"/>
  <c r="K49" i="117" s="1"/>
  <c r="AB218" i="113"/>
  <c r="L233" i="117" s="1"/>
  <c r="AA70" i="113"/>
  <c r="K80" i="117" s="1"/>
  <c r="E70" i="113"/>
  <c r="U70" i="113" s="1"/>
  <c r="E171" i="113"/>
  <c r="U171" i="113" s="1"/>
  <c r="AB171" i="113"/>
  <c r="L183" i="117" s="1"/>
  <c r="AB31" i="113"/>
  <c r="L35" i="117" s="1"/>
  <c r="E251" i="113"/>
  <c r="AB251" i="113"/>
  <c r="U251" i="113" s="1"/>
  <c r="AB109" i="113"/>
  <c r="L119" i="117" s="1"/>
  <c r="E109" i="113"/>
  <c r="U109" i="113" s="1"/>
  <c r="V11" i="113"/>
  <c r="F11" i="117" s="1"/>
  <c r="AB36" i="113"/>
  <c r="L42" i="117" s="1"/>
  <c r="E185" i="113"/>
  <c r="U185" i="113" s="1"/>
  <c r="AA185" i="113"/>
  <c r="K197" i="117" s="1"/>
  <c r="AA184" i="113"/>
  <c r="K196" i="117" s="1"/>
  <c r="E104" i="113"/>
  <c r="U104" i="113" s="1"/>
  <c r="AB104" i="113"/>
  <c r="L114" i="117" s="1"/>
  <c r="V44" i="113"/>
  <c r="F52" i="117" s="1"/>
  <c r="E44" i="113"/>
  <c r="U44" i="113" s="1"/>
  <c r="AB129" i="113"/>
  <c r="L140" i="117" s="1"/>
  <c r="AA72" i="113"/>
  <c r="K82" i="117" s="1"/>
  <c r="E72" i="113"/>
  <c r="U72" i="113" s="1"/>
  <c r="AB136" i="113"/>
  <c r="L147" i="117" s="1"/>
  <c r="AB32" i="113"/>
  <c r="L36" i="117" s="1"/>
  <c r="W99" i="113"/>
  <c r="G109" i="117" s="1"/>
  <c r="W109" i="117" s="1"/>
  <c r="G107" i="121" s="1"/>
  <c r="AB127" i="113"/>
  <c r="L138" i="117" s="1"/>
  <c r="AA42" i="113"/>
  <c r="K48" i="117" s="1"/>
  <c r="E42" i="113"/>
  <c r="U42" i="113" s="1"/>
  <c r="AB56" i="113"/>
  <c r="L66" i="117" s="1"/>
  <c r="E241" i="107"/>
  <c r="U241" i="107"/>
  <c r="E156" i="108"/>
  <c r="U156" i="108" s="1"/>
  <c r="AB156" i="108"/>
  <c r="L158" i="112" s="1"/>
  <c r="Z123" i="108"/>
  <c r="J123" i="112" s="1"/>
  <c r="E48" i="112"/>
  <c r="U48" i="112" s="1"/>
  <c r="W48" i="112"/>
  <c r="G48" i="113" s="1"/>
  <c r="AB210" i="112"/>
  <c r="L214" i="113" s="1"/>
  <c r="W117" i="112"/>
  <c r="G117" i="113" s="1"/>
  <c r="E117" i="112"/>
  <c r="U117" i="112" s="1"/>
  <c r="E110" i="108"/>
  <c r="U110" i="108" s="1"/>
  <c r="AB110" i="108"/>
  <c r="L110" i="112" s="1"/>
  <c r="Z162" i="108"/>
  <c r="J164" i="112" s="1"/>
  <c r="E162" i="108"/>
  <c r="U162" i="108" s="1"/>
  <c r="E159" i="108"/>
  <c r="U159" i="108" s="1"/>
  <c r="AB159" i="108"/>
  <c r="L161" i="112" s="1"/>
  <c r="Z166" i="108"/>
  <c r="J168" i="112" s="1"/>
  <c r="E166" i="108"/>
  <c r="U166" i="108" s="1"/>
  <c r="E161" i="108"/>
  <c r="U161" i="108" s="1"/>
  <c r="AB161" i="108"/>
  <c r="L163" i="112" s="1"/>
  <c r="W164" i="108"/>
  <c r="G166" i="112" s="1"/>
  <c r="E164" i="108"/>
  <c r="U164" i="108" s="1"/>
  <c r="W171" i="112"/>
  <c r="G175" i="113" s="1"/>
  <c r="E171" i="112"/>
  <c r="U171" i="112" s="1"/>
  <c r="AB83" i="112"/>
  <c r="L83" i="113" s="1"/>
  <c r="E83" i="112"/>
  <c r="U83" i="112" s="1"/>
  <c r="AA188" i="112"/>
  <c r="K192" i="113" s="1"/>
  <c r="E188" i="112"/>
  <c r="U188" i="112" s="1"/>
  <c r="AB140" i="112"/>
  <c r="L142" i="113" s="1"/>
  <c r="E216" i="108"/>
  <c r="U216" i="108" s="1"/>
  <c r="AA216" i="108"/>
  <c r="K218" i="112" s="1"/>
  <c r="AA151" i="108"/>
  <c r="K153" i="112" s="1"/>
  <c r="E151" i="108"/>
  <c r="U151" i="108" s="1"/>
  <c r="E176" i="108"/>
  <c r="U176" i="108" s="1"/>
  <c r="AA176" i="108"/>
  <c r="K178" i="112" s="1"/>
  <c r="Z90" i="108"/>
  <c r="J90" i="112" s="1"/>
  <c r="E90" i="108"/>
  <c r="U90" i="108" s="1"/>
  <c r="AA31" i="108"/>
  <c r="K31" i="112" s="1"/>
  <c r="E221" i="108"/>
  <c r="U221" i="108" s="1"/>
  <c r="AB221" i="108"/>
  <c r="L223" i="112" s="1"/>
  <c r="W85" i="108"/>
  <c r="G85" i="112" s="1"/>
  <c r="E85" i="108"/>
  <c r="U85" i="108" s="1"/>
  <c r="E234" i="108"/>
  <c r="U234" i="108" s="1"/>
  <c r="G197" i="112"/>
  <c r="E236" i="112"/>
  <c r="U236" i="112" s="1"/>
  <c r="AB208" i="112"/>
  <c r="L212" i="113" s="1"/>
  <c r="AB170" i="112"/>
  <c r="L174" i="113" s="1"/>
  <c r="E170" i="112"/>
  <c r="U170" i="112" s="1"/>
  <c r="W199" i="112"/>
  <c r="G203" i="113" s="1"/>
  <c r="E199" i="112"/>
  <c r="U199" i="112" s="1"/>
  <c r="Z67" i="108"/>
  <c r="J67" i="112" s="1"/>
  <c r="E67" i="108"/>
  <c r="U67" i="108" s="1"/>
  <c r="E209" i="108"/>
  <c r="U209" i="108" s="1"/>
  <c r="AA209" i="108"/>
  <c r="K211" i="112" s="1"/>
  <c r="K240" i="107"/>
  <c r="AA240" i="107" s="1"/>
  <c r="U240" i="107" s="1"/>
  <c r="K245" i="112"/>
  <c r="K243" i="108"/>
  <c r="E81" i="108"/>
  <c r="U81" i="108" s="1"/>
  <c r="AB81" i="108"/>
  <c r="L81" i="112" s="1"/>
  <c r="E118" i="108"/>
  <c r="U118" i="108" s="1"/>
  <c r="AB118" i="108"/>
  <c r="L118" i="112" s="1"/>
  <c r="AB116" i="108"/>
  <c r="L116" i="112" s="1"/>
  <c r="E223" i="108"/>
  <c r="U223" i="108" s="1"/>
  <c r="AB223" i="108"/>
  <c r="L225" i="112" s="1"/>
  <c r="W177" i="108"/>
  <c r="G179" i="112" s="1"/>
  <c r="E177" i="108"/>
  <c r="U177" i="108" s="1"/>
  <c r="Z92" i="108"/>
  <c r="J92" i="112" s="1"/>
  <c r="E92" i="108"/>
  <c r="U92" i="108" s="1"/>
  <c r="AA149" i="112"/>
  <c r="K153" i="113" s="1"/>
  <c r="E149" i="112"/>
  <c r="U149" i="112" s="1"/>
  <c r="E51" i="112"/>
  <c r="U51" i="112" s="1"/>
  <c r="AB51" i="112"/>
  <c r="L51" i="113" s="1"/>
  <c r="AB41" i="112"/>
  <c r="L41" i="113" s="1"/>
  <c r="E41" i="112"/>
  <c r="U41" i="112" s="1"/>
  <c r="Z73" i="108"/>
  <c r="J73" i="112" s="1"/>
  <c r="E73" i="108"/>
  <c r="U73" i="108" s="1"/>
  <c r="Z167" i="108"/>
  <c r="J169" i="112" s="1"/>
  <c r="E167" i="108"/>
  <c r="U167" i="108" s="1"/>
  <c r="AB77" i="108"/>
  <c r="L77" i="112" s="1"/>
  <c r="V189" i="108"/>
  <c r="F191" i="112" s="1"/>
  <c r="E189" i="108"/>
  <c r="U189" i="108" s="1"/>
  <c r="E185" i="108"/>
  <c r="U185" i="108" s="1"/>
  <c r="AB185" i="108"/>
  <c r="L187" i="112" s="1"/>
  <c r="W211" i="108"/>
  <c r="G213" i="112" s="1"/>
  <c r="E211" i="108"/>
  <c r="U211" i="108" s="1"/>
  <c r="AB60" i="112"/>
  <c r="L60" i="113" s="1"/>
  <c r="E60" i="112"/>
  <c r="U60" i="112" s="1"/>
  <c r="E41" i="108"/>
  <c r="U41" i="108" s="1"/>
  <c r="AA96" i="112"/>
  <c r="K96" i="113" s="1"/>
  <c r="E53" i="108"/>
  <c r="U53" i="108" s="1"/>
  <c r="AB53" i="108"/>
  <c r="L53" i="112" s="1"/>
  <c r="AB188" i="108"/>
  <c r="L190" i="112" s="1"/>
  <c r="E87" i="108"/>
  <c r="U87" i="108" s="1"/>
  <c r="AB87" i="108"/>
  <c r="L87" i="112" s="1"/>
  <c r="E191" i="108"/>
  <c r="U191" i="108" s="1"/>
  <c r="W191" i="108"/>
  <c r="G193" i="112" s="1"/>
  <c r="E26" i="108"/>
  <c r="V26" i="108"/>
  <c r="U20" i="107"/>
  <c r="L20" i="108"/>
  <c r="E192" i="112"/>
  <c r="U192" i="112" s="1"/>
  <c r="W192" i="112"/>
  <c r="G196" i="113" s="1"/>
  <c r="W107" i="112"/>
  <c r="G107" i="113" s="1"/>
  <c r="E107" i="112"/>
  <c r="U107" i="112" s="1"/>
  <c r="Z61" i="108"/>
  <c r="J61" i="112" s="1"/>
  <c r="E61" i="108"/>
  <c r="U61" i="108" s="1"/>
  <c r="AA235" i="108"/>
  <c r="K237" i="112" s="1"/>
  <c r="E152" i="108"/>
  <c r="U152" i="108" s="1"/>
  <c r="AB152" i="108"/>
  <c r="L154" i="112" s="1"/>
  <c r="Z52" i="108"/>
  <c r="J52" i="112" s="1"/>
  <c r="E52" i="108"/>
  <c r="U52" i="108" s="1"/>
  <c r="Z56" i="108"/>
  <c r="J56" i="112" s="1"/>
  <c r="E56" i="108"/>
  <c r="U56" i="108" s="1"/>
  <c r="AB213" i="108"/>
  <c r="L215" i="112" s="1"/>
  <c r="E40" i="108"/>
  <c r="U40" i="108" s="1"/>
  <c r="W40" i="108"/>
  <c r="G40" i="112" s="1"/>
  <c r="AB136" i="112"/>
  <c r="L138" i="113" s="1"/>
  <c r="AB244" i="108"/>
  <c r="U244" i="108" s="1"/>
  <c r="E244" i="108"/>
  <c r="AB224" i="112"/>
  <c r="L228" i="113" s="1"/>
  <c r="E224" i="112"/>
  <c r="U224" i="112" s="1"/>
  <c r="V16" i="112"/>
  <c r="F16" i="113" s="1"/>
  <c r="E57" i="108"/>
  <c r="U57" i="108" s="1"/>
  <c r="AB57" i="108"/>
  <c r="L57" i="112" s="1"/>
  <c r="Z63" i="108"/>
  <c r="J63" i="112" s="1"/>
  <c r="E63" i="108"/>
  <c r="U63" i="108" s="1"/>
  <c r="E218" i="108"/>
  <c r="U218" i="108" s="1"/>
  <c r="AB218" i="108"/>
  <c r="L220" i="112" s="1"/>
  <c r="Z226" i="108"/>
  <c r="J228" i="112" s="1"/>
  <c r="E163" i="108"/>
  <c r="U163" i="108" s="1"/>
  <c r="AB163" i="108"/>
  <c r="L165" i="112" s="1"/>
  <c r="W47" i="108"/>
  <c r="G47" i="112" s="1"/>
  <c r="E47" i="108"/>
  <c r="U47" i="108" s="1"/>
  <c r="V45" i="108"/>
  <c r="F45" i="112" s="1"/>
  <c r="U13" i="107"/>
  <c r="F13" i="108"/>
  <c r="AB246" i="112"/>
  <c r="U246" i="112" s="1"/>
  <c r="E246" i="112"/>
  <c r="AB108" i="112"/>
  <c r="L108" i="113" s="1"/>
  <c r="E108" i="112"/>
  <c r="U108" i="112" s="1"/>
  <c r="F18" i="112"/>
  <c r="AB78" i="112"/>
  <c r="L78" i="113" s="1"/>
  <c r="E78" i="112"/>
  <c r="U78" i="112" s="1"/>
  <c r="U26" i="107"/>
  <c r="AB30" i="107"/>
  <c r="L30" i="108" s="1"/>
  <c r="U23" i="93"/>
  <c r="E23" i="107" s="1"/>
  <c r="G23" i="107"/>
  <c r="W23" i="107" s="1"/>
  <c r="U19" i="93"/>
  <c r="E19" i="107" s="1"/>
  <c r="F19" i="107"/>
  <c r="V19" i="107" s="1"/>
  <c r="U25" i="93"/>
  <c r="E25" i="107" s="1"/>
  <c r="F25" i="107"/>
  <c r="V25" i="107" s="1"/>
  <c r="U28" i="93"/>
  <c r="E29" i="107" s="1"/>
  <c r="G29" i="107"/>
  <c r="W29" i="107" s="1"/>
  <c r="U24" i="93"/>
  <c r="E24" i="107" s="1"/>
  <c r="G24" i="107"/>
  <c r="W24" i="107" s="1"/>
  <c r="W112" i="82"/>
  <c r="G114" i="90" s="1"/>
  <c r="W114" i="90" s="1"/>
  <c r="G114" i="93" s="1"/>
  <c r="W114" i="93" s="1"/>
  <c r="G115" i="107" s="1"/>
  <c r="W115" i="107" s="1"/>
  <c r="G116" i="108" s="1"/>
  <c r="W116" i="108" s="1"/>
  <c r="G116" i="112" s="1"/>
  <c r="W116" i="112" s="1"/>
  <c r="G116" i="113" s="1"/>
  <c r="W116" i="113" s="1"/>
  <c r="G126" i="117" s="1"/>
  <c r="W126" i="117" s="1"/>
  <c r="G124" i="121" s="1"/>
  <c r="W124" i="121" s="1"/>
  <c r="G124" i="122" s="1"/>
  <c r="W124" i="122" s="1"/>
  <c r="U193" i="81"/>
  <c r="E194" i="93"/>
  <c r="U194" i="93" s="1"/>
  <c r="E201" i="107" s="1"/>
  <c r="U201" i="107" s="1"/>
  <c r="W194" i="93"/>
  <c r="U136" i="81"/>
  <c r="E196" i="81"/>
  <c r="E201" i="81" s="1"/>
  <c r="U162" i="81"/>
  <c r="E198" i="82"/>
  <c r="E204" i="82" s="1"/>
  <c r="U52" i="81"/>
  <c r="X43" i="82"/>
  <c r="H48" i="90" s="1"/>
  <c r="X48" i="90" s="1"/>
  <c r="U17" i="90"/>
  <c r="G17" i="93"/>
  <c r="E26" i="93"/>
  <c r="W16" i="93"/>
  <c r="E16" i="93"/>
  <c r="U26" i="90"/>
  <c r="U26" i="93"/>
  <c r="E26" i="107" s="1"/>
  <c r="E97" i="93"/>
  <c r="U97" i="93" s="1"/>
  <c r="E98" i="107" s="1"/>
  <c r="U98" i="107" s="1"/>
  <c r="W12" i="93"/>
  <c r="E12" i="93"/>
  <c r="U90" i="81"/>
  <c r="E40" i="93"/>
  <c r="U40" i="93" s="1"/>
  <c r="E41" i="107" s="1"/>
  <c r="U41" i="107" s="1"/>
  <c r="E224" i="90"/>
  <c r="E65" i="93"/>
  <c r="U65" i="93" s="1"/>
  <c r="E66" i="107" s="1"/>
  <c r="U66" i="107" s="1"/>
  <c r="E51" i="93"/>
  <c r="U51" i="93" s="1"/>
  <c r="E52" i="107" s="1"/>
  <c r="U52" i="107" s="1"/>
  <c r="E85" i="93"/>
  <c r="U85" i="93" s="1"/>
  <c r="E86" i="107" s="1"/>
  <c r="U86" i="107" s="1"/>
  <c r="X15" i="93"/>
  <c r="E15" i="93"/>
  <c r="E168" i="93"/>
  <c r="U168" i="93" s="1"/>
  <c r="E174" i="107" s="1"/>
  <c r="U174" i="107" s="1"/>
  <c r="V21" i="93"/>
  <c r="E21" i="93"/>
  <c r="E108" i="93"/>
  <c r="U108" i="93" s="1"/>
  <c r="E109" i="107" s="1"/>
  <c r="U109" i="107" s="1"/>
  <c r="E206" i="93"/>
  <c r="H48" i="93"/>
  <c r="X48" i="93" s="1"/>
  <c r="H49" i="107" s="1"/>
  <c r="X49" i="107" s="1"/>
  <c r="H50" i="108" s="1"/>
  <c r="E145" i="93"/>
  <c r="U145" i="93" s="1"/>
  <c r="E150" i="107" s="1"/>
  <c r="U150" i="107" s="1"/>
  <c r="E50" i="93"/>
  <c r="U50" i="93" s="1"/>
  <c r="E51" i="107" s="1"/>
  <c r="U51" i="107" s="1"/>
  <c r="E54" i="93"/>
  <c r="U54" i="93" s="1"/>
  <c r="E55" i="107" s="1"/>
  <c r="U55" i="107" s="1"/>
  <c r="U190" i="90"/>
  <c r="G197" i="93"/>
  <c r="W197" i="93" s="1"/>
  <c r="G204" i="107" s="1"/>
  <c r="W204" i="107" s="1"/>
  <c r="G207" i="108" s="1"/>
  <c r="E46" i="93"/>
  <c r="U46" i="93" s="1"/>
  <c r="E47" i="107" s="1"/>
  <c r="U47" i="107" s="1"/>
  <c r="E90" i="93"/>
  <c r="U90" i="93" s="1"/>
  <c r="E91" i="107" s="1"/>
  <c r="U91" i="107" s="1"/>
  <c r="E208" i="93"/>
  <c r="E39" i="93"/>
  <c r="U39" i="93" s="1"/>
  <c r="E40" i="107" s="1"/>
  <c r="U40" i="107" s="1"/>
  <c r="E83" i="93"/>
  <c r="U83" i="93" s="1"/>
  <c r="E84" i="107" s="1"/>
  <c r="U84" i="107" s="1"/>
  <c r="E199" i="93"/>
  <c r="E149" i="93"/>
  <c r="U149" i="93" s="1"/>
  <c r="E154" i="107" s="1"/>
  <c r="U154" i="107" s="1"/>
  <c r="E121" i="93"/>
  <c r="U121" i="93" s="1"/>
  <c r="E122" i="107" s="1"/>
  <c r="E181" i="93"/>
  <c r="U181" i="93" s="1"/>
  <c r="E188" i="107" s="1"/>
  <c r="U188" i="107" s="1"/>
  <c r="AB234" i="93"/>
  <c r="U234" i="93" s="1"/>
  <c r="E234" i="93"/>
  <c r="U45" i="90"/>
  <c r="H45" i="93"/>
  <c r="X45" i="93" s="1"/>
  <c r="H46" i="107" s="1"/>
  <c r="X46" i="107" s="1"/>
  <c r="H46" i="108" s="1"/>
  <c r="E154" i="93"/>
  <c r="U154" i="93" s="1"/>
  <c r="E160" i="107" s="1"/>
  <c r="U160" i="107" s="1"/>
  <c r="E151" i="93"/>
  <c r="U151" i="93" s="1"/>
  <c r="E157" i="107" s="1"/>
  <c r="U157" i="107" s="1"/>
  <c r="E158" i="93"/>
  <c r="U158" i="93" s="1"/>
  <c r="E164" i="107" s="1"/>
  <c r="U164" i="107" s="1"/>
  <c r="E153" i="93"/>
  <c r="U153" i="93" s="1"/>
  <c r="E159" i="107" s="1"/>
  <c r="U159" i="107" s="1"/>
  <c r="E201" i="93"/>
  <c r="U201" i="93" s="1"/>
  <c r="E208" i="107" s="1"/>
  <c r="U208" i="107" s="1"/>
  <c r="E144" i="93"/>
  <c r="U144" i="93" s="1"/>
  <c r="E149" i="107" s="1"/>
  <c r="U149" i="107" s="1"/>
  <c r="E122" i="93"/>
  <c r="U122" i="93" s="1"/>
  <c r="E123" i="107" s="1"/>
  <c r="E167" i="93"/>
  <c r="U167" i="93" s="1"/>
  <c r="E173" i="107" s="1"/>
  <c r="U173" i="107" s="1"/>
  <c r="E88" i="93"/>
  <c r="U88" i="93" s="1"/>
  <c r="E89" i="107" s="1"/>
  <c r="U89" i="107" s="1"/>
  <c r="E55" i="93"/>
  <c r="U55" i="93" s="1"/>
  <c r="E56" i="107" s="1"/>
  <c r="U56" i="107" s="1"/>
  <c r="E59" i="93"/>
  <c r="U59" i="93" s="1"/>
  <c r="E60" i="107" s="1"/>
  <c r="U60" i="107" s="1"/>
  <c r="K223" i="90"/>
  <c r="AA223" i="90" s="1"/>
  <c r="K233" i="93"/>
  <c r="E79" i="93"/>
  <c r="U79" i="93" s="1"/>
  <c r="E80" i="107" s="1"/>
  <c r="U80" i="107" s="1"/>
  <c r="E116" i="93"/>
  <c r="U116" i="93" s="1"/>
  <c r="E117" i="107" s="1"/>
  <c r="U117" i="107" s="1"/>
  <c r="E213" i="93"/>
  <c r="U213" i="93" s="1"/>
  <c r="E220" i="107" s="1"/>
  <c r="U220" i="107" s="1"/>
  <c r="E211" i="93"/>
  <c r="E61" i="93"/>
  <c r="U61" i="93" s="1"/>
  <c r="E62" i="107" s="1"/>
  <c r="U62" i="107" s="1"/>
  <c r="E71" i="93"/>
  <c r="U71" i="93" s="1"/>
  <c r="E72" i="107" s="1"/>
  <c r="U72" i="107" s="1"/>
  <c r="E159" i="93"/>
  <c r="U159" i="93" s="1"/>
  <c r="E165" i="107" s="1"/>
  <c r="U165" i="107" s="1"/>
  <c r="E179" i="93"/>
  <c r="U179" i="93" s="1"/>
  <c r="E186" i="107" s="1"/>
  <c r="U186" i="107" s="1"/>
  <c r="E175" i="93"/>
  <c r="E156" i="93"/>
  <c r="U156" i="93" s="1"/>
  <c r="E162" i="107" s="1"/>
  <c r="U162" i="107" s="1"/>
  <c r="Z47" i="82"/>
  <c r="J52" i="90" s="1"/>
  <c r="Z52" i="90" s="1"/>
  <c r="J52" i="93" s="1"/>
  <c r="Z52" i="93" s="1"/>
  <c r="J53" i="107" s="1"/>
  <c r="Z53" i="107" s="1"/>
  <c r="J54" i="108" s="1"/>
  <c r="Z54" i="108" s="1"/>
  <c r="J54" i="112" s="1"/>
  <c r="Z54" i="112" s="1"/>
  <c r="J54" i="113" s="1"/>
  <c r="Z54" i="113" s="1"/>
  <c r="J64" i="117" s="1"/>
  <c r="Z64" i="117" s="1"/>
  <c r="J65" i="121" s="1"/>
  <c r="Z65" i="121" s="1"/>
  <c r="J65" i="122" s="1"/>
  <c r="Z65" i="122" s="1"/>
  <c r="E112" i="82"/>
  <c r="U224" i="90"/>
  <c r="X110" i="90"/>
  <c r="H120" i="90"/>
  <c r="V196" i="81"/>
  <c r="V201" i="81" s="1"/>
  <c r="W189" i="90"/>
  <c r="W213" i="90"/>
  <c r="E213" i="90"/>
  <c r="E214" i="90" s="1"/>
  <c r="E141" i="82"/>
  <c r="W197" i="90"/>
  <c r="E197" i="90"/>
  <c r="L141" i="90"/>
  <c r="AB141" i="90" s="1"/>
  <c r="L141" i="93" s="1"/>
  <c r="AB141" i="93" s="1"/>
  <c r="L144" i="107" s="1"/>
  <c r="AB144" i="107" s="1"/>
  <c r="L146" i="108" s="1"/>
  <c r="L140" i="90"/>
  <c r="W99" i="90"/>
  <c r="E99" i="90"/>
  <c r="W195" i="90"/>
  <c r="E195" i="90"/>
  <c r="E38" i="90"/>
  <c r="W38" i="90"/>
  <c r="W162" i="90"/>
  <c r="E162" i="90"/>
  <c r="W146" i="90"/>
  <c r="E146" i="90"/>
  <c r="W167" i="90"/>
  <c r="E167" i="90"/>
  <c r="W207" i="90"/>
  <c r="E207" i="90"/>
  <c r="E45" i="90"/>
  <c r="E15" i="90"/>
  <c r="U15" i="90"/>
  <c r="E110" i="90"/>
  <c r="E201" i="90"/>
  <c r="E202" i="90" s="1"/>
  <c r="U201" i="90"/>
  <c r="U202" i="90" s="1"/>
  <c r="AB192" i="82"/>
  <c r="L206" i="90" s="1"/>
  <c r="AB206" i="90" s="1"/>
  <c r="L214" i="93" s="1"/>
  <c r="AB214" i="93" s="1"/>
  <c r="L221" i="107" s="1"/>
  <c r="AB221" i="107" s="1"/>
  <c r="L224" i="108" s="1"/>
  <c r="E205" i="90"/>
  <c r="E206" i="90" s="1"/>
  <c r="U205" i="90"/>
  <c r="U206" i="90" s="1"/>
  <c r="V90" i="82"/>
  <c r="F95" i="90" s="1"/>
  <c r="V95" i="90" s="1"/>
  <c r="F95" i="93" s="1"/>
  <c r="V95" i="93" s="1"/>
  <c r="F96" i="107" s="1"/>
  <c r="V96" i="107" s="1"/>
  <c r="F97" i="108" s="1"/>
  <c r="V97" i="108" s="1"/>
  <c r="F97" i="112" s="1"/>
  <c r="V97" i="112" s="1"/>
  <c r="F97" i="113" s="1"/>
  <c r="V97" i="113" s="1"/>
  <c r="F107" i="117" s="1"/>
  <c r="V107" i="117" s="1"/>
  <c r="F105" i="121" s="1"/>
  <c r="V105" i="121" s="1"/>
  <c r="F105" i="122" s="1"/>
  <c r="V105" i="122" s="1"/>
  <c r="U61" i="90"/>
  <c r="E61" i="90"/>
  <c r="E144" i="90"/>
  <c r="U159" i="90"/>
  <c r="E159" i="90"/>
  <c r="E121" i="90"/>
  <c r="U65" i="90"/>
  <c r="E65" i="90"/>
  <c r="U59" i="90"/>
  <c r="E59" i="90"/>
  <c r="U223" i="90"/>
  <c r="E122" i="90"/>
  <c r="U51" i="90"/>
  <c r="E51" i="90"/>
  <c r="E154" i="90"/>
  <c r="U85" i="90"/>
  <c r="E85" i="90"/>
  <c r="E151" i="90"/>
  <c r="E177" i="90"/>
  <c r="U155" i="90"/>
  <c r="E155" i="90"/>
  <c r="V204" i="82"/>
  <c r="F218" i="90" s="1"/>
  <c r="V218" i="90" s="1"/>
  <c r="F228" i="93" s="1"/>
  <c r="V228" i="93" s="1"/>
  <c r="F235" i="107" s="1"/>
  <c r="V235" i="107" s="1"/>
  <c r="F238" i="108" s="1"/>
  <c r="V238" i="108" s="1"/>
  <c r="F240" i="112" s="1"/>
  <c r="V240" i="112" s="1"/>
  <c r="F245" i="113" s="1"/>
  <c r="V245" i="113" s="1"/>
  <c r="F260" i="117" s="1"/>
  <c r="V260" i="117" s="1"/>
  <c r="F264" i="121" s="1"/>
  <c r="V264" i="121" s="1"/>
  <c r="F264" i="122" s="1"/>
  <c r="V264" i="122" s="1"/>
  <c r="U134" i="90"/>
  <c r="E192" i="90"/>
  <c r="E193" i="90" s="1"/>
  <c r="E145" i="90"/>
  <c r="U149" i="90"/>
  <c r="E149" i="90"/>
  <c r="E108" i="90"/>
  <c r="E199" i="90"/>
  <c r="E200" i="90" s="1"/>
  <c r="E71" i="90"/>
  <c r="E50" i="90"/>
  <c r="E165" i="90"/>
  <c r="E54" i="90"/>
  <c r="E88" i="90"/>
  <c r="U158" i="90"/>
  <c r="E158" i="90"/>
  <c r="E173" i="90"/>
  <c r="E175" i="90" s="1"/>
  <c r="U129" i="90"/>
  <c r="E55" i="90"/>
  <c r="E79" i="90"/>
  <c r="E116" i="90"/>
  <c r="E153" i="90"/>
  <c r="U153" i="90"/>
  <c r="U54" i="82"/>
  <c r="U209" i="82"/>
  <c r="U140" i="82"/>
  <c r="U97" i="82"/>
  <c r="U46" i="82"/>
  <c r="AB169" i="82"/>
  <c r="L180" i="90" s="1"/>
  <c r="AB180" i="90" s="1"/>
  <c r="L184" i="93" s="1"/>
  <c r="AB184" i="93" s="1"/>
  <c r="L191" i="107" s="1"/>
  <c r="AB191" i="107" s="1"/>
  <c r="L194" i="108" s="1"/>
  <c r="U80" i="82"/>
  <c r="U146" i="82"/>
  <c r="W161" i="82"/>
  <c r="G163" i="90" s="1"/>
  <c r="W196" i="81"/>
  <c r="W201" i="81" s="1"/>
  <c r="E47" i="82"/>
  <c r="U40" i="82"/>
  <c r="W169" i="82"/>
  <c r="G171" i="90" s="1"/>
  <c r="W171" i="90" s="1"/>
  <c r="G173" i="93" s="1"/>
  <c r="W173" i="93" s="1"/>
  <c r="G180" i="107" s="1"/>
  <c r="W180" i="107" s="1"/>
  <c r="G183" i="108" s="1"/>
  <c r="W183" i="108" s="1"/>
  <c r="G185" i="112" s="1"/>
  <c r="W185" i="112" s="1"/>
  <c r="G189" i="113" s="1"/>
  <c r="W189" i="113" s="1"/>
  <c r="G201" i="117" s="1"/>
  <c r="W201" i="117" s="1"/>
  <c r="G199" i="121" s="1"/>
  <c r="W199" i="121" s="1"/>
  <c r="G199" i="122" s="1"/>
  <c r="W199" i="122" s="1"/>
  <c r="AB47" i="82"/>
  <c r="L52" i="90" s="1"/>
  <c r="AB52" i="90" s="1"/>
  <c r="L52" i="93" s="1"/>
  <c r="AB52" i="93" s="1"/>
  <c r="L53" i="107" s="1"/>
  <c r="AB53" i="107" s="1"/>
  <c r="L54" i="108" s="1"/>
  <c r="U45" i="82"/>
  <c r="U191" i="82"/>
  <c r="U36" i="82"/>
  <c r="U149" i="82"/>
  <c r="U60" i="82"/>
  <c r="U56" i="82"/>
  <c r="U150" i="82"/>
  <c r="U111" i="82"/>
  <c r="U109" i="82"/>
  <c r="U144" i="82"/>
  <c r="Z196" i="81"/>
  <c r="Z201" i="81" s="1"/>
  <c r="AA196" i="81"/>
  <c r="K90" i="82"/>
  <c r="W192" i="82"/>
  <c r="G196" i="90" s="1"/>
  <c r="W196" i="90" s="1"/>
  <c r="G203" i="93" s="1"/>
  <c r="W203" i="93" s="1"/>
  <c r="G210" i="107" s="1"/>
  <c r="W210" i="107" s="1"/>
  <c r="G213" i="108" s="1"/>
  <c r="W213" i="108" s="1"/>
  <c r="G215" i="112" s="1"/>
  <c r="W215" i="112" s="1"/>
  <c r="G219" i="113" s="1"/>
  <c r="W219" i="113" s="1"/>
  <c r="G234" i="117" s="1"/>
  <c r="W234" i="117" s="1"/>
  <c r="G238" i="121" s="1"/>
  <c r="W238" i="121" s="1"/>
  <c r="G238" i="122" s="1"/>
  <c r="W238" i="122" s="1"/>
  <c r="U189" i="82"/>
  <c r="W198" i="82"/>
  <c r="G202" i="90" s="1"/>
  <c r="W202" i="90" s="1"/>
  <c r="G209" i="93" s="1"/>
  <c r="W209" i="93" s="1"/>
  <c r="G216" i="107" s="1"/>
  <c r="W216" i="107" s="1"/>
  <c r="G219" i="108" s="1"/>
  <c r="W219" i="108" s="1"/>
  <c r="G221" i="112" s="1"/>
  <c r="W221" i="112" s="1"/>
  <c r="G225" i="113" s="1"/>
  <c r="W225" i="113" s="1"/>
  <c r="G240" i="117" s="1"/>
  <c r="W240" i="117" s="1"/>
  <c r="G244" i="121" s="1"/>
  <c r="W244" i="121" s="1"/>
  <c r="G244" i="122" s="1"/>
  <c r="W244" i="122" s="1"/>
  <c r="U193" i="82"/>
  <c r="E62" i="82"/>
  <c r="AA141" i="82"/>
  <c r="K150" i="90" s="1"/>
  <c r="AA150" i="90" s="1"/>
  <c r="K150" i="93" s="1"/>
  <c r="AA150" i="93" s="1"/>
  <c r="K156" i="107" s="1"/>
  <c r="AA156" i="107" s="1"/>
  <c r="K158" i="108" s="1"/>
  <c r="AA158" i="108" s="1"/>
  <c r="K160" i="112" s="1"/>
  <c r="AA160" i="112" s="1"/>
  <c r="K164" i="113" s="1"/>
  <c r="AA164" i="113" s="1"/>
  <c r="K176" i="117" s="1"/>
  <c r="U135" i="82"/>
  <c r="AB141" i="82"/>
  <c r="L150" i="90" s="1"/>
  <c r="AB150" i="90" s="1"/>
  <c r="L150" i="93" s="1"/>
  <c r="AB150" i="93" s="1"/>
  <c r="L156" i="107" s="1"/>
  <c r="AB156" i="107" s="1"/>
  <c r="L158" i="108" s="1"/>
  <c r="U136" i="82"/>
  <c r="E72" i="82"/>
  <c r="AB81" i="82"/>
  <c r="L86" i="90" s="1"/>
  <c r="AB86" i="90" s="1"/>
  <c r="L86" i="93" s="1"/>
  <c r="AB86" i="93" s="1"/>
  <c r="L87" i="107" s="1"/>
  <c r="AB87" i="107" s="1"/>
  <c r="L88" i="108" s="1"/>
  <c r="U74" i="82"/>
  <c r="Z51" i="82"/>
  <c r="J56" i="90" s="1"/>
  <c r="Z56" i="90" s="1"/>
  <c r="J56" i="93" s="1"/>
  <c r="Z56" i="93" s="1"/>
  <c r="J57" i="107" s="1"/>
  <c r="Z57" i="107" s="1"/>
  <c r="J58" i="108" s="1"/>
  <c r="Z58" i="108" s="1"/>
  <c r="J58" i="112" s="1"/>
  <c r="Z58" i="112" s="1"/>
  <c r="J58" i="113" s="1"/>
  <c r="Z58" i="113" s="1"/>
  <c r="J68" i="117" s="1"/>
  <c r="Z68" i="117" s="1"/>
  <c r="J69" i="121" s="1"/>
  <c r="Z69" i="121" s="1"/>
  <c r="J69" i="122" s="1"/>
  <c r="Z69" i="122" s="1"/>
  <c r="U49" i="82"/>
  <c r="E174" i="82"/>
  <c r="E169" i="82"/>
  <c r="E51" i="82"/>
  <c r="AB153" i="82"/>
  <c r="L164" i="90" s="1"/>
  <c r="AB164" i="90" s="1"/>
  <c r="L166" i="93" s="1"/>
  <c r="AB166" i="93" s="1"/>
  <c r="L172" i="107" s="1"/>
  <c r="AB172" i="107" s="1"/>
  <c r="U142" i="82"/>
  <c r="U166" i="82"/>
  <c r="V169" i="82"/>
  <c r="AA177" i="82"/>
  <c r="K191" i="90" s="1"/>
  <c r="AA191" i="90" s="1"/>
  <c r="K198" i="93" s="1"/>
  <c r="AA198" i="93" s="1"/>
  <c r="K205" i="107" s="1"/>
  <c r="AA205" i="107" s="1"/>
  <c r="K208" i="108" s="1"/>
  <c r="U176" i="82"/>
  <c r="U177" i="82" s="1"/>
  <c r="F211" i="82"/>
  <c r="Z169" i="82"/>
  <c r="J180" i="90" s="1"/>
  <c r="Z180" i="90" s="1"/>
  <c r="J184" i="93" s="1"/>
  <c r="Z184" i="93" s="1"/>
  <c r="J191" i="107" s="1"/>
  <c r="Z191" i="107" s="1"/>
  <c r="J194" i="108" s="1"/>
  <c r="Z194" i="108" s="1"/>
  <c r="J196" i="112" s="1"/>
  <c r="Z196" i="112" s="1"/>
  <c r="J200" i="113" s="1"/>
  <c r="Z200" i="113" s="1"/>
  <c r="J214" i="117" s="1"/>
  <c r="Z214" i="117" s="1"/>
  <c r="J213" i="121" s="1"/>
  <c r="Z213" i="121" s="1"/>
  <c r="J213" i="122" s="1"/>
  <c r="Z213" i="122" s="1"/>
  <c r="U165" i="82"/>
  <c r="U103" i="82"/>
  <c r="AB112" i="82"/>
  <c r="L120" i="90" s="1"/>
  <c r="AB120" i="90" s="1"/>
  <c r="L120" i="93" s="1"/>
  <c r="AB120" i="93" s="1"/>
  <c r="L121" i="107" s="1"/>
  <c r="AB121" i="107" s="1"/>
  <c r="L122" i="108" s="1"/>
  <c r="AA186" i="82"/>
  <c r="K200" i="90" s="1"/>
  <c r="AA200" i="90" s="1"/>
  <c r="K207" i="93" s="1"/>
  <c r="AA207" i="93" s="1"/>
  <c r="K214" i="107" s="1"/>
  <c r="AA214" i="107" s="1"/>
  <c r="K217" i="108" s="1"/>
  <c r="U185" i="82"/>
  <c r="U186" i="82" s="1"/>
  <c r="AB188" i="82"/>
  <c r="L202" i="90" s="1"/>
  <c r="AB202" i="90" s="1"/>
  <c r="L209" i="93" s="1"/>
  <c r="AB209" i="93" s="1"/>
  <c r="L216" i="107" s="1"/>
  <c r="AB216" i="107" s="1"/>
  <c r="L219" i="108" s="1"/>
  <c r="U187" i="82"/>
  <c r="U188" i="82" s="1"/>
  <c r="AA132" i="82"/>
  <c r="U114" i="82"/>
  <c r="U63" i="82"/>
  <c r="W72" i="82"/>
  <c r="G74" i="90" s="1"/>
  <c r="L169" i="82"/>
  <c r="L170" i="82" s="1"/>
  <c r="L171" i="82" s="1"/>
  <c r="L172" i="82" s="1"/>
  <c r="U86" i="82"/>
  <c r="W89" i="82"/>
  <c r="G91" i="90" s="1"/>
  <c r="E191" i="82"/>
  <c r="U83" i="82"/>
  <c r="Z89" i="82"/>
  <c r="J94" i="90" s="1"/>
  <c r="Z94" i="90" s="1"/>
  <c r="J94" i="93" s="1"/>
  <c r="Z94" i="93" s="1"/>
  <c r="J95" i="107" s="1"/>
  <c r="Z95" i="107" s="1"/>
  <c r="J96" i="108" s="1"/>
  <c r="AB164" i="82"/>
  <c r="L175" i="90" s="1"/>
  <c r="AB175" i="90" s="1"/>
  <c r="L177" i="93" s="1"/>
  <c r="AB177" i="93" s="1"/>
  <c r="L184" i="107" s="1"/>
  <c r="AB184" i="107" s="1"/>
  <c r="L187" i="108" s="1"/>
  <c r="U162" i="82"/>
  <c r="U164" i="82" s="1"/>
  <c r="X196" i="81"/>
  <c r="AB51" i="82"/>
  <c r="L56" i="90" s="1"/>
  <c r="AB56" i="90" s="1"/>
  <c r="L56" i="93" s="1"/>
  <c r="AB56" i="93" s="1"/>
  <c r="L57" i="107" s="1"/>
  <c r="AB57" i="107" s="1"/>
  <c r="L58" i="108" s="1"/>
  <c r="U50" i="82"/>
  <c r="AA203" i="82"/>
  <c r="K217" i="90" s="1"/>
  <c r="AA217" i="90" s="1"/>
  <c r="K227" i="93" s="1"/>
  <c r="AA227" i="93" s="1"/>
  <c r="K234" i="107" s="1"/>
  <c r="AA234" i="107" s="1"/>
  <c r="K237" i="108" s="1"/>
  <c r="U201" i="82"/>
  <c r="U203" i="82" s="1"/>
  <c r="U66" i="82"/>
  <c r="Z72" i="82"/>
  <c r="J77" i="90" s="1"/>
  <c r="Z77" i="90" s="1"/>
  <c r="J77" i="93" s="1"/>
  <c r="Z77" i="93" s="1"/>
  <c r="J78" i="107" s="1"/>
  <c r="Z78" i="107" s="1"/>
  <c r="J79" i="108" s="1"/>
  <c r="Z79" i="108" s="1"/>
  <c r="J79" i="112" s="1"/>
  <c r="Z79" i="112" s="1"/>
  <c r="J79" i="113" s="1"/>
  <c r="Z79" i="113" s="1"/>
  <c r="J89" i="117" s="1"/>
  <c r="Z89" i="117" s="1"/>
  <c r="J87" i="121" s="1"/>
  <c r="Z87" i="121" s="1"/>
  <c r="J87" i="122" s="1"/>
  <c r="Z87" i="122" s="1"/>
  <c r="AB72" i="82"/>
  <c r="L77" i="90" s="1"/>
  <c r="AB77" i="90" s="1"/>
  <c r="L77" i="93" s="1"/>
  <c r="AB77" i="93" s="1"/>
  <c r="L78" i="107" s="1"/>
  <c r="AB78" i="107" s="1"/>
  <c r="L79" i="108" s="1"/>
  <c r="U70" i="82"/>
  <c r="X112" i="82"/>
  <c r="U105" i="82"/>
  <c r="Z132" i="82"/>
  <c r="U113" i="82"/>
  <c r="E89" i="82"/>
  <c r="E90" i="82" s="1"/>
  <c r="U15" i="82"/>
  <c r="U26" i="82" s="1"/>
  <c r="X26" i="82"/>
  <c r="H29" i="90" s="1"/>
  <c r="X29" i="90" s="1"/>
  <c r="H29" i="93" s="1"/>
  <c r="X29" i="93" s="1"/>
  <c r="H30" i="107" s="1"/>
  <c r="AB196" i="81"/>
  <c r="L52" i="82"/>
  <c r="AA179" i="82"/>
  <c r="K193" i="90" s="1"/>
  <c r="AA193" i="90" s="1"/>
  <c r="K200" i="93" s="1"/>
  <c r="AA200" i="93" s="1"/>
  <c r="K207" i="107" s="1"/>
  <c r="AA207" i="107" s="1"/>
  <c r="K210" i="108" s="1"/>
  <c r="U178" i="82"/>
  <c r="U179" i="82" s="1"/>
  <c r="U154" i="82"/>
  <c r="U160" i="82" s="1"/>
  <c r="AA160" i="82"/>
  <c r="K171" i="90" s="1"/>
  <c r="AA171" i="90" s="1"/>
  <c r="K173" i="93" s="1"/>
  <c r="AA173" i="93" s="1"/>
  <c r="K180" i="107" s="1"/>
  <c r="AA180" i="107" s="1"/>
  <c r="K183" i="108" s="1"/>
  <c r="U145" i="82"/>
  <c r="Z153" i="82"/>
  <c r="J164" i="90" s="1"/>
  <c r="Z164" i="90" s="1"/>
  <c r="J166" i="93" s="1"/>
  <c r="Z166" i="93" s="1"/>
  <c r="J172" i="107" s="1"/>
  <c r="Z172" i="107" s="1"/>
  <c r="E132" i="82"/>
  <c r="E153" i="82"/>
  <c r="E161" i="82" s="1"/>
  <c r="U194" i="82"/>
  <c r="Z198" i="82"/>
  <c r="J212" i="90" s="1"/>
  <c r="Z212" i="90" s="1"/>
  <c r="J222" i="93" s="1"/>
  <c r="Z222" i="93" s="1"/>
  <c r="J229" i="107" s="1"/>
  <c r="Z229" i="107" s="1"/>
  <c r="J232" i="108" s="1"/>
  <c r="AB184" i="82"/>
  <c r="L198" i="90" s="1"/>
  <c r="AB198" i="90" s="1"/>
  <c r="L205" i="93" s="1"/>
  <c r="AB205" i="93" s="1"/>
  <c r="L212" i="107" s="1"/>
  <c r="AB212" i="107" s="1"/>
  <c r="L215" i="108" s="1"/>
  <c r="U182" i="82"/>
  <c r="U184" i="82" s="1"/>
  <c r="W30" i="122" l="1"/>
  <c r="E265" i="122"/>
  <c r="U265" i="122" s="1"/>
  <c r="AB265" i="122"/>
  <c r="AB139" i="122"/>
  <c r="AB258" i="122"/>
  <c r="Z35" i="122"/>
  <c r="E265" i="117"/>
  <c r="AA35" i="122"/>
  <c r="U14" i="121"/>
  <c r="F14" i="122"/>
  <c r="AB72" i="122"/>
  <c r="X229" i="122"/>
  <c r="AB135" i="122"/>
  <c r="AB266" i="122"/>
  <c r="E266" i="122"/>
  <c r="U266" i="122" s="1"/>
  <c r="X149" i="121"/>
  <c r="H149" i="122" s="1"/>
  <c r="X149" i="122" s="1"/>
  <c r="AB141" i="121"/>
  <c r="L141" i="122" s="1"/>
  <c r="AB137" i="121"/>
  <c r="L137" i="122" s="1"/>
  <c r="AB182" i="121"/>
  <c r="L182" i="122" s="1"/>
  <c r="AB113" i="121"/>
  <c r="L113" i="122" s="1"/>
  <c r="E113" i="121"/>
  <c r="U113" i="121" s="1"/>
  <c r="AB168" i="121"/>
  <c r="L168" i="122" s="1"/>
  <c r="AB170" i="121"/>
  <c r="L170" i="122" s="1"/>
  <c r="E170" i="121"/>
  <c r="U170" i="121" s="1"/>
  <c r="AB176" i="121"/>
  <c r="L176" i="122" s="1"/>
  <c r="E176" i="121"/>
  <c r="U176" i="121" s="1"/>
  <c r="AA100" i="121"/>
  <c r="K100" i="122" s="1"/>
  <c r="AA101" i="121"/>
  <c r="K101" i="122" s="1"/>
  <c r="AB76" i="121"/>
  <c r="L76" i="122" s="1"/>
  <c r="E76" i="121"/>
  <c r="U76" i="121" s="1"/>
  <c r="AB114" i="121"/>
  <c r="L114" i="122" s="1"/>
  <c r="E114" i="121"/>
  <c r="U114" i="121" s="1"/>
  <c r="AA102" i="121"/>
  <c r="K102" i="122" s="1"/>
  <c r="W107" i="121"/>
  <c r="G107" i="122" s="1"/>
  <c r="W107" i="122" s="1"/>
  <c r="AB150" i="121"/>
  <c r="L150" i="122" s="1"/>
  <c r="AB63" i="121"/>
  <c r="L63" i="122" s="1"/>
  <c r="AA79" i="121"/>
  <c r="K79" i="122" s="1"/>
  <c r="E79" i="121"/>
  <c r="U79" i="121" s="1"/>
  <c r="AB169" i="121"/>
  <c r="L169" i="122" s="1"/>
  <c r="E169" i="121"/>
  <c r="U169" i="121" s="1"/>
  <c r="AA98" i="121"/>
  <c r="K98" i="122" s="1"/>
  <c r="AB148" i="121"/>
  <c r="L148" i="122" s="1"/>
  <c r="E123" i="121"/>
  <c r="U123" i="121" s="1"/>
  <c r="AB123" i="121"/>
  <c r="L123" i="122" s="1"/>
  <c r="AA84" i="121"/>
  <c r="K84" i="122" s="1"/>
  <c r="AB78" i="121"/>
  <c r="L78" i="122" s="1"/>
  <c r="AB111" i="121"/>
  <c r="L111" i="122" s="1"/>
  <c r="E111" i="121"/>
  <c r="U111" i="121" s="1"/>
  <c r="AB73" i="121"/>
  <c r="L73" i="122" s="1"/>
  <c r="E73" i="121"/>
  <c r="U73" i="121" s="1"/>
  <c r="AB119" i="121"/>
  <c r="L119" i="122" s="1"/>
  <c r="E119" i="121"/>
  <c r="U119" i="121" s="1"/>
  <c r="AB185" i="121"/>
  <c r="L185" i="122" s="1"/>
  <c r="AB90" i="121"/>
  <c r="L90" i="122" s="1"/>
  <c r="E90" i="121"/>
  <c r="U90" i="121" s="1"/>
  <c r="AB236" i="121"/>
  <c r="L236" i="122" s="1"/>
  <c r="AB140" i="121"/>
  <c r="L140" i="122" s="1"/>
  <c r="AA262" i="121"/>
  <c r="K262" i="122" s="1"/>
  <c r="E262" i="121"/>
  <c r="U262" i="121" s="1"/>
  <c r="AA197" i="121"/>
  <c r="K197" i="122" s="1"/>
  <c r="E197" i="121"/>
  <c r="U197" i="121" s="1"/>
  <c r="AB40" i="121"/>
  <c r="L40" i="122" s="1"/>
  <c r="AA99" i="121"/>
  <c r="K99" i="122" s="1"/>
  <c r="E99" i="121"/>
  <c r="U99" i="121" s="1"/>
  <c r="AA83" i="121"/>
  <c r="K83" i="122" s="1"/>
  <c r="E83" i="121"/>
  <c r="U83" i="121" s="1"/>
  <c r="AB94" i="121"/>
  <c r="L94" i="122" s="1"/>
  <c r="E94" i="121"/>
  <c r="U94" i="121" s="1"/>
  <c r="AB250" i="121"/>
  <c r="L250" i="122" s="1"/>
  <c r="AB77" i="121"/>
  <c r="L77" i="122" s="1"/>
  <c r="E77" i="121"/>
  <c r="U77" i="121" s="1"/>
  <c r="AA103" i="121"/>
  <c r="K103" i="122" s="1"/>
  <c r="E103" i="121"/>
  <c r="U103" i="121" s="1"/>
  <c r="AB74" i="121"/>
  <c r="L74" i="122" s="1"/>
  <c r="AB109" i="121"/>
  <c r="L109" i="122" s="1"/>
  <c r="AB178" i="121"/>
  <c r="L178" i="122" s="1"/>
  <c r="AB251" i="121"/>
  <c r="L251" i="122" s="1"/>
  <c r="AB134" i="121"/>
  <c r="L134" i="122" s="1"/>
  <c r="AB110" i="121"/>
  <c r="L110" i="122" s="1"/>
  <c r="E110" i="121"/>
  <c r="U110" i="121" s="1"/>
  <c r="AB146" i="121"/>
  <c r="L146" i="122" s="1"/>
  <c r="AB92" i="121"/>
  <c r="L92" i="122" s="1"/>
  <c r="E92" i="121"/>
  <c r="U92" i="121" s="1"/>
  <c r="AB142" i="121"/>
  <c r="L142" i="122" s="1"/>
  <c r="AB259" i="121"/>
  <c r="L259" i="122" s="1"/>
  <c r="U114" i="90"/>
  <c r="AB36" i="117"/>
  <c r="L37" i="121" s="1"/>
  <c r="E36" i="117"/>
  <c r="U36" i="117" s="1"/>
  <c r="AB140" i="117"/>
  <c r="L138" i="121" s="1"/>
  <c r="AB42" i="117"/>
  <c r="L43" i="121" s="1"/>
  <c r="AB119" i="117"/>
  <c r="L117" i="121" s="1"/>
  <c r="E119" i="117"/>
  <c r="U119" i="117" s="1"/>
  <c r="AB35" i="117"/>
  <c r="L36" i="121" s="1"/>
  <c r="E80" i="117"/>
  <c r="U80" i="117" s="1"/>
  <c r="AA80" i="117"/>
  <c r="K81" i="121" s="1"/>
  <c r="AB123" i="117"/>
  <c r="L121" i="121" s="1"/>
  <c r="E123" i="117"/>
  <c r="U123" i="117" s="1"/>
  <c r="AA41" i="117"/>
  <c r="K42" i="121" s="1"/>
  <c r="E41" i="117"/>
  <c r="U41" i="117" s="1"/>
  <c r="W249" i="117"/>
  <c r="G253" i="121" s="1"/>
  <c r="E249" i="117"/>
  <c r="U249" i="117" s="1"/>
  <c r="AA198" i="117"/>
  <c r="K196" i="121" s="1"/>
  <c r="E198" i="117"/>
  <c r="U198" i="117" s="1"/>
  <c r="AB168" i="117"/>
  <c r="L166" i="121" s="1"/>
  <c r="AB40" i="117"/>
  <c r="L41" i="121" s="1"/>
  <c r="AA99" i="112"/>
  <c r="K99" i="113" s="1"/>
  <c r="E99" i="112"/>
  <c r="U99" i="112" s="1"/>
  <c r="AB17" i="112"/>
  <c r="X155" i="113"/>
  <c r="H166" i="117" s="1"/>
  <c r="H164" i="117"/>
  <c r="X164" i="117" s="1"/>
  <c r="H162" i="121" s="1"/>
  <c r="X162" i="121" s="1"/>
  <c r="AA176" i="117"/>
  <c r="K174" i="121" s="1"/>
  <c r="AA174" i="121" s="1"/>
  <c r="K174" i="122" s="1"/>
  <c r="AA174" i="122" s="1"/>
  <c r="U29" i="107"/>
  <c r="G29" i="108"/>
  <c r="AB138" i="117"/>
  <c r="L136" i="121" s="1"/>
  <c r="AB147" i="117"/>
  <c r="L145" i="121" s="1"/>
  <c r="AA196" i="117"/>
  <c r="K194" i="121" s="1"/>
  <c r="E183" i="117"/>
  <c r="U183" i="117" s="1"/>
  <c r="AB183" i="117"/>
  <c r="L181" i="121" s="1"/>
  <c r="AB233" i="117"/>
  <c r="L237" i="121" s="1"/>
  <c r="W79" i="117"/>
  <c r="G80" i="121" s="1"/>
  <c r="E79" i="117"/>
  <c r="U79" i="117" s="1"/>
  <c r="W248" i="117"/>
  <c r="G252" i="121" s="1"/>
  <c r="E248" i="117"/>
  <c r="U248" i="117" s="1"/>
  <c r="AB241" i="117"/>
  <c r="L245" i="121" s="1"/>
  <c r="E241" i="117"/>
  <c r="U241" i="117" s="1"/>
  <c r="AB95" i="117"/>
  <c r="L93" i="121" s="1"/>
  <c r="X57" i="117"/>
  <c r="H58" i="121" s="1"/>
  <c r="AA99" i="117"/>
  <c r="K97" i="121" s="1"/>
  <c r="E99" i="117"/>
  <c r="U99" i="117" s="1"/>
  <c r="AA195" i="117"/>
  <c r="K193" i="121" s="1"/>
  <c r="W22" i="108"/>
  <c r="E22" i="108"/>
  <c r="AA98" i="113"/>
  <c r="K108" i="117" s="1"/>
  <c r="E98" i="113"/>
  <c r="U98" i="113" s="1"/>
  <c r="AA48" i="117"/>
  <c r="K49" i="121" s="1"/>
  <c r="E48" i="117"/>
  <c r="U48" i="117" s="1"/>
  <c r="AB66" i="117"/>
  <c r="L67" i="121" s="1"/>
  <c r="V52" i="117"/>
  <c r="F53" i="121" s="1"/>
  <c r="E52" i="117"/>
  <c r="U52" i="117" s="1"/>
  <c r="AA197" i="117"/>
  <c r="K195" i="121" s="1"/>
  <c r="E197" i="117"/>
  <c r="U197" i="117" s="1"/>
  <c r="V11" i="117"/>
  <c r="F11" i="121" s="1"/>
  <c r="AA49" i="117"/>
  <c r="K50" i="121" s="1"/>
  <c r="E49" i="117"/>
  <c r="U49" i="117" s="1"/>
  <c r="AB185" i="117"/>
  <c r="L183" i="121" s="1"/>
  <c r="E74" i="117"/>
  <c r="U74" i="117" s="1"/>
  <c r="AB74" i="117"/>
  <c r="L75" i="121" s="1"/>
  <c r="AB207" i="117"/>
  <c r="L205" i="121" s="1"/>
  <c r="AB124" i="117"/>
  <c r="L122" i="121" s="1"/>
  <c r="E124" i="117"/>
  <c r="U124" i="117" s="1"/>
  <c r="AB110" i="117"/>
  <c r="L108" i="121" s="1"/>
  <c r="E110" i="117"/>
  <c r="U110" i="117" s="1"/>
  <c r="E256" i="117"/>
  <c r="U256" i="117" s="1"/>
  <c r="AB256" i="117"/>
  <c r="L260" i="121" s="1"/>
  <c r="AB122" i="117"/>
  <c r="L120" i="121" s="1"/>
  <c r="X12" i="117"/>
  <c r="H12" i="121" s="1"/>
  <c r="X12" i="121" s="1"/>
  <c r="AB12" i="112"/>
  <c r="U24" i="107"/>
  <c r="G24" i="108"/>
  <c r="U23" i="107"/>
  <c r="G23" i="108"/>
  <c r="AA82" i="117"/>
  <c r="K82" i="121" s="1"/>
  <c r="E82" i="117"/>
  <c r="U82" i="117" s="1"/>
  <c r="AB114" i="117"/>
  <c r="L112" i="121" s="1"/>
  <c r="E114" i="117"/>
  <c r="U114" i="117" s="1"/>
  <c r="AB146" i="117"/>
  <c r="L144" i="121" s="1"/>
  <c r="AB182" i="117"/>
  <c r="L180" i="121" s="1"/>
  <c r="AB65" i="117"/>
  <c r="L66" i="121" s="1"/>
  <c r="E65" i="117"/>
  <c r="U65" i="117" s="1"/>
  <c r="AB235" i="117"/>
  <c r="L239" i="121" s="1"/>
  <c r="W216" i="117"/>
  <c r="G215" i="121" s="1"/>
  <c r="E216" i="117"/>
  <c r="U216" i="117" s="1"/>
  <c r="AB155" i="113"/>
  <c r="L166" i="117" s="1"/>
  <c r="L164" i="117"/>
  <c r="H31" i="112"/>
  <c r="X31" i="112" s="1"/>
  <c r="AF31" i="108"/>
  <c r="X11" i="108"/>
  <c r="W196" i="113"/>
  <c r="G208" i="117" s="1"/>
  <c r="E196" i="113"/>
  <c r="U196" i="113" s="1"/>
  <c r="AB60" i="113"/>
  <c r="L70" i="117" s="1"/>
  <c r="E60" i="113"/>
  <c r="U60" i="113" s="1"/>
  <c r="AB212" i="113"/>
  <c r="L227" i="117" s="1"/>
  <c r="AB78" i="113"/>
  <c r="L88" i="117" s="1"/>
  <c r="E78" i="113"/>
  <c r="U78" i="113" s="1"/>
  <c r="E108" i="113"/>
  <c r="U108" i="113" s="1"/>
  <c r="AB108" i="113"/>
  <c r="L118" i="117" s="1"/>
  <c r="AB138" i="113"/>
  <c r="L149" i="117" s="1"/>
  <c r="AA96" i="113"/>
  <c r="K106" i="117" s="1"/>
  <c r="E41" i="113"/>
  <c r="U41" i="113" s="1"/>
  <c r="AB41" i="113"/>
  <c r="L47" i="117" s="1"/>
  <c r="AA153" i="113"/>
  <c r="K164" i="117" s="1"/>
  <c r="AA164" i="117" s="1"/>
  <c r="K162" i="121" s="1"/>
  <c r="E153" i="113"/>
  <c r="U153" i="113" s="1"/>
  <c r="W203" i="113"/>
  <c r="G217" i="117" s="1"/>
  <c r="E203" i="113"/>
  <c r="U203" i="113" s="1"/>
  <c r="AB142" i="113"/>
  <c r="L153" i="117" s="1"/>
  <c r="AB83" i="113"/>
  <c r="L93" i="117" s="1"/>
  <c r="E83" i="113"/>
  <c r="U83" i="113" s="1"/>
  <c r="W117" i="113"/>
  <c r="G127" i="117" s="1"/>
  <c r="E117" i="113"/>
  <c r="U117" i="113" s="1"/>
  <c r="AB228" i="113"/>
  <c r="L243" i="117" s="1"/>
  <c r="E228" i="113"/>
  <c r="U228" i="113" s="1"/>
  <c r="AB51" i="113"/>
  <c r="L61" i="117" s="1"/>
  <c r="E51" i="113"/>
  <c r="U51" i="113" s="1"/>
  <c r="AB214" i="113"/>
  <c r="L229" i="117" s="1"/>
  <c r="AA250" i="113"/>
  <c r="U250" i="113" s="1"/>
  <c r="E250" i="113"/>
  <c r="V16" i="113"/>
  <c r="F18" i="117" s="1"/>
  <c r="V18" i="117" s="1"/>
  <c r="F18" i="121" s="1"/>
  <c r="W107" i="113"/>
  <c r="G117" i="117" s="1"/>
  <c r="E107" i="113"/>
  <c r="U107" i="113" s="1"/>
  <c r="E174" i="113"/>
  <c r="U174" i="113" s="1"/>
  <c r="AB174" i="113"/>
  <c r="L186" i="117" s="1"/>
  <c r="AA192" i="113"/>
  <c r="K204" i="117" s="1"/>
  <c r="E192" i="113"/>
  <c r="U192" i="113" s="1"/>
  <c r="W175" i="113"/>
  <c r="G187" i="117" s="1"/>
  <c r="E175" i="113"/>
  <c r="U175" i="113" s="1"/>
  <c r="W48" i="113"/>
  <c r="G58" i="117" s="1"/>
  <c r="E48" i="113"/>
  <c r="U48" i="113" s="1"/>
  <c r="U196" i="81"/>
  <c r="U201" i="81" s="1"/>
  <c r="W134" i="82"/>
  <c r="G139" i="90" s="1"/>
  <c r="E114" i="93"/>
  <c r="U114" i="93" s="1"/>
  <c r="E115" i="107" s="1"/>
  <c r="U115" i="107" s="1"/>
  <c r="E240" i="107"/>
  <c r="AA151" i="112"/>
  <c r="K155" i="113" s="1"/>
  <c r="E155" i="113" s="1"/>
  <c r="U155" i="113" s="1"/>
  <c r="E114" i="90"/>
  <c r="G120" i="90"/>
  <c r="W120" i="90" s="1"/>
  <c r="G120" i="93" s="1"/>
  <c r="W120" i="93" s="1"/>
  <c r="G121" i="107" s="1"/>
  <c r="W121" i="107" s="1"/>
  <c r="G122" i="108" s="1"/>
  <c r="W122" i="108" s="1"/>
  <c r="G122" i="112" s="1"/>
  <c r="W122" i="112" s="1"/>
  <c r="G124" i="113" s="1"/>
  <c r="W124" i="113" s="1"/>
  <c r="G135" i="117" s="1"/>
  <c r="W135" i="117" s="1"/>
  <c r="G133" i="121" s="1"/>
  <c r="W133" i="121" s="1"/>
  <c r="G133" i="122" s="1"/>
  <c r="W133" i="122" s="1"/>
  <c r="E215" i="108"/>
  <c r="U215" i="108" s="1"/>
  <c r="AB215" i="108"/>
  <c r="L217" i="112" s="1"/>
  <c r="Z96" i="108"/>
  <c r="J96" i="112" s="1"/>
  <c r="E96" i="108"/>
  <c r="U96" i="108" s="1"/>
  <c r="E88" i="108"/>
  <c r="U88" i="108" s="1"/>
  <c r="AB88" i="108"/>
  <c r="L88" i="112" s="1"/>
  <c r="E207" i="108"/>
  <c r="U207" i="108" s="1"/>
  <c r="W207" i="108"/>
  <c r="G209" i="112" s="1"/>
  <c r="V18" i="112"/>
  <c r="F18" i="113" s="1"/>
  <c r="AB215" i="112"/>
  <c r="L219" i="113" s="1"/>
  <c r="E215" i="112"/>
  <c r="U215" i="112" s="1"/>
  <c r="AA237" i="112"/>
  <c r="K242" i="113" s="1"/>
  <c r="AA242" i="113" s="1"/>
  <c r="K257" i="117" s="1"/>
  <c r="AB77" i="112"/>
  <c r="L77" i="113" s="1"/>
  <c r="E225" i="112"/>
  <c r="U225" i="112" s="1"/>
  <c r="AB225" i="112"/>
  <c r="L229" i="113" s="1"/>
  <c r="AA243" i="108"/>
  <c r="U243" i="108" s="1"/>
  <c r="E243" i="108"/>
  <c r="Z90" i="112"/>
  <c r="J90" i="113" s="1"/>
  <c r="E90" i="112"/>
  <c r="U90" i="112" s="1"/>
  <c r="E54" i="108"/>
  <c r="U54" i="108" s="1"/>
  <c r="AB54" i="108"/>
  <c r="L54" i="112" s="1"/>
  <c r="AB194" i="108"/>
  <c r="L196" i="112" s="1"/>
  <c r="E213" i="108"/>
  <c r="U213" i="108" s="1"/>
  <c r="E20" i="108"/>
  <c r="AB20" i="108"/>
  <c r="AB190" i="112"/>
  <c r="L194" i="113" s="1"/>
  <c r="E245" i="112"/>
  <c r="AA245" i="112"/>
  <c r="U245" i="112" s="1"/>
  <c r="AA178" i="112"/>
  <c r="K182" i="113" s="1"/>
  <c r="E178" i="112"/>
  <c r="U178" i="112" s="1"/>
  <c r="W166" i="112"/>
  <c r="G170" i="113" s="1"/>
  <c r="E166" i="112"/>
  <c r="U166" i="112" s="1"/>
  <c r="Z164" i="112"/>
  <c r="J168" i="113" s="1"/>
  <c r="E164" i="112"/>
  <c r="U164" i="112" s="1"/>
  <c r="E79" i="108"/>
  <c r="U79" i="108" s="1"/>
  <c r="AB79" i="108"/>
  <c r="L79" i="112" s="1"/>
  <c r="E237" i="108"/>
  <c r="AA237" i="108"/>
  <c r="K239" i="112" s="1"/>
  <c r="W47" i="112"/>
  <c r="G47" i="113" s="1"/>
  <c r="E47" i="112"/>
  <c r="U47" i="112" s="1"/>
  <c r="Z63" i="112"/>
  <c r="J63" i="113" s="1"/>
  <c r="E63" i="112"/>
  <c r="U63" i="112" s="1"/>
  <c r="AB116" i="112"/>
  <c r="L116" i="113" s="1"/>
  <c r="E116" i="112"/>
  <c r="U116" i="112" s="1"/>
  <c r="W85" i="112"/>
  <c r="G85" i="113" s="1"/>
  <c r="E85" i="112"/>
  <c r="U85" i="112" s="1"/>
  <c r="E163" i="112"/>
  <c r="U163" i="112" s="1"/>
  <c r="AB163" i="112"/>
  <c r="L167" i="113" s="1"/>
  <c r="AB110" i="112"/>
  <c r="L110" i="113" s="1"/>
  <c r="E110" i="112"/>
  <c r="U110" i="112" s="1"/>
  <c r="Z232" i="108"/>
  <c r="J234" i="112" s="1"/>
  <c r="E232" i="108"/>
  <c r="U232" i="108" s="1"/>
  <c r="E210" i="108"/>
  <c r="U210" i="108" s="1"/>
  <c r="AA210" i="108"/>
  <c r="K212" i="112" s="1"/>
  <c r="E58" i="108"/>
  <c r="U58" i="108" s="1"/>
  <c r="AB58" i="108"/>
  <c r="L58" i="112" s="1"/>
  <c r="E219" i="108"/>
  <c r="U219" i="108" s="1"/>
  <c r="AB219" i="108"/>
  <c r="L221" i="112" s="1"/>
  <c r="E158" i="108"/>
  <c r="U158" i="108" s="1"/>
  <c r="AB158" i="108"/>
  <c r="L160" i="112" s="1"/>
  <c r="E46" i="108"/>
  <c r="U46" i="108" s="1"/>
  <c r="X46" i="108"/>
  <c r="H46" i="112" s="1"/>
  <c r="U25" i="107"/>
  <c r="F25" i="108"/>
  <c r="AB30" i="108"/>
  <c r="L30" i="112" s="1"/>
  <c r="AB165" i="112"/>
  <c r="L169" i="113" s="1"/>
  <c r="E165" i="112"/>
  <c r="U165" i="112" s="1"/>
  <c r="AB57" i="112"/>
  <c r="L57" i="113" s="1"/>
  <c r="E57" i="112"/>
  <c r="U57" i="112" s="1"/>
  <c r="Z56" i="112"/>
  <c r="J56" i="113" s="1"/>
  <c r="E56" i="112"/>
  <c r="U56" i="112" s="1"/>
  <c r="Z61" i="112"/>
  <c r="J61" i="113" s="1"/>
  <c r="E61" i="112"/>
  <c r="U61" i="112" s="1"/>
  <c r="F26" i="112"/>
  <c r="U26" i="108"/>
  <c r="E53" i="112"/>
  <c r="U53" i="112" s="1"/>
  <c r="AB53" i="112"/>
  <c r="L53" i="113" s="1"/>
  <c r="W213" i="112"/>
  <c r="G217" i="113" s="1"/>
  <c r="E213" i="112"/>
  <c r="U213" i="112" s="1"/>
  <c r="Z169" i="112"/>
  <c r="J173" i="113" s="1"/>
  <c r="E169" i="112"/>
  <c r="U169" i="112" s="1"/>
  <c r="E116" i="108"/>
  <c r="U116" i="108" s="1"/>
  <c r="E211" i="112"/>
  <c r="U211" i="112" s="1"/>
  <c r="AA211" i="112"/>
  <c r="K215" i="113" s="1"/>
  <c r="AB223" i="112"/>
  <c r="L227" i="113" s="1"/>
  <c r="E223" i="112"/>
  <c r="U223" i="112" s="1"/>
  <c r="L174" i="108"/>
  <c r="L175" i="108"/>
  <c r="E187" i="112"/>
  <c r="U187" i="112" s="1"/>
  <c r="AB187" i="112"/>
  <c r="L191" i="113" s="1"/>
  <c r="AB118" i="112"/>
  <c r="L118" i="113" s="1"/>
  <c r="E118" i="112"/>
  <c r="U118" i="112" s="1"/>
  <c r="AA153" i="112"/>
  <c r="K157" i="113" s="1"/>
  <c r="E153" i="112"/>
  <c r="U153" i="112" s="1"/>
  <c r="AA208" i="108"/>
  <c r="K210" i="112" s="1"/>
  <c r="E208" i="108"/>
  <c r="U208" i="108" s="1"/>
  <c r="AB146" i="108"/>
  <c r="L148" i="112" s="1"/>
  <c r="X50" i="108"/>
  <c r="H50" i="112" s="1"/>
  <c r="U19" i="107"/>
  <c r="F19" i="108"/>
  <c r="E13" i="108"/>
  <c r="V13" i="108"/>
  <c r="Z52" i="112"/>
  <c r="J52" i="113" s="1"/>
  <c r="E52" i="112"/>
  <c r="U52" i="112" s="1"/>
  <c r="W193" i="112"/>
  <c r="G197" i="113" s="1"/>
  <c r="E193" i="112"/>
  <c r="U193" i="112" s="1"/>
  <c r="Z73" i="112"/>
  <c r="J73" i="113" s="1"/>
  <c r="E73" i="112"/>
  <c r="U73" i="112" s="1"/>
  <c r="Z92" i="112"/>
  <c r="J92" i="113" s="1"/>
  <c r="E92" i="112"/>
  <c r="U92" i="112" s="1"/>
  <c r="AA218" i="112"/>
  <c r="K222" i="113" s="1"/>
  <c r="E218" i="112"/>
  <c r="U218" i="112" s="1"/>
  <c r="Z168" i="112"/>
  <c r="J172" i="113" s="1"/>
  <c r="E168" i="112"/>
  <c r="U168" i="112" s="1"/>
  <c r="Z123" i="112"/>
  <c r="J125" i="113" s="1"/>
  <c r="AB122" i="108"/>
  <c r="L122" i="112" s="1"/>
  <c r="Z228" i="112"/>
  <c r="J232" i="113" s="1"/>
  <c r="W40" i="112"/>
  <c r="G40" i="113" s="1"/>
  <c r="E40" i="112"/>
  <c r="U40" i="112" s="1"/>
  <c r="AB154" i="112"/>
  <c r="L158" i="113" s="1"/>
  <c r="E154" i="112"/>
  <c r="U154" i="112" s="1"/>
  <c r="E81" i="112"/>
  <c r="U81" i="112" s="1"/>
  <c r="AB81" i="112"/>
  <c r="L81" i="113" s="1"/>
  <c r="Z67" i="112"/>
  <c r="J67" i="113" s="1"/>
  <c r="E67" i="112"/>
  <c r="U67" i="112" s="1"/>
  <c r="AA31" i="112"/>
  <c r="K31" i="113" s="1"/>
  <c r="AB161" i="112"/>
  <c r="L165" i="113" s="1"/>
  <c r="E161" i="112"/>
  <c r="U161" i="112" s="1"/>
  <c r="AB158" i="112"/>
  <c r="L162" i="113" s="1"/>
  <c r="E158" i="112"/>
  <c r="U158" i="112" s="1"/>
  <c r="J174" i="108"/>
  <c r="Z174" i="108" s="1"/>
  <c r="J176" i="112" s="1"/>
  <c r="Z176" i="112" s="1"/>
  <c r="J180" i="113" s="1"/>
  <c r="Z180" i="113" s="1"/>
  <c r="J192" i="117" s="1"/>
  <c r="Z192" i="117" s="1"/>
  <c r="J190" i="121" s="1"/>
  <c r="Z190" i="121" s="1"/>
  <c r="J190" i="122" s="1"/>
  <c r="Z190" i="122" s="1"/>
  <c r="J175" i="108"/>
  <c r="Z175" i="108" s="1"/>
  <c r="J177" i="112" s="1"/>
  <c r="Z177" i="112" s="1"/>
  <c r="J181" i="113" s="1"/>
  <c r="Z181" i="113" s="1"/>
  <c r="J193" i="117" s="1"/>
  <c r="Z193" i="117" s="1"/>
  <c r="J191" i="121" s="1"/>
  <c r="Z191" i="121" s="1"/>
  <c r="J191" i="122" s="1"/>
  <c r="Z191" i="122" s="1"/>
  <c r="E217" i="108"/>
  <c r="U217" i="108" s="1"/>
  <c r="AA217" i="108"/>
  <c r="K219" i="112" s="1"/>
  <c r="E183" i="108"/>
  <c r="U183" i="108" s="1"/>
  <c r="AA183" i="108"/>
  <c r="K185" i="112" s="1"/>
  <c r="E187" i="108"/>
  <c r="U187" i="108" s="1"/>
  <c r="AB187" i="108"/>
  <c r="L189" i="112" s="1"/>
  <c r="E224" i="108"/>
  <c r="U224" i="108" s="1"/>
  <c r="AB224" i="108"/>
  <c r="L226" i="112" s="1"/>
  <c r="V45" i="112"/>
  <c r="F45" i="113" s="1"/>
  <c r="AB220" i="112"/>
  <c r="L224" i="113" s="1"/>
  <c r="E220" i="112"/>
  <c r="U220" i="112" s="1"/>
  <c r="AB87" i="112"/>
  <c r="L87" i="113" s="1"/>
  <c r="E87" i="112"/>
  <c r="U87" i="112" s="1"/>
  <c r="V191" i="112"/>
  <c r="F195" i="113" s="1"/>
  <c r="E191" i="112"/>
  <c r="U191" i="112" s="1"/>
  <c r="W179" i="112"/>
  <c r="G183" i="113" s="1"/>
  <c r="E179" i="112"/>
  <c r="U179" i="112" s="1"/>
  <c r="W197" i="112"/>
  <c r="G201" i="113" s="1"/>
  <c r="E197" i="112"/>
  <c r="U197" i="112" s="1"/>
  <c r="U21" i="93"/>
  <c r="E21" i="107" s="1"/>
  <c r="F21" i="107"/>
  <c r="V21" i="107" s="1"/>
  <c r="U16" i="93"/>
  <c r="E16" i="107" s="1"/>
  <c r="G16" i="107"/>
  <c r="W16" i="107" s="1"/>
  <c r="X30" i="107"/>
  <c r="H30" i="108" s="1"/>
  <c r="W236" i="93"/>
  <c r="G201" i="107"/>
  <c r="W201" i="107" s="1"/>
  <c r="U15" i="93"/>
  <c r="E15" i="107" s="1"/>
  <c r="H15" i="107"/>
  <c r="X15" i="107" s="1"/>
  <c r="U12" i="93"/>
  <c r="E12" i="107" s="1"/>
  <c r="G12" i="107"/>
  <c r="W12" i="107" s="1"/>
  <c r="U211" i="93"/>
  <c r="E218" i="107" s="1"/>
  <c r="U218" i="107" s="1"/>
  <c r="E214" i="93"/>
  <c r="U214" i="93" s="1"/>
  <c r="E221" i="107" s="1"/>
  <c r="U221" i="107" s="1"/>
  <c r="E134" i="82"/>
  <c r="E177" i="93"/>
  <c r="U177" i="93" s="1"/>
  <c r="E184" i="107" s="1"/>
  <c r="U184" i="107" s="1"/>
  <c r="U175" i="93"/>
  <c r="E182" i="107" s="1"/>
  <c r="U182" i="107" s="1"/>
  <c r="E207" i="93"/>
  <c r="U207" i="93" s="1"/>
  <c r="E214" i="107" s="1"/>
  <c r="U214" i="107" s="1"/>
  <c r="U206" i="93"/>
  <c r="E213" i="107" s="1"/>
  <c r="U213" i="107" s="1"/>
  <c r="E209" i="93"/>
  <c r="U209" i="93" s="1"/>
  <c r="E216" i="107" s="1"/>
  <c r="U216" i="107" s="1"/>
  <c r="U208" i="93"/>
  <c r="E215" i="107" s="1"/>
  <c r="U215" i="107" s="1"/>
  <c r="E200" i="93"/>
  <c r="U200" i="93" s="1"/>
  <c r="E207" i="107" s="1"/>
  <c r="U207" i="107" s="1"/>
  <c r="U199" i="93"/>
  <c r="E206" i="107" s="1"/>
  <c r="U206" i="107" s="1"/>
  <c r="E86" i="93"/>
  <c r="U86" i="93" s="1"/>
  <c r="E87" i="107" s="1"/>
  <c r="U87" i="107" s="1"/>
  <c r="E56" i="93"/>
  <c r="U56" i="93" s="1"/>
  <c r="E57" i="107" s="1"/>
  <c r="U57" i="107" s="1"/>
  <c r="E67" i="93"/>
  <c r="U67" i="93" s="1"/>
  <c r="E68" i="107" s="1"/>
  <c r="U68" i="107" s="1"/>
  <c r="W17" i="93"/>
  <c r="E17" i="93"/>
  <c r="E171" i="90"/>
  <c r="E52" i="82"/>
  <c r="E223" i="90"/>
  <c r="E52" i="93"/>
  <c r="U52" i="93" s="1"/>
  <c r="E53" i="107" s="1"/>
  <c r="U53" i="107" s="1"/>
  <c r="U38" i="90"/>
  <c r="G38" i="93"/>
  <c r="W38" i="93" s="1"/>
  <c r="G39" i="107" s="1"/>
  <c r="W39" i="107" s="1"/>
  <c r="G39" i="108" s="1"/>
  <c r="U207" i="90"/>
  <c r="G215" i="93"/>
  <c r="W215" i="93" s="1"/>
  <c r="G222" i="107" s="1"/>
  <c r="W222" i="107" s="1"/>
  <c r="G225" i="108" s="1"/>
  <c r="U197" i="90"/>
  <c r="G204" i="93"/>
  <c r="W204" i="93" s="1"/>
  <c r="G211" i="107" s="1"/>
  <c r="W211" i="107" s="1"/>
  <c r="G214" i="108" s="1"/>
  <c r="E203" i="93"/>
  <c r="U203" i="93" s="1"/>
  <c r="E210" i="107" s="1"/>
  <c r="U210" i="107" s="1"/>
  <c r="U110" i="90"/>
  <c r="H110" i="93"/>
  <c r="X110" i="93" s="1"/>
  <c r="H111" i="107" s="1"/>
  <c r="X111" i="107" s="1"/>
  <c r="H112" i="108" s="1"/>
  <c r="U167" i="90"/>
  <c r="G169" i="93"/>
  <c r="W169" i="93" s="1"/>
  <c r="G175" i="107" s="1"/>
  <c r="W175" i="107" s="1"/>
  <c r="G178" i="108" s="1"/>
  <c r="U195" i="90"/>
  <c r="G202" i="93"/>
  <c r="W202" i="93" s="1"/>
  <c r="G209" i="107" s="1"/>
  <c r="W209" i="107" s="1"/>
  <c r="G212" i="108" s="1"/>
  <c r="E45" i="93"/>
  <c r="U45" i="93" s="1"/>
  <c r="E46" i="107" s="1"/>
  <c r="U46" i="107" s="1"/>
  <c r="E233" i="93"/>
  <c r="AA233" i="93"/>
  <c r="U233" i="93" s="1"/>
  <c r="U146" i="90"/>
  <c r="G146" i="93"/>
  <c r="W146" i="93" s="1"/>
  <c r="G151" i="107" s="1"/>
  <c r="W151" i="107" s="1"/>
  <c r="G153" i="108" s="1"/>
  <c r="U99" i="90"/>
  <c r="G99" i="93"/>
  <c r="W99" i="93" s="1"/>
  <c r="G100" i="107" s="1"/>
  <c r="W100" i="107" s="1"/>
  <c r="G101" i="108" s="1"/>
  <c r="U213" i="90"/>
  <c r="U214" i="90" s="1"/>
  <c r="G223" i="93"/>
  <c r="W223" i="93" s="1"/>
  <c r="G230" i="107" s="1"/>
  <c r="W230" i="107" s="1"/>
  <c r="G233" i="108" s="1"/>
  <c r="U189" i="90"/>
  <c r="U191" i="90" s="1"/>
  <c r="G196" i="93"/>
  <c r="W196" i="93" s="1"/>
  <c r="G203" i="107" s="1"/>
  <c r="W203" i="107" s="1"/>
  <c r="G206" i="108" s="1"/>
  <c r="E197" i="93"/>
  <c r="U197" i="93" s="1"/>
  <c r="E204" i="107" s="1"/>
  <c r="U204" i="107" s="1"/>
  <c r="U162" i="90"/>
  <c r="G162" i="93"/>
  <c r="W162" i="93" s="1"/>
  <c r="G168" i="107" s="1"/>
  <c r="W168" i="107" s="1"/>
  <c r="G170" i="108" s="1"/>
  <c r="E52" i="90"/>
  <c r="G207" i="82"/>
  <c r="G211" i="82" s="1"/>
  <c r="F180" i="90"/>
  <c r="F188" i="90" s="1"/>
  <c r="V188" i="90" s="1"/>
  <c r="F195" i="93" s="1"/>
  <c r="V195" i="93" s="1"/>
  <c r="F202" i="107" s="1"/>
  <c r="V202" i="107" s="1"/>
  <c r="F205" i="108" s="1"/>
  <c r="V205" i="108" s="1"/>
  <c r="F207" i="112" s="1"/>
  <c r="V207" i="112" s="1"/>
  <c r="F211" i="113" s="1"/>
  <c r="V211" i="113" s="1"/>
  <c r="F226" i="117" s="1"/>
  <c r="V226" i="117" s="1"/>
  <c r="F230" i="121" s="1"/>
  <c r="V230" i="121" s="1"/>
  <c r="F230" i="122" s="1"/>
  <c r="V230" i="122" s="1"/>
  <c r="X120" i="90"/>
  <c r="H120" i="93" s="1"/>
  <c r="X120" i="93" s="1"/>
  <c r="H121" i="107" s="1"/>
  <c r="X121" i="107" s="1"/>
  <c r="H122" i="108" s="1"/>
  <c r="X122" i="108" s="1"/>
  <c r="H122" i="112" s="1"/>
  <c r="X122" i="112" s="1"/>
  <c r="H124" i="113" s="1"/>
  <c r="X124" i="113" s="1"/>
  <c r="H135" i="117" s="1"/>
  <c r="X135" i="117" s="1"/>
  <c r="H133" i="121" s="1"/>
  <c r="X133" i="121" s="1"/>
  <c r="H133" i="122" s="1"/>
  <c r="X133" i="122" s="1"/>
  <c r="E86" i="90"/>
  <c r="E120" i="90"/>
  <c r="E67" i="90"/>
  <c r="E56" i="90"/>
  <c r="W139" i="90"/>
  <c r="E139" i="90"/>
  <c r="E141" i="90" s="1"/>
  <c r="E196" i="90"/>
  <c r="E198" i="90" s="1"/>
  <c r="K141" i="90"/>
  <c r="AA141" i="90" s="1"/>
  <c r="K141" i="93" s="1"/>
  <c r="AA141" i="93" s="1"/>
  <c r="K144" i="107" s="1"/>
  <c r="K140" i="90"/>
  <c r="AA140" i="90" s="1"/>
  <c r="K140" i="93" s="1"/>
  <c r="AA140" i="93" s="1"/>
  <c r="K141" i="107" s="1"/>
  <c r="AB140" i="90"/>
  <c r="L140" i="93" s="1"/>
  <c r="AB140" i="93" s="1"/>
  <c r="L141" i="107" s="1"/>
  <c r="AB141" i="107" s="1"/>
  <c r="L142" i="108" s="1"/>
  <c r="W74" i="90"/>
  <c r="E74" i="90"/>
  <c r="J141" i="90"/>
  <c r="Z141" i="90" s="1"/>
  <c r="J141" i="93" s="1"/>
  <c r="Z141" i="93" s="1"/>
  <c r="J144" i="107" s="1"/>
  <c r="Z144" i="107" s="1"/>
  <c r="J146" i="108" s="1"/>
  <c r="Z146" i="108" s="1"/>
  <c r="J148" i="112" s="1"/>
  <c r="Z148" i="112" s="1"/>
  <c r="J152" i="113" s="1"/>
  <c r="Z152" i="113" s="1"/>
  <c r="J163" i="117" s="1"/>
  <c r="Z163" i="117" s="1"/>
  <c r="J161" i="121" s="1"/>
  <c r="Z161" i="121" s="1"/>
  <c r="J161" i="122" s="1"/>
  <c r="Z161" i="122" s="1"/>
  <c r="J140" i="90"/>
  <c r="Z140" i="90" s="1"/>
  <c r="J140" i="93" s="1"/>
  <c r="Z140" i="93" s="1"/>
  <c r="J141" i="107" s="1"/>
  <c r="Z141" i="107" s="1"/>
  <c r="J142" i="108" s="1"/>
  <c r="Z142" i="108" s="1"/>
  <c r="J142" i="112" s="1"/>
  <c r="Z142" i="112" s="1"/>
  <c r="J144" i="113" s="1"/>
  <c r="Z144" i="113" s="1"/>
  <c r="J155" i="117" s="1"/>
  <c r="Z155" i="117" s="1"/>
  <c r="J153" i="121" s="1"/>
  <c r="Z153" i="121" s="1"/>
  <c r="J153" i="122" s="1"/>
  <c r="Z153" i="122" s="1"/>
  <c r="W91" i="90"/>
  <c r="E91" i="90"/>
  <c r="W163" i="90"/>
  <c r="E163" i="90"/>
  <c r="U81" i="82"/>
  <c r="AB204" i="82"/>
  <c r="L218" i="90" s="1"/>
  <c r="AB218" i="90" s="1"/>
  <c r="L228" i="93" s="1"/>
  <c r="AB228" i="93" s="1"/>
  <c r="L235" i="107" s="1"/>
  <c r="AB235" i="107" s="1"/>
  <c r="L238" i="108" s="1"/>
  <c r="U54" i="90"/>
  <c r="U50" i="90"/>
  <c r="U52" i="90" s="1"/>
  <c r="U151" i="90"/>
  <c r="U79" i="90"/>
  <c r="U86" i="90" s="1"/>
  <c r="U173" i="90"/>
  <c r="U175" i="90" s="1"/>
  <c r="U199" i="90"/>
  <c r="U200" i="90" s="1"/>
  <c r="E164" i="90"/>
  <c r="U154" i="90"/>
  <c r="U121" i="90"/>
  <c r="U88" i="90"/>
  <c r="U165" i="90"/>
  <c r="U171" i="90" s="1"/>
  <c r="U71" i="90"/>
  <c r="U196" i="90"/>
  <c r="U145" i="90"/>
  <c r="E150" i="90"/>
  <c r="U55" i="90"/>
  <c r="U108" i="90"/>
  <c r="U192" i="90"/>
  <c r="U193" i="90" s="1"/>
  <c r="U177" i="90"/>
  <c r="U122" i="90"/>
  <c r="U144" i="90"/>
  <c r="W174" i="82"/>
  <c r="G176" i="90" s="1"/>
  <c r="AA161" i="82"/>
  <c r="K172" i="90" s="1"/>
  <c r="AA172" i="90" s="1"/>
  <c r="K174" i="93" s="1"/>
  <c r="AA174" i="93" s="1"/>
  <c r="K181" i="107" s="1"/>
  <c r="AA181" i="107" s="1"/>
  <c r="K184" i="108" s="1"/>
  <c r="AA184" i="108" s="1"/>
  <c r="K186" i="112" s="1"/>
  <c r="AA186" i="112" s="1"/>
  <c r="K190" i="113" s="1"/>
  <c r="X134" i="82"/>
  <c r="H143" i="90" s="1"/>
  <c r="AB52" i="82"/>
  <c r="L57" i="90" s="1"/>
  <c r="AB57" i="90" s="1"/>
  <c r="L57" i="93" s="1"/>
  <c r="AB57" i="93" s="1"/>
  <c r="L58" i="107" s="1"/>
  <c r="AB58" i="107" s="1"/>
  <c r="L59" i="108" s="1"/>
  <c r="Z90" i="82"/>
  <c r="J95" i="90" s="1"/>
  <c r="Z95" i="90" s="1"/>
  <c r="J95" i="93" s="1"/>
  <c r="Z95" i="93" s="1"/>
  <c r="J96" i="107" s="1"/>
  <c r="Z96" i="107" s="1"/>
  <c r="J97" i="108" s="1"/>
  <c r="Z97" i="108" s="1"/>
  <c r="J97" i="112" s="1"/>
  <c r="Z97" i="112" s="1"/>
  <c r="J97" i="113" s="1"/>
  <c r="Z97" i="113" s="1"/>
  <c r="J107" i="117" s="1"/>
  <c r="Z107" i="117" s="1"/>
  <c r="J105" i="121" s="1"/>
  <c r="Z105" i="121" s="1"/>
  <c r="J105" i="122" s="1"/>
  <c r="Z105" i="122" s="1"/>
  <c r="AB90" i="82"/>
  <c r="L95" i="90" s="1"/>
  <c r="AB95" i="90" s="1"/>
  <c r="L95" i="93" s="1"/>
  <c r="AB95" i="93" s="1"/>
  <c r="L96" i="107" s="1"/>
  <c r="AB96" i="107" s="1"/>
  <c r="L97" i="108" s="1"/>
  <c r="U132" i="82"/>
  <c r="AA134" i="82"/>
  <c r="K143" i="90" s="1"/>
  <c r="AA143" i="90" s="1"/>
  <c r="K143" i="93" s="1"/>
  <c r="AA143" i="93" s="1"/>
  <c r="K148" i="107" s="1"/>
  <c r="AA148" i="107" s="1"/>
  <c r="K150" i="108" s="1"/>
  <c r="AA150" i="108" s="1"/>
  <c r="K152" i="112" s="1"/>
  <c r="AA152" i="112" s="1"/>
  <c r="K156" i="113" s="1"/>
  <c r="AA156" i="113" s="1"/>
  <c r="K167" i="117" s="1"/>
  <c r="AA167" i="117" s="1"/>
  <c r="K165" i="121" s="1"/>
  <c r="AA165" i="121" s="1"/>
  <c r="K165" i="122" s="1"/>
  <c r="AA165" i="122" s="1"/>
  <c r="Z174" i="82"/>
  <c r="J188" i="90" s="1"/>
  <c r="Z188" i="90" s="1"/>
  <c r="J195" i="93" s="1"/>
  <c r="Z195" i="93" s="1"/>
  <c r="J202" i="107" s="1"/>
  <c r="Z202" i="107" s="1"/>
  <c r="J205" i="108" s="1"/>
  <c r="Z205" i="108" s="1"/>
  <c r="J207" i="112" s="1"/>
  <c r="Z207" i="112" s="1"/>
  <c r="J211" i="113" s="1"/>
  <c r="Z211" i="113" s="1"/>
  <c r="J226" i="117" s="1"/>
  <c r="Z226" i="117" s="1"/>
  <c r="J230" i="121" s="1"/>
  <c r="Z230" i="121" s="1"/>
  <c r="J230" i="122" s="1"/>
  <c r="Z230" i="122" s="1"/>
  <c r="U192" i="82"/>
  <c r="Z204" i="82"/>
  <c r="J218" i="90" s="1"/>
  <c r="Z218" i="90" s="1"/>
  <c r="J228" i="93" s="1"/>
  <c r="Z228" i="93" s="1"/>
  <c r="J235" i="107" s="1"/>
  <c r="Z235" i="107" s="1"/>
  <c r="J238" i="108" s="1"/>
  <c r="Z238" i="108" s="1"/>
  <c r="J240" i="112" s="1"/>
  <c r="Z240" i="112" s="1"/>
  <c r="J245" i="113" s="1"/>
  <c r="Z245" i="113" s="1"/>
  <c r="J260" i="117" s="1"/>
  <c r="Z260" i="117" s="1"/>
  <c r="J264" i="121" s="1"/>
  <c r="Z264" i="121" s="1"/>
  <c r="J264" i="122" s="1"/>
  <c r="Z264" i="122" s="1"/>
  <c r="Z161" i="82"/>
  <c r="J172" i="90" s="1"/>
  <c r="Z172" i="90" s="1"/>
  <c r="J174" i="93" s="1"/>
  <c r="Z174" i="93" s="1"/>
  <c r="J181" i="107" s="1"/>
  <c r="Z181" i="107" s="1"/>
  <c r="J184" i="108" s="1"/>
  <c r="Z184" i="108" s="1"/>
  <c r="J186" i="112" s="1"/>
  <c r="Z186" i="112" s="1"/>
  <c r="J190" i="113" s="1"/>
  <c r="Z190" i="113" s="1"/>
  <c r="J202" i="117" s="1"/>
  <c r="Z202" i="117" s="1"/>
  <c r="J200" i="121" s="1"/>
  <c r="Z200" i="121" s="1"/>
  <c r="J200" i="122" s="1"/>
  <c r="Z200" i="122" s="1"/>
  <c r="Z134" i="82"/>
  <c r="J143" i="90" s="1"/>
  <c r="Z143" i="90" s="1"/>
  <c r="J143" i="93" s="1"/>
  <c r="Z143" i="93" s="1"/>
  <c r="J148" i="107" s="1"/>
  <c r="Z148" i="107" s="1"/>
  <c r="J150" i="108" s="1"/>
  <c r="Z150" i="108" s="1"/>
  <c r="J152" i="112" s="1"/>
  <c r="Z152" i="112" s="1"/>
  <c r="J156" i="113" s="1"/>
  <c r="Z156" i="113" s="1"/>
  <c r="J167" i="117" s="1"/>
  <c r="Z167" i="117" s="1"/>
  <c r="J165" i="121" s="1"/>
  <c r="Z165" i="121" s="1"/>
  <c r="J165" i="122" s="1"/>
  <c r="Z165" i="122" s="1"/>
  <c r="AB73" i="82"/>
  <c r="L78" i="90" s="1"/>
  <c r="AB78" i="90" s="1"/>
  <c r="L78" i="93" s="1"/>
  <c r="AB78" i="93" s="1"/>
  <c r="L79" i="107" s="1"/>
  <c r="AB79" i="107" s="1"/>
  <c r="L80" i="108" s="1"/>
  <c r="AA204" i="82"/>
  <c r="K218" i="90" s="1"/>
  <c r="AA218" i="90" s="1"/>
  <c r="K228" i="93" s="1"/>
  <c r="AA228" i="93" s="1"/>
  <c r="K235" i="107" s="1"/>
  <c r="AA235" i="107" s="1"/>
  <c r="K238" i="108" s="1"/>
  <c r="AA238" i="108" s="1"/>
  <c r="K240" i="112" s="1"/>
  <c r="AA240" i="112" s="1"/>
  <c r="K245" i="113" s="1"/>
  <c r="AA245" i="113" s="1"/>
  <c r="K260" i="117" s="1"/>
  <c r="AA260" i="117" s="1"/>
  <c r="K264" i="121" s="1"/>
  <c r="AA264" i="121" s="1"/>
  <c r="K264" i="122" s="1"/>
  <c r="AA264" i="122" s="1"/>
  <c r="W73" i="82"/>
  <c r="G75" i="90" s="1"/>
  <c r="AB134" i="82"/>
  <c r="L143" i="90" s="1"/>
  <c r="AB143" i="90" s="1"/>
  <c r="L143" i="93" s="1"/>
  <c r="AB143" i="93" s="1"/>
  <c r="L148" i="107" s="1"/>
  <c r="AB148" i="107" s="1"/>
  <c r="L150" i="108" s="1"/>
  <c r="V174" i="82"/>
  <c r="Z52" i="82"/>
  <c r="J57" i="90" s="1"/>
  <c r="Z57" i="90" s="1"/>
  <c r="J57" i="93" s="1"/>
  <c r="Z57" i="93" s="1"/>
  <c r="J58" i="107" s="1"/>
  <c r="Z58" i="107" s="1"/>
  <c r="J59" i="108" s="1"/>
  <c r="Z59" i="108" s="1"/>
  <c r="J59" i="112" s="1"/>
  <c r="Z59" i="112" s="1"/>
  <c r="J59" i="113" s="1"/>
  <c r="Z59" i="113" s="1"/>
  <c r="J69" i="117" s="1"/>
  <c r="Z69" i="117" s="1"/>
  <c r="J70" i="121" s="1"/>
  <c r="Z70" i="121" s="1"/>
  <c r="J70" i="122" s="1"/>
  <c r="Z70" i="122" s="1"/>
  <c r="W204" i="82"/>
  <c r="G208" i="90" s="1"/>
  <c r="Z73" i="82"/>
  <c r="J78" i="90" s="1"/>
  <c r="Z78" i="90" s="1"/>
  <c r="J78" i="93" s="1"/>
  <c r="Z78" i="93" s="1"/>
  <c r="J79" i="107" s="1"/>
  <c r="Z79" i="107" s="1"/>
  <c r="J80" i="108" s="1"/>
  <c r="Z80" i="108" s="1"/>
  <c r="J80" i="112" s="1"/>
  <c r="Z80" i="112" s="1"/>
  <c r="J80" i="113" s="1"/>
  <c r="Z80" i="113" s="1"/>
  <c r="J90" i="117" s="1"/>
  <c r="Z90" i="117" s="1"/>
  <c r="J88" i="121" s="1"/>
  <c r="Z88" i="121" s="1"/>
  <c r="J88" i="122" s="1"/>
  <c r="Z88" i="122" s="1"/>
  <c r="J207" i="82"/>
  <c r="J211" i="82" s="1"/>
  <c r="W90" i="82"/>
  <c r="G92" i="90" s="1"/>
  <c r="U47" i="82"/>
  <c r="AB174" i="82"/>
  <c r="L188" i="90" s="1"/>
  <c r="AB188" i="90" s="1"/>
  <c r="L195" i="93" s="1"/>
  <c r="AB195" i="93" s="1"/>
  <c r="L202" i="107" s="1"/>
  <c r="AB202" i="107" s="1"/>
  <c r="L205" i="108" s="1"/>
  <c r="U169" i="82"/>
  <c r="U174" i="82" s="1"/>
  <c r="AB201" i="81"/>
  <c r="L207" i="82"/>
  <c r="L211" i="82" s="1"/>
  <c r="U51" i="82"/>
  <c r="E73" i="82"/>
  <c r="X201" i="81"/>
  <c r="H207" i="82"/>
  <c r="H211" i="82" s="1"/>
  <c r="U89" i="82"/>
  <c r="U72" i="82"/>
  <c r="U73" i="82" s="1"/>
  <c r="U112" i="82"/>
  <c r="AB161" i="82"/>
  <c r="L172" i="90" s="1"/>
  <c r="AB172" i="90" s="1"/>
  <c r="L174" i="93" s="1"/>
  <c r="AB174" i="93" s="1"/>
  <c r="L181" i="107" s="1"/>
  <c r="AB181" i="107" s="1"/>
  <c r="L184" i="108" s="1"/>
  <c r="U198" i="82"/>
  <c r="U153" i="82"/>
  <c r="U141" i="82"/>
  <c r="AA201" i="81"/>
  <c r="K207" i="82"/>
  <c r="K211" i="82" s="1"/>
  <c r="E8" i="77"/>
  <c r="E17" i="77"/>
  <c r="F17" i="77"/>
  <c r="D23" i="60"/>
  <c r="BY88" i="13" s="1"/>
  <c r="O39" i="41"/>
  <c r="M39" i="41"/>
  <c r="L39" i="41"/>
  <c r="O38" i="41"/>
  <c r="M38" i="41"/>
  <c r="L38" i="41"/>
  <c r="K37" i="41"/>
  <c r="C16" i="41"/>
  <c r="C17" i="41"/>
  <c r="C18" i="41"/>
  <c r="C19" i="41"/>
  <c r="C20" i="41"/>
  <c r="C21" i="41"/>
  <c r="C22" i="41"/>
  <c r="C23" i="41"/>
  <c r="C24" i="41"/>
  <c r="C25" i="41"/>
  <c r="C26" i="41"/>
  <c r="C27" i="41"/>
  <c r="C29" i="41"/>
  <c r="C30" i="41"/>
  <c r="C31" i="41"/>
  <c r="C32" i="41"/>
  <c r="C33" i="41"/>
  <c r="C34" i="41"/>
  <c r="C35" i="41"/>
  <c r="C15" i="41"/>
  <c r="AB259" i="122" l="1"/>
  <c r="AB146" i="122"/>
  <c r="AB251" i="122"/>
  <c r="AB250" i="122"/>
  <c r="AA83" i="122"/>
  <c r="E83" i="122"/>
  <c r="U83" i="122" s="1"/>
  <c r="AB140" i="122"/>
  <c r="AB185" i="122"/>
  <c r="AB73" i="122"/>
  <c r="E73" i="122"/>
  <c r="U73" i="122" s="1"/>
  <c r="AA84" i="122"/>
  <c r="AA98" i="122"/>
  <c r="AA79" i="122"/>
  <c r="E79" i="122"/>
  <c r="U79" i="122" s="1"/>
  <c r="AB168" i="122"/>
  <c r="AB137" i="122"/>
  <c r="V14" i="122"/>
  <c r="U14" i="122" s="1"/>
  <c r="E14" i="122"/>
  <c r="H12" i="122"/>
  <c r="X12" i="122" s="1"/>
  <c r="AB142" i="122"/>
  <c r="AB178" i="122"/>
  <c r="AA103" i="122"/>
  <c r="E103" i="122"/>
  <c r="U103" i="122" s="1"/>
  <c r="AA197" i="122"/>
  <c r="E197" i="122"/>
  <c r="U197" i="122" s="1"/>
  <c r="AB236" i="122"/>
  <c r="E123" i="122"/>
  <c r="U123" i="122" s="1"/>
  <c r="AB123" i="122"/>
  <c r="AB63" i="122"/>
  <c r="AA102" i="122"/>
  <c r="AB76" i="122"/>
  <c r="E76" i="122"/>
  <c r="U76" i="122" s="1"/>
  <c r="AB176" i="122"/>
  <c r="E176" i="122"/>
  <c r="U176" i="122" s="1"/>
  <c r="AB141" i="122"/>
  <c r="E110" i="122"/>
  <c r="U110" i="122" s="1"/>
  <c r="AB110" i="122"/>
  <c r="AB109" i="122"/>
  <c r="E94" i="122"/>
  <c r="U94" i="122" s="1"/>
  <c r="AB94" i="122"/>
  <c r="AA99" i="122"/>
  <c r="E99" i="122"/>
  <c r="U99" i="122" s="1"/>
  <c r="E119" i="122"/>
  <c r="U119" i="122" s="1"/>
  <c r="AB119" i="122"/>
  <c r="AB111" i="122"/>
  <c r="E111" i="122"/>
  <c r="U111" i="122" s="1"/>
  <c r="AB169" i="122"/>
  <c r="E169" i="122"/>
  <c r="U169" i="122" s="1"/>
  <c r="AB150" i="122"/>
  <c r="AA101" i="122"/>
  <c r="AB113" i="122"/>
  <c r="E113" i="122"/>
  <c r="U113" i="122" s="1"/>
  <c r="X164" i="121"/>
  <c r="H164" i="122" s="1"/>
  <c r="H162" i="122"/>
  <c r="X162" i="122" s="1"/>
  <c r="X164" i="122" s="1"/>
  <c r="AB92" i="122"/>
  <c r="E92" i="122"/>
  <c r="U92" i="122" s="1"/>
  <c r="AB134" i="122"/>
  <c r="AB74" i="122"/>
  <c r="AB77" i="122"/>
  <c r="E77" i="122"/>
  <c r="U77" i="122" s="1"/>
  <c r="AB40" i="122"/>
  <c r="AA262" i="122"/>
  <c r="E262" i="122"/>
  <c r="U262" i="122" s="1"/>
  <c r="E90" i="122"/>
  <c r="U90" i="122" s="1"/>
  <c r="AB90" i="122"/>
  <c r="AB78" i="122"/>
  <c r="AB148" i="122"/>
  <c r="AB114" i="122"/>
  <c r="E114" i="122"/>
  <c r="U114" i="122" s="1"/>
  <c r="AA100" i="122"/>
  <c r="AB170" i="122"/>
  <c r="E170" i="122"/>
  <c r="U170" i="122" s="1"/>
  <c r="AB182" i="122"/>
  <c r="V18" i="121"/>
  <c r="AA162" i="121"/>
  <c r="W215" i="121"/>
  <c r="G215" i="122" s="1"/>
  <c r="E215" i="121"/>
  <c r="U215" i="121" s="1"/>
  <c r="AB180" i="121"/>
  <c r="L180" i="122" s="1"/>
  <c r="AB120" i="121"/>
  <c r="L120" i="122" s="1"/>
  <c r="AB108" i="121"/>
  <c r="L108" i="122" s="1"/>
  <c r="E108" i="121"/>
  <c r="U108" i="121" s="1"/>
  <c r="AB75" i="121"/>
  <c r="L75" i="122" s="1"/>
  <c r="E75" i="121"/>
  <c r="U75" i="121" s="1"/>
  <c r="E50" i="121"/>
  <c r="U50" i="121" s="1"/>
  <c r="AA50" i="121"/>
  <c r="K50" i="122" s="1"/>
  <c r="AA49" i="121"/>
  <c r="K49" i="122" s="1"/>
  <c r="E49" i="121"/>
  <c r="U49" i="121" s="1"/>
  <c r="X58" i="121"/>
  <c r="H58" i="122" s="1"/>
  <c r="AB237" i="121"/>
  <c r="L237" i="122" s="1"/>
  <c r="AB145" i="121"/>
  <c r="L145" i="122" s="1"/>
  <c r="AA81" i="121"/>
  <c r="K81" i="122" s="1"/>
  <c r="E81" i="121"/>
  <c r="U81" i="121" s="1"/>
  <c r="E117" i="121"/>
  <c r="U117" i="121" s="1"/>
  <c r="AB117" i="121"/>
  <c r="L117" i="122" s="1"/>
  <c r="AB37" i="121"/>
  <c r="L37" i="122" s="1"/>
  <c r="E37" i="121"/>
  <c r="U37" i="121" s="1"/>
  <c r="AB239" i="121"/>
  <c r="L239" i="122" s="1"/>
  <c r="AB144" i="121"/>
  <c r="L144" i="122" s="1"/>
  <c r="AA82" i="121"/>
  <c r="K82" i="122" s="1"/>
  <c r="E82" i="121"/>
  <c r="U82" i="121" s="1"/>
  <c r="E260" i="121"/>
  <c r="U260" i="121" s="1"/>
  <c r="AB260" i="121"/>
  <c r="L260" i="122" s="1"/>
  <c r="V11" i="121"/>
  <c r="F11" i="122" s="1"/>
  <c r="V53" i="121"/>
  <c r="F53" i="122" s="1"/>
  <c r="E53" i="121"/>
  <c r="U53" i="121" s="1"/>
  <c r="AA193" i="121"/>
  <c r="K193" i="122" s="1"/>
  <c r="AB93" i="121"/>
  <c r="L93" i="122" s="1"/>
  <c r="W252" i="121"/>
  <c r="G252" i="122" s="1"/>
  <c r="E252" i="121"/>
  <c r="U252" i="121" s="1"/>
  <c r="AB181" i="121"/>
  <c r="L181" i="122" s="1"/>
  <c r="E181" i="121"/>
  <c r="U181" i="121" s="1"/>
  <c r="AB136" i="121"/>
  <c r="L136" i="122" s="1"/>
  <c r="AA196" i="121"/>
  <c r="K196" i="122" s="1"/>
  <c r="E196" i="121"/>
  <c r="U196" i="121" s="1"/>
  <c r="AA42" i="121"/>
  <c r="K42" i="122" s="1"/>
  <c r="E42" i="121"/>
  <c r="U42" i="121" s="1"/>
  <c r="AB43" i="121"/>
  <c r="L43" i="122" s="1"/>
  <c r="AB122" i="121"/>
  <c r="L122" i="122" s="1"/>
  <c r="E122" i="121"/>
  <c r="U122" i="121" s="1"/>
  <c r="AB183" i="121"/>
  <c r="L183" i="122" s="1"/>
  <c r="AB67" i="121"/>
  <c r="L67" i="122" s="1"/>
  <c r="AB41" i="121"/>
  <c r="L41" i="122" s="1"/>
  <c r="AB36" i="121"/>
  <c r="L36" i="122" s="1"/>
  <c r="AB138" i="121"/>
  <c r="L138" i="122" s="1"/>
  <c r="AB66" i="121"/>
  <c r="L66" i="122" s="1"/>
  <c r="E66" i="121"/>
  <c r="U66" i="121" s="1"/>
  <c r="AB112" i="121"/>
  <c r="L112" i="122" s="1"/>
  <c r="E112" i="121"/>
  <c r="U112" i="121" s="1"/>
  <c r="AB205" i="121"/>
  <c r="L205" i="122" s="1"/>
  <c r="AA195" i="121"/>
  <c r="K195" i="122" s="1"/>
  <c r="E195" i="121"/>
  <c r="U195" i="121" s="1"/>
  <c r="AA97" i="121"/>
  <c r="K97" i="122" s="1"/>
  <c r="E97" i="121"/>
  <c r="U97" i="121" s="1"/>
  <c r="AB245" i="121"/>
  <c r="L245" i="122" s="1"/>
  <c r="E245" i="121"/>
  <c r="U245" i="121" s="1"/>
  <c r="W80" i="121"/>
  <c r="G80" i="122" s="1"/>
  <c r="E80" i="121"/>
  <c r="U80" i="121" s="1"/>
  <c r="AA194" i="121"/>
  <c r="K194" i="122" s="1"/>
  <c r="AB166" i="121"/>
  <c r="L166" i="122" s="1"/>
  <c r="W253" i="121"/>
  <c r="G253" i="122" s="1"/>
  <c r="E253" i="121"/>
  <c r="U253" i="121" s="1"/>
  <c r="E121" i="121"/>
  <c r="U121" i="121" s="1"/>
  <c r="AB121" i="121"/>
  <c r="L121" i="122" s="1"/>
  <c r="U134" i="82"/>
  <c r="AA166" i="117"/>
  <c r="K164" i="121" s="1"/>
  <c r="X166" i="117"/>
  <c r="H164" i="121" s="1"/>
  <c r="AB61" i="117"/>
  <c r="L62" i="121" s="1"/>
  <c r="E61" i="117"/>
  <c r="U61" i="117" s="1"/>
  <c r="E118" i="117"/>
  <c r="U118" i="117" s="1"/>
  <c r="AB118" i="117"/>
  <c r="L116" i="121" s="1"/>
  <c r="AB227" i="117"/>
  <c r="L231" i="121" s="1"/>
  <c r="W24" i="108"/>
  <c r="E24" i="108"/>
  <c r="W29" i="108"/>
  <c r="E29" i="108"/>
  <c r="U16" i="107"/>
  <c r="G16" i="108"/>
  <c r="E186" i="117"/>
  <c r="U186" i="117" s="1"/>
  <c r="AB186" i="117"/>
  <c r="L184" i="121" s="1"/>
  <c r="AB229" i="117"/>
  <c r="L233" i="121" s="1"/>
  <c r="AB233" i="121" s="1"/>
  <c r="L233" i="122" s="1"/>
  <c r="AB243" i="117"/>
  <c r="L247" i="121" s="1"/>
  <c r="E243" i="117"/>
  <c r="U243" i="117" s="1"/>
  <c r="AB93" i="117"/>
  <c r="L91" i="121" s="1"/>
  <c r="E93" i="117"/>
  <c r="U93" i="117" s="1"/>
  <c r="AA106" i="117"/>
  <c r="K104" i="121" s="1"/>
  <c r="AB70" i="117"/>
  <c r="L71" i="121" s="1"/>
  <c r="E70" i="117"/>
  <c r="U70" i="117" s="1"/>
  <c r="AB164" i="117"/>
  <c r="L162" i="121" s="1"/>
  <c r="AB162" i="121" s="1"/>
  <c r="E164" i="117"/>
  <c r="U164" i="117" s="1"/>
  <c r="W23" i="108"/>
  <c r="E23" i="108"/>
  <c r="L17" i="113"/>
  <c r="U12" i="107"/>
  <c r="G12" i="108"/>
  <c r="AA257" i="117"/>
  <c r="K261" i="121" s="1"/>
  <c r="W187" i="117"/>
  <c r="G185" i="121" s="1"/>
  <c r="E187" i="117"/>
  <c r="U187" i="117" s="1"/>
  <c r="AB153" i="117"/>
  <c r="L151" i="121" s="1"/>
  <c r="AB149" i="117"/>
  <c r="L147" i="121" s="1"/>
  <c r="E88" i="117"/>
  <c r="U88" i="117" s="1"/>
  <c r="AB88" i="117"/>
  <c r="L86" i="121" s="1"/>
  <c r="U11" i="108"/>
  <c r="H11" i="112"/>
  <c r="L12" i="113"/>
  <c r="G22" i="112"/>
  <c r="U22" i="108"/>
  <c r="W127" i="117"/>
  <c r="G125" i="121" s="1"/>
  <c r="E127" i="117"/>
  <c r="U127" i="117" s="1"/>
  <c r="AB47" i="117"/>
  <c r="L48" i="121" s="1"/>
  <c r="E47" i="117"/>
  <c r="U47" i="117" s="1"/>
  <c r="W208" i="117"/>
  <c r="G206" i="121" s="1"/>
  <c r="E208" i="117"/>
  <c r="U208" i="117" s="1"/>
  <c r="W58" i="117"/>
  <c r="G59" i="121" s="1"/>
  <c r="E58" i="117"/>
  <c r="U58" i="117" s="1"/>
  <c r="AA204" i="117"/>
  <c r="K202" i="121" s="1"/>
  <c r="E204" i="117"/>
  <c r="U204" i="117" s="1"/>
  <c r="W117" i="117"/>
  <c r="G115" i="121" s="1"/>
  <c r="E117" i="117"/>
  <c r="U117" i="117" s="1"/>
  <c r="W217" i="117"/>
  <c r="G216" i="121" s="1"/>
  <c r="E217" i="117"/>
  <c r="U217" i="117" s="1"/>
  <c r="H31" i="113"/>
  <c r="X31" i="113" s="1"/>
  <c r="AF31" i="112"/>
  <c r="AA108" i="117"/>
  <c r="K106" i="121" s="1"/>
  <c r="E108" i="117"/>
  <c r="U108" i="117" s="1"/>
  <c r="AA99" i="113"/>
  <c r="K109" i="117" s="1"/>
  <c r="E99" i="113"/>
  <c r="U99" i="113" s="1"/>
  <c r="W183" i="113"/>
  <c r="G195" i="117" s="1"/>
  <c r="E183" i="113"/>
  <c r="U183" i="113" s="1"/>
  <c r="AB87" i="113"/>
  <c r="L97" i="117" s="1"/>
  <c r="E87" i="113"/>
  <c r="U87" i="113" s="1"/>
  <c r="V45" i="113"/>
  <c r="F53" i="117" s="1"/>
  <c r="V53" i="117" s="1"/>
  <c r="F54" i="121" s="1"/>
  <c r="AB162" i="113"/>
  <c r="L173" i="117" s="1"/>
  <c r="E162" i="113"/>
  <c r="U162" i="113" s="1"/>
  <c r="Z232" i="113"/>
  <c r="J247" i="117" s="1"/>
  <c r="AB191" i="113"/>
  <c r="L203" i="117" s="1"/>
  <c r="E191" i="113"/>
  <c r="U191" i="113" s="1"/>
  <c r="W217" i="113"/>
  <c r="G232" i="117" s="1"/>
  <c r="E217" i="113"/>
  <c r="U217" i="113" s="1"/>
  <c r="Z56" i="113"/>
  <c r="J66" i="117" s="1"/>
  <c r="E56" i="113"/>
  <c r="U56" i="113" s="1"/>
  <c r="AB169" i="113"/>
  <c r="L181" i="117" s="1"/>
  <c r="E169" i="113"/>
  <c r="U169" i="113" s="1"/>
  <c r="AB194" i="113"/>
  <c r="L206" i="117" s="1"/>
  <c r="Z90" i="113"/>
  <c r="J100" i="117" s="1"/>
  <c r="E90" i="113"/>
  <c r="U90" i="113" s="1"/>
  <c r="AB219" i="113"/>
  <c r="L234" i="117" s="1"/>
  <c r="E219" i="113"/>
  <c r="U219" i="113" s="1"/>
  <c r="Z67" i="113"/>
  <c r="J77" i="117" s="1"/>
  <c r="E67" i="113"/>
  <c r="U67" i="113" s="1"/>
  <c r="AB158" i="113"/>
  <c r="L169" i="117" s="1"/>
  <c r="E158" i="113"/>
  <c r="U158" i="113" s="1"/>
  <c r="Z172" i="113"/>
  <c r="J184" i="117" s="1"/>
  <c r="E172" i="113"/>
  <c r="U172" i="113" s="1"/>
  <c r="Z92" i="113"/>
  <c r="J102" i="117" s="1"/>
  <c r="E92" i="113"/>
  <c r="U92" i="113" s="1"/>
  <c r="W197" i="113"/>
  <c r="G209" i="117" s="1"/>
  <c r="E197" i="113"/>
  <c r="U197" i="113" s="1"/>
  <c r="AA157" i="113"/>
  <c r="K168" i="117" s="1"/>
  <c r="E157" i="113"/>
  <c r="U157" i="113" s="1"/>
  <c r="AB227" i="113"/>
  <c r="L242" i="117" s="1"/>
  <c r="E227" i="113"/>
  <c r="U227" i="113" s="1"/>
  <c r="AB53" i="113"/>
  <c r="L63" i="117" s="1"/>
  <c r="E53" i="113"/>
  <c r="U53" i="113" s="1"/>
  <c r="AB110" i="113"/>
  <c r="L120" i="117" s="1"/>
  <c r="E110" i="113"/>
  <c r="U110" i="113" s="1"/>
  <c r="W85" i="113"/>
  <c r="G95" i="117" s="1"/>
  <c r="E85" i="113"/>
  <c r="U85" i="113" s="1"/>
  <c r="Z63" i="113"/>
  <c r="J73" i="117" s="1"/>
  <c r="E63" i="113"/>
  <c r="U63" i="113" s="1"/>
  <c r="Z168" i="113"/>
  <c r="J180" i="117" s="1"/>
  <c r="E168" i="113"/>
  <c r="U168" i="113" s="1"/>
  <c r="AA182" i="113"/>
  <c r="K194" i="117" s="1"/>
  <c r="E182" i="113"/>
  <c r="U182" i="113" s="1"/>
  <c r="AB77" i="113"/>
  <c r="L87" i="117" s="1"/>
  <c r="AA155" i="113"/>
  <c r="K166" i="117" s="1"/>
  <c r="E166" i="117" s="1"/>
  <c r="U166" i="117" s="1"/>
  <c r="W201" i="113"/>
  <c r="G215" i="117" s="1"/>
  <c r="E201" i="113"/>
  <c r="U201" i="113" s="1"/>
  <c r="V195" i="113"/>
  <c r="F207" i="117" s="1"/>
  <c r="E195" i="113"/>
  <c r="U195" i="113" s="1"/>
  <c r="E224" i="113"/>
  <c r="U224" i="113" s="1"/>
  <c r="AB224" i="113"/>
  <c r="L239" i="117" s="1"/>
  <c r="AB165" i="113"/>
  <c r="L177" i="117" s="1"/>
  <c r="E165" i="113"/>
  <c r="U165" i="113" s="1"/>
  <c r="AB81" i="113"/>
  <c r="L91" i="117" s="1"/>
  <c r="E81" i="113"/>
  <c r="U81" i="113" s="1"/>
  <c r="AA215" i="113"/>
  <c r="K230" i="117" s="1"/>
  <c r="E215" i="113"/>
  <c r="U215" i="113" s="1"/>
  <c r="Z173" i="113"/>
  <c r="J185" i="117" s="1"/>
  <c r="E173" i="113"/>
  <c r="U173" i="113" s="1"/>
  <c r="Z61" i="113"/>
  <c r="J71" i="117" s="1"/>
  <c r="E61" i="113"/>
  <c r="U61" i="113" s="1"/>
  <c r="AB57" i="113"/>
  <c r="L67" i="117" s="1"/>
  <c r="E57" i="113"/>
  <c r="U57" i="113" s="1"/>
  <c r="E167" i="113"/>
  <c r="U167" i="113" s="1"/>
  <c r="AB167" i="113"/>
  <c r="L179" i="117" s="1"/>
  <c r="V18" i="113"/>
  <c r="F20" i="117" s="1"/>
  <c r="V20" i="117" s="1"/>
  <c r="F20" i="121" s="1"/>
  <c r="AA190" i="113"/>
  <c r="K202" i="117" s="1"/>
  <c r="AA31" i="113"/>
  <c r="K35" i="117" s="1"/>
  <c r="W40" i="113"/>
  <c r="G46" i="117" s="1"/>
  <c r="E40" i="113"/>
  <c r="U40" i="113" s="1"/>
  <c r="Z125" i="113"/>
  <c r="J136" i="117" s="1"/>
  <c r="Z136" i="117" s="1"/>
  <c r="J134" i="121" s="1"/>
  <c r="E222" i="113"/>
  <c r="U222" i="113" s="1"/>
  <c r="AA222" i="113"/>
  <c r="K237" i="117" s="1"/>
  <c r="Z73" i="113"/>
  <c r="J83" i="117" s="1"/>
  <c r="E73" i="113"/>
  <c r="U73" i="113" s="1"/>
  <c r="Z52" i="113"/>
  <c r="J62" i="117" s="1"/>
  <c r="E52" i="113"/>
  <c r="U52" i="113" s="1"/>
  <c r="AB118" i="113"/>
  <c r="L128" i="117" s="1"/>
  <c r="E118" i="113"/>
  <c r="U118" i="113" s="1"/>
  <c r="AB116" i="113"/>
  <c r="L126" i="117" s="1"/>
  <c r="E116" i="113"/>
  <c r="U116" i="113" s="1"/>
  <c r="W47" i="113"/>
  <c r="G57" i="117" s="1"/>
  <c r="E47" i="113"/>
  <c r="U47" i="113" s="1"/>
  <c r="W170" i="113"/>
  <c r="G182" i="117" s="1"/>
  <c r="E170" i="113"/>
  <c r="U170" i="113" s="1"/>
  <c r="E229" i="113"/>
  <c r="U229" i="113" s="1"/>
  <c r="AB229" i="113"/>
  <c r="L244" i="117" s="1"/>
  <c r="E238" i="108"/>
  <c r="AB238" i="108"/>
  <c r="L240" i="112" s="1"/>
  <c r="E170" i="108"/>
  <c r="U170" i="108" s="1"/>
  <c r="W170" i="108"/>
  <c r="G172" i="112" s="1"/>
  <c r="W178" i="108"/>
  <c r="G180" i="112" s="1"/>
  <c r="E178" i="108"/>
  <c r="U178" i="108" s="1"/>
  <c r="AB30" i="112"/>
  <c r="L30" i="113" s="1"/>
  <c r="Z234" i="112"/>
  <c r="J239" i="113" s="1"/>
  <c r="E234" i="112"/>
  <c r="U234" i="112" s="1"/>
  <c r="AB54" i="112"/>
  <c r="L54" i="113" s="1"/>
  <c r="E54" i="112"/>
  <c r="U54" i="112" s="1"/>
  <c r="W209" i="112"/>
  <c r="G213" i="113" s="1"/>
  <c r="E209" i="112"/>
  <c r="U209" i="112" s="1"/>
  <c r="W153" i="108"/>
  <c r="G155" i="112" s="1"/>
  <c r="E153" i="108"/>
  <c r="U153" i="108" s="1"/>
  <c r="E39" i="108"/>
  <c r="U39" i="108" s="1"/>
  <c r="W39" i="108"/>
  <c r="G39" i="112" s="1"/>
  <c r="U21" i="107"/>
  <c r="F21" i="108"/>
  <c r="AB189" i="112"/>
  <c r="L193" i="113" s="1"/>
  <c r="E189" i="112"/>
  <c r="U189" i="112" s="1"/>
  <c r="AB122" i="112"/>
  <c r="L124" i="113" s="1"/>
  <c r="E122" i="112"/>
  <c r="U122" i="112" s="1"/>
  <c r="F13" i="112"/>
  <c r="U13" i="108"/>
  <c r="E175" i="108"/>
  <c r="U175" i="108" s="1"/>
  <c r="AB175" i="108"/>
  <c r="L177" i="112" s="1"/>
  <c r="AB221" i="112"/>
  <c r="L225" i="113" s="1"/>
  <c r="E221" i="112"/>
  <c r="U221" i="112" s="1"/>
  <c r="AB150" i="108"/>
  <c r="L152" i="112" s="1"/>
  <c r="AB142" i="108"/>
  <c r="L142" i="112" s="1"/>
  <c r="X112" i="108"/>
  <c r="H112" i="112" s="1"/>
  <c r="E112" i="108"/>
  <c r="U112" i="108" s="1"/>
  <c r="U15" i="107"/>
  <c r="H15" i="108"/>
  <c r="E122" i="108"/>
  <c r="U122" i="108" s="1"/>
  <c r="AA210" i="112"/>
  <c r="K214" i="113" s="1"/>
  <c r="E210" i="112"/>
  <c r="U210" i="112" s="1"/>
  <c r="AB174" i="108"/>
  <c r="L176" i="112" s="1"/>
  <c r="E174" i="108"/>
  <c r="U174" i="108" s="1"/>
  <c r="AB88" i="112"/>
  <c r="L88" i="113" s="1"/>
  <c r="E88" i="112"/>
  <c r="U88" i="112" s="1"/>
  <c r="E205" i="108"/>
  <c r="U205" i="108" s="1"/>
  <c r="AB205" i="108"/>
  <c r="L207" i="112" s="1"/>
  <c r="W206" i="108"/>
  <c r="G208" i="112" s="1"/>
  <c r="E206" i="108"/>
  <c r="U206" i="108" s="1"/>
  <c r="AA185" i="112"/>
  <c r="K189" i="113" s="1"/>
  <c r="E185" i="112"/>
  <c r="U185" i="112" s="1"/>
  <c r="E19" i="108"/>
  <c r="V19" i="108"/>
  <c r="E25" i="108"/>
  <c r="V25" i="108"/>
  <c r="AB58" i="112"/>
  <c r="L58" i="113" s="1"/>
  <c r="E58" i="112"/>
  <c r="U58" i="112" s="1"/>
  <c r="L20" i="112"/>
  <c r="U20" i="108"/>
  <c r="W243" i="107"/>
  <c r="G204" i="108"/>
  <c r="E80" i="108"/>
  <c r="U80" i="108" s="1"/>
  <c r="AB80" i="108"/>
  <c r="L80" i="112" s="1"/>
  <c r="W233" i="108"/>
  <c r="G235" i="112" s="1"/>
  <c r="E233" i="108"/>
  <c r="U233" i="108" s="1"/>
  <c r="W214" i="108"/>
  <c r="G216" i="112" s="1"/>
  <c r="E214" i="108"/>
  <c r="U214" i="108" s="1"/>
  <c r="E219" i="112"/>
  <c r="U219" i="112" s="1"/>
  <c r="AA219" i="112"/>
  <c r="K223" i="113" s="1"/>
  <c r="X50" i="112"/>
  <c r="H50" i="113" s="1"/>
  <c r="X50" i="113" s="1"/>
  <c r="H60" i="117" s="1"/>
  <c r="X46" i="112"/>
  <c r="H46" i="113" s="1"/>
  <c r="E46" i="112"/>
  <c r="U46" i="112" s="1"/>
  <c r="AA212" i="112"/>
  <c r="K216" i="113" s="1"/>
  <c r="E212" i="112"/>
  <c r="U212" i="112" s="1"/>
  <c r="E239" i="112"/>
  <c r="U239" i="112" s="1"/>
  <c r="AA239" i="112"/>
  <c r="K244" i="113" s="1"/>
  <c r="Z96" i="112"/>
  <c r="J96" i="113" s="1"/>
  <c r="E96" i="112"/>
  <c r="U96" i="112" s="1"/>
  <c r="E97" i="108"/>
  <c r="U97" i="108" s="1"/>
  <c r="AB97" i="108"/>
  <c r="L97" i="112" s="1"/>
  <c r="W212" i="108"/>
  <c r="G214" i="112" s="1"/>
  <c r="E212" i="108"/>
  <c r="U212" i="108" s="1"/>
  <c r="X30" i="108"/>
  <c r="AB196" i="112"/>
  <c r="L200" i="113" s="1"/>
  <c r="AB217" i="112"/>
  <c r="L221" i="113" s="1"/>
  <c r="E217" i="112"/>
  <c r="U217" i="112" s="1"/>
  <c r="E184" i="108"/>
  <c r="U184" i="108" s="1"/>
  <c r="AB184" i="108"/>
  <c r="L186" i="112" s="1"/>
  <c r="E59" i="108"/>
  <c r="U59" i="108" s="1"/>
  <c r="AB59" i="108"/>
  <c r="L59" i="112" s="1"/>
  <c r="W101" i="108"/>
  <c r="G101" i="112" s="1"/>
  <c r="E101" i="108"/>
  <c r="U101" i="108" s="1"/>
  <c r="W225" i="108"/>
  <c r="G227" i="112" s="1"/>
  <c r="E225" i="108"/>
  <c r="U225" i="108" s="1"/>
  <c r="E226" i="112"/>
  <c r="U226" i="112" s="1"/>
  <c r="AB226" i="112"/>
  <c r="L230" i="113" s="1"/>
  <c r="AB148" i="112"/>
  <c r="L152" i="113" s="1"/>
  <c r="E26" i="112"/>
  <c r="V26" i="112"/>
  <c r="F26" i="113" s="1"/>
  <c r="E160" i="112"/>
  <c r="U160" i="112" s="1"/>
  <c r="AB160" i="112"/>
  <c r="L164" i="113" s="1"/>
  <c r="E79" i="112"/>
  <c r="U79" i="112" s="1"/>
  <c r="AB79" i="112"/>
  <c r="L79" i="113" s="1"/>
  <c r="U17" i="93"/>
  <c r="E17" i="107" s="1"/>
  <c r="G17" i="107"/>
  <c r="W17" i="107" s="1"/>
  <c r="U90" i="82"/>
  <c r="K104" i="41"/>
  <c r="K101" i="41"/>
  <c r="U198" i="90"/>
  <c r="E172" i="90"/>
  <c r="F8" i="77"/>
  <c r="F23" i="77" s="1"/>
  <c r="D9" i="77"/>
  <c r="K39" i="41"/>
  <c r="D28" i="41"/>
  <c r="E57" i="93"/>
  <c r="U57" i="93" s="1"/>
  <c r="E58" i="107" s="1"/>
  <c r="U58" i="107" s="1"/>
  <c r="E57" i="90"/>
  <c r="U139" i="90"/>
  <c r="G139" i="93"/>
  <c r="W139" i="93" s="1"/>
  <c r="G140" i="107" s="1"/>
  <c r="W140" i="107" s="1"/>
  <c r="G141" i="108" s="1"/>
  <c r="E99" i="93"/>
  <c r="U99" i="93" s="1"/>
  <c r="E100" i="107" s="1"/>
  <c r="U100" i="107" s="1"/>
  <c r="E202" i="93"/>
  <c r="U202" i="93" s="1"/>
  <c r="E209" i="107" s="1"/>
  <c r="U209" i="107" s="1"/>
  <c r="U74" i="90"/>
  <c r="G74" i="93"/>
  <c r="W74" i="93" s="1"/>
  <c r="G75" i="107" s="1"/>
  <c r="W75" i="107" s="1"/>
  <c r="G76" i="108" s="1"/>
  <c r="E196" i="93"/>
  <c r="E146" i="93"/>
  <c r="E169" i="93"/>
  <c r="E140" i="93"/>
  <c r="U140" i="93" s="1"/>
  <c r="E141" i="107" s="1"/>
  <c r="E162" i="93"/>
  <c r="U162" i="93" s="1"/>
  <c r="E168" i="107" s="1"/>
  <c r="U168" i="107" s="1"/>
  <c r="U163" i="90"/>
  <c r="U164" i="90" s="1"/>
  <c r="G163" i="93"/>
  <c r="W163" i="93" s="1"/>
  <c r="G169" i="107" s="1"/>
  <c r="W169" i="107" s="1"/>
  <c r="G171" i="108" s="1"/>
  <c r="E204" i="93"/>
  <c r="E38" i="93"/>
  <c r="U38" i="93" s="1"/>
  <c r="E39" i="107" s="1"/>
  <c r="U39" i="107" s="1"/>
  <c r="U91" i="90"/>
  <c r="G91" i="93"/>
  <c r="W91" i="93" s="1"/>
  <c r="G92" i="107" s="1"/>
  <c r="W92" i="107" s="1"/>
  <c r="G93" i="108" s="1"/>
  <c r="E223" i="93"/>
  <c r="E215" i="93"/>
  <c r="U215" i="93" s="1"/>
  <c r="E222" i="107" s="1"/>
  <c r="U222" i="107" s="1"/>
  <c r="E110" i="93"/>
  <c r="U110" i="93" s="1"/>
  <c r="E111" i="107" s="1"/>
  <c r="U111" i="107" s="1"/>
  <c r="E143" i="90"/>
  <c r="V180" i="90"/>
  <c r="F184" i="93" s="1"/>
  <c r="V184" i="93" s="1"/>
  <c r="F191" i="107" s="1"/>
  <c r="V191" i="107" s="1"/>
  <c r="F194" i="108" s="1"/>
  <c r="U150" i="90"/>
  <c r="U204" i="82"/>
  <c r="W176" i="90"/>
  <c r="E176" i="90"/>
  <c r="E180" i="90" s="1"/>
  <c r="E188" i="90" s="1"/>
  <c r="W208" i="90"/>
  <c r="E208" i="90"/>
  <c r="E212" i="90" s="1"/>
  <c r="W75" i="90"/>
  <c r="E75" i="90"/>
  <c r="E77" i="90" s="1"/>
  <c r="E78" i="90" s="1"/>
  <c r="W92" i="90"/>
  <c r="E92" i="90"/>
  <c r="E94" i="90" s="1"/>
  <c r="E95" i="90" s="1"/>
  <c r="U140" i="90"/>
  <c r="E140" i="90"/>
  <c r="W11" i="90"/>
  <c r="G11" i="93" s="1"/>
  <c r="X143" i="90"/>
  <c r="H143" i="93" s="1"/>
  <c r="X143" i="93" s="1"/>
  <c r="H148" i="107" s="1"/>
  <c r="X148" i="107" s="1"/>
  <c r="H150" i="108" s="1"/>
  <c r="X150" i="108" s="1"/>
  <c r="H152" i="112" s="1"/>
  <c r="X152" i="112" s="1"/>
  <c r="H156" i="113" s="1"/>
  <c r="X156" i="113" s="1"/>
  <c r="H167" i="117" s="1"/>
  <c r="X167" i="117" s="1"/>
  <c r="H165" i="121" s="1"/>
  <c r="E11" i="90"/>
  <c r="U56" i="90"/>
  <c r="U57" i="90" s="1"/>
  <c r="U52" i="82"/>
  <c r="Z207" i="82"/>
  <c r="J221" i="90" s="1"/>
  <c r="X207" i="82"/>
  <c r="H221" i="90" s="1"/>
  <c r="AB207" i="82"/>
  <c r="L221" i="90" s="1"/>
  <c r="AB221" i="90" s="1"/>
  <c r="L231" i="93" s="1"/>
  <c r="AB231" i="93" s="1"/>
  <c r="L238" i="107" s="1"/>
  <c r="AA207" i="82"/>
  <c r="K221" i="90" s="1"/>
  <c r="U161" i="82"/>
  <c r="D18" i="58"/>
  <c r="D17" i="58" s="1"/>
  <c r="U17" i="8"/>
  <c r="U18" i="8"/>
  <c r="U19" i="8"/>
  <c r="U20" i="8"/>
  <c r="U21" i="8"/>
  <c r="U23" i="8"/>
  <c r="U24" i="8"/>
  <c r="U25" i="8"/>
  <c r="U26" i="8"/>
  <c r="U27" i="8"/>
  <c r="U16" i="8"/>
  <c r="AU28" i="8"/>
  <c r="BI27" i="8"/>
  <c r="AU27" i="8"/>
  <c r="BI26" i="8"/>
  <c r="AU26" i="8"/>
  <c r="BI24" i="8"/>
  <c r="AU24" i="8"/>
  <c r="BI23" i="8"/>
  <c r="AU23" i="8"/>
  <c r="BI22" i="8"/>
  <c r="AU22" i="8"/>
  <c r="AU21" i="8"/>
  <c r="BW20" i="8"/>
  <c r="BI19" i="8"/>
  <c r="AU19" i="8"/>
  <c r="BI18" i="8"/>
  <c r="BI17" i="8"/>
  <c r="BW17" i="8"/>
  <c r="BI16" i="8"/>
  <c r="AB205" i="122" l="1"/>
  <c r="AB66" i="122"/>
  <c r="E66" i="122"/>
  <c r="U66" i="122" s="1"/>
  <c r="AB67" i="122"/>
  <c r="AB43" i="122"/>
  <c r="AA196" i="122"/>
  <c r="E196" i="122"/>
  <c r="U196" i="122" s="1"/>
  <c r="AB260" i="122"/>
  <c r="E260" i="122"/>
  <c r="U260" i="122" s="1"/>
  <c r="AB144" i="122"/>
  <c r="AB117" i="122"/>
  <c r="E117" i="122"/>
  <c r="U117" i="122" s="1"/>
  <c r="AB145" i="122"/>
  <c r="AA49" i="122"/>
  <c r="E49" i="122"/>
  <c r="U49" i="122" s="1"/>
  <c r="AB75" i="122"/>
  <c r="E75" i="122"/>
  <c r="U75" i="122" s="1"/>
  <c r="AB180" i="122"/>
  <c r="AA164" i="121"/>
  <c r="K164" i="122" s="1"/>
  <c r="K162" i="122"/>
  <c r="AA162" i="122" s="1"/>
  <c r="AA164" i="122" s="1"/>
  <c r="AB164" i="121"/>
  <c r="L164" i="122" s="1"/>
  <c r="E164" i="122" s="1"/>
  <c r="U164" i="122" s="1"/>
  <c r="L162" i="122"/>
  <c r="AB233" i="122"/>
  <c r="W253" i="122"/>
  <c r="E253" i="122"/>
  <c r="U253" i="122" s="1"/>
  <c r="W80" i="122"/>
  <c r="E80" i="122"/>
  <c r="U80" i="122" s="1"/>
  <c r="AA97" i="122"/>
  <c r="E97" i="122"/>
  <c r="U97" i="122" s="1"/>
  <c r="AB138" i="122"/>
  <c r="AB183" i="122"/>
  <c r="AB136" i="122"/>
  <c r="W252" i="122"/>
  <c r="E252" i="122"/>
  <c r="U252" i="122" s="1"/>
  <c r="V53" i="122"/>
  <c r="E53" i="122"/>
  <c r="U53" i="122" s="1"/>
  <c r="AB239" i="122"/>
  <c r="AB237" i="122"/>
  <c r="AA50" i="122"/>
  <c r="E50" i="122"/>
  <c r="U50" i="122" s="1"/>
  <c r="AA106" i="121"/>
  <c r="K106" i="122" s="1"/>
  <c r="E106" i="121"/>
  <c r="U106" i="121" s="1"/>
  <c r="AB121" i="122"/>
  <c r="E121" i="122"/>
  <c r="U121" i="122" s="1"/>
  <c r="AB166" i="122"/>
  <c r="AB112" i="122"/>
  <c r="E112" i="122"/>
  <c r="U112" i="122" s="1"/>
  <c r="AB36" i="122"/>
  <c r="AA42" i="122"/>
  <c r="E42" i="122"/>
  <c r="U42" i="122" s="1"/>
  <c r="AB93" i="122"/>
  <c r="V11" i="122"/>
  <c r="X58" i="122"/>
  <c r="AB108" i="122"/>
  <c r="E108" i="122"/>
  <c r="U108" i="122" s="1"/>
  <c r="W215" i="122"/>
  <c r="E215" i="122"/>
  <c r="U215" i="122" s="1"/>
  <c r="F18" i="122"/>
  <c r="V18" i="122" s="1"/>
  <c r="AA194" i="122"/>
  <c r="AB245" i="122"/>
  <c r="E245" i="122"/>
  <c r="U245" i="122" s="1"/>
  <c r="AA195" i="122"/>
  <c r="E195" i="122"/>
  <c r="U195" i="122" s="1"/>
  <c r="AB41" i="122"/>
  <c r="AB122" i="122"/>
  <c r="E122" i="122"/>
  <c r="U122" i="122" s="1"/>
  <c r="AB181" i="122"/>
  <c r="E181" i="122"/>
  <c r="U181" i="122" s="1"/>
  <c r="AA193" i="122"/>
  <c r="AA82" i="122"/>
  <c r="E82" i="122"/>
  <c r="U82" i="122" s="1"/>
  <c r="AB37" i="122"/>
  <c r="E37" i="122"/>
  <c r="U37" i="122" s="1"/>
  <c r="AA81" i="122"/>
  <c r="E81" i="122"/>
  <c r="U81" i="122" s="1"/>
  <c r="AB120" i="122"/>
  <c r="E162" i="121"/>
  <c r="U162" i="121" s="1"/>
  <c r="X165" i="121"/>
  <c r="H165" i="122" s="1"/>
  <c r="X165" i="122" s="1"/>
  <c r="AB151" i="121"/>
  <c r="L151" i="122" s="1"/>
  <c r="AB71" i="121"/>
  <c r="L71" i="122" s="1"/>
  <c r="E71" i="121"/>
  <c r="U71" i="121" s="1"/>
  <c r="AB116" i="121"/>
  <c r="L116" i="122" s="1"/>
  <c r="E116" i="121"/>
  <c r="U116" i="121" s="1"/>
  <c r="Z134" i="121"/>
  <c r="J134" i="122" s="1"/>
  <c r="Z134" i="122" s="1"/>
  <c r="W115" i="121"/>
  <c r="G115" i="122" s="1"/>
  <c r="E115" i="121"/>
  <c r="U115" i="121" s="1"/>
  <c r="W59" i="121"/>
  <c r="G59" i="122" s="1"/>
  <c r="E59" i="121"/>
  <c r="U59" i="121" s="1"/>
  <c r="AB48" i="121"/>
  <c r="L48" i="122" s="1"/>
  <c r="E48" i="121"/>
  <c r="U48" i="121" s="1"/>
  <c r="E86" i="121"/>
  <c r="U86" i="121" s="1"/>
  <c r="AB86" i="121"/>
  <c r="L86" i="122" s="1"/>
  <c r="AA104" i="121"/>
  <c r="K104" i="122" s="1"/>
  <c r="AB247" i="121"/>
  <c r="L247" i="122" s="1"/>
  <c r="E247" i="121"/>
  <c r="U247" i="121" s="1"/>
  <c r="V20" i="121"/>
  <c r="W185" i="121"/>
  <c r="G185" i="122" s="1"/>
  <c r="E185" i="121"/>
  <c r="U185" i="121" s="1"/>
  <c r="V54" i="121"/>
  <c r="F54" i="122" s="1"/>
  <c r="V54" i="122" s="1"/>
  <c r="W216" i="121"/>
  <c r="G216" i="122" s="1"/>
  <c r="E216" i="121"/>
  <c r="U216" i="121" s="1"/>
  <c r="AA202" i="121"/>
  <c r="K202" i="122" s="1"/>
  <c r="E202" i="121"/>
  <c r="U202" i="121" s="1"/>
  <c r="W206" i="121"/>
  <c r="G206" i="122" s="1"/>
  <c r="E206" i="121"/>
  <c r="U206" i="121" s="1"/>
  <c r="W125" i="121"/>
  <c r="G125" i="122" s="1"/>
  <c r="E125" i="121"/>
  <c r="U125" i="121" s="1"/>
  <c r="AB147" i="121"/>
  <c r="L147" i="122" s="1"/>
  <c r="AA261" i="121"/>
  <c r="K261" i="122" s="1"/>
  <c r="AB91" i="121"/>
  <c r="L91" i="122" s="1"/>
  <c r="E91" i="121"/>
  <c r="U91" i="121" s="1"/>
  <c r="AB184" i="121"/>
  <c r="L184" i="122" s="1"/>
  <c r="E184" i="121"/>
  <c r="U184" i="121" s="1"/>
  <c r="AB231" i="121"/>
  <c r="L231" i="122" s="1"/>
  <c r="AB62" i="121"/>
  <c r="L62" i="122" s="1"/>
  <c r="E62" i="121"/>
  <c r="U62" i="121" s="1"/>
  <c r="AB166" i="117"/>
  <c r="L164" i="121" s="1"/>
  <c r="E164" i="121" s="1"/>
  <c r="U164" i="121" s="1"/>
  <c r="AA237" i="117"/>
  <c r="K241" i="121" s="1"/>
  <c r="E237" i="117"/>
  <c r="U237" i="117" s="1"/>
  <c r="E71" i="117"/>
  <c r="U71" i="117" s="1"/>
  <c r="Z71" i="117"/>
  <c r="J72" i="121" s="1"/>
  <c r="AA230" i="117"/>
  <c r="K234" i="121" s="1"/>
  <c r="E230" i="117"/>
  <c r="U230" i="117" s="1"/>
  <c r="E177" i="117"/>
  <c r="U177" i="117" s="1"/>
  <c r="AB177" i="117"/>
  <c r="L175" i="121" s="1"/>
  <c r="V207" i="117"/>
  <c r="F205" i="121" s="1"/>
  <c r="E207" i="117"/>
  <c r="U207" i="117" s="1"/>
  <c r="AB87" i="117"/>
  <c r="L85" i="121" s="1"/>
  <c r="Z180" i="117"/>
  <c r="J178" i="121" s="1"/>
  <c r="E180" i="117"/>
  <c r="U180" i="117" s="1"/>
  <c r="W95" i="117"/>
  <c r="G93" i="121" s="1"/>
  <c r="E95" i="117"/>
  <c r="U95" i="117" s="1"/>
  <c r="AB63" i="117"/>
  <c r="L64" i="121" s="1"/>
  <c r="E63" i="117"/>
  <c r="U63" i="117" s="1"/>
  <c r="AA168" i="117"/>
  <c r="K166" i="121" s="1"/>
  <c r="E168" i="117"/>
  <c r="U168" i="117" s="1"/>
  <c r="Z102" i="117"/>
  <c r="J100" i="121" s="1"/>
  <c r="E102" i="117"/>
  <c r="U102" i="117" s="1"/>
  <c r="AB169" i="117"/>
  <c r="L167" i="121" s="1"/>
  <c r="E169" i="117"/>
  <c r="U169" i="117" s="1"/>
  <c r="AB234" i="117"/>
  <c r="L238" i="121" s="1"/>
  <c r="E234" i="117"/>
  <c r="U234" i="117" s="1"/>
  <c r="Z247" i="117"/>
  <c r="J251" i="121" s="1"/>
  <c r="W195" i="117"/>
  <c r="G193" i="121" s="1"/>
  <c r="E195" i="117"/>
  <c r="U195" i="117" s="1"/>
  <c r="W12" i="108"/>
  <c r="E12" i="108"/>
  <c r="W16" i="108"/>
  <c r="E16" i="108"/>
  <c r="W182" i="117"/>
  <c r="G180" i="121" s="1"/>
  <c r="E182" i="117"/>
  <c r="U182" i="117" s="1"/>
  <c r="AB126" i="117"/>
  <c r="L124" i="121" s="1"/>
  <c r="E126" i="117"/>
  <c r="U126" i="117" s="1"/>
  <c r="Z62" i="117"/>
  <c r="J63" i="121" s="1"/>
  <c r="E62" i="117"/>
  <c r="U62" i="117" s="1"/>
  <c r="W46" i="117"/>
  <c r="G47" i="121" s="1"/>
  <c r="E46" i="117"/>
  <c r="U46" i="117" s="1"/>
  <c r="AB239" i="117"/>
  <c r="L243" i="121" s="1"/>
  <c r="E239" i="117"/>
  <c r="U239" i="117" s="1"/>
  <c r="AB181" i="117"/>
  <c r="L179" i="121" s="1"/>
  <c r="E181" i="117"/>
  <c r="U181" i="117" s="1"/>
  <c r="W232" i="117"/>
  <c r="G236" i="121" s="1"/>
  <c r="E232" i="117"/>
  <c r="U232" i="117" s="1"/>
  <c r="AB12" i="113"/>
  <c r="G23" i="112"/>
  <c r="U23" i="108"/>
  <c r="G24" i="112"/>
  <c r="U24" i="108"/>
  <c r="X60" i="117"/>
  <c r="H61" i="121" s="1"/>
  <c r="AB244" i="117"/>
  <c r="L248" i="121" s="1"/>
  <c r="E244" i="117"/>
  <c r="U244" i="117" s="1"/>
  <c r="AA35" i="117"/>
  <c r="K36" i="121" s="1"/>
  <c r="AB67" i="117"/>
  <c r="L68" i="121" s="1"/>
  <c r="E67" i="117"/>
  <c r="U67" i="117" s="1"/>
  <c r="Z185" i="117"/>
  <c r="J183" i="121" s="1"/>
  <c r="E185" i="117"/>
  <c r="U185" i="117" s="1"/>
  <c r="AB91" i="117"/>
  <c r="L89" i="121" s="1"/>
  <c r="E91" i="117"/>
  <c r="U91" i="117" s="1"/>
  <c r="W215" i="117"/>
  <c r="G214" i="121" s="1"/>
  <c r="E215" i="117"/>
  <c r="U215" i="117" s="1"/>
  <c r="AA194" i="117"/>
  <c r="K192" i="121" s="1"/>
  <c r="E194" i="117"/>
  <c r="U194" i="117" s="1"/>
  <c r="Z73" i="117"/>
  <c r="J74" i="121" s="1"/>
  <c r="E73" i="117"/>
  <c r="U73" i="117" s="1"/>
  <c r="AB120" i="117"/>
  <c r="L118" i="121" s="1"/>
  <c r="E120" i="117"/>
  <c r="U120" i="117" s="1"/>
  <c r="AB242" i="117"/>
  <c r="L246" i="121" s="1"/>
  <c r="E242" i="117"/>
  <c r="U242" i="117" s="1"/>
  <c r="W209" i="117"/>
  <c r="G207" i="121" s="1"/>
  <c r="E209" i="117"/>
  <c r="U209" i="117" s="1"/>
  <c r="Z184" i="117"/>
  <c r="J182" i="121" s="1"/>
  <c r="E184" i="117"/>
  <c r="U184" i="117" s="1"/>
  <c r="Z77" i="117"/>
  <c r="J78" i="121" s="1"/>
  <c r="E77" i="117"/>
  <c r="U77" i="117" s="1"/>
  <c r="Z100" i="117"/>
  <c r="J98" i="121" s="1"/>
  <c r="E100" i="117"/>
  <c r="U100" i="117" s="1"/>
  <c r="AB173" i="117"/>
  <c r="L171" i="121" s="1"/>
  <c r="E173" i="117"/>
  <c r="U173" i="117" s="1"/>
  <c r="E97" i="117"/>
  <c r="U97" i="117" s="1"/>
  <c r="AB97" i="117"/>
  <c r="L95" i="121" s="1"/>
  <c r="AA109" i="117"/>
  <c r="K107" i="121" s="1"/>
  <c r="E109" i="117"/>
  <c r="U109" i="117" s="1"/>
  <c r="H35" i="117"/>
  <c r="X35" i="117" s="1"/>
  <c r="H36" i="121" s="1"/>
  <c r="X36" i="121" s="1"/>
  <c r="AF31" i="113"/>
  <c r="AB17" i="113"/>
  <c r="U17" i="107"/>
  <c r="G17" i="108"/>
  <c r="W57" i="117"/>
  <c r="G58" i="121" s="1"/>
  <c r="E57" i="117"/>
  <c r="U57" i="117" s="1"/>
  <c r="E128" i="117"/>
  <c r="U128" i="117" s="1"/>
  <c r="AB128" i="117"/>
  <c r="L126" i="121" s="1"/>
  <c r="Z83" i="117"/>
  <c r="E83" i="117"/>
  <c r="U83" i="117" s="1"/>
  <c r="AA202" i="117"/>
  <c r="K200" i="121" s="1"/>
  <c r="AA200" i="121" s="1"/>
  <c r="K200" i="122" s="1"/>
  <c r="AA200" i="122" s="1"/>
  <c r="AB179" i="117"/>
  <c r="L177" i="121" s="1"/>
  <c r="E179" i="117"/>
  <c r="U179" i="117" s="1"/>
  <c r="AB206" i="117"/>
  <c r="L204" i="121" s="1"/>
  <c r="Z66" i="117"/>
  <c r="J67" i="121" s="1"/>
  <c r="E66" i="117"/>
  <c r="U66" i="117" s="1"/>
  <c r="AB203" i="117"/>
  <c r="L201" i="121" s="1"/>
  <c r="E203" i="117"/>
  <c r="U203" i="117" s="1"/>
  <c r="W22" i="112"/>
  <c r="E22" i="112"/>
  <c r="X11" i="112"/>
  <c r="G29" i="112"/>
  <c r="U29" i="108"/>
  <c r="E230" i="113"/>
  <c r="U230" i="113" s="1"/>
  <c r="AB230" i="113"/>
  <c r="L245" i="117" s="1"/>
  <c r="AB200" i="113"/>
  <c r="L214" i="117" s="1"/>
  <c r="E244" i="113"/>
  <c r="U244" i="113" s="1"/>
  <c r="AA244" i="113"/>
  <c r="K259" i="117" s="1"/>
  <c r="AB58" i="113"/>
  <c r="L68" i="117" s="1"/>
  <c r="E58" i="113"/>
  <c r="U58" i="113" s="1"/>
  <c r="AB88" i="113"/>
  <c r="L98" i="117" s="1"/>
  <c r="E88" i="113"/>
  <c r="U88" i="113" s="1"/>
  <c r="AA214" i="113"/>
  <c r="K229" i="117" s="1"/>
  <c r="E214" i="113"/>
  <c r="U214" i="113" s="1"/>
  <c r="E79" i="113"/>
  <c r="U79" i="113" s="1"/>
  <c r="AB79" i="113"/>
  <c r="L89" i="117" s="1"/>
  <c r="V26" i="113"/>
  <c r="F30" i="117" s="1"/>
  <c r="E26" i="113"/>
  <c r="X46" i="113"/>
  <c r="H55" i="117" s="1"/>
  <c r="E46" i="113"/>
  <c r="U46" i="113" s="1"/>
  <c r="E225" i="113"/>
  <c r="U225" i="113" s="1"/>
  <c r="AB225" i="113"/>
  <c r="L240" i="117" s="1"/>
  <c r="AB193" i="113"/>
  <c r="L205" i="117" s="1"/>
  <c r="E193" i="113"/>
  <c r="U193" i="113" s="1"/>
  <c r="W213" i="113"/>
  <c r="G228" i="117" s="1"/>
  <c r="E213" i="113"/>
  <c r="U213" i="113" s="1"/>
  <c r="E239" i="113"/>
  <c r="U239" i="113" s="1"/>
  <c r="Z239" i="113"/>
  <c r="J254" i="117" s="1"/>
  <c r="AA189" i="113"/>
  <c r="K201" i="117" s="1"/>
  <c r="E189" i="113"/>
  <c r="U189" i="113" s="1"/>
  <c r="AB30" i="113"/>
  <c r="L34" i="117" s="1"/>
  <c r="AB164" i="113"/>
  <c r="L176" i="117" s="1"/>
  <c r="E164" i="113"/>
  <c r="U164" i="113" s="1"/>
  <c r="AB152" i="113"/>
  <c r="L163" i="117" s="1"/>
  <c r="E221" i="113"/>
  <c r="U221" i="113" s="1"/>
  <c r="AB221" i="113"/>
  <c r="L236" i="117" s="1"/>
  <c r="Z96" i="113"/>
  <c r="J106" i="117" s="1"/>
  <c r="E96" i="113"/>
  <c r="U96" i="113" s="1"/>
  <c r="E216" i="113"/>
  <c r="U216" i="113" s="1"/>
  <c r="AA216" i="113"/>
  <c r="K231" i="117" s="1"/>
  <c r="AA223" i="113"/>
  <c r="K238" i="117" s="1"/>
  <c r="E223" i="113"/>
  <c r="U223" i="113" s="1"/>
  <c r="AB124" i="113"/>
  <c r="L135" i="117" s="1"/>
  <c r="E124" i="113"/>
  <c r="U124" i="113" s="1"/>
  <c r="AB54" i="113"/>
  <c r="L64" i="117" s="1"/>
  <c r="E54" i="113"/>
  <c r="U54" i="113" s="1"/>
  <c r="U26" i="112"/>
  <c r="E171" i="108"/>
  <c r="U171" i="108" s="1"/>
  <c r="W171" i="108"/>
  <c r="G173" i="112" s="1"/>
  <c r="AB59" i="112"/>
  <c r="L59" i="113" s="1"/>
  <c r="E59" i="112"/>
  <c r="U59" i="112" s="1"/>
  <c r="E15" i="108"/>
  <c r="X15" i="108"/>
  <c r="H30" i="112"/>
  <c r="E204" i="108"/>
  <c r="U204" i="108" s="1"/>
  <c r="W204" i="108"/>
  <c r="F19" i="112"/>
  <c r="U19" i="108"/>
  <c r="E186" i="112"/>
  <c r="U186" i="112" s="1"/>
  <c r="AB186" i="112"/>
  <c r="L190" i="113" s="1"/>
  <c r="AB177" i="112"/>
  <c r="L181" i="113" s="1"/>
  <c r="E177" i="112"/>
  <c r="U177" i="112" s="1"/>
  <c r="E21" i="108"/>
  <c r="V21" i="108"/>
  <c r="W180" i="112"/>
  <c r="G184" i="113" s="1"/>
  <c r="E180" i="112"/>
  <c r="U180" i="112" s="1"/>
  <c r="W141" i="108"/>
  <c r="G141" i="112" s="1"/>
  <c r="W214" i="112"/>
  <c r="G218" i="113" s="1"/>
  <c r="E214" i="112"/>
  <c r="U214" i="112" s="1"/>
  <c r="W216" i="112"/>
  <c r="G220" i="113" s="1"/>
  <c r="E216" i="112"/>
  <c r="U216" i="112" s="1"/>
  <c r="X112" i="112"/>
  <c r="H112" i="113" s="1"/>
  <c r="E112" i="112"/>
  <c r="U112" i="112" s="1"/>
  <c r="W172" i="112"/>
  <c r="G176" i="113" s="1"/>
  <c r="E172" i="112"/>
  <c r="U172" i="112" s="1"/>
  <c r="W93" i="108"/>
  <c r="G93" i="112" s="1"/>
  <c r="E93" i="108"/>
  <c r="U93" i="108" s="1"/>
  <c r="E97" i="112"/>
  <c r="U97" i="112" s="1"/>
  <c r="AB97" i="112"/>
  <c r="L97" i="113" s="1"/>
  <c r="AB20" i="112"/>
  <c r="L20" i="113" s="1"/>
  <c r="E20" i="112"/>
  <c r="E176" i="112"/>
  <c r="U176" i="112" s="1"/>
  <c r="AB176" i="112"/>
  <c r="L180" i="113" s="1"/>
  <c r="AB142" i="112"/>
  <c r="L144" i="113" s="1"/>
  <c r="W39" i="112"/>
  <c r="G39" i="113" s="1"/>
  <c r="E39" i="112"/>
  <c r="U39" i="112" s="1"/>
  <c r="W227" i="112"/>
  <c r="G231" i="113" s="1"/>
  <c r="E227" i="112"/>
  <c r="U227" i="112" s="1"/>
  <c r="W235" i="112"/>
  <c r="G240" i="113" s="1"/>
  <c r="E235" i="112"/>
  <c r="U235" i="112" s="1"/>
  <c r="V13" i="112"/>
  <c r="F13" i="113" s="1"/>
  <c r="E13" i="112"/>
  <c r="AB240" i="112"/>
  <c r="L245" i="113" s="1"/>
  <c r="E240" i="112"/>
  <c r="U240" i="112" s="1"/>
  <c r="AB80" i="112"/>
  <c r="L80" i="113" s="1"/>
  <c r="E80" i="112"/>
  <c r="U80" i="112" s="1"/>
  <c r="W208" i="112"/>
  <c r="G212" i="113" s="1"/>
  <c r="E208" i="112"/>
  <c r="U208" i="112" s="1"/>
  <c r="AB152" i="112"/>
  <c r="L156" i="113" s="1"/>
  <c r="E152" i="112"/>
  <c r="U152" i="112" s="1"/>
  <c r="V194" i="108"/>
  <c r="F196" i="112" s="1"/>
  <c r="E194" i="108"/>
  <c r="U194" i="108" s="1"/>
  <c r="W76" i="108"/>
  <c r="G76" i="112" s="1"/>
  <c r="E76" i="108"/>
  <c r="U76" i="108" s="1"/>
  <c r="W101" i="112"/>
  <c r="G101" i="113" s="1"/>
  <c r="E101" i="112"/>
  <c r="U101" i="112" s="1"/>
  <c r="F25" i="112"/>
  <c r="U25" i="108"/>
  <c r="E207" i="112"/>
  <c r="U207" i="112" s="1"/>
  <c r="AB207" i="112"/>
  <c r="L211" i="113" s="1"/>
  <c r="E150" i="108"/>
  <c r="U150" i="108" s="1"/>
  <c r="W155" i="112"/>
  <c r="G159" i="113" s="1"/>
  <c r="E155" i="112"/>
  <c r="U155" i="112" s="1"/>
  <c r="D23" i="77"/>
  <c r="BY87" i="13" s="1"/>
  <c r="AB238" i="107"/>
  <c r="L241" i="108" s="1"/>
  <c r="L242" i="107"/>
  <c r="AB242" i="107" s="1"/>
  <c r="U141" i="90"/>
  <c r="E173" i="93"/>
  <c r="U173" i="93" s="1"/>
  <c r="E180" i="107" s="1"/>
  <c r="U180" i="107" s="1"/>
  <c r="U169" i="93"/>
  <c r="E175" i="107" s="1"/>
  <c r="U175" i="107" s="1"/>
  <c r="E150" i="93"/>
  <c r="U150" i="93" s="1"/>
  <c r="E156" i="107" s="1"/>
  <c r="U156" i="107" s="1"/>
  <c r="U146" i="93"/>
  <c r="E151" i="107" s="1"/>
  <c r="U151" i="107" s="1"/>
  <c r="E198" i="93"/>
  <c r="U198" i="93" s="1"/>
  <c r="E205" i="107" s="1"/>
  <c r="U205" i="107" s="1"/>
  <c r="U196" i="93"/>
  <c r="E203" i="107" s="1"/>
  <c r="U203" i="107" s="1"/>
  <c r="E224" i="93"/>
  <c r="U224" i="93" s="1"/>
  <c r="E231" i="107" s="1"/>
  <c r="U231" i="107" s="1"/>
  <c r="U223" i="93"/>
  <c r="E230" i="107" s="1"/>
  <c r="U230" i="107" s="1"/>
  <c r="E205" i="93"/>
  <c r="U205" i="93" s="1"/>
  <c r="E212" i="107" s="1"/>
  <c r="U212" i="107" s="1"/>
  <c r="U204" i="93"/>
  <c r="E211" i="107" s="1"/>
  <c r="U211" i="107" s="1"/>
  <c r="W11" i="93"/>
  <c r="G11" i="107" s="1"/>
  <c r="E11" i="93"/>
  <c r="U75" i="90"/>
  <c r="U77" i="90" s="1"/>
  <c r="U78" i="90" s="1"/>
  <c r="G75" i="93"/>
  <c r="W75" i="93" s="1"/>
  <c r="G76" i="107" s="1"/>
  <c r="W76" i="107" s="1"/>
  <c r="G77" i="108" s="1"/>
  <c r="E163" i="93"/>
  <c r="U163" i="93" s="1"/>
  <c r="E169" i="107" s="1"/>
  <c r="U169" i="107" s="1"/>
  <c r="U208" i="90"/>
  <c r="U212" i="90" s="1"/>
  <c r="G216" i="93"/>
  <c r="W216" i="93" s="1"/>
  <c r="G223" i="107" s="1"/>
  <c r="W223" i="107" s="1"/>
  <c r="G226" i="108" s="1"/>
  <c r="E91" i="93"/>
  <c r="U91" i="93" s="1"/>
  <c r="E92" i="107" s="1"/>
  <c r="U92" i="107" s="1"/>
  <c r="L235" i="93"/>
  <c r="AB235" i="93" s="1"/>
  <c r="E120" i="93"/>
  <c r="U120" i="93" s="1"/>
  <c r="E121" i="107" s="1"/>
  <c r="U121" i="107" s="1"/>
  <c r="U176" i="90"/>
  <c r="U180" i="90" s="1"/>
  <c r="U188" i="90" s="1"/>
  <c r="G178" i="93"/>
  <c r="W178" i="93" s="1"/>
  <c r="G185" i="107" s="1"/>
  <c r="W185" i="107" s="1"/>
  <c r="G188" i="108" s="1"/>
  <c r="E74" i="93"/>
  <c r="U74" i="93" s="1"/>
  <c r="E75" i="107" s="1"/>
  <c r="U75" i="107" s="1"/>
  <c r="E139" i="93"/>
  <c r="U92" i="90"/>
  <c r="U94" i="90" s="1"/>
  <c r="U95" i="90" s="1"/>
  <c r="G92" i="93"/>
  <c r="W92" i="93" s="1"/>
  <c r="G93" i="107" s="1"/>
  <c r="W93" i="107" s="1"/>
  <c r="G94" i="108" s="1"/>
  <c r="H225" i="90"/>
  <c r="X221" i="90"/>
  <c r="H238" i="107" s="1"/>
  <c r="J225" i="90"/>
  <c r="Z225" i="90" s="1"/>
  <c r="Z221" i="90"/>
  <c r="K225" i="90"/>
  <c r="AA221" i="90"/>
  <c r="L225" i="90"/>
  <c r="AB225" i="90" s="1"/>
  <c r="X211" i="82"/>
  <c r="AB211" i="82"/>
  <c r="AA211" i="82"/>
  <c r="Z211" i="82"/>
  <c r="AU25" i="8"/>
  <c r="BW18" i="8"/>
  <c r="AU18" i="8"/>
  <c r="U28" i="8"/>
  <c r="AU17" i="8"/>
  <c r="AG17" i="8" s="1"/>
  <c r="U22" i="8"/>
  <c r="AU20" i="8"/>
  <c r="BW23" i="8"/>
  <c r="AG23" i="8" s="1"/>
  <c r="BW27" i="8"/>
  <c r="AG27" i="8" s="1"/>
  <c r="BW19" i="8"/>
  <c r="AG19" i="8" s="1"/>
  <c r="BW22" i="8"/>
  <c r="AG22" i="8" s="1"/>
  <c r="BW24" i="8"/>
  <c r="AG24" i="8" s="1"/>
  <c r="BW26" i="8"/>
  <c r="AG26" i="8" s="1"/>
  <c r="BW28" i="8"/>
  <c r="BW21" i="8"/>
  <c r="BW16" i="8"/>
  <c r="AG16" i="8" s="1"/>
  <c r="BW25" i="8"/>
  <c r="AA107" i="121" l="1"/>
  <c r="K107" i="122" s="1"/>
  <c r="E107" i="121"/>
  <c r="U107" i="121" s="1"/>
  <c r="AA261" i="122"/>
  <c r="W59" i="122"/>
  <c r="E59" i="122"/>
  <c r="U59" i="122" s="1"/>
  <c r="AB71" i="122"/>
  <c r="E71" i="122"/>
  <c r="U71" i="122" s="1"/>
  <c r="AB184" i="122"/>
  <c r="E184" i="122"/>
  <c r="U184" i="122" s="1"/>
  <c r="AB147" i="122"/>
  <c r="W206" i="122"/>
  <c r="E206" i="122"/>
  <c r="U206" i="122" s="1"/>
  <c r="W216" i="122"/>
  <c r="E216" i="122"/>
  <c r="U216" i="122" s="1"/>
  <c r="W185" i="122"/>
  <c r="E185" i="122"/>
  <c r="U185" i="122" s="1"/>
  <c r="AB247" i="122"/>
  <c r="E247" i="122"/>
  <c r="U247" i="122" s="1"/>
  <c r="AB151" i="122"/>
  <c r="H36" i="122"/>
  <c r="X36" i="122" s="1"/>
  <c r="AF36" i="122" s="1"/>
  <c r="AF36" i="121"/>
  <c r="AB62" i="122"/>
  <c r="E62" i="122"/>
  <c r="U62" i="122" s="1"/>
  <c r="AA104" i="122"/>
  <c r="E48" i="122"/>
  <c r="U48" i="122" s="1"/>
  <c r="AB48" i="122"/>
  <c r="W115" i="122"/>
  <c r="E115" i="122"/>
  <c r="U115" i="122" s="1"/>
  <c r="AB116" i="122"/>
  <c r="E116" i="122"/>
  <c r="U116" i="122" s="1"/>
  <c r="AA106" i="122"/>
  <c r="E106" i="122"/>
  <c r="U106" i="122" s="1"/>
  <c r="AB231" i="122"/>
  <c r="AB91" i="122"/>
  <c r="E91" i="122"/>
  <c r="U91" i="122" s="1"/>
  <c r="W125" i="122"/>
  <c r="E125" i="122"/>
  <c r="U125" i="122" s="1"/>
  <c r="AA202" i="122"/>
  <c r="E202" i="122"/>
  <c r="U202" i="122" s="1"/>
  <c r="F20" i="122"/>
  <c r="V20" i="122" s="1"/>
  <c r="E86" i="122"/>
  <c r="U86" i="122" s="1"/>
  <c r="AB86" i="122"/>
  <c r="E162" i="122"/>
  <c r="U162" i="122" s="1"/>
  <c r="AB162" i="122"/>
  <c r="AB164" i="122" s="1"/>
  <c r="E177" i="121"/>
  <c r="U177" i="121" s="1"/>
  <c r="AB177" i="121"/>
  <c r="L177" i="122" s="1"/>
  <c r="AB126" i="121"/>
  <c r="L126" i="122" s="1"/>
  <c r="E126" i="121"/>
  <c r="U126" i="121" s="1"/>
  <c r="Z98" i="121"/>
  <c r="J98" i="122" s="1"/>
  <c r="E98" i="121"/>
  <c r="U98" i="121" s="1"/>
  <c r="Z182" i="121"/>
  <c r="J182" i="122" s="1"/>
  <c r="E182" i="121"/>
  <c r="U182" i="121" s="1"/>
  <c r="AB246" i="121"/>
  <c r="L246" i="122" s="1"/>
  <c r="E246" i="121"/>
  <c r="U246" i="121" s="1"/>
  <c r="Z74" i="121"/>
  <c r="J74" i="122" s="1"/>
  <c r="E74" i="121"/>
  <c r="U74" i="121" s="1"/>
  <c r="W214" i="121"/>
  <c r="G214" i="122" s="1"/>
  <c r="E214" i="121"/>
  <c r="U214" i="121" s="1"/>
  <c r="Z183" i="121"/>
  <c r="J183" i="122" s="1"/>
  <c r="E183" i="121"/>
  <c r="U183" i="121" s="1"/>
  <c r="Z251" i="121"/>
  <c r="J251" i="122" s="1"/>
  <c r="AB167" i="121"/>
  <c r="L167" i="122" s="1"/>
  <c r="E167" i="121"/>
  <c r="U167" i="121" s="1"/>
  <c r="AA166" i="121"/>
  <c r="K166" i="122" s="1"/>
  <c r="E166" i="121"/>
  <c r="U166" i="121" s="1"/>
  <c r="W93" i="121"/>
  <c r="G93" i="122" s="1"/>
  <c r="E93" i="121"/>
  <c r="U93" i="121" s="1"/>
  <c r="Z67" i="121"/>
  <c r="J67" i="122" s="1"/>
  <c r="E67" i="121"/>
  <c r="U67" i="121" s="1"/>
  <c r="E248" i="121"/>
  <c r="U248" i="121" s="1"/>
  <c r="AB248" i="121"/>
  <c r="L248" i="122" s="1"/>
  <c r="W236" i="121"/>
  <c r="G236" i="122" s="1"/>
  <c r="E236" i="121"/>
  <c r="U236" i="121" s="1"/>
  <c r="AB243" i="121"/>
  <c r="L243" i="122" s="1"/>
  <c r="E243" i="121"/>
  <c r="U243" i="121" s="1"/>
  <c r="Z63" i="121"/>
  <c r="J63" i="122" s="1"/>
  <c r="E63" i="121"/>
  <c r="U63" i="121" s="1"/>
  <c r="W180" i="121"/>
  <c r="G180" i="122" s="1"/>
  <c r="E180" i="121"/>
  <c r="U180" i="121" s="1"/>
  <c r="V205" i="121"/>
  <c r="F205" i="122" s="1"/>
  <c r="E205" i="121"/>
  <c r="U205" i="121" s="1"/>
  <c r="E234" i="121"/>
  <c r="U234" i="121" s="1"/>
  <c r="AA234" i="121"/>
  <c r="K234" i="122" s="1"/>
  <c r="AA241" i="121"/>
  <c r="K241" i="122" s="1"/>
  <c r="E241" i="121"/>
  <c r="U241" i="121" s="1"/>
  <c r="AB204" i="121"/>
  <c r="L204" i="122" s="1"/>
  <c r="AB171" i="121"/>
  <c r="L171" i="122" s="1"/>
  <c r="E171" i="121"/>
  <c r="U171" i="121" s="1"/>
  <c r="Z78" i="121"/>
  <c r="J78" i="122" s="1"/>
  <c r="E78" i="121"/>
  <c r="U78" i="121" s="1"/>
  <c r="W207" i="121"/>
  <c r="G207" i="122" s="1"/>
  <c r="E207" i="121"/>
  <c r="U207" i="121" s="1"/>
  <c r="AB118" i="121"/>
  <c r="L118" i="122" s="1"/>
  <c r="E118" i="121"/>
  <c r="U118" i="121" s="1"/>
  <c r="AA192" i="121"/>
  <c r="K192" i="122" s="1"/>
  <c r="E192" i="121"/>
  <c r="U192" i="121" s="1"/>
  <c r="AB89" i="121"/>
  <c r="L89" i="122" s="1"/>
  <c r="E89" i="121"/>
  <c r="U89" i="121" s="1"/>
  <c r="AB68" i="121"/>
  <c r="L68" i="122" s="1"/>
  <c r="E68" i="121"/>
  <c r="U68" i="121" s="1"/>
  <c r="X61" i="121"/>
  <c r="H61" i="122" s="1"/>
  <c r="AB238" i="121"/>
  <c r="L238" i="122" s="1"/>
  <c r="E238" i="121"/>
  <c r="U238" i="121" s="1"/>
  <c r="Z100" i="121"/>
  <c r="J100" i="122" s="1"/>
  <c r="E100" i="121"/>
  <c r="U100" i="121" s="1"/>
  <c r="AB64" i="121"/>
  <c r="L64" i="122" s="1"/>
  <c r="E64" i="121"/>
  <c r="U64" i="121" s="1"/>
  <c r="Z178" i="121"/>
  <c r="J178" i="122" s="1"/>
  <c r="E178" i="121"/>
  <c r="U178" i="121" s="1"/>
  <c r="AB175" i="121"/>
  <c r="L175" i="122" s="1"/>
  <c r="E175" i="121"/>
  <c r="U175" i="121" s="1"/>
  <c r="Z72" i="121"/>
  <c r="J72" i="122" s="1"/>
  <c r="E72" i="121"/>
  <c r="U72" i="121" s="1"/>
  <c r="AB201" i="121"/>
  <c r="L201" i="122" s="1"/>
  <c r="E201" i="121"/>
  <c r="U201" i="121" s="1"/>
  <c r="W58" i="121"/>
  <c r="G58" i="122" s="1"/>
  <c r="E58" i="121"/>
  <c r="U58" i="121" s="1"/>
  <c r="AB95" i="121"/>
  <c r="L95" i="122" s="1"/>
  <c r="E95" i="121"/>
  <c r="U95" i="121" s="1"/>
  <c r="AA36" i="121"/>
  <c r="K36" i="122" s="1"/>
  <c r="AB179" i="121"/>
  <c r="L179" i="122" s="1"/>
  <c r="E179" i="121"/>
  <c r="U179" i="121" s="1"/>
  <c r="W47" i="121"/>
  <c r="G47" i="122" s="1"/>
  <c r="E47" i="121"/>
  <c r="U47" i="121" s="1"/>
  <c r="AB124" i="121"/>
  <c r="L124" i="122" s="1"/>
  <c r="E124" i="121"/>
  <c r="U124" i="121" s="1"/>
  <c r="W193" i="121"/>
  <c r="G193" i="122" s="1"/>
  <c r="E193" i="121"/>
  <c r="U193" i="121" s="1"/>
  <c r="AB85" i="121"/>
  <c r="L85" i="122" s="1"/>
  <c r="AF35" i="117"/>
  <c r="AB135" i="117"/>
  <c r="L133" i="121" s="1"/>
  <c r="E135" i="117"/>
  <c r="U135" i="117" s="1"/>
  <c r="Z254" i="117"/>
  <c r="J258" i="121" s="1"/>
  <c r="E254" i="117"/>
  <c r="U254" i="117" s="1"/>
  <c r="AB89" i="117"/>
  <c r="L87" i="121" s="1"/>
  <c r="E89" i="117"/>
  <c r="U89" i="117" s="1"/>
  <c r="AA259" i="117"/>
  <c r="K263" i="121" s="1"/>
  <c r="E259" i="117"/>
  <c r="U259" i="117" s="1"/>
  <c r="H11" i="113"/>
  <c r="U11" i="112"/>
  <c r="W23" i="112"/>
  <c r="E23" i="112"/>
  <c r="AB163" i="117"/>
  <c r="L161" i="121" s="1"/>
  <c r="AB34" i="117"/>
  <c r="L35" i="121" s="1"/>
  <c r="E205" i="117"/>
  <c r="U205" i="117" s="1"/>
  <c r="AB205" i="117"/>
  <c r="L203" i="121" s="1"/>
  <c r="X55" i="117"/>
  <c r="H56" i="121" s="1"/>
  <c r="E55" i="117"/>
  <c r="U55" i="117" s="1"/>
  <c r="AB98" i="117"/>
  <c r="L96" i="121" s="1"/>
  <c r="E98" i="117"/>
  <c r="U98" i="117" s="1"/>
  <c r="G12" i="112"/>
  <c r="U12" i="108"/>
  <c r="E64" i="117"/>
  <c r="U64" i="117" s="1"/>
  <c r="AB64" i="117"/>
  <c r="L65" i="121" s="1"/>
  <c r="AA238" i="117"/>
  <c r="K242" i="121" s="1"/>
  <c r="E238" i="117"/>
  <c r="U238" i="117" s="1"/>
  <c r="Z106" i="117"/>
  <c r="J104" i="121" s="1"/>
  <c r="E106" i="117"/>
  <c r="U106" i="117" s="1"/>
  <c r="E240" i="117"/>
  <c r="U240" i="117" s="1"/>
  <c r="AB240" i="117"/>
  <c r="L244" i="121" s="1"/>
  <c r="AB214" i="117"/>
  <c r="L213" i="121" s="1"/>
  <c r="W29" i="112"/>
  <c r="E29" i="112"/>
  <c r="G22" i="113"/>
  <c r="U22" i="112"/>
  <c r="L19" i="117"/>
  <c r="W24" i="112"/>
  <c r="E24" i="112"/>
  <c r="L12" i="117"/>
  <c r="AA231" i="117"/>
  <c r="K235" i="121" s="1"/>
  <c r="E231" i="117"/>
  <c r="U231" i="117" s="1"/>
  <c r="AB236" i="117"/>
  <c r="L240" i="121" s="1"/>
  <c r="E236" i="117"/>
  <c r="U236" i="117" s="1"/>
  <c r="AB176" i="117"/>
  <c r="L174" i="121" s="1"/>
  <c r="E176" i="117"/>
  <c r="U176" i="117" s="1"/>
  <c r="AA201" i="117"/>
  <c r="K199" i="121" s="1"/>
  <c r="E201" i="117"/>
  <c r="U201" i="117" s="1"/>
  <c r="W228" i="117"/>
  <c r="G232" i="121" s="1"/>
  <c r="E228" i="117"/>
  <c r="U228" i="117" s="1"/>
  <c r="V30" i="117"/>
  <c r="F30" i="121" s="1"/>
  <c r="E30" i="117"/>
  <c r="AA229" i="117"/>
  <c r="K233" i="121" s="1"/>
  <c r="E229" i="117"/>
  <c r="U229" i="117" s="1"/>
  <c r="AB68" i="117"/>
  <c r="L69" i="121" s="1"/>
  <c r="E68" i="117"/>
  <c r="U68" i="117" s="1"/>
  <c r="E245" i="117"/>
  <c r="U245" i="117" s="1"/>
  <c r="AB245" i="117"/>
  <c r="L249" i="121" s="1"/>
  <c r="W17" i="108"/>
  <c r="E17" i="108"/>
  <c r="G16" i="112"/>
  <c r="U16" i="108"/>
  <c r="E211" i="113"/>
  <c r="U211" i="113" s="1"/>
  <c r="AB211" i="113"/>
  <c r="L226" i="117" s="1"/>
  <c r="W176" i="113"/>
  <c r="G188" i="117" s="1"/>
  <c r="E176" i="113"/>
  <c r="U176" i="113" s="1"/>
  <c r="W220" i="113"/>
  <c r="G235" i="117" s="1"/>
  <c r="E220" i="113"/>
  <c r="U220" i="113" s="1"/>
  <c r="W101" i="113"/>
  <c r="G111" i="117" s="1"/>
  <c r="E101" i="113"/>
  <c r="U101" i="113" s="1"/>
  <c r="W212" i="113"/>
  <c r="G227" i="117" s="1"/>
  <c r="E212" i="113"/>
  <c r="U212" i="113" s="1"/>
  <c r="E245" i="113"/>
  <c r="U245" i="113" s="1"/>
  <c r="AB245" i="113"/>
  <c r="L260" i="117" s="1"/>
  <c r="W240" i="113"/>
  <c r="G255" i="117" s="1"/>
  <c r="E240" i="113"/>
  <c r="U240" i="113" s="1"/>
  <c r="W39" i="113"/>
  <c r="G45" i="117" s="1"/>
  <c r="E39" i="113"/>
  <c r="U39" i="113" s="1"/>
  <c r="AB59" i="113"/>
  <c r="L69" i="117" s="1"/>
  <c r="E59" i="113"/>
  <c r="U59" i="113" s="1"/>
  <c r="W159" i="113"/>
  <c r="G170" i="117" s="1"/>
  <c r="E159" i="113"/>
  <c r="U159" i="113" s="1"/>
  <c r="AB144" i="113"/>
  <c r="L155" i="117" s="1"/>
  <c r="AB155" i="117" s="1"/>
  <c r="L153" i="121" s="1"/>
  <c r="AB20" i="113"/>
  <c r="L22" i="117" s="1"/>
  <c r="E20" i="113"/>
  <c r="X112" i="113"/>
  <c r="H122" i="117" s="1"/>
  <c r="E112" i="113"/>
  <c r="U112" i="113" s="1"/>
  <c r="W218" i="113"/>
  <c r="G233" i="117" s="1"/>
  <c r="E218" i="113"/>
  <c r="U218" i="113" s="1"/>
  <c r="W184" i="113"/>
  <c r="G196" i="117" s="1"/>
  <c r="E184" i="113"/>
  <c r="U184" i="113" s="1"/>
  <c r="AB181" i="113"/>
  <c r="L193" i="117" s="1"/>
  <c r="E181" i="113"/>
  <c r="U181" i="113" s="1"/>
  <c r="AB156" i="113"/>
  <c r="L167" i="117" s="1"/>
  <c r="E156" i="113"/>
  <c r="U156" i="113" s="1"/>
  <c r="E80" i="113"/>
  <c r="U80" i="113" s="1"/>
  <c r="AB80" i="113"/>
  <c r="L90" i="117" s="1"/>
  <c r="V13" i="113"/>
  <c r="F13" i="117" s="1"/>
  <c r="E13" i="113"/>
  <c r="W231" i="113"/>
  <c r="G246" i="117" s="1"/>
  <c r="E231" i="113"/>
  <c r="U231" i="113" s="1"/>
  <c r="AB180" i="113"/>
  <c r="L192" i="117" s="1"/>
  <c r="E180" i="113"/>
  <c r="U180" i="113" s="1"/>
  <c r="AB97" i="113"/>
  <c r="L107" i="117" s="1"/>
  <c r="E97" i="113"/>
  <c r="U97" i="113" s="1"/>
  <c r="AB190" i="113"/>
  <c r="L202" i="117" s="1"/>
  <c r="E190" i="113"/>
  <c r="U190" i="113" s="1"/>
  <c r="U26" i="113"/>
  <c r="U20" i="112"/>
  <c r="U13" i="112"/>
  <c r="AB241" i="108"/>
  <c r="L243" i="112" s="1"/>
  <c r="L245" i="108"/>
  <c r="AB245" i="108" s="1"/>
  <c r="V25" i="112"/>
  <c r="F25" i="113" s="1"/>
  <c r="E25" i="112"/>
  <c r="W93" i="112"/>
  <c r="G93" i="113" s="1"/>
  <c r="E93" i="112"/>
  <c r="U93" i="112" s="1"/>
  <c r="X30" i="112"/>
  <c r="H30" i="113" s="1"/>
  <c r="W77" i="108"/>
  <c r="G77" i="112" s="1"/>
  <c r="E77" i="108"/>
  <c r="U77" i="108" s="1"/>
  <c r="W141" i="112"/>
  <c r="G143" i="113" s="1"/>
  <c r="H15" i="112"/>
  <c r="U15" i="108"/>
  <c r="W188" i="108"/>
  <c r="G190" i="112" s="1"/>
  <c r="E188" i="108"/>
  <c r="U188" i="108" s="1"/>
  <c r="W76" i="112"/>
  <c r="G76" i="113" s="1"/>
  <c r="E76" i="112"/>
  <c r="U76" i="112" s="1"/>
  <c r="V19" i="112"/>
  <c r="F19" i="113" s="1"/>
  <c r="E19" i="112"/>
  <c r="W226" i="108"/>
  <c r="G228" i="112" s="1"/>
  <c r="E226" i="108"/>
  <c r="U226" i="108" s="1"/>
  <c r="F21" i="112"/>
  <c r="U21" i="108"/>
  <c r="G206" i="112"/>
  <c r="W246" i="108"/>
  <c r="W173" i="112"/>
  <c r="G177" i="113" s="1"/>
  <c r="E173" i="112"/>
  <c r="U173" i="112" s="1"/>
  <c r="W94" i="108"/>
  <c r="G94" i="112" s="1"/>
  <c r="E94" i="108"/>
  <c r="U94" i="108" s="1"/>
  <c r="V196" i="112"/>
  <c r="F200" i="113" s="1"/>
  <c r="E196" i="112"/>
  <c r="U196" i="112" s="1"/>
  <c r="M39" i="82"/>
  <c r="O43" i="82"/>
  <c r="W39" i="82"/>
  <c r="X238" i="107"/>
  <c r="H242" i="107"/>
  <c r="W11" i="107"/>
  <c r="G11" i="108" s="1"/>
  <c r="J231" i="93"/>
  <c r="Z231" i="93" s="1"/>
  <c r="J238" i="107"/>
  <c r="E141" i="93"/>
  <c r="U141" i="93" s="1"/>
  <c r="E144" i="107" s="1"/>
  <c r="U139" i="93"/>
  <c r="E140" i="107" s="1"/>
  <c r="X225" i="90"/>
  <c r="H231" i="93"/>
  <c r="X231" i="93" s="1"/>
  <c r="E216" i="93"/>
  <c r="E92" i="93"/>
  <c r="AA225" i="90"/>
  <c r="K231" i="93"/>
  <c r="AA231" i="93" s="1"/>
  <c r="K238" i="107" s="1"/>
  <c r="E178" i="93"/>
  <c r="E75" i="93"/>
  <c r="AG18" i="8"/>
  <c r="BI25" i="8"/>
  <c r="AG25" i="8" s="1"/>
  <c r="BI20" i="8"/>
  <c r="AG20" i="8" s="1"/>
  <c r="BI28" i="8"/>
  <c r="AG28" i="8" s="1"/>
  <c r="BI21" i="8"/>
  <c r="AG21" i="8" s="1"/>
  <c r="AA36" i="122" l="1"/>
  <c r="W58" i="122"/>
  <c r="E58" i="122"/>
  <c r="U58" i="122" s="1"/>
  <c r="Z72" i="122"/>
  <c r="E72" i="122"/>
  <c r="U72" i="122" s="1"/>
  <c r="Z178" i="122"/>
  <c r="E178" i="122"/>
  <c r="U178" i="122" s="1"/>
  <c r="Z100" i="122"/>
  <c r="E100" i="122"/>
  <c r="U100" i="122" s="1"/>
  <c r="X61" i="122"/>
  <c r="E89" i="122"/>
  <c r="U89" i="122" s="1"/>
  <c r="AB89" i="122"/>
  <c r="AB118" i="122"/>
  <c r="E118" i="122"/>
  <c r="U118" i="122" s="1"/>
  <c r="Z78" i="122"/>
  <c r="E78" i="122"/>
  <c r="U78" i="122" s="1"/>
  <c r="Z251" i="122"/>
  <c r="W214" i="122"/>
  <c r="E214" i="122"/>
  <c r="U214" i="122" s="1"/>
  <c r="AB246" i="122"/>
  <c r="E246" i="122"/>
  <c r="U246" i="122" s="1"/>
  <c r="Z98" i="122"/>
  <c r="E98" i="122"/>
  <c r="U98" i="122" s="1"/>
  <c r="W193" i="122"/>
  <c r="E193" i="122"/>
  <c r="U193" i="122" s="1"/>
  <c r="W47" i="122"/>
  <c r="E47" i="122"/>
  <c r="U47" i="122" s="1"/>
  <c r="AA241" i="122"/>
  <c r="E241" i="122"/>
  <c r="U241" i="122" s="1"/>
  <c r="V205" i="122"/>
  <c r="E205" i="122"/>
  <c r="U205" i="122" s="1"/>
  <c r="Z63" i="122"/>
  <c r="E63" i="122"/>
  <c r="U63" i="122" s="1"/>
  <c r="W236" i="122"/>
  <c r="E236" i="122"/>
  <c r="U236" i="122" s="1"/>
  <c r="Z67" i="122"/>
  <c r="E67" i="122"/>
  <c r="U67" i="122" s="1"/>
  <c r="AA166" i="122"/>
  <c r="E166" i="122"/>
  <c r="U166" i="122" s="1"/>
  <c r="AB95" i="122"/>
  <c r="E95" i="122"/>
  <c r="U95" i="122" s="1"/>
  <c r="AB201" i="122"/>
  <c r="E201" i="122"/>
  <c r="U201" i="122" s="1"/>
  <c r="AB175" i="122"/>
  <c r="E175" i="122"/>
  <c r="U175" i="122" s="1"/>
  <c r="AB64" i="122"/>
  <c r="E64" i="122"/>
  <c r="U64" i="122" s="1"/>
  <c r="AB238" i="122"/>
  <c r="E238" i="122"/>
  <c r="U238" i="122" s="1"/>
  <c r="AB68" i="122"/>
  <c r="E68" i="122"/>
  <c r="U68" i="122" s="1"/>
  <c r="AA192" i="122"/>
  <c r="E192" i="122"/>
  <c r="U192" i="122" s="1"/>
  <c r="W207" i="122"/>
  <c r="E207" i="122"/>
  <c r="U207" i="122" s="1"/>
  <c r="AB171" i="122"/>
  <c r="E171" i="122"/>
  <c r="U171" i="122" s="1"/>
  <c r="AA234" i="122"/>
  <c r="E234" i="122"/>
  <c r="U234" i="122" s="1"/>
  <c r="E248" i="122"/>
  <c r="U248" i="122" s="1"/>
  <c r="AB248" i="122"/>
  <c r="Z183" i="122"/>
  <c r="E183" i="122"/>
  <c r="U183" i="122" s="1"/>
  <c r="Z74" i="122"/>
  <c r="E74" i="122"/>
  <c r="U74" i="122" s="1"/>
  <c r="Z182" i="122"/>
  <c r="E182" i="122"/>
  <c r="U182" i="122" s="1"/>
  <c r="AB126" i="122"/>
  <c r="E126" i="122"/>
  <c r="U126" i="122" s="1"/>
  <c r="AB85" i="122"/>
  <c r="AB124" i="122"/>
  <c r="E124" i="122"/>
  <c r="U124" i="122" s="1"/>
  <c r="AB179" i="122"/>
  <c r="E179" i="122"/>
  <c r="U179" i="122" s="1"/>
  <c r="AB204" i="122"/>
  <c r="W180" i="122"/>
  <c r="E180" i="122"/>
  <c r="U180" i="122" s="1"/>
  <c r="E243" i="122"/>
  <c r="U243" i="122" s="1"/>
  <c r="AB243" i="122"/>
  <c r="W93" i="122"/>
  <c r="E93" i="122"/>
  <c r="U93" i="122" s="1"/>
  <c r="E167" i="122"/>
  <c r="U167" i="122" s="1"/>
  <c r="AB167" i="122"/>
  <c r="E177" i="122"/>
  <c r="U177" i="122" s="1"/>
  <c r="AB177" i="122"/>
  <c r="AA107" i="122"/>
  <c r="E107" i="122"/>
  <c r="U107" i="122" s="1"/>
  <c r="E249" i="121"/>
  <c r="U249" i="121" s="1"/>
  <c r="AB249" i="121"/>
  <c r="L249" i="122" s="1"/>
  <c r="AA242" i="121"/>
  <c r="K242" i="122" s="1"/>
  <c r="E242" i="121"/>
  <c r="U242" i="121" s="1"/>
  <c r="X56" i="121"/>
  <c r="H56" i="122" s="1"/>
  <c r="E56" i="121"/>
  <c r="U56" i="121" s="1"/>
  <c r="AB161" i="121"/>
  <c r="L161" i="122" s="1"/>
  <c r="AB87" i="121"/>
  <c r="L87" i="122" s="1"/>
  <c r="E87" i="121"/>
  <c r="U87" i="121" s="1"/>
  <c r="AB133" i="121"/>
  <c r="L133" i="122" s="1"/>
  <c r="E133" i="121"/>
  <c r="U133" i="121" s="1"/>
  <c r="E233" i="121"/>
  <c r="U233" i="121" s="1"/>
  <c r="AA233" i="121"/>
  <c r="K233" i="122" s="1"/>
  <c r="W232" i="121"/>
  <c r="G232" i="122" s="1"/>
  <c r="E232" i="121"/>
  <c r="U232" i="121" s="1"/>
  <c r="E174" i="121"/>
  <c r="U174" i="121" s="1"/>
  <c r="AB174" i="121"/>
  <c r="L174" i="122" s="1"/>
  <c r="AA235" i="121"/>
  <c r="K235" i="122" s="1"/>
  <c r="E235" i="121"/>
  <c r="U235" i="121" s="1"/>
  <c r="AB65" i="121"/>
  <c r="L65" i="122" s="1"/>
  <c r="E65" i="121"/>
  <c r="U65" i="121" s="1"/>
  <c r="AB203" i="121"/>
  <c r="L203" i="122" s="1"/>
  <c r="E203" i="121"/>
  <c r="U203" i="121" s="1"/>
  <c r="AB213" i="121"/>
  <c r="L213" i="122" s="1"/>
  <c r="Z104" i="121"/>
  <c r="J104" i="122" s="1"/>
  <c r="E104" i="121"/>
  <c r="U104" i="121" s="1"/>
  <c r="E96" i="121"/>
  <c r="U96" i="121" s="1"/>
  <c r="AB96" i="121"/>
  <c r="L96" i="122" s="1"/>
  <c r="E263" i="121"/>
  <c r="U263" i="121" s="1"/>
  <c r="AA263" i="121"/>
  <c r="K263" i="122" s="1"/>
  <c r="Z258" i="121"/>
  <c r="J258" i="122" s="1"/>
  <c r="E258" i="121"/>
  <c r="U258" i="121" s="1"/>
  <c r="AB153" i="121"/>
  <c r="L153" i="122" s="1"/>
  <c r="E69" i="121"/>
  <c r="U69" i="121" s="1"/>
  <c r="AB69" i="121"/>
  <c r="L69" i="122" s="1"/>
  <c r="V30" i="121"/>
  <c r="E30" i="121"/>
  <c r="AA199" i="121"/>
  <c r="K199" i="122" s="1"/>
  <c r="E199" i="121"/>
  <c r="U199" i="121" s="1"/>
  <c r="AB240" i="121"/>
  <c r="L240" i="122" s="1"/>
  <c r="E240" i="121"/>
  <c r="U240" i="121" s="1"/>
  <c r="AB244" i="121"/>
  <c r="L244" i="122" s="1"/>
  <c r="E244" i="121"/>
  <c r="U244" i="121" s="1"/>
  <c r="AB35" i="121"/>
  <c r="L35" i="122" s="1"/>
  <c r="U30" i="117"/>
  <c r="AB90" i="117"/>
  <c r="L88" i="121" s="1"/>
  <c r="E90" i="117"/>
  <c r="U90" i="117" s="1"/>
  <c r="W170" i="117"/>
  <c r="G168" i="121" s="1"/>
  <c r="E170" i="117"/>
  <c r="U170" i="117" s="1"/>
  <c r="W45" i="117"/>
  <c r="G46" i="121" s="1"/>
  <c r="E45" i="117"/>
  <c r="U45" i="117" s="1"/>
  <c r="W111" i="117"/>
  <c r="G109" i="121" s="1"/>
  <c r="E111" i="117"/>
  <c r="U111" i="117" s="1"/>
  <c r="W188" i="117"/>
  <c r="G186" i="121" s="1"/>
  <c r="E188" i="117"/>
  <c r="U188" i="117" s="1"/>
  <c r="W16" i="112"/>
  <c r="E16" i="112"/>
  <c r="G23" i="113"/>
  <c r="U23" i="112"/>
  <c r="E107" i="117"/>
  <c r="U107" i="117" s="1"/>
  <c r="AB107" i="117"/>
  <c r="L105" i="121" s="1"/>
  <c r="W246" i="117"/>
  <c r="G250" i="121" s="1"/>
  <c r="E246" i="117"/>
  <c r="U246" i="117" s="1"/>
  <c r="AB193" i="117"/>
  <c r="L191" i="121" s="1"/>
  <c r="E193" i="117"/>
  <c r="U193" i="117" s="1"/>
  <c r="W233" i="117"/>
  <c r="G237" i="121" s="1"/>
  <c r="E233" i="117"/>
  <c r="U233" i="117" s="1"/>
  <c r="AB22" i="117"/>
  <c r="L22" i="121" s="1"/>
  <c r="E22" i="117"/>
  <c r="E226" i="117"/>
  <c r="U226" i="117" s="1"/>
  <c r="AB226" i="117"/>
  <c r="L230" i="121" s="1"/>
  <c r="G24" i="113"/>
  <c r="U24" i="112"/>
  <c r="W22" i="113"/>
  <c r="E22" i="113"/>
  <c r="AB69" i="117"/>
  <c r="L70" i="121" s="1"/>
  <c r="E69" i="117"/>
  <c r="U69" i="117" s="1"/>
  <c r="W255" i="117"/>
  <c r="G259" i="121" s="1"/>
  <c r="E255" i="117"/>
  <c r="U255" i="117" s="1"/>
  <c r="W227" i="117"/>
  <c r="G231" i="121" s="1"/>
  <c r="E227" i="117"/>
  <c r="U227" i="117" s="1"/>
  <c r="W235" i="117"/>
  <c r="G239" i="121" s="1"/>
  <c r="E235" i="117"/>
  <c r="U235" i="117" s="1"/>
  <c r="W11" i="108"/>
  <c r="G11" i="112" s="1"/>
  <c r="E11" i="108"/>
  <c r="AB202" i="117"/>
  <c r="L200" i="121" s="1"/>
  <c r="E202" i="117"/>
  <c r="U202" i="117" s="1"/>
  <c r="AB192" i="117"/>
  <c r="L190" i="121" s="1"/>
  <c r="E192" i="117"/>
  <c r="U192" i="117" s="1"/>
  <c r="V13" i="117"/>
  <c r="F13" i="121" s="1"/>
  <c r="E13" i="117"/>
  <c r="E167" i="117"/>
  <c r="U167" i="117" s="1"/>
  <c r="AB167" i="117"/>
  <c r="L165" i="121" s="1"/>
  <c r="W196" i="117"/>
  <c r="G194" i="121" s="1"/>
  <c r="E196" i="117"/>
  <c r="U196" i="117" s="1"/>
  <c r="X122" i="117"/>
  <c r="H120" i="121" s="1"/>
  <c r="E122" i="117"/>
  <c r="U122" i="117" s="1"/>
  <c r="E260" i="117"/>
  <c r="U260" i="117" s="1"/>
  <c r="AB260" i="117"/>
  <c r="L264" i="121" s="1"/>
  <c r="G17" i="112"/>
  <c r="U17" i="108"/>
  <c r="AB12" i="117"/>
  <c r="L12" i="121" s="1"/>
  <c r="AB19" i="117"/>
  <c r="L19" i="121" s="1"/>
  <c r="G29" i="113"/>
  <c r="U29" i="112"/>
  <c r="W12" i="112"/>
  <c r="E12" i="112"/>
  <c r="X11" i="113"/>
  <c r="W93" i="113"/>
  <c r="G103" i="117" s="1"/>
  <c r="E93" i="113"/>
  <c r="U93" i="113" s="1"/>
  <c r="W76" i="113"/>
  <c r="G86" i="117" s="1"/>
  <c r="E76" i="113"/>
  <c r="U76" i="113" s="1"/>
  <c r="U13" i="113"/>
  <c r="U20" i="113"/>
  <c r="X30" i="113"/>
  <c r="H34" i="117" s="1"/>
  <c r="V25" i="113"/>
  <c r="F29" i="117" s="1"/>
  <c r="E25" i="113"/>
  <c r="V200" i="113"/>
  <c r="F214" i="117" s="1"/>
  <c r="E200" i="113"/>
  <c r="U200" i="113" s="1"/>
  <c r="W177" i="113"/>
  <c r="G189" i="117" s="1"/>
  <c r="E177" i="113"/>
  <c r="U177" i="113" s="1"/>
  <c r="V19" i="113"/>
  <c r="F21" i="117" s="1"/>
  <c r="E19" i="113"/>
  <c r="W143" i="113"/>
  <c r="G154" i="117" s="1"/>
  <c r="W154" i="117" s="1"/>
  <c r="G152" i="121" s="1"/>
  <c r="U25" i="112"/>
  <c r="U19" i="112"/>
  <c r="W94" i="112"/>
  <c r="G94" i="113" s="1"/>
  <c r="E94" i="112"/>
  <c r="U94" i="112" s="1"/>
  <c r="W228" i="112"/>
  <c r="G232" i="113" s="1"/>
  <c r="E228" i="112"/>
  <c r="U228" i="112" s="1"/>
  <c r="X242" i="107"/>
  <c r="H241" i="108"/>
  <c r="X15" i="112"/>
  <c r="H15" i="113" s="1"/>
  <c r="E15" i="112"/>
  <c r="W206" i="112"/>
  <c r="G210" i="113" s="1"/>
  <c r="E206" i="112"/>
  <c r="U206" i="112" s="1"/>
  <c r="W77" i="112"/>
  <c r="G77" i="113" s="1"/>
  <c r="E77" i="112"/>
  <c r="U77" i="112" s="1"/>
  <c r="V21" i="112"/>
  <c r="F21" i="113" s="1"/>
  <c r="E21" i="112"/>
  <c r="AB243" i="112"/>
  <c r="L248" i="113" s="1"/>
  <c r="L247" i="112"/>
  <c r="AB247" i="112" s="1"/>
  <c r="W190" i="112"/>
  <c r="G194" i="113" s="1"/>
  <c r="E190" i="112"/>
  <c r="U190" i="112" s="1"/>
  <c r="M43" i="82"/>
  <c r="W43" i="82"/>
  <c r="G44" i="90"/>
  <c r="U39" i="82"/>
  <c r="J235" i="93"/>
  <c r="Z235" i="93" s="1"/>
  <c r="AA238" i="107"/>
  <c r="K242" i="107"/>
  <c r="Z238" i="107"/>
  <c r="J241" i="108" s="1"/>
  <c r="J242" i="107"/>
  <c r="Z242" i="107" s="1"/>
  <c r="E143" i="93"/>
  <c r="U143" i="93" s="1"/>
  <c r="E148" i="107" s="1"/>
  <c r="U148" i="107" s="1"/>
  <c r="E77" i="93"/>
  <c r="U75" i="93"/>
  <c r="E76" i="107" s="1"/>
  <c r="U76" i="107" s="1"/>
  <c r="E94" i="93"/>
  <c r="U92" i="93"/>
  <c r="E93" i="107" s="1"/>
  <c r="U93" i="107" s="1"/>
  <c r="E184" i="93"/>
  <c r="U178" i="93"/>
  <c r="E185" i="107" s="1"/>
  <c r="U185" i="107" s="1"/>
  <c r="E222" i="93"/>
  <c r="U222" i="93" s="1"/>
  <c r="E229" i="107" s="1"/>
  <c r="U229" i="107" s="1"/>
  <c r="U216" i="93"/>
  <c r="E223" i="107" s="1"/>
  <c r="U223" i="107" s="1"/>
  <c r="K235" i="93"/>
  <c r="AA235" i="93"/>
  <c r="X235" i="93"/>
  <c r="H235" i="93"/>
  <c r="W25" i="80"/>
  <c r="W26" i="80" s="1"/>
  <c r="AB19" i="121" l="1"/>
  <c r="E69" i="122"/>
  <c r="U69" i="122" s="1"/>
  <c r="AB69" i="122"/>
  <c r="Z258" i="122"/>
  <c r="E258" i="122"/>
  <c r="U258" i="122" s="1"/>
  <c r="AB161" i="122"/>
  <c r="AA242" i="122"/>
  <c r="E242" i="122"/>
  <c r="U242" i="122" s="1"/>
  <c r="AB12" i="121"/>
  <c r="E244" i="122"/>
  <c r="U244" i="122" s="1"/>
  <c r="AB244" i="122"/>
  <c r="AA199" i="122"/>
  <c r="E199" i="122"/>
  <c r="U199" i="122" s="1"/>
  <c r="AA263" i="122"/>
  <c r="E263" i="122"/>
  <c r="U263" i="122" s="1"/>
  <c r="AB203" i="122"/>
  <c r="E203" i="122"/>
  <c r="U203" i="122" s="1"/>
  <c r="AA235" i="122"/>
  <c r="E235" i="122"/>
  <c r="U235" i="122" s="1"/>
  <c r="W232" i="122"/>
  <c r="E232" i="122"/>
  <c r="U232" i="122" s="1"/>
  <c r="AB133" i="122"/>
  <c r="E133" i="122"/>
  <c r="U133" i="122" s="1"/>
  <c r="E249" i="122"/>
  <c r="U249" i="122" s="1"/>
  <c r="AB249" i="122"/>
  <c r="AB153" i="122"/>
  <c r="Z104" i="122"/>
  <c r="E104" i="122"/>
  <c r="U104" i="122" s="1"/>
  <c r="E174" i="122"/>
  <c r="U174" i="122" s="1"/>
  <c r="AB174" i="122"/>
  <c r="AA233" i="122"/>
  <c r="E233" i="122"/>
  <c r="U233" i="122" s="1"/>
  <c r="X56" i="122"/>
  <c r="E56" i="122"/>
  <c r="U56" i="122" s="1"/>
  <c r="AB35" i="122"/>
  <c r="AB240" i="122"/>
  <c r="E240" i="122"/>
  <c r="U240" i="122" s="1"/>
  <c r="U30" i="121"/>
  <c r="F30" i="122"/>
  <c r="AB96" i="122"/>
  <c r="E96" i="122"/>
  <c r="U96" i="122" s="1"/>
  <c r="AB213" i="122"/>
  <c r="E65" i="122"/>
  <c r="U65" i="122" s="1"/>
  <c r="AB65" i="122"/>
  <c r="E87" i="122"/>
  <c r="U87" i="122" s="1"/>
  <c r="AB87" i="122"/>
  <c r="W194" i="121"/>
  <c r="G194" i="122" s="1"/>
  <c r="E194" i="121"/>
  <c r="U194" i="121" s="1"/>
  <c r="V13" i="121"/>
  <c r="E13" i="121"/>
  <c r="E200" i="121"/>
  <c r="U200" i="121" s="1"/>
  <c r="AB200" i="121"/>
  <c r="L200" i="122" s="1"/>
  <c r="W239" i="121"/>
  <c r="G239" i="122" s="1"/>
  <c r="E239" i="121"/>
  <c r="U239" i="121" s="1"/>
  <c r="W259" i="121"/>
  <c r="G259" i="122" s="1"/>
  <c r="E259" i="121"/>
  <c r="U259" i="121" s="1"/>
  <c r="W237" i="121"/>
  <c r="G237" i="122" s="1"/>
  <c r="E237" i="121"/>
  <c r="U237" i="121" s="1"/>
  <c r="W250" i="121"/>
  <c r="G250" i="122" s="1"/>
  <c r="E250" i="121"/>
  <c r="U250" i="121" s="1"/>
  <c r="W186" i="121"/>
  <c r="G186" i="122" s="1"/>
  <c r="E186" i="121"/>
  <c r="U186" i="121" s="1"/>
  <c r="W46" i="121"/>
  <c r="G46" i="122" s="1"/>
  <c r="E46" i="121"/>
  <c r="U46" i="121" s="1"/>
  <c r="E88" i="121"/>
  <c r="U88" i="121" s="1"/>
  <c r="AB88" i="121"/>
  <c r="L88" i="122" s="1"/>
  <c r="AB165" i="121"/>
  <c r="L165" i="122" s="1"/>
  <c r="E165" i="121"/>
  <c r="U165" i="121" s="1"/>
  <c r="AB105" i="121"/>
  <c r="L105" i="122" s="1"/>
  <c r="E105" i="121"/>
  <c r="U105" i="121" s="1"/>
  <c r="W152" i="121"/>
  <c r="G152" i="122" s="1"/>
  <c r="W152" i="122" s="1"/>
  <c r="X120" i="121"/>
  <c r="H120" i="122" s="1"/>
  <c r="E120" i="121"/>
  <c r="U120" i="121" s="1"/>
  <c r="E190" i="121"/>
  <c r="U190" i="121" s="1"/>
  <c r="AB190" i="121"/>
  <c r="L190" i="122" s="1"/>
  <c r="W231" i="121"/>
  <c r="G231" i="122" s="1"/>
  <c r="E231" i="121"/>
  <c r="U231" i="121" s="1"/>
  <c r="E70" i="121"/>
  <c r="U70" i="121" s="1"/>
  <c r="AB70" i="121"/>
  <c r="L70" i="122" s="1"/>
  <c r="AB22" i="121"/>
  <c r="E22" i="121"/>
  <c r="AB191" i="121"/>
  <c r="L191" i="122" s="1"/>
  <c r="E191" i="121"/>
  <c r="U191" i="121" s="1"/>
  <c r="W109" i="121"/>
  <c r="G109" i="122" s="1"/>
  <c r="E109" i="121"/>
  <c r="U109" i="121" s="1"/>
  <c r="W168" i="121"/>
  <c r="G168" i="122" s="1"/>
  <c r="E168" i="121"/>
  <c r="U168" i="121" s="1"/>
  <c r="E264" i="121"/>
  <c r="U264" i="121" s="1"/>
  <c r="AB264" i="121"/>
  <c r="L264" i="122" s="1"/>
  <c r="E230" i="121"/>
  <c r="U230" i="121" s="1"/>
  <c r="AB230" i="121"/>
  <c r="L230" i="122" s="1"/>
  <c r="U13" i="117"/>
  <c r="U22" i="117"/>
  <c r="V21" i="117"/>
  <c r="F21" i="121" s="1"/>
  <c r="E21" i="117"/>
  <c r="V214" i="117"/>
  <c r="F213" i="121" s="1"/>
  <c r="E214" i="117"/>
  <c r="U214" i="117" s="1"/>
  <c r="W189" i="117"/>
  <c r="G187" i="121" s="1"/>
  <c r="E189" i="117"/>
  <c r="U189" i="117" s="1"/>
  <c r="W103" i="117"/>
  <c r="G101" i="121" s="1"/>
  <c r="E103" i="117"/>
  <c r="U103" i="117" s="1"/>
  <c r="G12" i="113"/>
  <c r="U12" i="112"/>
  <c r="W17" i="112"/>
  <c r="E17" i="112"/>
  <c r="W11" i="112"/>
  <c r="G11" i="113" s="1"/>
  <c r="E11" i="112"/>
  <c r="W24" i="113"/>
  <c r="E24" i="113"/>
  <c r="G16" i="113"/>
  <c r="U16" i="112"/>
  <c r="V29" i="117"/>
  <c r="F29" i="121" s="1"/>
  <c r="E29" i="117"/>
  <c r="X34" i="117"/>
  <c r="H35" i="121" s="1"/>
  <c r="W86" i="117"/>
  <c r="G84" i="121" s="1"/>
  <c r="E86" i="117"/>
  <c r="U86" i="117" s="1"/>
  <c r="H11" i="117"/>
  <c r="U11" i="113"/>
  <c r="W29" i="113"/>
  <c r="E29" i="113"/>
  <c r="G25" i="117"/>
  <c r="U22" i="113"/>
  <c r="W23" i="113"/>
  <c r="E23" i="113"/>
  <c r="U19" i="113"/>
  <c r="U25" i="113"/>
  <c r="AB248" i="113"/>
  <c r="L263" i="117" s="1"/>
  <c r="L252" i="113"/>
  <c r="AB252" i="113" s="1"/>
  <c r="W77" i="113"/>
  <c r="G87" i="117" s="1"/>
  <c r="E77" i="113"/>
  <c r="U77" i="113" s="1"/>
  <c r="X15" i="113"/>
  <c r="H16" i="117" s="1"/>
  <c r="E15" i="113"/>
  <c r="W232" i="113"/>
  <c r="G247" i="117" s="1"/>
  <c r="E232" i="113"/>
  <c r="U232" i="113" s="1"/>
  <c r="W194" i="113"/>
  <c r="G206" i="117" s="1"/>
  <c r="E194" i="113"/>
  <c r="U194" i="113" s="1"/>
  <c r="V21" i="113"/>
  <c r="F24" i="117" s="1"/>
  <c r="E21" i="113"/>
  <c r="W210" i="113"/>
  <c r="G225" i="117" s="1"/>
  <c r="E210" i="113"/>
  <c r="U210" i="113" s="1"/>
  <c r="W94" i="113"/>
  <c r="G104" i="117" s="1"/>
  <c r="E94" i="113"/>
  <c r="U94" i="113" s="1"/>
  <c r="U21" i="112"/>
  <c r="W248" i="112"/>
  <c r="U15" i="112"/>
  <c r="X241" i="108"/>
  <c r="H245" i="108"/>
  <c r="Z241" i="108"/>
  <c r="J243" i="112" s="1"/>
  <c r="J245" i="108"/>
  <c r="Z245" i="108" s="1"/>
  <c r="AA242" i="107"/>
  <c r="K241" i="108"/>
  <c r="W44" i="90"/>
  <c r="E44" i="90"/>
  <c r="G48" i="90"/>
  <c r="U43" i="82"/>
  <c r="E95" i="93"/>
  <c r="U95" i="93" s="1"/>
  <c r="E96" i="107" s="1"/>
  <c r="U96" i="107" s="1"/>
  <c r="U94" i="93"/>
  <c r="E95" i="107" s="1"/>
  <c r="U95" i="107" s="1"/>
  <c r="E195" i="93"/>
  <c r="U195" i="93" s="1"/>
  <c r="E202" i="107" s="1"/>
  <c r="U202" i="107" s="1"/>
  <c r="U184" i="93"/>
  <c r="E191" i="107" s="1"/>
  <c r="U191" i="107" s="1"/>
  <c r="E78" i="93"/>
  <c r="U78" i="93" s="1"/>
  <c r="E79" i="107" s="1"/>
  <c r="U79" i="107" s="1"/>
  <c r="U77" i="93"/>
  <c r="E78" i="107" s="1"/>
  <c r="U78" i="107" s="1"/>
  <c r="W23" i="80"/>
  <c r="W27" i="80" s="1"/>
  <c r="W109" i="122" l="1"/>
  <c r="E109" i="122"/>
  <c r="U109" i="122" s="1"/>
  <c r="U22" i="121"/>
  <c r="L22" i="122"/>
  <c r="W231" i="122"/>
  <c r="E231" i="122"/>
  <c r="U231" i="122" s="1"/>
  <c r="X120" i="122"/>
  <c r="E120" i="122"/>
  <c r="U120" i="122" s="1"/>
  <c r="E105" i="122"/>
  <c r="U105" i="122" s="1"/>
  <c r="AB105" i="122"/>
  <c r="W186" i="122"/>
  <c r="E186" i="122"/>
  <c r="U186" i="122" s="1"/>
  <c r="W237" i="122"/>
  <c r="E237" i="122"/>
  <c r="U237" i="122" s="1"/>
  <c r="W239" i="122"/>
  <c r="E239" i="122"/>
  <c r="U239" i="122" s="1"/>
  <c r="U13" i="121"/>
  <c r="F13" i="122"/>
  <c r="V30" i="122"/>
  <c r="U30" i="122" s="1"/>
  <c r="E30" i="122"/>
  <c r="E230" i="122"/>
  <c r="U230" i="122" s="1"/>
  <c r="AB230" i="122"/>
  <c r="AB70" i="122"/>
  <c r="E70" i="122"/>
  <c r="U70" i="122" s="1"/>
  <c r="E190" i="122"/>
  <c r="U190" i="122" s="1"/>
  <c r="AB190" i="122"/>
  <c r="E200" i="122"/>
  <c r="U200" i="122" s="1"/>
  <c r="AB200" i="122"/>
  <c r="L12" i="122"/>
  <c r="W168" i="122"/>
  <c r="E168" i="122"/>
  <c r="U168" i="122" s="1"/>
  <c r="AB191" i="122"/>
  <c r="E191" i="122"/>
  <c r="U191" i="122" s="1"/>
  <c r="E165" i="122"/>
  <c r="U165" i="122" s="1"/>
  <c r="AB165" i="122"/>
  <c r="W46" i="122"/>
  <c r="E46" i="122"/>
  <c r="U46" i="122" s="1"/>
  <c r="W250" i="122"/>
  <c r="E250" i="122"/>
  <c r="U250" i="122" s="1"/>
  <c r="W259" i="122"/>
  <c r="E259" i="122"/>
  <c r="U259" i="122" s="1"/>
  <c r="W194" i="122"/>
  <c r="E194" i="122"/>
  <c r="U194" i="122" s="1"/>
  <c r="E264" i="122"/>
  <c r="U264" i="122" s="1"/>
  <c r="AB264" i="122"/>
  <c r="E88" i="122"/>
  <c r="U88" i="122" s="1"/>
  <c r="AB88" i="122"/>
  <c r="L19" i="122"/>
  <c r="V29" i="121"/>
  <c r="E29" i="121"/>
  <c r="W101" i="121"/>
  <c r="G101" i="122" s="1"/>
  <c r="E101" i="121"/>
  <c r="U101" i="121" s="1"/>
  <c r="V213" i="121"/>
  <c r="F213" i="122" s="1"/>
  <c r="E213" i="121"/>
  <c r="U213" i="121" s="1"/>
  <c r="W84" i="121"/>
  <c r="G84" i="122" s="1"/>
  <c r="E84" i="121"/>
  <c r="U84" i="121" s="1"/>
  <c r="X35" i="121"/>
  <c r="H35" i="122" s="1"/>
  <c r="W187" i="121"/>
  <c r="G187" i="122" s="1"/>
  <c r="E187" i="121"/>
  <c r="U187" i="121" s="1"/>
  <c r="V21" i="121"/>
  <c r="E21" i="121"/>
  <c r="U21" i="117"/>
  <c r="U29" i="117"/>
  <c r="W247" i="117"/>
  <c r="G251" i="121" s="1"/>
  <c r="E247" i="117"/>
  <c r="U247" i="117" s="1"/>
  <c r="W25" i="117"/>
  <c r="G25" i="121" s="1"/>
  <c r="E25" i="117"/>
  <c r="G33" i="117"/>
  <c r="U29" i="113"/>
  <c r="G28" i="117"/>
  <c r="U24" i="113"/>
  <c r="W104" i="117"/>
  <c r="G102" i="121" s="1"/>
  <c r="E104" i="117"/>
  <c r="U104" i="117" s="1"/>
  <c r="W87" i="117"/>
  <c r="G85" i="121" s="1"/>
  <c r="E87" i="117"/>
  <c r="U87" i="117" s="1"/>
  <c r="G17" i="113"/>
  <c r="U17" i="112"/>
  <c r="W225" i="117"/>
  <c r="G229" i="121" s="1"/>
  <c r="E225" i="117"/>
  <c r="U225" i="117" s="1"/>
  <c r="W206" i="117"/>
  <c r="G204" i="121" s="1"/>
  <c r="E206" i="117"/>
  <c r="U206" i="117" s="1"/>
  <c r="X16" i="117"/>
  <c r="H16" i="121" s="1"/>
  <c r="E16" i="117"/>
  <c r="AB263" i="117"/>
  <c r="L267" i="121" s="1"/>
  <c r="L267" i="117"/>
  <c r="AB267" i="117" s="1"/>
  <c r="G26" i="117"/>
  <c r="U23" i="113"/>
  <c r="X11" i="117"/>
  <c r="H11" i="121" s="1"/>
  <c r="W16" i="113"/>
  <c r="E16" i="113"/>
  <c r="W11" i="113"/>
  <c r="G11" i="117" s="1"/>
  <c r="E11" i="117" s="1"/>
  <c r="E11" i="113"/>
  <c r="W12" i="113"/>
  <c r="E12" i="113"/>
  <c r="V24" i="117"/>
  <c r="F24" i="121" s="1"/>
  <c r="E24" i="117"/>
  <c r="W253" i="113"/>
  <c r="U21" i="113"/>
  <c r="U15" i="113"/>
  <c r="K245" i="108"/>
  <c r="AA241" i="108"/>
  <c r="J247" i="112"/>
  <c r="Z247" i="112" s="1"/>
  <c r="Z243" i="112"/>
  <c r="J248" i="113" s="1"/>
  <c r="H243" i="112"/>
  <c r="X245" i="108"/>
  <c r="W48" i="90"/>
  <c r="E48" i="90"/>
  <c r="G44" i="93"/>
  <c r="U44" i="90"/>
  <c r="D24" i="79"/>
  <c r="F20" i="79"/>
  <c r="C19" i="79"/>
  <c r="E19" i="79" s="1"/>
  <c r="C18" i="79"/>
  <c r="B15" i="79"/>
  <c r="B11" i="79"/>
  <c r="C10" i="79"/>
  <c r="E10" i="79" s="1"/>
  <c r="C9" i="79"/>
  <c r="C8" i="79"/>
  <c r="B17" i="79"/>
  <c r="W25" i="121" l="1"/>
  <c r="E25" i="121"/>
  <c r="W187" i="122"/>
  <c r="E187" i="122"/>
  <c r="U187" i="122" s="1"/>
  <c r="E22" i="122"/>
  <c r="AB22" i="122"/>
  <c r="U22" i="122" s="1"/>
  <c r="X35" i="122"/>
  <c r="V213" i="122"/>
  <c r="E213" i="122"/>
  <c r="U213" i="122" s="1"/>
  <c r="U29" i="121"/>
  <c r="F29" i="122"/>
  <c r="X11" i="121"/>
  <c r="U21" i="121"/>
  <c r="F21" i="122"/>
  <c r="V13" i="122"/>
  <c r="U13" i="122" s="1"/>
  <c r="E13" i="122"/>
  <c r="W84" i="122"/>
  <c r="E84" i="122"/>
  <c r="U84" i="122" s="1"/>
  <c r="W101" i="122"/>
  <c r="E101" i="122"/>
  <c r="U101" i="122" s="1"/>
  <c r="AB19" i="122"/>
  <c r="AB12" i="122"/>
  <c r="AB267" i="121"/>
  <c r="L267" i="122" s="1"/>
  <c r="L271" i="121"/>
  <c r="AB271" i="121" s="1"/>
  <c r="W204" i="121"/>
  <c r="G204" i="122" s="1"/>
  <c r="E204" i="121"/>
  <c r="U204" i="121" s="1"/>
  <c r="W102" i="121"/>
  <c r="G102" i="122" s="1"/>
  <c r="E102" i="121"/>
  <c r="U102" i="121" s="1"/>
  <c r="W251" i="121"/>
  <c r="G251" i="122" s="1"/>
  <c r="E251" i="121"/>
  <c r="U251" i="121" s="1"/>
  <c r="V24" i="121"/>
  <c r="E24" i="121"/>
  <c r="X16" i="121"/>
  <c r="E16" i="121"/>
  <c r="W229" i="121"/>
  <c r="E229" i="121"/>
  <c r="U229" i="121" s="1"/>
  <c r="W85" i="121"/>
  <c r="G85" i="122" s="1"/>
  <c r="E85" i="121"/>
  <c r="U85" i="121" s="1"/>
  <c r="U16" i="117"/>
  <c r="U25" i="117"/>
  <c r="W268" i="117"/>
  <c r="U11" i="117"/>
  <c r="U24" i="117"/>
  <c r="W26" i="117"/>
  <c r="G26" i="121" s="1"/>
  <c r="E26" i="117"/>
  <c r="W11" i="117"/>
  <c r="G11" i="121" s="1"/>
  <c r="W11" i="121" s="1"/>
  <c r="G11" i="122" s="1"/>
  <c r="W28" i="117"/>
  <c r="G28" i="121" s="1"/>
  <c r="E28" i="117"/>
  <c r="G12" i="117"/>
  <c r="U12" i="113"/>
  <c r="G18" i="117"/>
  <c r="U16" i="113"/>
  <c r="W17" i="113"/>
  <c r="E17" i="113"/>
  <c r="W33" i="117"/>
  <c r="G34" i="121" s="1"/>
  <c r="E33" i="117"/>
  <c r="J252" i="113"/>
  <c r="Z252" i="113" s="1"/>
  <c r="Z248" i="113"/>
  <c r="J263" i="117" s="1"/>
  <c r="X243" i="112"/>
  <c r="H248" i="113" s="1"/>
  <c r="H247" i="112"/>
  <c r="AA245" i="108"/>
  <c r="K243" i="112"/>
  <c r="W44" i="93"/>
  <c r="E44" i="93"/>
  <c r="U44" i="93" s="1"/>
  <c r="G48" i="93"/>
  <c r="U48" i="90"/>
  <c r="B23" i="79"/>
  <c r="D23" i="79" s="1"/>
  <c r="C17" i="79"/>
  <c r="B20" i="79"/>
  <c r="C11" i="79"/>
  <c r="W34" i="121" l="1"/>
  <c r="E34" i="121"/>
  <c r="W28" i="121"/>
  <c r="E28" i="121"/>
  <c r="W272" i="121"/>
  <c r="G229" i="122"/>
  <c r="U24" i="121"/>
  <c r="F24" i="122"/>
  <c r="W102" i="122"/>
  <c r="E102" i="122"/>
  <c r="U102" i="122" s="1"/>
  <c r="AB267" i="122"/>
  <c r="V21" i="122"/>
  <c r="U21" i="122" s="1"/>
  <c r="E21" i="122"/>
  <c r="V29" i="122"/>
  <c r="U29" i="122" s="1"/>
  <c r="E29" i="122"/>
  <c r="W11" i="122"/>
  <c r="W85" i="122"/>
  <c r="E85" i="122"/>
  <c r="U85" i="122" s="1"/>
  <c r="U16" i="121"/>
  <c r="H16" i="122"/>
  <c r="W251" i="122"/>
  <c r="E251" i="122"/>
  <c r="U251" i="122" s="1"/>
  <c r="W204" i="122"/>
  <c r="E204" i="122"/>
  <c r="U204" i="122" s="1"/>
  <c r="E11" i="121"/>
  <c r="W26" i="121"/>
  <c r="E26" i="121"/>
  <c r="H11" i="122"/>
  <c r="U11" i="121"/>
  <c r="G25" i="122"/>
  <c r="U25" i="121"/>
  <c r="B22" i="79"/>
  <c r="E17" i="79"/>
  <c r="U26" i="117"/>
  <c r="U33" i="117"/>
  <c r="U28" i="117"/>
  <c r="W18" i="117"/>
  <c r="G18" i="121" s="1"/>
  <c r="E18" i="117"/>
  <c r="Z263" i="117"/>
  <c r="J267" i="121" s="1"/>
  <c r="J267" i="117"/>
  <c r="Z267" i="117" s="1"/>
  <c r="G19" i="117"/>
  <c r="U17" i="113"/>
  <c r="W12" i="117"/>
  <c r="G12" i="121" s="1"/>
  <c r="E12" i="117"/>
  <c r="X248" i="113"/>
  <c r="H263" i="117" s="1"/>
  <c r="H252" i="113"/>
  <c r="X247" i="112"/>
  <c r="K247" i="112"/>
  <c r="AA243" i="112"/>
  <c r="K248" i="113" s="1"/>
  <c r="W48" i="93"/>
  <c r="E48" i="93"/>
  <c r="U48" i="93" s="1"/>
  <c r="E45" i="107"/>
  <c r="U45" i="107" s="1"/>
  <c r="G45" i="107"/>
  <c r="W45" i="107" s="1"/>
  <c r="G45" i="108" s="1"/>
  <c r="E45" i="108" s="1"/>
  <c r="U45" i="108" s="1"/>
  <c r="B25" i="79"/>
  <c r="C20" i="79"/>
  <c r="W12" i="121" l="1"/>
  <c r="E12" i="121"/>
  <c r="X16" i="122"/>
  <c r="U16" i="122" s="1"/>
  <c r="E16" i="122"/>
  <c r="V24" i="122"/>
  <c r="U24" i="122" s="1"/>
  <c r="E24" i="122"/>
  <c r="W25" i="122"/>
  <c r="U25" i="122" s="1"/>
  <c r="E25" i="122"/>
  <c r="G26" i="122"/>
  <c r="U26" i="121"/>
  <c r="G28" i="122"/>
  <c r="U28" i="121"/>
  <c r="W18" i="121"/>
  <c r="E18" i="121"/>
  <c r="W229" i="122"/>
  <c r="W272" i="122" s="1"/>
  <c r="E229" i="122"/>
  <c r="U229" i="122" s="1"/>
  <c r="X11" i="122"/>
  <c r="G34" i="122"/>
  <c r="U34" i="121"/>
  <c r="J271" i="121"/>
  <c r="Z271" i="121" s="1"/>
  <c r="Z267" i="121"/>
  <c r="J267" i="122" s="1"/>
  <c r="U18" i="117"/>
  <c r="U12" i="117"/>
  <c r="W45" i="108"/>
  <c r="G45" i="112" s="1"/>
  <c r="X263" i="117"/>
  <c r="H267" i="121" s="1"/>
  <c r="H267" i="117"/>
  <c r="W19" i="117"/>
  <c r="G19" i="121" s="1"/>
  <c r="E19" i="117"/>
  <c r="K252" i="113"/>
  <c r="AA248" i="113"/>
  <c r="K263" i="117" s="1"/>
  <c r="X252" i="113"/>
  <c r="AA247" i="112"/>
  <c r="E49" i="107"/>
  <c r="U49" i="107" s="1"/>
  <c r="G49" i="107"/>
  <c r="W49" i="107" s="1"/>
  <c r="G50" i="108" s="1"/>
  <c r="E50" i="108" s="1"/>
  <c r="U50" i="108" s="1"/>
  <c r="D22" i="79"/>
  <c r="D25" i="79" s="1"/>
  <c r="D27" i="79" s="1"/>
  <c r="D28" i="79" s="1"/>
  <c r="W34" i="122" l="1"/>
  <c r="U34" i="122" s="1"/>
  <c r="E34" i="122"/>
  <c r="Z267" i="122"/>
  <c r="J271" i="122"/>
  <c r="Z271" i="122" s="1"/>
  <c r="W28" i="122"/>
  <c r="U28" i="122" s="1"/>
  <c r="E28" i="122"/>
  <c r="W19" i="121"/>
  <c r="E19" i="121"/>
  <c r="G18" i="122"/>
  <c r="U18" i="121"/>
  <c r="W26" i="122"/>
  <c r="U26" i="122" s="1"/>
  <c r="E26" i="122"/>
  <c r="G12" i="122"/>
  <c r="U12" i="121"/>
  <c r="X267" i="121"/>
  <c r="H271" i="121"/>
  <c r="X267" i="117"/>
  <c r="U19" i="117"/>
  <c r="AA263" i="117"/>
  <c r="K267" i="121" s="1"/>
  <c r="K267" i="117"/>
  <c r="W45" i="112"/>
  <c r="G45" i="113" s="1"/>
  <c r="E45" i="112"/>
  <c r="U45" i="112" s="1"/>
  <c r="AA252" i="113"/>
  <c r="W50" i="108"/>
  <c r="G50" i="112" s="1"/>
  <c r="I22" i="79"/>
  <c r="X271" i="121" l="1"/>
  <c r="H267" i="122"/>
  <c r="G19" i="122"/>
  <c r="U19" i="121"/>
  <c r="W12" i="122"/>
  <c r="U12" i="122" s="1"/>
  <c r="E12" i="122"/>
  <c r="W18" i="122"/>
  <c r="U18" i="122" s="1"/>
  <c r="E18" i="122"/>
  <c r="K271" i="121"/>
  <c r="AA267" i="121"/>
  <c r="AA267" i="117"/>
  <c r="W45" i="113"/>
  <c r="G53" i="117" s="1"/>
  <c r="E45" i="113"/>
  <c r="U45" i="113" s="1"/>
  <c r="W50" i="112"/>
  <c r="G50" i="113" s="1"/>
  <c r="E50" i="112"/>
  <c r="U50" i="112" s="1"/>
  <c r="D30" i="79"/>
  <c r="G20" i="79" s="1"/>
  <c r="W19" i="122" l="1"/>
  <c r="U19" i="122" s="1"/>
  <c r="E19" i="122"/>
  <c r="AA271" i="121"/>
  <c r="K267" i="122"/>
  <c r="X267" i="122"/>
  <c r="X271" i="122" s="1"/>
  <c r="H271" i="122"/>
  <c r="W53" i="117"/>
  <c r="G54" i="121" s="1"/>
  <c r="E53" i="117"/>
  <c r="U53" i="117" s="1"/>
  <c r="E50" i="113"/>
  <c r="U50" i="113" s="1"/>
  <c r="W50" i="113"/>
  <c r="G60" i="117" s="1"/>
  <c r="CH69" i="83"/>
  <c r="CH67" i="83" s="1"/>
  <c r="J20" i="79"/>
  <c r="D8" i="79"/>
  <c r="E8" i="79" s="1"/>
  <c r="D18" i="79"/>
  <c r="AA267" i="122" l="1"/>
  <c r="AA271" i="122" s="1"/>
  <c r="K271" i="122"/>
  <c r="W54" i="121"/>
  <c r="G54" i="122" s="1"/>
  <c r="E54" i="121"/>
  <c r="U54" i="121" s="1"/>
  <c r="W60" i="117"/>
  <c r="G61" i="121" s="1"/>
  <c r="E60" i="117"/>
  <c r="U60" i="117" s="1"/>
  <c r="D9" i="79"/>
  <c r="E18" i="79"/>
  <c r="E20" i="79" s="1"/>
  <c r="W54" i="122" l="1"/>
  <c r="E54" i="122"/>
  <c r="U54" i="122" s="1"/>
  <c r="W61" i="121"/>
  <c r="G61" i="122" s="1"/>
  <c r="E61" i="121"/>
  <c r="U61" i="121" s="1"/>
  <c r="E9" i="79"/>
  <c r="E11" i="79" s="1"/>
  <c r="G11" i="79" s="1"/>
  <c r="CF115" i="11"/>
  <c r="CF114" i="11"/>
  <c r="CF110" i="11"/>
  <c r="CD109" i="11"/>
  <c r="BP26" i="10"/>
  <c r="AN12" i="11"/>
  <c r="AN13" i="11"/>
  <c r="AN15" i="11"/>
  <c r="AN22" i="11"/>
  <c r="AN42" i="11"/>
  <c r="AN45" i="11"/>
  <c r="AN44" i="11"/>
  <c r="W61" i="122" l="1"/>
  <c r="E61" i="122"/>
  <c r="U61" i="122" s="1"/>
  <c r="K108" i="63"/>
  <c r="CE47" i="13" l="1"/>
  <c r="CH50" i="13"/>
  <c r="CC50" i="13"/>
  <c r="BX50" i="13"/>
  <c r="J108" i="63"/>
  <c r="CI142" i="13"/>
  <c r="CI141" i="13"/>
  <c r="CL139" i="13"/>
  <c r="CL133" i="13"/>
  <c r="CC54" i="13"/>
  <c r="CH54" i="13"/>
  <c r="CL35" i="13"/>
  <c r="E63" i="63" s="1"/>
  <c r="CI35" i="13"/>
  <c r="CD97" i="78"/>
  <c r="CG90" i="78"/>
  <c r="CF90" i="78"/>
  <c r="CE90" i="78"/>
  <c r="CC89" i="78"/>
  <c r="CC90" i="78" s="1"/>
  <c r="BN88" i="78"/>
  <c r="BN89" i="78" s="1"/>
  <c r="BN90" i="78" s="1"/>
  <c r="CH78" i="78"/>
  <c r="CF78" i="78"/>
  <c r="CD78" i="78"/>
  <c r="BN77" i="78"/>
  <c r="BN76" i="78"/>
  <c r="BN75" i="78"/>
  <c r="BN74" i="78"/>
  <c r="BN73" i="78"/>
  <c r="CD72" i="78"/>
  <c r="BN71" i="78"/>
  <c r="BN72" i="78" s="1"/>
  <c r="CD70" i="78"/>
  <c r="BN69" i="78"/>
  <c r="BN70" i="78" s="1"/>
  <c r="BN67" i="78"/>
  <c r="CG65" i="78"/>
  <c r="CD65" i="78"/>
  <c r="BN64" i="78"/>
  <c r="CG54" i="78"/>
  <c r="BN54" i="78"/>
  <c r="CH44" i="78"/>
  <c r="CF44" i="78"/>
  <c r="CC44" i="78"/>
  <c r="BN43" i="78"/>
  <c r="CD43" i="78" s="1"/>
  <c r="BN42" i="78"/>
  <c r="CD42" i="78" s="1"/>
  <c r="BN41" i="78"/>
  <c r="CD41" i="78" s="1"/>
  <c r="BN40" i="78"/>
  <c r="CD40" i="78" s="1"/>
  <c r="BN39" i="78"/>
  <c r="CD39" i="78" s="1"/>
  <c r="BN38" i="78"/>
  <c r="BN37" i="78"/>
  <c r="CD37" i="78" s="1"/>
  <c r="BN28" i="78"/>
  <c r="CD28" i="78" s="1"/>
  <c r="BN27" i="78"/>
  <c r="CD27" i="78" s="1"/>
  <c r="BN26" i="78"/>
  <c r="CD26" i="78" s="1"/>
  <c r="BN25" i="78"/>
  <c r="CD25" i="78" s="1"/>
  <c r="BN24" i="78"/>
  <c r="CD24" i="78" s="1"/>
  <c r="BN23" i="78"/>
  <c r="CD23" i="78" s="1"/>
  <c r="BN22" i="78"/>
  <c r="CD22" i="78" s="1"/>
  <c r="BN20" i="78"/>
  <c r="CD20" i="78" s="1"/>
  <c r="BN19" i="78"/>
  <c r="CD19" i="78" s="1"/>
  <c r="BN18" i="78"/>
  <c r="CD18" i="78" s="1"/>
  <c r="BN17" i="78"/>
  <c r="CD17" i="78" s="1"/>
  <c r="BN16" i="78"/>
  <c r="CD16" i="78" s="1"/>
  <c r="BN15" i="78"/>
  <c r="CD15" i="78" s="1"/>
  <c r="BN14" i="78"/>
  <c r="CD14" i="78" s="1"/>
  <c r="BN13" i="78"/>
  <c r="CD13" i="78" s="1"/>
  <c r="BN12" i="78"/>
  <c r="CD12" i="78" s="1"/>
  <c r="CD11" i="78"/>
  <c r="AN11" i="78"/>
  <c r="BN10" i="78"/>
  <c r="CD10" i="78" s="1"/>
  <c r="BN9" i="78"/>
  <c r="CD9" i="78" s="1"/>
  <c r="BN8" i="78"/>
  <c r="CB90" i="13"/>
  <c r="BZ89" i="13"/>
  <c r="BZ85" i="13" s="1"/>
  <c r="CD92" i="25"/>
  <c r="CH92" i="25"/>
  <c r="CB131" i="13" s="1"/>
  <c r="AO60" i="25"/>
  <c r="AO58" i="25"/>
  <c r="CD46" i="25"/>
  <c r="BY128" i="13" s="1"/>
  <c r="CH46" i="25"/>
  <c r="CB128" i="13" s="1"/>
  <c r="BN31" i="25"/>
  <c r="BN46" i="25" s="1"/>
  <c r="AN8" i="25"/>
  <c r="D23" i="62"/>
  <c r="D18" i="62"/>
  <c r="H18" i="26"/>
  <c r="BN55" i="25" l="1"/>
  <c r="BN65" i="78"/>
  <c r="BN78" i="78"/>
  <c r="CH35" i="13"/>
  <c r="BN29" i="78"/>
  <c r="BN44" i="78"/>
  <c r="CD8" i="78"/>
  <c r="CD29" i="78" s="1"/>
  <c r="CD38" i="78"/>
  <c r="CD44" i="78" s="1"/>
  <c r="CG10" i="19" l="1"/>
  <c r="CD78" i="11"/>
  <c r="CG78" i="11"/>
  <c r="BZ137" i="13" s="1"/>
  <c r="BX137" i="13" s="1"/>
  <c r="BN64" i="19"/>
  <c r="CD59" i="18"/>
  <c r="CD61" i="18" s="1"/>
  <c r="CD66" i="18" s="1"/>
  <c r="BY158" i="13" s="1"/>
  <c r="BY156" i="13" s="1"/>
  <c r="CD24" i="18"/>
  <c r="BN78" i="11" l="1"/>
  <c r="AU30" i="10" l="1"/>
  <c r="AU29" i="10"/>
  <c r="G17" i="77" l="1"/>
  <c r="Q8" i="76"/>
  <c r="P8" i="76"/>
  <c r="O8" i="76"/>
  <c r="N8" i="76"/>
  <c r="M8" i="76"/>
  <c r="K8" i="76"/>
  <c r="C8" i="76"/>
  <c r="R7" i="76"/>
  <c r="J7" i="76"/>
  <c r="L7" i="76" s="1"/>
  <c r="T7" i="76" s="1"/>
  <c r="R6" i="76"/>
  <c r="J6" i="76"/>
  <c r="L6" i="76" s="1"/>
  <c r="T6" i="76" s="1"/>
  <c r="I16" i="75"/>
  <c r="E15" i="75"/>
  <c r="AG95" i="8"/>
  <c r="R8" i="76" l="1"/>
  <c r="J8" i="76"/>
  <c r="D17" i="77"/>
  <c r="T8" i="76"/>
  <c r="S6" i="76"/>
  <c r="S7" i="76"/>
  <c r="U7" i="76" s="1"/>
  <c r="V7" i="76" s="1"/>
  <c r="W7" i="76" s="1"/>
  <c r="L8" i="76"/>
  <c r="G15" i="75"/>
  <c r="D15" i="75" s="1"/>
  <c r="AG64" i="8" l="1"/>
  <c r="AG94" i="8"/>
  <c r="AG63" i="8"/>
  <c r="AG93" i="8"/>
  <c r="D8" i="77"/>
  <c r="G8" i="77"/>
  <c r="S8" i="76"/>
  <c r="U6" i="76"/>
  <c r="K16" i="75"/>
  <c r="H15" i="75"/>
  <c r="U8" i="76" l="1"/>
  <c r="V6" i="76"/>
  <c r="H16" i="75"/>
  <c r="DF64" i="8" l="1"/>
  <c r="DF94" i="8"/>
  <c r="DF93" i="8"/>
  <c r="DF63" i="8"/>
  <c r="DF66" i="8" s="1"/>
  <c r="DF68" i="8" s="1"/>
  <c r="DU66" i="8"/>
  <c r="DU68" i="8" s="1"/>
  <c r="W6" i="76"/>
  <c r="W8" i="76" s="1"/>
  <c r="V8" i="76"/>
  <c r="N14" i="58" l="1"/>
  <c r="EF36" i="8"/>
  <c r="EJ87" i="8"/>
  <c r="DF36" i="8"/>
  <c r="DF38" i="8" l="1"/>
  <c r="N17" i="58"/>
  <c r="N15" i="58"/>
  <c r="BP32" i="18" l="1"/>
  <c r="BP33" i="18"/>
  <c r="I9" i="61"/>
  <c r="D23" i="61"/>
  <c r="BN35" i="19"/>
  <c r="BN27" i="19"/>
  <c r="CD27" i="19" s="1"/>
  <c r="BN15" i="11"/>
  <c r="BN16" i="11"/>
  <c r="CD16" i="11" s="1"/>
  <c r="BN20" i="19"/>
  <c r="CD20" i="19" s="1"/>
  <c r="BN24" i="19"/>
  <c r="CD24" i="19" s="1"/>
  <c r="BN44" i="11" l="1"/>
  <c r="BN56" i="19"/>
  <c r="BN41" i="11"/>
  <c r="AN11" i="11"/>
  <c r="CD11" i="11"/>
  <c r="BN22" i="19"/>
  <c r="CD22" i="19" s="1"/>
  <c r="BN57" i="19"/>
  <c r="CD57" i="19" s="1"/>
  <c r="BN43" i="11"/>
  <c r="BN62" i="19"/>
  <c r="BP9" i="10"/>
  <c r="CD56" i="19" l="1"/>
  <c r="BE9" i="10"/>
  <c r="CD41" i="11"/>
  <c r="AU26" i="18"/>
  <c r="AU25" i="18"/>
  <c r="CD27" i="18" s="1"/>
  <c r="CD21" i="18" l="1"/>
  <c r="AJ30" i="10"/>
  <c r="BP25" i="10"/>
  <c r="CD28" i="18" l="1"/>
  <c r="CD30" i="18" s="1"/>
  <c r="BP21" i="18"/>
  <c r="BP30" i="10"/>
  <c r="CD35" i="10"/>
  <c r="BY124" i="13" s="1"/>
  <c r="BP28" i="10"/>
  <c r="AJ26" i="18"/>
  <c r="BP23" i="18"/>
  <c r="BP27" i="10"/>
  <c r="AJ27" i="18" l="1"/>
  <c r="BP22" i="18"/>
  <c r="BP24" i="18" s="1"/>
  <c r="BP25" i="18"/>
  <c r="J10" i="40"/>
  <c r="J9" i="40"/>
  <c r="J8" i="40"/>
  <c r="D23" i="71" l="1"/>
  <c r="E23" i="71" s="1"/>
  <c r="D18" i="71"/>
  <c r="D17" i="71" s="1"/>
  <c r="D9" i="71" s="1"/>
  <c r="D8" i="71" s="1"/>
  <c r="G17" i="71"/>
  <c r="G9" i="71" s="1"/>
  <c r="G8" i="71" s="1"/>
  <c r="F17" i="71"/>
  <c r="F9" i="71" s="1"/>
  <c r="F8" i="71" s="1"/>
  <c r="E17" i="71"/>
  <c r="E9" i="71" l="1"/>
  <c r="E8" i="71" s="1"/>
  <c r="BP29" i="10"/>
  <c r="BP22" i="10" l="1"/>
  <c r="BP35" i="10" s="1"/>
  <c r="D9" i="69"/>
  <c r="D51" i="69"/>
  <c r="D42" i="69"/>
  <c r="C40" i="69"/>
  <c r="F36" i="69"/>
  <c r="C34" i="69"/>
  <c r="E34" i="69" s="1"/>
  <c r="B34" i="69"/>
  <c r="C33" i="69"/>
  <c r="B33" i="69"/>
  <c r="D32" i="69"/>
  <c r="D33" i="69" s="1"/>
  <c r="C32" i="69"/>
  <c r="B32" i="69"/>
  <c r="C31" i="69"/>
  <c r="C29" i="69"/>
  <c r="E29" i="69" s="1"/>
  <c r="B29" i="69"/>
  <c r="D28" i="69"/>
  <c r="C28" i="69"/>
  <c r="B28" i="69"/>
  <c r="B27" i="69"/>
  <c r="C26" i="69"/>
  <c r="F25" i="69"/>
  <c r="B25" i="69"/>
  <c r="C17" i="69"/>
  <c r="C18" i="69" s="1"/>
  <c r="B17" i="69"/>
  <c r="E16" i="69"/>
  <c r="E15" i="69"/>
  <c r="E14" i="69"/>
  <c r="B12" i="69"/>
  <c r="E11" i="69"/>
  <c r="C9" i="69"/>
  <c r="C27" i="69" s="1"/>
  <c r="CL166" i="13"/>
  <c r="CL163" i="13" s="1"/>
  <c r="CH163" i="13" s="1"/>
  <c r="CC166" i="13"/>
  <c r="CC163" i="13" s="1"/>
  <c r="B39" i="69" l="1"/>
  <c r="D10" i="69"/>
  <c r="CH166" i="13"/>
  <c r="E17" i="69"/>
  <c r="B30" i="69"/>
  <c r="B35" i="69"/>
  <c r="C35" i="69"/>
  <c r="B40" i="69"/>
  <c r="D40" i="69" s="1"/>
  <c r="E32" i="69"/>
  <c r="E28" i="69"/>
  <c r="E33" i="69"/>
  <c r="E10" i="69"/>
  <c r="E9" i="69"/>
  <c r="D39" i="69"/>
  <c r="C30" i="69"/>
  <c r="E27" i="69"/>
  <c r="C36" i="69" l="1"/>
  <c r="B41" i="69"/>
  <c r="E12" i="69"/>
  <c r="E18" i="69" s="1"/>
  <c r="E35" i="69"/>
  <c r="E30" i="69"/>
  <c r="D41" i="69"/>
  <c r="D43" i="69" s="1"/>
  <c r="E41" i="69"/>
  <c r="E36" i="69" l="1"/>
  <c r="G36" i="69" s="1"/>
  <c r="D48" i="69"/>
  <c r="D53" i="69" s="1"/>
  <c r="D46" i="69"/>
  <c r="D50" i="69" l="1"/>
  <c r="BN42" i="11" l="1"/>
  <c r="K13" i="40" l="1"/>
  <c r="E18" i="59" l="1"/>
  <c r="D18" i="59" s="1"/>
  <c r="CI138" i="13" l="1"/>
  <c r="CH138" i="13" s="1"/>
  <c r="CC138" i="13"/>
  <c r="BN114" i="19"/>
  <c r="CD114" i="19"/>
  <c r="BY138" i="13" s="1"/>
  <c r="BX138" i="13" s="1"/>
  <c r="L6" i="40" l="1"/>
  <c r="T6" i="40" s="1"/>
  <c r="R12" i="40" l="1"/>
  <c r="R13" i="40"/>
  <c r="BY134" i="13" l="1"/>
  <c r="J11" i="40" l="1"/>
  <c r="BZ34" i="49" l="1"/>
  <c r="BD61" i="19" l="1"/>
  <c r="BN61" i="19" s="1"/>
  <c r="E111" i="63" l="1"/>
  <c r="K111" i="63" s="1"/>
  <c r="D111" i="63"/>
  <c r="J111" i="63" s="1"/>
  <c r="E110" i="63"/>
  <c r="K110" i="63" s="1"/>
  <c r="D110" i="63"/>
  <c r="J110" i="63" s="1"/>
  <c r="CD126" i="25" l="1"/>
  <c r="BN115" i="19"/>
  <c r="CC46" i="25"/>
  <c r="CD116" i="19"/>
  <c r="BN58" i="19"/>
  <c r="CC141" i="13" l="1"/>
  <c r="CH141" i="13"/>
  <c r="BN82" i="11"/>
  <c r="CD85" i="11"/>
  <c r="BN25" i="11"/>
  <c r="CD25" i="11" s="1"/>
  <c r="BN83" i="11" l="1"/>
  <c r="CD83" i="11"/>
  <c r="BX141" i="13" s="1"/>
  <c r="CJ52" i="13"/>
  <c r="CH52" i="13" s="1"/>
  <c r="CC52" i="13"/>
  <c r="BN91" i="19" l="1"/>
  <c r="BN105" i="19" s="1"/>
  <c r="E103" i="63"/>
  <c r="K103" i="63" s="1"/>
  <c r="E104" i="63"/>
  <c r="K104" i="63" s="1"/>
  <c r="E105" i="63"/>
  <c r="K105" i="63" s="1"/>
  <c r="E106" i="63"/>
  <c r="K106" i="63" s="1"/>
  <c r="E107" i="63"/>
  <c r="K107" i="63" s="1"/>
  <c r="E112" i="63"/>
  <c r="K112" i="63" s="1"/>
  <c r="E113" i="63"/>
  <c r="K113" i="63" s="1"/>
  <c r="E114" i="63"/>
  <c r="K114" i="63" s="1"/>
  <c r="E115" i="63"/>
  <c r="K115" i="63" s="1"/>
  <c r="E116" i="63"/>
  <c r="K116" i="63" s="1"/>
  <c r="E108" i="63"/>
  <c r="E117" i="63"/>
  <c r="D103" i="63"/>
  <c r="J103" i="63" s="1"/>
  <c r="D104" i="63"/>
  <c r="J104" i="63" s="1"/>
  <c r="D105" i="63"/>
  <c r="J105" i="63" s="1"/>
  <c r="D106" i="63"/>
  <c r="J106" i="63" s="1"/>
  <c r="D107" i="63"/>
  <c r="J107" i="63" s="1"/>
  <c r="D112" i="63"/>
  <c r="J112" i="63" s="1"/>
  <c r="D113" i="63"/>
  <c r="J113" i="63" s="1"/>
  <c r="D114" i="63"/>
  <c r="J114" i="63" s="1"/>
  <c r="D115" i="63"/>
  <c r="J115" i="63" s="1"/>
  <c r="D116" i="63"/>
  <c r="J116" i="63" s="1"/>
  <c r="D108" i="63"/>
  <c r="D117" i="63"/>
  <c r="E102" i="63"/>
  <c r="K102" i="63" s="1"/>
  <c r="D102" i="63"/>
  <c r="J102" i="63" s="1"/>
  <c r="C15" i="63"/>
  <c r="C27" i="63" s="1"/>
  <c r="I33" i="63" s="1"/>
  <c r="K145" i="63"/>
  <c r="J145" i="63"/>
  <c r="K117" i="63"/>
  <c r="J117" i="63"/>
  <c r="C215" i="63"/>
  <c r="C193" i="63"/>
  <c r="B185" i="63"/>
  <c r="A147" i="63"/>
  <c r="A183" i="63" s="1"/>
  <c r="A92" i="63"/>
  <c r="A91" i="63"/>
  <c r="A90" i="63"/>
  <c r="A89" i="63"/>
  <c r="A88" i="63"/>
  <c r="L87" i="63"/>
  <c r="A87" i="63"/>
  <c r="K79" i="63"/>
  <c r="J79" i="63"/>
  <c r="I79" i="63"/>
  <c r="E57" i="63"/>
  <c r="D57" i="63"/>
  <c r="C57" i="63"/>
  <c r="E30" i="63"/>
  <c r="H30" i="63" s="1"/>
  <c r="D30" i="63"/>
  <c r="D49" i="63" s="1"/>
  <c r="D73" i="63" s="1"/>
  <c r="D85" i="63" s="1"/>
  <c r="D191" i="63" s="1"/>
  <c r="D197" i="63" s="1"/>
  <c r="C30" i="63"/>
  <c r="C40" i="63" s="1"/>
  <c r="BN59" i="25"/>
  <c r="F17" i="62"/>
  <c r="J17" i="62"/>
  <c r="D17" i="62"/>
  <c r="D9" i="62" s="1"/>
  <c r="C9" i="62"/>
  <c r="C17" i="62"/>
  <c r="D18" i="61"/>
  <c r="D17" i="61" s="1"/>
  <c r="D9" i="61" s="1"/>
  <c r="D8" i="61" s="1"/>
  <c r="I8" i="61"/>
  <c r="I17" i="61"/>
  <c r="H9" i="61"/>
  <c r="H17" i="61" s="1"/>
  <c r="H18" i="61" s="1"/>
  <c r="D18" i="60"/>
  <c r="D17" i="60" s="1"/>
  <c r="F17" i="60"/>
  <c r="E17" i="60"/>
  <c r="E9" i="60" s="1"/>
  <c r="F17" i="59"/>
  <c r="F9" i="59" s="1"/>
  <c r="F8" i="59" s="1"/>
  <c r="D17" i="59"/>
  <c r="D9" i="59" s="1"/>
  <c r="BN56" i="25"/>
  <c r="BN57" i="25"/>
  <c r="G17" i="59"/>
  <c r="G9" i="59" s="1"/>
  <c r="G8" i="59" s="1"/>
  <c r="E17" i="59"/>
  <c r="E17" i="58"/>
  <c r="F17" i="58"/>
  <c r="E8" i="58" l="1"/>
  <c r="E9" i="59"/>
  <c r="E8" i="59" s="1"/>
  <c r="F8" i="60"/>
  <c r="D9" i="60"/>
  <c r="D8" i="60" s="1"/>
  <c r="J9" i="62"/>
  <c r="J8" i="62" s="1"/>
  <c r="F8" i="58"/>
  <c r="F9" i="62"/>
  <c r="F8" i="62" s="1"/>
  <c r="E8" i="60"/>
  <c r="K118" i="63"/>
  <c r="J118" i="63"/>
  <c r="J109" i="63"/>
  <c r="K109" i="63"/>
  <c r="I145" i="63"/>
  <c r="D8" i="62"/>
  <c r="F40" i="63"/>
  <c r="H49" i="63"/>
  <c r="H73" i="63" s="1"/>
  <c r="H85" i="63" s="1"/>
  <c r="K30" i="63"/>
  <c r="K49" i="63" s="1"/>
  <c r="K73" i="63" s="1"/>
  <c r="K85" i="63" s="1"/>
  <c r="F30" i="63"/>
  <c r="I40" i="63"/>
  <c r="G30" i="63"/>
  <c r="C49" i="63"/>
  <c r="C73" i="63" s="1"/>
  <c r="C85" i="63" s="1"/>
  <c r="C191" i="63" s="1"/>
  <c r="C197" i="63" s="1"/>
  <c r="E49" i="63"/>
  <c r="E73" i="63" s="1"/>
  <c r="E85" i="63" s="1"/>
  <c r="E191" i="63" s="1"/>
  <c r="E197" i="63" s="1"/>
  <c r="D8" i="59"/>
  <c r="BN45" i="11"/>
  <c r="E23" i="58" l="1"/>
  <c r="D23" i="58" s="1"/>
  <c r="BY86" i="13" s="1"/>
  <c r="D9" i="58"/>
  <c r="D8" i="58" s="1"/>
  <c r="K119" i="63"/>
  <c r="J119" i="63"/>
  <c r="G49" i="63"/>
  <c r="G73" i="63" s="1"/>
  <c r="G85" i="63" s="1"/>
  <c r="J30" i="63"/>
  <c r="J49" i="63" s="1"/>
  <c r="J73" i="63" s="1"/>
  <c r="J85" i="63" s="1"/>
  <c r="F49" i="63"/>
  <c r="F73" i="63" s="1"/>
  <c r="F85" i="63" s="1"/>
  <c r="I30" i="63"/>
  <c r="I49" i="63" s="1"/>
  <c r="I73" i="63" s="1"/>
  <c r="I85" i="63" s="1"/>
  <c r="CI146" i="13" l="1"/>
  <c r="BY167" i="13"/>
  <c r="BX167" i="13"/>
  <c r="BN63" i="19" l="1"/>
  <c r="BN72" i="19" s="1"/>
  <c r="CD62" i="19"/>
  <c r="BN128" i="19"/>
  <c r="CC129" i="19"/>
  <c r="CD63" i="19" l="1"/>
  <c r="BN129" i="19"/>
  <c r="N19" i="55"/>
  <c r="M19" i="55"/>
  <c r="J19" i="55"/>
  <c r="I19" i="55"/>
  <c r="H18" i="55"/>
  <c r="H19" i="55" s="1"/>
  <c r="CD101" i="52"/>
  <c r="CD98" i="52"/>
  <c r="CG95" i="52"/>
  <c r="CF95" i="52"/>
  <c r="CE95" i="52"/>
  <c r="CC93" i="52"/>
  <c r="BN93" i="52" s="1"/>
  <c r="BN94" i="52" s="1"/>
  <c r="BN95" i="52" s="1"/>
  <c r="CH82" i="52"/>
  <c r="CF82" i="52"/>
  <c r="CF83" i="52" s="1"/>
  <c r="CC82" i="52"/>
  <c r="CC83" i="52" s="1"/>
  <c r="BN81" i="52"/>
  <c r="BN80" i="52"/>
  <c r="BN79" i="52"/>
  <c r="BN78" i="52"/>
  <c r="CD77" i="52"/>
  <c r="CD82" i="52" s="1"/>
  <c r="BN76" i="52"/>
  <c r="BN75" i="52"/>
  <c r="BN74" i="52"/>
  <c r="CD73" i="52"/>
  <c r="BN72" i="52"/>
  <c r="BN73" i="52" s="1"/>
  <c r="BN70" i="52"/>
  <c r="BN67" i="52"/>
  <c r="BN68" i="52" s="1"/>
  <c r="CD68" i="52" s="1"/>
  <c r="BN56" i="52"/>
  <c r="CG55" i="52"/>
  <c r="CG57" i="52" s="1"/>
  <c r="CF46" i="52"/>
  <c r="CC46" i="52"/>
  <c r="CH45" i="52"/>
  <c r="CH46" i="52" s="1"/>
  <c r="BN44" i="52"/>
  <c r="CD44" i="52" s="1"/>
  <c r="BN43" i="52"/>
  <c r="CD43" i="52" s="1"/>
  <c r="CD42" i="52"/>
  <c r="BN41" i="52"/>
  <c r="CD40" i="52"/>
  <c r="BN39" i="52"/>
  <c r="CD39" i="52" s="1"/>
  <c r="BN38" i="52"/>
  <c r="CD38" i="52" s="1"/>
  <c r="CD37" i="52"/>
  <c r="AN37" i="52"/>
  <c r="CD36" i="52"/>
  <c r="BN35" i="52"/>
  <c r="AN34" i="52"/>
  <c r="CG26" i="52"/>
  <c r="BN25" i="52"/>
  <c r="CD25" i="52" s="1"/>
  <c r="BN24" i="52"/>
  <c r="CD24" i="52" s="1"/>
  <c r="BN23" i="52"/>
  <c r="CD23" i="52" s="1"/>
  <c r="BN22" i="52"/>
  <c r="CD22" i="52" s="1"/>
  <c r="BN21" i="52"/>
  <c r="CD21" i="52" s="1"/>
  <c r="BN19" i="52"/>
  <c r="CD19" i="52" s="1"/>
  <c r="BN18" i="52"/>
  <c r="CD18" i="52" s="1"/>
  <c r="CD17" i="52"/>
  <c r="CD16" i="52"/>
  <c r="BN15" i="52"/>
  <c r="AN15" i="52" s="1"/>
  <c r="BN14" i="52"/>
  <c r="CD14" i="52" s="1"/>
  <c r="BN13" i="52"/>
  <c r="CD13" i="52" s="1"/>
  <c r="BN12" i="52"/>
  <c r="CD12" i="52" s="1"/>
  <c r="CD11" i="52"/>
  <c r="BN11" i="52" s="1"/>
  <c r="BN10" i="52"/>
  <c r="CD10" i="52" s="1"/>
  <c r="BN9" i="52"/>
  <c r="CD9" i="52" s="1"/>
  <c r="BN8" i="52"/>
  <c r="BN55" i="52" l="1"/>
  <c r="D18" i="55"/>
  <c r="E18" i="55"/>
  <c r="BN26" i="52"/>
  <c r="BN57" i="52"/>
  <c r="CC94" i="52"/>
  <c r="CC95" i="52" s="1"/>
  <c r="CD8" i="52"/>
  <c r="CD26" i="52" s="1"/>
  <c r="CD35" i="52"/>
  <c r="CD46" i="52" s="1"/>
  <c r="BN45" i="52"/>
  <c r="AN45" i="52" s="1"/>
  <c r="BN77" i="52"/>
  <c r="BN82" i="52" s="1"/>
  <c r="BN46" i="52" l="1"/>
  <c r="BN117" i="19" l="1"/>
  <c r="BN118" i="19" s="1"/>
  <c r="CD118" i="19"/>
  <c r="CD61" i="19"/>
  <c r="CD72" i="19" s="1"/>
  <c r="CJ72" i="19" s="1"/>
  <c r="BN33" i="19"/>
  <c r="CD33" i="19" s="1"/>
  <c r="BN24" i="11"/>
  <c r="CD24" i="11" s="1"/>
  <c r="CH118" i="19"/>
  <c r="CH24" i="18"/>
  <c r="CH28" i="18" s="1"/>
  <c r="CH30" i="18" s="1"/>
  <c r="BP30" i="18" s="1"/>
  <c r="BZ10" i="49"/>
  <c r="BZ30" i="49" s="1"/>
  <c r="CA34" i="49"/>
  <c r="CB34" i="49"/>
  <c r="CA30" i="49"/>
  <c r="BN28" i="49"/>
  <c r="BN22" i="49"/>
  <c r="BN17" i="49"/>
  <c r="CB10" i="49"/>
  <c r="CB30" i="49" s="1"/>
  <c r="D62" i="63"/>
  <c r="CH88" i="13"/>
  <c r="CK119" i="13"/>
  <c r="CK116" i="13" s="1"/>
  <c r="CF170" i="13"/>
  <c r="CF119" i="13"/>
  <c r="CK170" i="13"/>
  <c r="CB125" i="13" l="1"/>
  <c r="CH38" i="18"/>
  <c r="CH59" i="18"/>
  <c r="CH61" i="18" s="1"/>
  <c r="CD35" i="13"/>
  <c r="CD32" i="13" s="1"/>
  <c r="BN10" i="49"/>
  <c r="BN30" i="49" s="1"/>
  <c r="CA35" i="49"/>
  <c r="CA36" i="49" s="1"/>
  <c r="CC88" i="13"/>
  <c r="CH66" i="18" l="1"/>
  <c r="CH74" i="13"/>
  <c r="CC74" i="13"/>
  <c r="CB39" i="13" l="1"/>
  <c r="CB35" i="13" s="1"/>
  <c r="CB32" i="13" s="1"/>
  <c r="CH67" i="18"/>
  <c r="C65" i="63"/>
  <c r="C61" i="63" s="1"/>
  <c r="D15" i="42"/>
  <c r="J16" i="42" l="1"/>
  <c r="I16" i="42"/>
  <c r="D16" i="42"/>
  <c r="F28" i="60" l="1"/>
  <c r="F28" i="85"/>
  <c r="E28" i="60"/>
  <c r="E28" i="85"/>
  <c r="N29" i="82"/>
  <c r="N32" i="82" s="1"/>
  <c r="H15" i="42"/>
  <c r="H16" i="42" s="1"/>
  <c r="D28" i="60" l="1"/>
  <c r="C9" i="60"/>
  <c r="D28" i="85"/>
  <c r="D30" i="85" s="1"/>
  <c r="BY74" i="13"/>
  <c r="O32" i="82"/>
  <c r="M29" i="82"/>
  <c r="F32" i="90"/>
  <c r="C18" i="60"/>
  <c r="C17" i="60" s="1"/>
  <c r="BX74" i="13" l="1"/>
  <c r="M32" i="82"/>
  <c r="O207" i="82"/>
  <c r="O211" i="82" s="1"/>
  <c r="V32" i="90"/>
  <c r="F32" i="93" s="1"/>
  <c r="V32" i="93" s="1"/>
  <c r="F33" i="107" s="1"/>
  <c r="V33" i="107" s="1"/>
  <c r="F33" i="108" s="1"/>
  <c r="V33" i="108" s="1"/>
  <c r="F33" i="112" s="1"/>
  <c r="V33" i="112" s="1"/>
  <c r="F33" i="113" s="1"/>
  <c r="V33" i="113" s="1"/>
  <c r="F39" i="117" s="1"/>
  <c r="V39" i="117" s="1"/>
  <c r="F40" i="121" s="1"/>
  <c r="V40" i="121" s="1"/>
  <c r="F40" i="122" s="1"/>
  <c r="V40" i="122" s="1"/>
  <c r="W29" i="90"/>
  <c r="U29" i="82"/>
  <c r="N207" i="82"/>
  <c r="BX88" i="13"/>
  <c r="BY78" i="13"/>
  <c r="CI78" i="13" l="1"/>
  <c r="BX78" i="13"/>
  <c r="U29" i="90"/>
  <c r="G29" i="93"/>
  <c r="W29" i="93" s="1"/>
  <c r="G30" i="107" s="1"/>
  <c r="AD29" i="90"/>
  <c r="N211" i="82"/>
  <c r="M207" i="82"/>
  <c r="M211" i="82" s="1"/>
  <c r="J37" i="41"/>
  <c r="J101" i="41" s="1"/>
  <c r="O37" i="41"/>
  <c r="M37" i="41"/>
  <c r="L37" i="41"/>
  <c r="Q28" i="40"/>
  <c r="P28" i="40"/>
  <c r="O28" i="40"/>
  <c r="C28" i="40"/>
  <c r="R27" i="40"/>
  <c r="J27" i="40"/>
  <c r="L27" i="40" s="1"/>
  <c r="T27" i="40" s="1"/>
  <c r="R26" i="40"/>
  <c r="J26" i="40"/>
  <c r="L26" i="40" s="1"/>
  <c r="T26" i="40" s="1"/>
  <c r="R25" i="40"/>
  <c r="J25" i="40"/>
  <c r="L25" i="40" s="1"/>
  <c r="T25" i="40" s="1"/>
  <c r="R24" i="40"/>
  <c r="J24" i="40"/>
  <c r="L24" i="40" s="1"/>
  <c r="T24" i="40" s="1"/>
  <c r="R23" i="40"/>
  <c r="J23" i="40"/>
  <c r="L23" i="40" s="1"/>
  <c r="T23" i="40" s="1"/>
  <c r="R22" i="40"/>
  <c r="J22" i="40"/>
  <c r="L22" i="40" s="1"/>
  <c r="T22" i="40" s="1"/>
  <c r="R21" i="40"/>
  <c r="J21" i="40"/>
  <c r="L21" i="40" s="1"/>
  <c r="T21" i="40" s="1"/>
  <c r="R20" i="40"/>
  <c r="J20" i="40"/>
  <c r="L20" i="40" s="1"/>
  <c r="T20" i="40" s="1"/>
  <c r="R19" i="40"/>
  <c r="J19" i="40"/>
  <c r="L19" i="40" s="1"/>
  <c r="T19" i="40" s="1"/>
  <c r="R18" i="40"/>
  <c r="J18" i="40"/>
  <c r="L18" i="40" s="1"/>
  <c r="T18" i="40" s="1"/>
  <c r="R17" i="40"/>
  <c r="J17" i="40"/>
  <c r="L17" i="40" s="1"/>
  <c r="T17" i="40" s="1"/>
  <c r="R16" i="40"/>
  <c r="J16" i="40"/>
  <c r="L16" i="40" s="1"/>
  <c r="T16" i="40" s="1"/>
  <c r="R15" i="40"/>
  <c r="J15" i="40"/>
  <c r="L15" i="40" s="1"/>
  <c r="T15" i="40" s="1"/>
  <c r="R14" i="40"/>
  <c r="J14" i="40"/>
  <c r="L14" i="40" s="1"/>
  <c r="T14" i="40" s="1"/>
  <c r="J13" i="40"/>
  <c r="L13" i="40" s="1"/>
  <c r="T13" i="40" s="1"/>
  <c r="K28" i="40"/>
  <c r="J12" i="40"/>
  <c r="L12" i="40" s="1"/>
  <c r="T12" i="40" s="1"/>
  <c r="R11" i="40"/>
  <c r="L11" i="40"/>
  <c r="T11" i="40" s="1"/>
  <c r="R10" i="40"/>
  <c r="L10" i="40"/>
  <c r="T10" i="40" s="1"/>
  <c r="R9" i="40"/>
  <c r="L9" i="40"/>
  <c r="T9" i="40" s="1"/>
  <c r="R8" i="40"/>
  <c r="L8" i="40"/>
  <c r="T8" i="40" s="1"/>
  <c r="R7" i="40"/>
  <c r="L7" i="40"/>
  <c r="T7" i="40" s="1"/>
  <c r="R6" i="40"/>
  <c r="D15" i="41" s="1"/>
  <c r="W30" i="107" l="1"/>
  <c r="G30" i="108" s="1"/>
  <c r="H104" i="41"/>
  <c r="C18" i="77" s="1"/>
  <c r="H37" i="41"/>
  <c r="H101" i="41" s="1"/>
  <c r="J39" i="41"/>
  <c r="S13" i="40"/>
  <c r="W14" i="90"/>
  <c r="E14" i="90"/>
  <c r="S12" i="40"/>
  <c r="U12" i="40" s="1"/>
  <c r="V12" i="40" s="1"/>
  <c r="S6" i="40"/>
  <c r="L28" i="40"/>
  <c r="Y13" i="40"/>
  <c r="Z13" i="40" s="1"/>
  <c r="M28" i="40"/>
  <c r="N28" i="40"/>
  <c r="S9" i="40"/>
  <c r="S7" i="40"/>
  <c r="S10" i="40"/>
  <c r="S11" i="40"/>
  <c r="S16" i="40"/>
  <c r="S20" i="40"/>
  <c r="S24" i="40"/>
  <c r="S14" i="40"/>
  <c r="S18" i="40"/>
  <c r="S22" i="40"/>
  <c r="S26" i="40"/>
  <c r="S15" i="40"/>
  <c r="S19" i="40"/>
  <c r="S23" i="40"/>
  <c r="S27" i="40"/>
  <c r="J28" i="40"/>
  <c r="S8" i="40"/>
  <c r="S17" i="40"/>
  <c r="S21" i="40"/>
  <c r="S25" i="40"/>
  <c r="M22" i="77" l="1"/>
  <c r="N22" i="77"/>
  <c r="O22" i="77"/>
  <c r="W30" i="108"/>
  <c r="E30" i="108"/>
  <c r="U30" i="108" s="1"/>
  <c r="AD30" i="107"/>
  <c r="Y88" i="41"/>
  <c r="H39" i="41"/>
  <c r="U6" i="40"/>
  <c r="Z6" i="40" s="1"/>
  <c r="S28" i="40"/>
  <c r="U14" i="90"/>
  <c r="G14" i="93"/>
  <c r="AD29" i="93"/>
  <c r="W18" i="90"/>
  <c r="G18" i="93" s="1"/>
  <c r="E18" i="90"/>
  <c r="V6" i="40"/>
  <c r="U10" i="40"/>
  <c r="V10" i="40" s="1"/>
  <c r="W12" i="40"/>
  <c r="U27" i="40"/>
  <c r="V27" i="40" s="1"/>
  <c r="U11" i="40"/>
  <c r="V11" i="40" s="1"/>
  <c r="U26" i="40"/>
  <c r="U7" i="40"/>
  <c r="V7" i="40" s="1"/>
  <c r="U18" i="40"/>
  <c r="U8" i="40"/>
  <c r="V8" i="40" s="1"/>
  <c r="D27" i="41"/>
  <c r="D19" i="41"/>
  <c r="D17" i="41"/>
  <c r="D25" i="41"/>
  <c r="D26" i="41"/>
  <c r="D24" i="41"/>
  <c r="D23" i="41"/>
  <c r="U20" i="40"/>
  <c r="D18" i="41"/>
  <c r="D20" i="41"/>
  <c r="D16" i="41"/>
  <c r="R28" i="40"/>
  <c r="U9" i="40"/>
  <c r="V9" i="40" s="1"/>
  <c r="U25" i="40"/>
  <c r="V25" i="40" s="1"/>
  <c r="U17" i="40"/>
  <c r="V17" i="40" s="1"/>
  <c r="U23" i="40"/>
  <c r="V23" i="40" s="1"/>
  <c r="U15" i="40"/>
  <c r="V15" i="40" s="1"/>
  <c r="U22" i="40"/>
  <c r="V22" i="40" s="1"/>
  <c r="U14" i="40"/>
  <c r="V14" i="40" s="1"/>
  <c r="U21" i="40"/>
  <c r="V21" i="40" s="1"/>
  <c r="U19" i="40"/>
  <c r="V19" i="40" s="1"/>
  <c r="W19" i="40" s="1"/>
  <c r="U24" i="40"/>
  <c r="V24" i="40" s="1"/>
  <c r="U16" i="40"/>
  <c r="V16" i="40" s="1"/>
  <c r="AD30" i="108" l="1"/>
  <c r="G30" i="112"/>
  <c r="U18" i="90"/>
  <c r="D22" i="41"/>
  <c r="C9" i="77"/>
  <c r="C17" i="77"/>
  <c r="W18" i="93"/>
  <c r="E18" i="93"/>
  <c r="W6" i="40"/>
  <c r="W14" i="93"/>
  <c r="E14" i="93"/>
  <c r="W24" i="40"/>
  <c r="W17" i="40"/>
  <c r="W8" i="40"/>
  <c r="W22" i="40"/>
  <c r="W25" i="40"/>
  <c r="W10" i="40"/>
  <c r="W14" i="40"/>
  <c r="W7" i="40"/>
  <c r="W21" i="40"/>
  <c r="W15" i="40"/>
  <c r="W9" i="40"/>
  <c r="W11" i="40"/>
  <c r="W16" i="40"/>
  <c r="W23" i="40"/>
  <c r="W27" i="40"/>
  <c r="V18" i="40"/>
  <c r="V26" i="40"/>
  <c r="V20" i="40"/>
  <c r="U13" i="40"/>
  <c r="V13" i="40" s="1"/>
  <c r="D21" i="41"/>
  <c r="Z7" i="40"/>
  <c r="T28" i="40"/>
  <c r="Z11" i="40"/>
  <c r="Z9" i="40"/>
  <c r="W30" i="112" l="1"/>
  <c r="G30" i="113" s="1"/>
  <c r="E30" i="112"/>
  <c r="U14" i="93"/>
  <c r="E14" i="107" s="1"/>
  <c r="G14" i="107"/>
  <c r="W14" i="107" s="1"/>
  <c r="U18" i="93"/>
  <c r="E18" i="107" s="1"/>
  <c r="G18" i="107"/>
  <c r="W18" i="107" s="1"/>
  <c r="W37" i="40"/>
  <c r="U28" i="40"/>
  <c r="T32" i="40" s="1"/>
  <c r="V32" i="40" s="1"/>
  <c r="W26" i="40"/>
  <c r="W18" i="40"/>
  <c r="V28" i="40"/>
  <c r="W20" i="40"/>
  <c r="Z8" i="40"/>
  <c r="Z10" i="40" s="1"/>
  <c r="T29" i="40"/>
  <c r="T30" i="40" s="1"/>
  <c r="T31" i="40"/>
  <c r="V31" i="40" s="1"/>
  <c r="U18" i="107" l="1"/>
  <c r="G18" i="108"/>
  <c r="W30" i="113"/>
  <c r="G34" i="117" s="1"/>
  <c r="E30" i="113"/>
  <c r="U30" i="113" s="1"/>
  <c r="AD30" i="112"/>
  <c r="U14" i="107"/>
  <c r="G14" i="108"/>
  <c r="U30" i="112"/>
  <c r="U30" i="40"/>
  <c r="W13" i="40"/>
  <c r="W28" i="40" s="1"/>
  <c r="W34" i="40" s="1"/>
  <c r="W36" i="40" s="1"/>
  <c r="W38" i="40"/>
  <c r="BB10" i="49"/>
  <c r="BB17" i="49" s="1"/>
  <c r="BB22" i="49" s="1"/>
  <c r="BB28" i="49" s="1"/>
  <c r="W34" i="117" l="1"/>
  <c r="G35" i="121" s="1"/>
  <c r="E34" i="117"/>
  <c r="U34" i="117" s="1"/>
  <c r="W18" i="108"/>
  <c r="E18" i="108"/>
  <c r="AD30" i="113"/>
  <c r="E14" i="108"/>
  <c r="W14" i="108"/>
  <c r="BY71" i="13"/>
  <c r="W35" i="121" l="1"/>
  <c r="G35" i="122" s="1"/>
  <c r="E35" i="121"/>
  <c r="G18" i="112"/>
  <c r="U18" i="108"/>
  <c r="AD34" i="117"/>
  <c r="G14" i="112"/>
  <c r="U14" i="108"/>
  <c r="CI77" i="13"/>
  <c r="CH77" i="13" s="1"/>
  <c r="CC77" i="13"/>
  <c r="W35" i="122" l="1"/>
  <c r="E35" i="122"/>
  <c r="U35" i="122" s="1"/>
  <c r="U35" i="121"/>
  <c r="AD35" i="121"/>
  <c r="W18" i="112"/>
  <c r="E18" i="112"/>
  <c r="E14" i="112"/>
  <c r="W14" i="112"/>
  <c r="G14" i="113" s="1"/>
  <c r="C9" i="59"/>
  <c r="C18" i="59" s="1"/>
  <c r="C17" i="59" s="1"/>
  <c r="C9" i="71"/>
  <c r="C18" i="71" s="1"/>
  <c r="C17" i="71" s="1"/>
  <c r="BZ35" i="49"/>
  <c r="BZ36" i="49" s="1"/>
  <c r="AD35" i="122" l="1"/>
  <c r="G18" i="113"/>
  <c r="U18" i="112"/>
  <c r="W14" i="113"/>
  <c r="E14" i="113"/>
  <c r="U14" i="112"/>
  <c r="BN100" i="11"/>
  <c r="W18" i="113" l="1"/>
  <c r="E18" i="113"/>
  <c r="U14" i="113"/>
  <c r="CD11" i="10"/>
  <c r="BP11" i="10" s="1"/>
  <c r="BP12" i="10" s="1"/>
  <c r="CD10" i="18"/>
  <c r="CC23" i="24"/>
  <c r="CD23" i="24"/>
  <c r="AJ21" i="18"/>
  <c r="BP34" i="18"/>
  <c r="BP38" i="18" s="1"/>
  <c r="CD34" i="18"/>
  <c r="BN8" i="11"/>
  <c r="BN9" i="11"/>
  <c r="CD9" i="11" s="1"/>
  <c r="BN12" i="11"/>
  <c r="BN13" i="11"/>
  <c r="BN14" i="11"/>
  <c r="BN19" i="11"/>
  <c r="BN22" i="11"/>
  <c r="BN23" i="11"/>
  <c r="CD23" i="11" s="1"/>
  <c r="BN19" i="19"/>
  <c r="BN47" i="19" s="1"/>
  <c r="CD23" i="19"/>
  <c r="BN30" i="19"/>
  <c r="CC33" i="24"/>
  <c r="CC48" i="24" s="1"/>
  <c r="CD33" i="24"/>
  <c r="CD43" i="11"/>
  <c r="BN26" i="11"/>
  <c r="CD26" i="11" s="1"/>
  <c r="CC95" i="24"/>
  <c r="CD95" i="24"/>
  <c r="CC108" i="24"/>
  <c r="CD108" i="24"/>
  <c r="CC132" i="13"/>
  <c r="BN81" i="19"/>
  <c r="CD81" i="19" s="1"/>
  <c r="BN77" i="11"/>
  <c r="CC133" i="24"/>
  <c r="CD133" i="24"/>
  <c r="H18" i="3"/>
  <c r="M18" i="3" s="1"/>
  <c r="M19" i="3" s="1"/>
  <c r="BZ75" i="13" s="1"/>
  <c r="BZ76" i="13"/>
  <c r="CG9" i="7"/>
  <c r="CH23" i="24"/>
  <c r="CH33" i="24"/>
  <c r="CH48" i="24" s="1"/>
  <c r="CL128" i="13"/>
  <c r="CH95" i="24"/>
  <c r="CL131" i="13"/>
  <c r="CH108" i="24"/>
  <c r="CH133" i="24"/>
  <c r="CL149" i="13"/>
  <c r="CL127" i="13"/>
  <c r="CG148" i="13"/>
  <c r="CL148" i="13" s="1"/>
  <c r="BP8" i="18"/>
  <c r="BE8" i="18" s="1"/>
  <c r="BP9" i="18"/>
  <c r="CC123" i="13"/>
  <c r="N19" i="26"/>
  <c r="CB76" i="13" s="1"/>
  <c r="M19" i="26"/>
  <c r="J19" i="26"/>
  <c r="I19" i="26"/>
  <c r="H19" i="26"/>
  <c r="CH126" i="25"/>
  <c r="CC126" i="25"/>
  <c r="BY149" i="13" s="1"/>
  <c r="BN118" i="25"/>
  <c r="BC118" i="25" s="1"/>
  <c r="BC117" i="25"/>
  <c r="CH101" i="25"/>
  <c r="CB133" i="13" s="1"/>
  <c r="CD101" i="25"/>
  <c r="BN100" i="25"/>
  <c r="AO100" i="25" s="1"/>
  <c r="CC92" i="25"/>
  <c r="AO59" i="25"/>
  <c r="AO57" i="25"/>
  <c r="AO56" i="25"/>
  <c r="AO55" i="25"/>
  <c r="CH23" i="25"/>
  <c r="CD23" i="25"/>
  <c r="CC23" i="25"/>
  <c r="BN22" i="25"/>
  <c r="CD22" i="25" s="1"/>
  <c r="BN21" i="25"/>
  <c r="CD21" i="25" s="1"/>
  <c r="BN20" i="25"/>
  <c r="CD20" i="25" s="1"/>
  <c r="BN19" i="25"/>
  <c r="CD19" i="25" s="1"/>
  <c r="BN18" i="25"/>
  <c r="CD18" i="25" s="1"/>
  <c r="BN17" i="25"/>
  <c r="CD17" i="25" s="1"/>
  <c r="BN16" i="25"/>
  <c r="CD16" i="25" s="1"/>
  <c r="BN15" i="25"/>
  <c r="CD15" i="25" s="1"/>
  <c r="BN14" i="25"/>
  <c r="CD14" i="25" s="1"/>
  <c r="BN13" i="25"/>
  <c r="CD13" i="25" s="1"/>
  <c r="BN12" i="25"/>
  <c r="CD12" i="25" s="1"/>
  <c r="BN11" i="25"/>
  <c r="CD11" i="25" s="1"/>
  <c r="BN10" i="25"/>
  <c r="CD10" i="25" s="1"/>
  <c r="BN9" i="25"/>
  <c r="CD9" i="25" s="1"/>
  <c r="CE149" i="13"/>
  <c r="CJ149" i="13" s="1"/>
  <c r="CL90" i="13"/>
  <c r="CE90" i="13"/>
  <c r="CJ90" i="13" s="1"/>
  <c r="CL76" i="13"/>
  <c r="CG95" i="24"/>
  <c r="BN22" i="24"/>
  <c r="CD22" i="24" s="1"/>
  <c r="BN21" i="24"/>
  <c r="CD21" i="24" s="1"/>
  <c r="BN20" i="24"/>
  <c r="CD20" i="24" s="1"/>
  <c r="BN19" i="24"/>
  <c r="CD19" i="24" s="1"/>
  <c r="BN18" i="24"/>
  <c r="CD18" i="24" s="1"/>
  <c r="BN17" i="24"/>
  <c r="CD17" i="24" s="1"/>
  <c r="BN16" i="24"/>
  <c r="CD16" i="24" s="1"/>
  <c r="BN15" i="24"/>
  <c r="CD15" i="24" s="1"/>
  <c r="BN14" i="24"/>
  <c r="CD14" i="24" s="1"/>
  <c r="BN13" i="24"/>
  <c r="CD13" i="24" s="1"/>
  <c r="BN12" i="24"/>
  <c r="CD12" i="24" s="1"/>
  <c r="BN11" i="24"/>
  <c r="CD11" i="24" s="1"/>
  <c r="BN10" i="24"/>
  <c r="CD10" i="24" s="1"/>
  <c r="BN9" i="24"/>
  <c r="CD9" i="24" s="1"/>
  <c r="CH146" i="24"/>
  <c r="CG146" i="24"/>
  <c r="CD146" i="24"/>
  <c r="CC146" i="24"/>
  <c r="BN138" i="24"/>
  <c r="CG133" i="24"/>
  <c r="BN125" i="24"/>
  <c r="BC125" i="24" s="1"/>
  <c r="BN124" i="24"/>
  <c r="BC124" i="24" s="1"/>
  <c r="BN107" i="24"/>
  <c r="AO107" i="24" s="1"/>
  <c r="BN94" i="24"/>
  <c r="CD94" i="24" s="1"/>
  <c r="BN93" i="24"/>
  <c r="CD93" i="24" s="1"/>
  <c r="BN92" i="24"/>
  <c r="CD92" i="24" s="1"/>
  <c r="BN91" i="24"/>
  <c r="CD91" i="24" s="1"/>
  <c r="BN90" i="24"/>
  <c r="CD90" i="24" s="1"/>
  <c r="BN89" i="24"/>
  <c r="CD89" i="24" s="1"/>
  <c r="BN88" i="24"/>
  <c r="CD88" i="24" s="1"/>
  <c r="BN87" i="24"/>
  <c r="CD87" i="24" s="1"/>
  <c r="BN86" i="24"/>
  <c r="CD86" i="24" s="1"/>
  <c r="BN85" i="24"/>
  <c r="CD85" i="24" s="1"/>
  <c r="BN84" i="24"/>
  <c r="CD84" i="24" s="1"/>
  <c r="BN83" i="24"/>
  <c r="CD83" i="24" s="1"/>
  <c r="BN82" i="24"/>
  <c r="CD82" i="24" s="1"/>
  <c r="BN81" i="24"/>
  <c r="CD81" i="24" s="1"/>
  <c r="BN80" i="24"/>
  <c r="CD80" i="24" s="1"/>
  <c r="BN79" i="24"/>
  <c r="CD79" i="24" s="1"/>
  <c r="BN78" i="24"/>
  <c r="CD78" i="24" s="1"/>
  <c r="BN77" i="24"/>
  <c r="CD77" i="24" s="1"/>
  <c r="BN76" i="24"/>
  <c r="CD76" i="24" s="1"/>
  <c r="BN75" i="24"/>
  <c r="CD75" i="24" s="1"/>
  <c r="BN74" i="24"/>
  <c r="CD74" i="24" s="1"/>
  <c r="BN73" i="24"/>
  <c r="CD73" i="24" s="1"/>
  <c r="BN72" i="24"/>
  <c r="CD72" i="24" s="1"/>
  <c r="BN71" i="24"/>
  <c r="CD71" i="24" s="1"/>
  <c r="BN70" i="24"/>
  <c r="CD70" i="24" s="1"/>
  <c r="BN69" i="24"/>
  <c r="CD69" i="24" s="1"/>
  <c r="BN68" i="24"/>
  <c r="CD68" i="24" s="1"/>
  <c r="BN67" i="24"/>
  <c r="CD67" i="24" s="1"/>
  <c r="BN66" i="24"/>
  <c r="CD66" i="24" s="1"/>
  <c r="BN65" i="24"/>
  <c r="CD65" i="24" s="1"/>
  <c r="BN61" i="24"/>
  <c r="AO61" i="24" s="1"/>
  <c r="BN60" i="24"/>
  <c r="AO60" i="24" s="1"/>
  <c r="BN59" i="24"/>
  <c r="AO59" i="24" s="1"/>
  <c r="BN58" i="24"/>
  <c r="AO58" i="24" s="1"/>
  <c r="CG48" i="24"/>
  <c r="BN47" i="24"/>
  <c r="CD47" i="24" s="1"/>
  <c r="BN46" i="24"/>
  <c r="CD46" i="24" s="1"/>
  <c r="BN45" i="24"/>
  <c r="CD45" i="24" s="1"/>
  <c r="BN44" i="24"/>
  <c r="CD44" i="24" s="1"/>
  <c r="BN43" i="24"/>
  <c r="CD43" i="24" s="1"/>
  <c r="BN42" i="24"/>
  <c r="CD42" i="24" s="1"/>
  <c r="BN41" i="24"/>
  <c r="CD41" i="24" s="1"/>
  <c r="BN40" i="24"/>
  <c r="CD40" i="24" s="1"/>
  <c r="BN39" i="24"/>
  <c r="CD39" i="24" s="1"/>
  <c r="BN38" i="24"/>
  <c r="CD38" i="24" s="1"/>
  <c r="BN37" i="24"/>
  <c r="CD37" i="24" s="1"/>
  <c r="BN36" i="24"/>
  <c r="CD36" i="24" s="1"/>
  <c r="BN35" i="24"/>
  <c r="CD35" i="24" s="1"/>
  <c r="BN34" i="24"/>
  <c r="CD34" i="24" s="1"/>
  <c r="BN32" i="24"/>
  <c r="AN32" i="24" s="1"/>
  <c r="CI149" i="13"/>
  <c r="BN64" i="24"/>
  <c r="AO64" i="24" s="1"/>
  <c r="BN8" i="24"/>
  <c r="AN8" i="24" s="1"/>
  <c r="BN31" i="24"/>
  <c r="AN31" i="24" s="1"/>
  <c r="BN62" i="24"/>
  <c r="AO62" i="24" s="1"/>
  <c r="BN63" i="24"/>
  <c r="AO63" i="24" s="1"/>
  <c r="F47" i="22"/>
  <c r="G47" i="22" s="1"/>
  <c r="B35" i="22"/>
  <c r="D33" i="22"/>
  <c r="D32" i="22"/>
  <c r="D31" i="22"/>
  <c r="D30" i="22"/>
  <c r="D29" i="22"/>
  <c r="D28" i="22"/>
  <c r="D27" i="22"/>
  <c r="F27" i="22" s="1"/>
  <c r="D26" i="22"/>
  <c r="I25" i="22"/>
  <c r="D25" i="22"/>
  <c r="D24" i="22"/>
  <c r="D23" i="22"/>
  <c r="D22" i="22"/>
  <c r="D15" i="22"/>
  <c r="B11" i="22"/>
  <c r="B9" i="22"/>
  <c r="C47" i="22" s="1"/>
  <c r="D47" i="22" s="1"/>
  <c r="E25" i="20"/>
  <c r="J25" i="20"/>
  <c r="E15" i="20"/>
  <c r="H37" i="20" s="1"/>
  <c r="E22" i="20"/>
  <c r="E23" i="20"/>
  <c r="E24" i="20"/>
  <c r="E26" i="20"/>
  <c r="E27" i="20"/>
  <c r="G27" i="20" s="1"/>
  <c r="E28" i="20"/>
  <c r="E29" i="20"/>
  <c r="E30" i="20"/>
  <c r="E31" i="20"/>
  <c r="E32" i="20"/>
  <c r="E33" i="20"/>
  <c r="G47" i="20"/>
  <c r="C35" i="20"/>
  <c r="C11" i="20"/>
  <c r="C9" i="20"/>
  <c r="D47" i="20" s="1"/>
  <c r="E47" i="20" s="1"/>
  <c r="A23" i="19"/>
  <c r="A24" i="19" s="1"/>
  <c r="CC47" i="19"/>
  <c r="CH47" i="19"/>
  <c r="BP58" i="18"/>
  <c r="BP55" i="18"/>
  <c r="BP53" i="18"/>
  <c r="AS24" i="18"/>
  <c r="AT22" i="18"/>
  <c r="AS21" i="18"/>
  <c r="BP62" i="18"/>
  <c r="BP65" i="18" s="1"/>
  <c r="BP47" i="18"/>
  <c r="BP49" i="18"/>
  <c r="BP19" i="18"/>
  <c r="AT19" i="18"/>
  <c r="AT23" i="18"/>
  <c r="BP51" i="18"/>
  <c r="CA176" i="13"/>
  <c r="CA170" i="13"/>
  <c r="CB163" i="13"/>
  <c r="CI158" i="13"/>
  <c r="BX151" i="13"/>
  <c r="CH150" i="13"/>
  <c r="CC150" i="13"/>
  <c r="BX150" i="13"/>
  <c r="CI148" i="13"/>
  <c r="CE145" i="13"/>
  <c r="CJ145" i="13" s="1"/>
  <c r="BX145" i="13"/>
  <c r="CC145" i="13" s="1"/>
  <c r="CC143" i="13"/>
  <c r="BX143" i="13"/>
  <c r="CH142" i="13"/>
  <c r="CC142" i="13"/>
  <c r="CH140" i="13"/>
  <c r="CH136" i="13"/>
  <c r="CC136" i="13"/>
  <c r="BX136" i="13"/>
  <c r="CH134" i="13"/>
  <c r="CC134" i="13"/>
  <c r="CJ131" i="13"/>
  <c r="CL129" i="13"/>
  <c r="CJ128" i="13"/>
  <c r="CH123" i="13"/>
  <c r="CL103" i="13"/>
  <c r="CI103" i="13"/>
  <c r="CG103" i="13"/>
  <c r="CD103" i="13"/>
  <c r="CB103" i="13"/>
  <c r="BY103" i="13"/>
  <c r="CL97" i="13"/>
  <c r="CK97" i="13"/>
  <c r="CJ97" i="13"/>
  <c r="CI97" i="13"/>
  <c r="CH97" i="13"/>
  <c r="CG97" i="13"/>
  <c r="CF97" i="13"/>
  <c r="CE97" i="13"/>
  <c r="CD97" i="13"/>
  <c r="CC97" i="13"/>
  <c r="CB97" i="13"/>
  <c r="CA97" i="13"/>
  <c r="CL89" i="13"/>
  <c r="CD89" i="13"/>
  <c r="CC87" i="13"/>
  <c r="BX87" i="13"/>
  <c r="CL83" i="13"/>
  <c r="CH83" i="13" s="1"/>
  <c r="CC83" i="13"/>
  <c r="CH82" i="13"/>
  <c r="CC82" i="13"/>
  <c r="BX82" i="13"/>
  <c r="CH81" i="13"/>
  <c r="CC81" i="13"/>
  <c r="BX81" i="13"/>
  <c r="BX79" i="13"/>
  <c r="CH78" i="13"/>
  <c r="CC78" i="13"/>
  <c r="BX77" i="13"/>
  <c r="CL75" i="13"/>
  <c r="CD75" i="13"/>
  <c r="BX73" i="13"/>
  <c r="BX53" i="13"/>
  <c r="CH51" i="13"/>
  <c r="CC51" i="13"/>
  <c r="CH49" i="13"/>
  <c r="CC49" i="13"/>
  <c r="BX43" i="13"/>
  <c r="CH42" i="13"/>
  <c r="CC42" i="13"/>
  <c r="BX42" i="13"/>
  <c r="CC40" i="13"/>
  <c r="BX40" i="13"/>
  <c r="BX38" i="13"/>
  <c r="CL37" i="13"/>
  <c r="CH37" i="13" s="1"/>
  <c r="CC37" i="13"/>
  <c r="BX37" i="13"/>
  <c r="CL34" i="13"/>
  <c r="CH34" i="13" s="1"/>
  <c r="BX34" i="13"/>
  <c r="BX30" i="13"/>
  <c r="BZ134" i="13"/>
  <c r="BX134" i="13" s="1"/>
  <c r="CF49" i="11"/>
  <c r="CC49" i="11"/>
  <c r="DY36" i="8"/>
  <c r="DY38" i="8" s="1"/>
  <c r="DX36" i="8"/>
  <c r="DX38" i="8" s="1"/>
  <c r="DW36" i="8"/>
  <c r="DW38" i="8" s="1"/>
  <c r="BN8" i="7"/>
  <c r="BN9" i="7" s="1"/>
  <c r="CC34" i="13"/>
  <c r="CI124" i="13"/>
  <c r="CH124" i="13" s="1"/>
  <c r="CI72" i="13"/>
  <c r="CD12" i="10" l="1"/>
  <c r="BP61" i="10"/>
  <c r="BP59" i="18"/>
  <c r="BP61" i="18" s="1"/>
  <c r="BP66" i="18" s="1"/>
  <c r="BN33" i="11"/>
  <c r="BN23" i="24"/>
  <c r="CO45" i="25"/>
  <c r="CD129" i="25"/>
  <c r="H19" i="3"/>
  <c r="C9" i="61" s="1"/>
  <c r="C18" i="61" s="1"/>
  <c r="C17" i="61" s="1"/>
  <c r="G20" i="117"/>
  <c r="U18" i="113"/>
  <c r="CD68" i="18"/>
  <c r="CD70" i="18" s="1"/>
  <c r="CD38" i="18"/>
  <c r="BY125" i="13" s="1"/>
  <c r="CO52" i="25"/>
  <c r="CR115" i="25"/>
  <c r="CR116" i="25" s="1"/>
  <c r="BX97" i="13"/>
  <c r="CD49" i="11"/>
  <c r="BY130" i="13"/>
  <c r="BX130" i="13" s="1"/>
  <c r="BW129" i="25"/>
  <c r="BY131" i="13"/>
  <c r="BX131" i="13" s="1"/>
  <c r="BN92" i="25"/>
  <c r="CB83" i="13"/>
  <c r="CH72" i="13"/>
  <c r="CI75" i="13"/>
  <c r="I19" i="20"/>
  <c r="CF109" i="11"/>
  <c r="CF96" i="83"/>
  <c r="CF103" i="83" s="1"/>
  <c r="CD97" i="83"/>
  <c r="CD98" i="83" s="1"/>
  <c r="CI89" i="13"/>
  <c r="CD85" i="13"/>
  <c r="CD71" i="13" s="1"/>
  <c r="CB149" i="13"/>
  <c r="BZ148" i="13"/>
  <c r="BZ119" i="13" s="1"/>
  <c r="CG13" i="7"/>
  <c r="CG14" i="7" s="1"/>
  <c r="BP10" i="18"/>
  <c r="BP11" i="18" s="1"/>
  <c r="CD11" i="18"/>
  <c r="CD101" i="87" s="1"/>
  <c r="CD103" i="87" s="1"/>
  <c r="AT21" i="18"/>
  <c r="CD82" i="19"/>
  <c r="CH149" i="13"/>
  <c r="BX146" i="13"/>
  <c r="BX54" i="13"/>
  <c r="BX46" i="13" s="1"/>
  <c r="BN146" i="24"/>
  <c r="BN108" i="24"/>
  <c r="CC122" i="13"/>
  <c r="D35" i="22"/>
  <c r="D37" i="22" s="1"/>
  <c r="AT24" i="18"/>
  <c r="BN133" i="24"/>
  <c r="BN95" i="24"/>
  <c r="BX121" i="13"/>
  <c r="CD48" i="24"/>
  <c r="BN48" i="24" s="1"/>
  <c r="BN33" i="24"/>
  <c r="AN33" i="24" s="1"/>
  <c r="H47" i="20"/>
  <c r="I47" i="20" s="1"/>
  <c r="J47" i="20" s="1"/>
  <c r="E35" i="20"/>
  <c r="G37" i="22"/>
  <c r="H19" i="22"/>
  <c r="H47" i="22"/>
  <c r="I47" i="22" s="1"/>
  <c r="J35" i="22"/>
  <c r="E18" i="26"/>
  <c r="D18" i="26"/>
  <c r="BN23" i="25"/>
  <c r="CD8" i="11"/>
  <c r="BN82" i="19"/>
  <c r="CH40" i="13"/>
  <c r="CC121" i="13"/>
  <c r="CI122" i="13"/>
  <c r="CH122" i="13" s="1"/>
  <c r="CH103" i="13"/>
  <c r="CC140" i="13"/>
  <c r="CJ135" i="13"/>
  <c r="CI143" i="13"/>
  <c r="CH143" i="13" s="1"/>
  <c r="CD102" i="52"/>
  <c r="CD103" i="52" s="1"/>
  <c r="CD19" i="19"/>
  <c r="CD47" i="19" s="1"/>
  <c r="CI132" i="13"/>
  <c r="CH132" i="13" s="1"/>
  <c r="CB158" i="13"/>
  <c r="CL125" i="13"/>
  <c r="CH87" i="13"/>
  <c r="BX103" i="13"/>
  <c r="CC103" i="13"/>
  <c r="BN126" i="25"/>
  <c r="BN101" i="25"/>
  <c r="CJ53" i="13"/>
  <c r="CC135" i="13"/>
  <c r="BX140" i="13"/>
  <c r="BX163" i="13"/>
  <c r="CC149" i="13"/>
  <c r="BX128" i="13"/>
  <c r="CI73" i="13"/>
  <c r="CH73" i="13" s="1"/>
  <c r="CC73" i="13"/>
  <c r="CC146" i="13"/>
  <c r="CC72" i="13"/>
  <c r="CI144" i="13"/>
  <c r="CH144" i="13" s="1"/>
  <c r="BX144" i="13"/>
  <c r="CC158" i="13"/>
  <c r="CI128" i="13"/>
  <c r="CH128" i="13" s="1"/>
  <c r="CC128" i="13"/>
  <c r="BX36" i="13"/>
  <c r="CE76" i="13"/>
  <c r="BX76" i="13"/>
  <c r="BX75" i="13"/>
  <c r="BX89" i="13"/>
  <c r="CE75" i="13"/>
  <c r="CC124" i="13"/>
  <c r="BX86" i="13"/>
  <c r="BX147" i="13"/>
  <c r="BP67" i="18" l="1"/>
  <c r="BW128" i="25"/>
  <c r="BN49" i="11"/>
  <c r="BY129" i="13"/>
  <c r="BX133" i="13"/>
  <c r="CC133" i="13" s="1"/>
  <c r="CI133" i="13" s="1"/>
  <c r="CH133" i="13" s="1"/>
  <c r="BY132" i="13"/>
  <c r="BX132" i="13" s="1"/>
  <c r="W20" i="117"/>
  <c r="G20" i="121" s="1"/>
  <c r="E20" i="117"/>
  <c r="CJ10" i="11"/>
  <c r="CD33" i="11"/>
  <c r="BY126" i="13" s="1"/>
  <c r="CR117" i="25"/>
  <c r="BY127" i="13"/>
  <c r="BX127" i="13" s="1"/>
  <c r="EF125" i="13"/>
  <c r="CE71" i="13"/>
  <c r="D16" i="22"/>
  <c r="D17" i="22" s="1"/>
  <c r="H20" i="22" s="1"/>
  <c r="G40" i="22"/>
  <c r="G33" i="22" s="1"/>
  <c r="F33" i="22" s="1"/>
  <c r="BX149" i="13"/>
  <c r="EF133" i="13" s="1"/>
  <c r="CE148" i="13"/>
  <c r="CJ148" i="13" s="1"/>
  <c r="CH148" i="13" s="1"/>
  <c r="BZ116" i="13"/>
  <c r="BX148" i="13"/>
  <c r="BX122" i="13"/>
  <c r="CB85" i="13"/>
  <c r="CB71" i="13" s="1"/>
  <c r="BX71" i="13" s="1"/>
  <c r="E16" i="20"/>
  <c r="E17" i="20" s="1"/>
  <c r="I20" i="20" s="1"/>
  <c r="E37" i="20"/>
  <c r="H40" i="20" s="1"/>
  <c r="BX83" i="13"/>
  <c r="CI121" i="13"/>
  <c r="CH121" i="13" s="1"/>
  <c r="CJ89" i="13"/>
  <c r="CC89" i="13"/>
  <c r="CH135" i="13"/>
  <c r="CI129" i="13"/>
  <c r="CH129" i="13" s="1"/>
  <c r="CI137" i="13"/>
  <c r="CH137" i="13" s="1"/>
  <c r="CC144" i="13"/>
  <c r="BX158" i="13"/>
  <c r="CB156" i="13"/>
  <c r="CH146" i="13"/>
  <c r="CL158" i="13"/>
  <c r="CG156" i="13"/>
  <c r="CH53" i="13"/>
  <c r="CJ47" i="13"/>
  <c r="BX39" i="13"/>
  <c r="CC75" i="13"/>
  <c r="CJ75" i="13"/>
  <c r="CC76" i="13"/>
  <c r="CJ76" i="13"/>
  <c r="CH76" i="13" s="1"/>
  <c r="CC86" i="13"/>
  <c r="CH147" i="13"/>
  <c r="CC147" i="13"/>
  <c r="CC157" i="13"/>
  <c r="CC156" i="13" s="1"/>
  <c r="CI157" i="13"/>
  <c r="W20" i="121" l="1"/>
  <c r="E20" i="121"/>
  <c r="G31" i="22"/>
  <c r="F31" i="22" s="1"/>
  <c r="CH105" i="11"/>
  <c r="G29" i="22"/>
  <c r="F29" i="22" s="1"/>
  <c r="U20" i="117"/>
  <c r="G32" i="22"/>
  <c r="F32" i="22" s="1"/>
  <c r="G24" i="22"/>
  <c r="F24" i="22" s="1"/>
  <c r="G25" i="22"/>
  <c r="F25" i="22" s="1"/>
  <c r="G30" i="22"/>
  <c r="F30" i="22" s="1"/>
  <c r="G28" i="22"/>
  <c r="F28" i="22" s="1"/>
  <c r="G22" i="22"/>
  <c r="F22" i="22" s="1"/>
  <c r="G23" i="22"/>
  <c r="F23" i="22" s="1"/>
  <c r="G26" i="22"/>
  <c r="F26" i="22" s="1"/>
  <c r="CJ9" i="11"/>
  <c r="BX85" i="13"/>
  <c r="DU36" i="8"/>
  <c r="DU97" i="8" s="1"/>
  <c r="CD131" i="19"/>
  <c r="CE119" i="13"/>
  <c r="CE116" i="13" s="1"/>
  <c r="CC148" i="13"/>
  <c r="CJ119" i="13"/>
  <c r="CJ116" i="13" s="1"/>
  <c r="BZ70" i="13"/>
  <c r="BZ170" i="13" s="1"/>
  <c r="DZ19" i="14"/>
  <c r="DZ22" i="14" s="1"/>
  <c r="CG85" i="13"/>
  <c r="CG71" i="13" s="1"/>
  <c r="CC71" i="13" s="1"/>
  <c r="CF111" i="11"/>
  <c r="BX124" i="13"/>
  <c r="H25" i="20"/>
  <c r="G25" i="20" s="1"/>
  <c r="H24" i="20"/>
  <c r="G24" i="20" s="1"/>
  <c r="H28" i="20"/>
  <c r="G28" i="20" s="1"/>
  <c r="H30" i="20"/>
  <c r="G30" i="20" s="1"/>
  <c r="H32" i="20"/>
  <c r="G32" i="20" s="1"/>
  <c r="H23" i="20"/>
  <c r="G23" i="20" s="1"/>
  <c r="H33" i="20"/>
  <c r="G33" i="20" s="1"/>
  <c r="H26" i="20"/>
  <c r="G26" i="20" s="1"/>
  <c r="H29" i="20"/>
  <c r="G29" i="20" s="1"/>
  <c r="H31" i="20"/>
  <c r="G31" i="20" s="1"/>
  <c r="H22" i="20"/>
  <c r="CI32" i="13"/>
  <c r="E62" i="63"/>
  <c r="CI131" i="13"/>
  <c r="CH131" i="13" s="1"/>
  <c r="CC131" i="13"/>
  <c r="CC129" i="13"/>
  <c r="CC137" i="13"/>
  <c r="CJ85" i="13"/>
  <c r="CJ71" i="13" s="1"/>
  <c r="CH89" i="13"/>
  <c r="CI130" i="13"/>
  <c r="CH130" i="13" s="1"/>
  <c r="CI126" i="13"/>
  <c r="CC126" i="13"/>
  <c r="CH158" i="13"/>
  <c r="CL156" i="13"/>
  <c r="CE32" i="13"/>
  <c r="CE46" i="13"/>
  <c r="CC46" i="13" s="1"/>
  <c r="CC47" i="13"/>
  <c r="CJ46" i="13"/>
  <c r="CH46" i="13" s="1"/>
  <c r="CH47" i="13"/>
  <c r="CJ32" i="13"/>
  <c r="CC127" i="13"/>
  <c r="CI127" i="13"/>
  <c r="CH127" i="13" s="1"/>
  <c r="CL39" i="13"/>
  <c r="CH39" i="13" s="1"/>
  <c r="CC39" i="13"/>
  <c r="BX90" i="13"/>
  <c r="CH75" i="13"/>
  <c r="CH157" i="13"/>
  <c r="CI156" i="13"/>
  <c r="CI125" i="13"/>
  <c r="CH125" i="13" s="1"/>
  <c r="K120" i="63" l="1"/>
  <c r="K121" i="63" s="1"/>
  <c r="E61" i="63"/>
  <c r="G20" i="122"/>
  <c r="U20" i="121"/>
  <c r="G35" i="22"/>
  <c r="CE70" i="13"/>
  <c r="CE170" i="13" s="1"/>
  <c r="EM19" i="14"/>
  <c r="EM22" i="14" s="1"/>
  <c r="EJ86" i="8"/>
  <c r="DU100" i="8"/>
  <c r="DU38" i="8"/>
  <c r="DF96" i="8"/>
  <c r="DF97" i="8" s="1"/>
  <c r="DF100" i="8" s="1"/>
  <c r="CL85" i="13"/>
  <c r="CL71" i="13" s="1"/>
  <c r="BX126" i="13"/>
  <c r="C9" i="58"/>
  <c r="EZ19" i="14"/>
  <c r="EZ22" i="14" s="1"/>
  <c r="CJ70" i="13"/>
  <c r="CJ170" i="13" s="1"/>
  <c r="BX157" i="13"/>
  <c r="BX156" i="13" s="1"/>
  <c r="CH156" i="13"/>
  <c r="CB35" i="49"/>
  <c r="CB36" i="49" s="1"/>
  <c r="F35" i="22"/>
  <c r="H35" i="20"/>
  <c r="G22" i="20"/>
  <c r="G35" i="20" s="1"/>
  <c r="G49" i="20" s="1"/>
  <c r="H49" i="20" s="1"/>
  <c r="CC130" i="13"/>
  <c r="CH126" i="13"/>
  <c r="CI90" i="13"/>
  <c r="CI85" i="13" s="1"/>
  <c r="CI71" i="13" s="1"/>
  <c r="CC90" i="13"/>
  <c r="CC125" i="13"/>
  <c r="W20" i="122" l="1"/>
  <c r="U20" i="122" s="1"/>
  <c r="E20" i="122"/>
  <c r="CH71" i="13"/>
  <c r="C17" i="58"/>
  <c r="BX41" i="13"/>
  <c r="CG32" i="13"/>
  <c r="H35" i="22"/>
  <c r="H27" i="22" s="1"/>
  <c r="J27" i="22" s="1"/>
  <c r="F49" i="22"/>
  <c r="G49" i="22" s="1"/>
  <c r="CH69" i="52"/>
  <c r="CC41" i="13"/>
  <c r="CH41" i="13"/>
  <c r="CH90" i="13"/>
  <c r="CC85" i="13"/>
  <c r="BX32" i="13" l="1"/>
  <c r="EF63" i="13" s="1"/>
  <c r="EF58" i="13"/>
  <c r="H28" i="22"/>
  <c r="J28" i="22" s="1"/>
  <c r="H23" i="22"/>
  <c r="J23" i="22" s="1"/>
  <c r="H24" i="22"/>
  <c r="L23" i="22" s="1"/>
  <c r="L22" i="22" s="1"/>
  <c r="L24" i="22" s="1"/>
  <c r="H30" i="22"/>
  <c r="J30" i="22" s="1"/>
  <c r="H25" i="22"/>
  <c r="J25" i="22" s="1"/>
  <c r="H22" i="22"/>
  <c r="J22" i="22" s="1"/>
  <c r="H31" i="22"/>
  <c r="J31" i="22" s="1"/>
  <c r="CC35" i="13"/>
  <c r="CH66" i="78"/>
  <c r="CH68" i="78" s="1"/>
  <c r="I120" i="63"/>
  <c r="I121" i="63" s="1"/>
  <c r="BX35" i="13"/>
  <c r="EF35" i="13" s="1"/>
  <c r="H33" i="22"/>
  <c r="J33" i="22" s="1"/>
  <c r="H29" i="22"/>
  <c r="J29" i="22" s="1"/>
  <c r="CH71" i="52"/>
  <c r="CH83" i="52" s="1"/>
  <c r="H32" i="22"/>
  <c r="J32" i="22" s="1"/>
  <c r="H26" i="22"/>
  <c r="J26" i="22" s="1"/>
  <c r="CC32" i="13"/>
  <c r="D63" i="63"/>
  <c r="CH85" i="13"/>
  <c r="J24" i="22" l="1"/>
  <c r="L27" i="22" s="1"/>
  <c r="L26" i="22" s="1"/>
  <c r="L28" i="22" s="1"/>
  <c r="J120" i="63"/>
  <c r="J121" i="63" s="1"/>
  <c r="L80" i="63"/>
  <c r="L81" i="63" s="1"/>
  <c r="H34" i="22"/>
  <c r="CG119" i="13"/>
  <c r="EM29" i="14" s="1"/>
  <c r="EM33" i="14" s="1"/>
  <c r="CL119" i="13"/>
  <c r="D61" i="63"/>
  <c r="M80" i="63"/>
  <c r="M81" i="63" s="1"/>
  <c r="CL32" i="13"/>
  <c r="J34" i="22" l="1"/>
  <c r="CD66" i="78"/>
  <c r="CL116" i="13"/>
  <c r="EZ29" i="14"/>
  <c r="EZ33" i="14" s="1"/>
  <c r="CL70" i="13"/>
  <c r="CL170" i="13" s="1"/>
  <c r="CD69" i="52"/>
  <c r="CG116" i="13"/>
  <c r="CG70" i="13"/>
  <c r="CG170" i="13" s="1"/>
  <c r="N80" i="63"/>
  <c r="N81" i="63" s="1"/>
  <c r="CH32" i="13"/>
  <c r="BN66" i="78" l="1"/>
  <c r="BN68" i="78" s="1"/>
  <c r="CD68" i="78"/>
  <c r="CD98" i="78" s="1"/>
  <c r="CD99" i="78" s="1"/>
  <c r="CD71" i="52"/>
  <c r="CD83" i="52" s="1"/>
  <c r="BN69" i="52"/>
  <c r="BN71" i="52" s="1"/>
  <c r="BN83" i="52" s="1"/>
  <c r="CJ79" i="11"/>
  <c r="CD70" i="13" l="1"/>
  <c r="CD170" i="13" s="1"/>
  <c r="CC119" i="13"/>
  <c r="CC139" i="13"/>
  <c r="CI139" i="13"/>
  <c r="CC116" i="13" l="1"/>
  <c r="EM15" i="14" s="1"/>
  <c r="EM7" i="14" s="1"/>
  <c r="CH139" i="13"/>
  <c r="CH119" i="13" s="1"/>
  <c r="CH116" i="13" s="1"/>
  <c r="EZ15" i="14" s="1"/>
  <c r="EZ7" i="14" s="1"/>
  <c r="CI119" i="13"/>
  <c r="CI70" i="13" s="1"/>
  <c r="CC70" i="13"/>
  <c r="CC170" i="13" s="1"/>
  <c r="EM37" i="14" l="1"/>
  <c r="EM38" i="14" s="1"/>
  <c r="CI116" i="13"/>
  <c r="EZ16" i="14" s="1"/>
  <c r="EZ18" i="14" s="1"/>
  <c r="CI170" i="13" l="1"/>
  <c r="CH70" i="13"/>
  <c r="CH170" i="13" s="1"/>
  <c r="EZ37" i="14"/>
  <c r="EZ38" i="14" s="1"/>
  <c r="BN116" i="19" l="1"/>
  <c r="CG133" i="19" l="1"/>
  <c r="BM130" i="19"/>
  <c r="CC116" i="19"/>
  <c r="BY142" i="13" s="1"/>
  <c r="CC132" i="19" l="1"/>
  <c r="CC133" i="19"/>
  <c r="BX142" i="13"/>
  <c r="CC134" i="19" l="1"/>
  <c r="BP27" i="18" l="1"/>
  <c r="BP28" i="18" s="1"/>
  <c r="CD133" i="19"/>
  <c r="CI70" i="18" l="1"/>
  <c r="CI72" i="18" s="1"/>
  <c r="BX125" i="13"/>
  <c r="BN10" i="19" l="1"/>
  <c r="CC136" i="19" l="1"/>
  <c r="CC138" i="19" s="1"/>
  <c r="CF113" i="11"/>
  <c r="G31" i="82" l="1"/>
  <c r="F30" i="82"/>
  <c r="G30" i="82"/>
  <c r="G27" i="82"/>
  <c r="W31" i="82" l="1"/>
  <c r="E31" i="82"/>
  <c r="F32" i="82"/>
  <c r="V30" i="82"/>
  <c r="W30" i="82"/>
  <c r="E30" i="82"/>
  <c r="G32" i="82"/>
  <c r="E27" i="82"/>
  <c r="E32" i="82" l="1"/>
  <c r="E207" i="82" s="1"/>
  <c r="E211" i="82" s="1"/>
  <c r="F33" i="90"/>
  <c r="U172" i="90" s="1"/>
  <c r="U30" i="82"/>
  <c r="F212" i="82"/>
  <c r="U31" i="82"/>
  <c r="G27" i="90"/>
  <c r="U27" i="82"/>
  <c r="W30" i="90"/>
  <c r="E30" i="90"/>
  <c r="U30" i="90" l="1"/>
  <c r="G30" i="93"/>
  <c r="W30" i="93" s="1"/>
  <c r="G31" i="107" s="1"/>
  <c r="W31" i="107" s="1"/>
  <c r="G31" i="108" s="1"/>
  <c r="W27" i="90"/>
  <c r="E27" i="90"/>
  <c r="E29" i="90" s="1"/>
  <c r="V33" i="90"/>
  <c r="E33" i="90"/>
  <c r="V207" i="82"/>
  <c r="U32" i="82"/>
  <c r="U207" i="82" s="1"/>
  <c r="U211" i="82" s="1"/>
  <c r="W207" i="82"/>
  <c r="W31" i="90"/>
  <c r="E31" i="90"/>
  <c r="G221" i="90" l="1"/>
  <c r="W211" i="82"/>
  <c r="W31" i="108"/>
  <c r="G31" i="112" s="1"/>
  <c r="E31" i="108"/>
  <c r="U31" i="108" s="1"/>
  <c r="U27" i="90"/>
  <c r="G27" i="93"/>
  <c r="U33" i="90"/>
  <c r="F33" i="93"/>
  <c r="V33" i="93" s="1"/>
  <c r="F34" i="107" s="1"/>
  <c r="V34" i="107" s="1"/>
  <c r="F34" i="108" s="1"/>
  <c r="U31" i="90"/>
  <c r="G31" i="93"/>
  <c r="W31" i="93" s="1"/>
  <c r="G32" i="107" s="1"/>
  <c r="W32" i="107" s="1"/>
  <c r="G32" i="108" s="1"/>
  <c r="E30" i="93"/>
  <c r="U30" i="93" s="1"/>
  <c r="E31" i="107" s="1"/>
  <c r="U31" i="107" s="1"/>
  <c r="W221" i="90"/>
  <c r="G225" i="90"/>
  <c r="W32" i="90"/>
  <c r="E32" i="90"/>
  <c r="F221" i="90"/>
  <c r="V221" i="90" s="1"/>
  <c r="F231" i="93" s="1"/>
  <c r="V231" i="93" s="1"/>
  <c r="F238" i="107" s="1"/>
  <c r="V211" i="82"/>
  <c r="G211" i="90"/>
  <c r="W211" i="90" s="1"/>
  <c r="G215" i="90"/>
  <c r="V35" i="90"/>
  <c r="E35" i="90"/>
  <c r="V34" i="108" l="1"/>
  <c r="F34" i="112" s="1"/>
  <c r="E34" i="108"/>
  <c r="U34" i="108" s="1"/>
  <c r="W32" i="108"/>
  <c r="G32" i="112" s="1"/>
  <c r="E32" i="108"/>
  <c r="U32" i="108" s="1"/>
  <c r="W31" i="112"/>
  <c r="G31" i="113" s="1"/>
  <c r="E31" i="112"/>
  <c r="U31" i="112" s="1"/>
  <c r="V238" i="107"/>
  <c r="F242" i="107"/>
  <c r="V242" i="107" s="1"/>
  <c r="U35" i="90"/>
  <c r="F35" i="93"/>
  <c r="V35" i="93" s="1"/>
  <c r="F36" i="107" s="1"/>
  <c r="V36" i="107" s="1"/>
  <c r="F36" i="108" s="1"/>
  <c r="W225" i="90"/>
  <c r="G231" i="93"/>
  <c r="W231" i="93" s="1"/>
  <c r="E31" i="93"/>
  <c r="U31" i="93" s="1"/>
  <c r="E32" i="107" s="1"/>
  <c r="U32" i="107" s="1"/>
  <c r="E33" i="93"/>
  <c r="U33" i="93" s="1"/>
  <c r="E34" i="107" s="1"/>
  <c r="U34" i="107" s="1"/>
  <c r="U32" i="90"/>
  <c r="G32" i="93"/>
  <c r="W32" i="93" s="1"/>
  <c r="G33" i="107" s="1"/>
  <c r="W33" i="107" s="1"/>
  <c r="G33" i="108" s="1"/>
  <c r="F235" i="93"/>
  <c r="V235" i="93" s="1"/>
  <c r="W27" i="93"/>
  <c r="E27" i="93"/>
  <c r="E29" i="93" s="1"/>
  <c r="U29" i="93" s="1"/>
  <c r="E30" i="107" s="1"/>
  <c r="AE221" i="90"/>
  <c r="W215" i="90"/>
  <c r="G225" i="93" s="1"/>
  <c r="E215" i="90"/>
  <c r="E217" i="90" s="1"/>
  <c r="E218" i="90" s="1"/>
  <c r="E221" i="90" s="1"/>
  <c r="E225" i="90" s="1"/>
  <c r="F225" i="90"/>
  <c r="V225" i="90" s="1"/>
  <c r="W31" i="113" l="1"/>
  <c r="G35" i="117" s="1"/>
  <c r="E31" i="113"/>
  <c r="U31" i="113" s="1"/>
  <c r="W33" i="108"/>
  <c r="G33" i="112" s="1"/>
  <c r="E33" i="108"/>
  <c r="U33" i="108" s="1"/>
  <c r="F243" i="112"/>
  <c r="F241" i="108"/>
  <c r="V36" i="108"/>
  <c r="F36" i="112" s="1"/>
  <c r="E36" i="108"/>
  <c r="U36" i="108" s="1"/>
  <c r="W32" i="112"/>
  <c r="G32" i="113" s="1"/>
  <c r="E32" i="112"/>
  <c r="U32" i="112" s="1"/>
  <c r="V34" i="112"/>
  <c r="F34" i="113" s="1"/>
  <c r="E34" i="112"/>
  <c r="U34" i="112" s="1"/>
  <c r="G238" i="107"/>
  <c r="W238" i="107" s="1"/>
  <c r="U27" i="93"/>
  <c r="E27" i="107" s="1"/>
  <c r="G27" i="107"/>
  <c r="W27" i="107" s="1"/>
  <c r="U30" i="107"/>
  <c r="U215" i="90"/>
  <c r="U217" i="90" s="1"/>
  <c r="U218" i="90" s="1"/>
  <c r="W225" i="93"/>
  <c r="W235" i="93"/>
  <c r="G235" i="93"/>
  <c r="E32" i="93"/>
  <c r="U32" i="93" s="1"/>
  <c r="E33" i="107" s="1"/>
  <c r="U33" i="107" s="1"/>
  <c r="E35" i="93"/>
  <c r="U35" i="93" s="1"/>
  <c r="E36" i="107" s="1"/>
  <c r="U36" i="107" s="1"/>
  <c r="U116" i="90"/>
  <c r="U120" i="90" s="1"/>
  <c r="U143" i="90" s="1"/>
  <c r="W35" i="117" l="1"/>
  <c r="G36" i="121" s="1"/>
  <c r="E35" i="117"/>
  <c r="U35" i="117" s="1"/>
  <c r="V34" i="113"/>
  <c r="F40" i="117" s="1"/>
  <c r="E34" i="113"/>
  <c r="U34" i="113" s="1"/>
  <c r="W32" i="113"/>
  <c r="E32" i="113"/>
  <c r="U32" i="113" s="1"/>
  <c r="G242" i="107"/>
  <c r="W242" i="107"/>
  <c r="G241" i="108"/>
  <c r="E241" i="108" s="1"/>
  <c r="V36" i="112"/>
  <c r="F36" i="113" s="1"/>
  <c r="E36" i="112"/>
  <c r="U36" i="112" s="1"/>
  <c r="U243" i="112" s="1"/>
  <c r="U247" i="112" s="1"/>
  <c r="V241" i="108"/>
  <c r="F245" i="108"/>
  <c r="V245" i="108" s="1"/>
  <c r="V243" i="112"/>
  <c r="F248" i="113" s="1"/>
  <c r="F247" i="112"/>
  <c r="V247" i="112" s="1"/>
  <c r="U27" i="107"/>
  <c r="G27" i="108"/>
  <c r="AE238" i="107"/>
  <c r="W33" i="112"/>
  <c r="G33" i="113" s="1"/>
  <c r="E33" i="112"/>
  <c r="U33" i="112" s="1"/>
  <c r="G232" i="107"/>
  <c r="W232" i="107" s="1"/>
  <c r="G235" i="108" s="1"/>
  <c r="E235" i="108" s="1"/>
  <c r="W241" i="108"/>
  <c r="G243" i="112" s="1"/>
  <c r="E243" i="112" s="1"/>
  <c r="E247" i="112" s="1"/>
  <c r="G245" i="108"/>
  <c r="AE231" i="93"/>
  <c r="U221" i="90"/>
  <c r="U225" i="90" s="1"/>
  <c r="E225" i="93"/>
  <c r="E155" i="93"/>
  <c r="W36" i="121" l="1"/>
  <c r="G36" i="122" s="1"/>
  <c r="E36" i="121"/>
  <c r="U36" i="121" s="1"/>
  <c r="V40" i="117"/>
  <c r="F41" i="121" s="1"/>
  <c r="E40" i="117"/>
  <c r="U40" i="117" s="1"/>
  <c r="V248" i="113"/>
  <c r="F263" i="117" s="1"/>
  <c r="F252" i="113"/>
  <c r="V252" i="113" s="1"/>
  <c r="V36" i="113"/>
  <c r="F42" i="117" s="1"/>
  <c r="E36" i="113"/>
  <c r="U36" i="113" s="1"/>
  <c r="U248" i="113" s="1"/>
  <c r="U252" i="113" s="1"/>
  <c r="W33" i="113"/>
  <c r="G39" i="117" s="1"/>
  <c r="E33" i="113"/>
  <c r="U33" i="113" s="1"/>
  <c r="W235" i="108"/>
  <c r="G237" i="112" s="1"/>
  <c r="E27" i="108"/>
  <c r="W27" i="108"/>
  <c r="W243" i="112"/>
  <c r="G248" i="113" s="1"/>
  <c r="G247" i="112"/>
  <c r="W245" i="108"/>
  <c r="AE241" i="108"/>
  <c r="E166" i="93"/>
  <c r="U166" i="93" s="1"/>
  <c r="E172" i="107" s="1"/>
  <c r="U172" i="107" s="1"/>
  <c r="U155" i="93"/>
  <c r="E161" i="107" s="1"/>
  <c r="U161" i="107" s="1"/>
  <c r="E227" i="93"/>
  <c r="U225" i="93"/>
  <c r="W36" i="122" l="1"/>
  <c r="E36" i="122"/>
  <c r="U36" i="122" s="1"/>
  <c r="V41" i="121"/>
  <c r="F41" i="122" s="1"/>
  <c r="E41" i="121"/>
  <c r="U41" i="121" s="1"/>
  <c r="W39" i="117"/>
  <c r="G40" i="121" s="1"/>
  <c r="E39" i="117"/>
  <c r="U39" i="117" s="1"/>
  <c r="V263" i="117"/>
  <c r="F267" i="121" s="1"/>
  <c r="F267" i="117"/>
  <c r="V267" i="117" s="1"/>
  <c r="V42" i="117"/>
  <c r="F43" i="121" s="1"/>
  <c r="E42" i="117"/>
  <c r="U42" i="117" s="1"/>
  <c r="U263" i="117" s="1"/>
  <c r="U267" i="117" s="1"/>
  <c r="E248" i="113"/>
  <c r="E252" i="113" s="1"/>
  <c r="G252" i="113"/>
  <c r="W248" i="113"/>
  <c r="G263" i="117" s="1"/>
  <c r="E174" i="93"/>
  <c r="U174" i="93" s="1"/>
  <c r="E181" i="107" s="1"/>
  <c r="U181" i="107" s="1"/>
  <c r="W247" i="112"/>
  <c r="G27" i="112"/>
  <c r="U27" i="108"/>
  <c r="AE243" i="112"/>
  <c r="W237" i="112"/>
  <c r="G242" i="113" s="1"/>
  <c r="W242" i="113" s="1"/>
  <c r="G257" i="117" s="1"/>
  <c r="E237" i="112"/>
  <c r="U237" i="112" s="1"/>
  <c r="E232" i="107"/>
  <c r="U232" i="107" s="1"/>
  <c r="U235" i="108"/>
  <c r="E228" i="93"/>
  <c r="U228" i="93" s="1"/>
  <c r="U238" i="108" s="1"/>
  <c r="U241" i="108" s="1"/>
  <c r="U245" i="108" s="1"/>
  <c r="U227" i="93"/>
  <c r="V41" i="122" l="1"/>
  <c r="E41" i="122"/>
  <c r="U41" i="122" s="1"/>
  <c r="V43" i="121"/>
  <c r="F43" i="122" s="1"/>
  <c r="E43" i="121"/>
  <c r="U43" i="121" s="1"/>
  <c r="U267" i="121" s="1"/>
  <c r="U271" i="121" s="1"/>
  <c r="W40" i="121"/>
  <c r="G40" i="122" s="1"/>
  <c r="E40" i="121"/>
  <c r="U40" i="121" s="1"/>
  <c r="V267" i="121"/>
  <c r="F267" i="122" s="1"/>
  <c r="F271" i="121"/>
  <c r="V271" i="121" s="1"/>
  <c r="W257" i="117"/>
  <c r="G261" i="121" s="1"/>
  <c r="E257" i="117"/>
  <c r="U257" i="117" s="1"/>
  <c r="W263" i="117"/>
  <c r="G267" i="121" s="1"/>
  <c r="E263" i="117"/>
  <c r="E267" i="117" s="1"/>
  <c r="G267" i="117"/>
  <c r="W252" i="113"/>
  <c r="AE248" i="113"/>
  <c r="E242" i="113"/>
  <c r="U242" i="113" s="1"/>
  <c r="E27" i="112"/>
  <c r="W27" i="112"/>
  <c r="G27" i="113" s="1"/>
  <c r="E234" i="107"/>
  <c r="U234" i="107" s="1"/>
  <c r="U237" i="108"/>
  <c r="U231" i="93"/>
  <c r="E245" i="108" s="1"/>
  <c r="E235" i="107"/>
  <c r="U235" i="107" s="1"/>
  <c r="U238" i="107" s="1"/>
  <c r="U242" i="107" s="1"/>
  <c r="E231" i="93"/>
  <c r="E235" i="93" s="1"/>
  <c r="X23" i="101"/>
  <c r="V267" i="122" l="1"/>
  <c r="F271" i="122"/>
  <c r="V271" i="122" s="1"/>
  <c r="V43" i="122"/>
  <c r="E43" i="122"/>
  <c r="U43" i="122" s="1"/>
  <c r="U267" i="122" s="1"/>
  <c r="W40" i="122"/>
  <c r="E40" i="122"/>
  <c r="U40" i="122" s="1"/>
  <c r="W261" i="121"/>
  <c r="G261" i="122" s="1"/>
  <c r="E261" i="121"/>
  <c r="U261" i="121" s="1"/>
  <c r="W267" i="121"/>
  <c r="E267" i="121"/>
  <c r="E271" i="121" s="1"/>
  <c r="G271" i="121"/>
  <c r="W267" i="117"/>
  <c r="AE263" i="117"/>
  <c r="W27" i="113"/>
  <c r="G31" i="117" s="1"/>
  <c r="E27" i="113"/>
  <c r="U27" i="112"/>
  <c r="U235" i="93"/>
  <c r="E238" i="107"/>
  <c r="E242" i="107" s="1"/>
  <c r="AC23" i="101"/>
  <c r="X24" i="101"/>
  <c r="AC24" i="101" s="1"/>
  <c r="W261" i="122" l="1"/>
  <c r="E261" i="122"/>
  <c r="U261" i="122" s="1"/>
  <c r="W271" i="121"/>
  <c r="G267" i="122"/>
  <c r="AE267" i="121"/>
  <c r="W31" i="117"/>
  <c r="G31" i="121" s="1"/>
  <c r="E31" i="117"/>
  <c r="U27" i="113"/>
  <c r="X26" i="101"/>
  <c r="X29" i="101" s="1"/>
  <c r="CD110" i="11"/>
  <c r="CD111" i="11" s="1"/>
  <c r="CF112" i="11"/>
  <c r="CF116" i="11" s="1"/>
  <c r="EF137" i="13"/>
  <c r="W267" i="122" l="1"/>
  <c r="E267" i="122"/>
  <c r="G271" i="122"/>
  <c r="W31" i="121"/>
  <c r="E31" i="121"/>
  <c r="U31" i="117"/>
  <c r="BY119" i="13"/>
  <c r="BX119" i="13" s="1"/>
  <c r="BX129" i="13"/>
  <c r="U31" i="121" l="1"/>
  <c r="G31" i="122"/>
  <c r="W271" i="122"/>
  <c r="AE267" i="122"/>
  <c r="BY70" i="13"/>
  <c r="BY116" i="13"/>
  <c r="W31" i="122" l="1"/>
  <c r="U31" i="122" s="1"/>
  <c r="E31" i="122"/>
  <c r="BY170" i="13"/>
  <c r="DZ16" i="14"/>
  <c r="DZ18" i="14" s="1"/>
  <c r="M142" i="107" l="1"/>
  <c r="U142" i="107" s="1"/>
  <c r="AA144" i="107"/>
  <c r="K146" i="108" s="1"/>
  <c r="U144" i="107"/>
  <c r="M143" i="107"/>
  <c r="U143" i="107" s="1"/>
  <c r="AA122" i="107"/>
  <c r="K123" i="108" s="1"/>
  <c r="AA130" i="107"/>
  <c r="K131" i="108" s="1"/>
  <c r="AA140" i="107"/>
  <c r="K141" i="108" s="1"/>
  <c r="M140" i="107"/>
  <c r="U140" i="107" s="1"/>
  <c r="AA125" i="107"/>
  <c r="K126" i="108" s="1"/>
  <c r="M125" i="107"/>
  <c r="U125" i="107" s="1"/>
  <c r="AA131" i="107"/>
  <c r="K132" i="108" s="1"/>
  <c r="M131" i="107"/>
  <c r="U131" i="107" s="1"/>
  <c r="AA133" i="107"/>
  <c r="K134" i="108" s="1"/>
  <c r="M133" i="107"/>
  <c r="U133" i="107" s="1"/>
  <c r="AA139" i="107"/>
  <c r="K140" i="108" s="1"/>
  <c r="AA123" i="107"/>
  <c r="K124" i="108" s="1"/>
  <c r="M123" i="107"/>
  <c r="U123" i="107" s="1"/>
  <c r="M141" i="107"/>
  <c r="U141" i="107" s="1"/>
  <c r="AA141" i="107"/>
  <c r="K142" i="108" s="1"/>
  <c r="M130" i="107"/>
  <c r="U130" i="107" s="1"/>
  <c r="AA129" i="107"/>
  <c r="K130" i="108" s="1"/>
  <c r="M129" i="107"/>
  <c r="U129" i="107" s="1"/>
  <c r="AA126" i="107"/>
  <c r="K127" i="108" s="1"/>
  <c r="M139" i="107"/>
  <c r="U139" i="107" s="1"/>
  <c r="AA134" i="107"/>
  <c r="K135" i="108" s="1"/>
  <c r="M135" i="107"/>
  <c r="U135" i="107" s="1"/>
  <c r="AA135" i="107"/>
  <c r="K136" i="108" s="1"/>
  <c r="AA127" i="107"/>
  <c r="K128" i="108" s="1"/>
  <c r="AA128" i="107"/>
  <c r="K129" i="108" s="1"/>
  <c r="M128" i="107"/>
  <c r="U128" i="107" s="1"/>
  <c r="M134" i="107"/>
  <c r="U134" i="107" s="1"/>
  <c r="AA136" i="107"/>
  <c r="K137" i="108" s="1"/>
  <c r="M127" i="107"/>
  <c r="U127" i="107" s="1"/>
  <c r="M126" i="107"/>
  <c r="U126" i="107" s="1"/>
  <c r="M136" i="107"/>
  <c r="U136" i="107" s="1"/>
  <c r="AA124" i="107"/>
  <c r="K125" i="108" s="1"/>
  <c r="M124" i="107"/>
  <c r="U124" i="107" s="1"/>
  <c r="AA137" i="107"/>
  <c r="K138" i="108" s="1"/>
  <c r="M137" i="107"/>
  <c r="U137" i="107" s="1"/>
  <c r="AA132" i="107"/>
  <c r="K133" i="108" s="1"/>
  <c r="M132" i="107"/>
  <c r="U132" i="107" s="1"/>
  <c r="M122" i="107"/>
  <c r="U122" i="107" s="1"/>
  <c r="AA138" i="107"/>
  <c r="K139" i="108" s="1"/>
  <c r="M138" i="107"/>
  <c r="U138" i="107" s="1"/>
  <c r="AA138" i="108" l="1"/>
  <c r="K138" i="112" s="1"/>
  <c r="E138" i="108"/>
  <c r="U138" i="108" s="1"/>
  <c r="AA123" i="108"/>
  <c r="K123" i="112" s="1"/>
  <c r="E123" i="108"/>
  <c r="U123" i="108" s="1"/>
  <c r="AA141" i="108"/>
  <c r="K141" i="112" s="1"/>
  <c r="E141" i="108"/>
  <c r="U141" i="108" s="1"/>
  <c r="AA131" i="108"/>
  <c r="K131" i="112" s="1"/>
  <c r="E131" i="108"/>
  <c r="U131" i="108" s="1"/>
  <c r="AA130" i="108"/>
  <c r="K130" i="112" s="1"/>
  <c r="E130" i="108"/>
  <c r="U130" i="108" s="1"/>
  <c r="AA134" i="108"/>
  <c r="K134" i="112" s="1"/>
  <c r="E134" i="108"/>
  <c r="U134" i="108" s="1"/>
  <c r="AA125" i="108"/>
  <c r="K125" i="112" s="1"/>
  <c r="E125" i="108"/>
  <c r="U125" i="108" s="1"/>
  <c r="AA128" i="108"/>
  <c r="K128" i="112" s="1"/>
  <c r="E128" i="108"/>
  <c r="U128" i="108" s="1"/>
  <c r="AA139" i="108"/>
  <c r="K139" i="112" s="1"/>
  <c r="E139" i="108"/>
  <c r="U139" i="108" s="1"/>
  <c r="AA136" i="108"/>
  <c r="K136" i="112" s="1"/>
  <c r="E136" i="108"/>
  <c r="U136" i="108" s="1"/>
  <c r="AA142" i="108"/>
  <c r="K142" i="112" s="1"/>
  <c r="E142" i="108"/>
  <c r="U142" i="108" s="1"/>
  <c r="AA132" i="108"/>
  <c r="K132" i="112" s="1"/>
  <c r="E132" i="108"/>
  <c r="U132" i="108" s="1"/>
  <c r="AA129" i="108"/>
  <c r="K129" i="112" s="1"/>
  <c r="E129" i="108"/>
  <c r="U129" i="108" s="1"/>
  <c r="AA146" i="108"/>
  <c r="K148" i="112" s="1"/>
  <c r="E146" i="108"/>
  <c r="U146" i="108" s="1"/>
  <c r="AA135" i="108"/>
  <c r="K135" i="112" s="1"/>
  <c r="E135" i="108"/>
  <c r="U135" i="108" s="1"/>
  <c r="AA126" i="108"/>
  <c r="K126" i="112" s="1"/>
  <c r="E126" i="108"/>
  <c r="U126" i="108" s="1"/>
  <c r="AA133" i="108"/>
  <c r="K133" i="112" s="1"/>
  <c r="E133" i="108"/>
  <c r="U133" i="108" s="1"/>
  <c r="AA137" i="108"/>
  <c r="K137" i="112" s="1"/>
  <c r="E137" i="108"/>
  <c r="U137" i="108" s="1"/>
  <c r="AA124" i="108"/>
  <c r="K124" i="112" s="1"/>
  <c r="E124" i="108"/>
  <c r="U124" i="108" s="1"/>
  <c r="AA127" i="108"/>
  <c r="K127" i="112" s="1"/>
  <c r="E127" i="108"/>
  <c r="U127" i="108" s="1"/>
  <c r="AA140" i="108"/>
  <c r="K140" i="112" s="1"/>
  <c r="E140" i="108"/>
  <c r="U140" i="108" s="1"/>
  <c r="AA123" i="112" l="1"/>
  <c r="K125" i="113" s="1"/>
  <c r="E123" i="112"/>
  <c r="U123" i="112" s="1"/>
  <c r="AA141" i="112"/>
  <c r="K143" i="113" s="1"/>
  <c r="E141" i="112"/>
  <c r="U141" i="112" s="1"/>
  <c r="AA138" i="112"/>
  <c r="K140" i="113" s="1"/>
  <c r="E138" i="112"/>
  <c r="U138" i="112" s="1"/>
  <c r="AA142" i="112"/>
  <c r="K144" i="113" s="1"/>
  <c r="E142" i="112"/>
  <c r="U142" i="112" s="1"/>
  <c r="AA124" i="112"/>
  <c r="K126" i="113" s="1"/>
  <c r="E124" i="112"/>
  <c r="U124" i="112" s="1"/>
  <c r="AA137" i="112"/>
  <c r="K139" i="113" s="1"/>
  <c r="E137" i="112"/>
  <c r="U137" i="112" s="1"/>
  <c r="AA148" i="112"/>
  <c r="K152" i="113" s="1"/>
  <c r="E148" i="112"/>
  <c r="U148" i="112" s="1"/>
  <c r="AA136" i="112"/>
  <c r="K138" i="113" s="1"/>
  <c r="E136" i="112"/>
  <c r="U136" i="112" s="1"/>
  <c r="AA134" i="112"/>
  <c r="K136" i="113" s="1"/>
  <c r="E134" i="112"/>
  <c r="U134" i="112" s="1"/>
  <c r="AA135" i="112"/>
  <c r="K137" i="113" s="1"/>
  <c r="E135" i="112"/>
  <c r="U135" i="112" s="1"/>
  <c r="AA133" i="112"/>
  <c r="K135" i="113" s="1"/>
  <c r="E133" i="112"/>
  <c r="U133" i="112" s="1"/>
  <c r="AA130" i="112"/>
  <c r="K132" i="113" s="1"/>
  <c r="E130" i="112"/>
  <c r="U130" i="112" s="1"/>
  <c r="AA125" i="112"/>
  <c r="K127" i="113" s="1"/>
  <c r="E125" i="112"/>
  <c r="U125" i="112" s="1"/>
  <c r="AA140" i="112"/>
  <c r="K142" i="113" s="1"/>
  <c r="E140" i="112"/>
  <c r="U140" i="112" s="1"/>
  <c r="AA129" i="112"/>
  <c r="K131" i="113" s="1"/>
  <c r="E129" i="112"/>
  <c r="U129" i="112" s="1"/>
  <c r="AA139" i="112"/>
  <c r="K141" i="113" s="1"/>
  <c r="E139" i="112"/>
  <c r="U139" i="112" s="1"/>
  <c r="AA127" i="112"/>
  <c r="K129" i="113" s="1"/>
  <c r="E127" i="112"/>
  <c r="U127" i="112" s="1"/>
  <c r="AA126" i="112"/>
  <c r="K128" i="113" s="1"/>
  <c r="E126" i="112"/>
  <c r="U126" i="112" s="1"/>
  <c r="AA132" i="112"/>
  <c r="K134" i="113" s="1"/>
  <c r="E132" i="112"/>
  <c r="U132" i="112" s="1"/>
  <c r="AA128" i="112"/>
  <c r="K130" i="113" s="1"/>
  <c r="E128" i="112"/>
  <c r="U128" i="112" s="1"/>
  <c r="AA131" i="112"/>
  <c r="K133" i="113" s="1"/>
  <c r="E131" i="112"/>
  <c r="U131" i="112" s="1"/>
  <c r="AA143" i="113" l="1"/>
  <c r="K154" i="117" s="1"/>
  <c r="E143" i="113"/>
  <c r="U143" i="113" s="1"/>
  <c r="AA140" i="113"/>
  <c r="K151" i="117" s="1"/>
  <c r="E140" i="113"/>
  <c r="U140" i="113" s="1"/>
  <c r="AA125" i="113"/>
  <c r="K136" i="117" s="1"/>
  <c r="E125" i="113"/>
  <c r="U125" i="113" s="1"/>
  <c r="AA133" i="113"/>
  <c r="K144" i="117" s="1"/>
  <c r="E133" i="113"/>
  <c r="U133" i="113" s="1"/>
  <c r="AA134" i="113"/>
  <c r="K145" i="117" s="1"/>
  <c r="E134" i="113"/>
  <c r="U134" i="113" s="1"/>
  <c r="AA129" i="113"/>
  <c r="K140" i="117" s="1"/>
  <c r="E129" i="113"/>
  <c r="U129" i="113" s="1"/>
  <c r="AA131" i="113"/>
  <c r="K142" i="117" s="1"/>
  <c r="E131" i="113"/>
  <c r="U131" i="113" s="1"/>
  <c r="AA127" i="113"/>
  <c r="K138" i="117" s="1"/>
  <c r="E127" i="113"/>
  <c r="U127" i="113" s="1"/>
  <c r="AA135" i="113"/>
  <c r="K146" i="117" s="1"/>
  <c r="E135" i="113"/>
  <c r="U135" i="113" s="1"/>
  <c r="AA136" i="113"/>
  <c r="K147" i="117" s="1"/>
  <c r="E136" i="113"/>
  <c r="U136" i="113" s="1"/>
  <c r="AA152" i="113"/>
  <c r="K163" i="117" s="1"/>
  <c r="E152" i="113"/>
  <c r="U152" i="113" s="1"/>
  <c r="AA126" i="113"/>
  <c r="K137" i="117" s="1"/>
  <c r="E126" i="113"/>
  <c r="U126" i="113" s="1"/>
  <c r="AA130" i="113"/>
  <c r="K141" i="117" s="1"/>
  <c r="E130" i="113"/>
  <c r="U130" i="113" s="1"/>
  <c r="AA128" i="113"/>
  <c r="K139" i="117" s="1"/>
  <c r="E128" i="113"/>
  <c r="U128" i="113" s="1"/>
  <c r="AA141" i="113"/>
  <c r="K152" i="117" s="1"/>
  <c r="E141" i="113"/>
  <c r="U141" i="113" s="1"/>
  <c r="AA142" i="113"/>
  <c r="K153" i="117" s="1"/>
  <c r="E142" i="113"/>
  <c r="U142" i="113" s="1"/>
  <c r="AA132" i="113"/>
  <c r="K143" i="117" s="1"/>
  <c r="E132" i="113"/>
  <c r="U132" i="113" s="1"/>
  <c r="AA137" i="113"/>
  <c r="K148" i="117" s="1"/>
  <c r="E137" i="113"/>
  <c r="U137" i="113" s="1"/>
  <c r="AA138" i="113"/>
  <c r="K149" i="117" s="1"/>
  <c r="E138" i="113"/>
  <c r="U138" i="113" s="1"/>
  <c r="AA139" i="113"/>
  <c r="K150" i="117" s="1"/>
  <c r="E139" i="113"/>
  <c r="U139" i="113" s="1"/>
  <c r="AA144" i="113"/>
  <c r="K155" i="117" s="1"/>
  <c r="E144" i="113"/>
  <c r="U144" i="113" s="1"/>
  <c r="CD64" i="10"/>
  <c r="CD66" i="10" s="1"/>
  <c r="BP44" i="10"/>
  <c r="CI63" i="10" s="1"/>
  <c r="CI65" i="10" s="1"/>
  <c r="CD97" i="52"/>
  <c r="CD99" i="52" s="1"/>
  <c r="CD61" i="10"/>
  <c r="AA150" i="117" l="1"/>
  <c r="K148" i="121" s="1"/>
  <c r="E150" i="117"/>
  <c r="U150" i="117" s="1"/>
  <c r="AA148" i="117"/>
  <c r="K146" i="121" s="1"/>
  <c r="E148" i="117"/>
  <c r="U148" i="117" s="1"/>
  <c r="AA153" i="117"/>
  <c r="K151" i="121" s="1"/>
  <c r="E153" i="117"/>
  <c r="U153" i="117" s="1"/>
  <c r="AA139" i="117"/>
  <c r="K137" i="121" s="1"/>
  <c r="E139" i="117"/>
  <c r="U139" i="117" s="1"/>
  <c r="E137" i="117"/>
  <c r="U137" i="117" s="1"/>
  <c r="AA137" i="117"/>
  <c r="K135" i="121" s="1"/>
  <c r="AA147" i="117"/>
  <c r="K145" i="121" s="1"/>
  <c r="E147" i="117"/>
  <c r="U147" i="117" s="1"/>
  <c r="AA138" i="117"/>
  <c r="K136" i="121" s="1"/>
  <c r="E138" i="117"/>
  <c r="U138" i="117" s="1"/>
  <c r="AA140" i="117"/>
  <c r="K138" i="121" s="1"/>
  <c r="E140" i="117"/>
  <c r="U140" i="117" s="1"/>
  <c r="AA144" i="117"/>
  <c r="K142" i="121" s="1"/>
  <c r="E144" i="117"/>
  <c r="U144" i="117" s="1"/>
  <c r="E151" i="117"/>
  <c r="U151" i="117" s="1"/>
  <c r="AA151" i="117"/>
  <c r="K149" i="121" s="1"/>
  <c r="E155" i="117"/>
  <c r="U155" i="117" s="1"/>
  <c r="AA155" i="117"/>
  <c r="K153" i="121" s="1"/>
  <c r="AA149" i="117"/>
  <c r="K147" i="121" s="1"/>
  <c r="E149" i="117"/>
  <c r="U149" i="117" s="1"/>
  <c r="AA143" i="117"/>
  <c r="K141" i="121" s="1"/>
  <c r="E143" i="117"/>
  <c r="U143" i="117" s="1"/>
  <c r="AA152" i="117"/>
  <c r="K150" i="121" s="1"/>
  <c r="E152" i="117"/>
  <c r="U152" i="117" s="1"/>
  <c r="E141" i="117"/>
  <c r="U141" i="117" s="1"/>
  <c r="AA141" i="117"/>
  <c r="K139" i="121" s="1"/>
  <c r="AA163" i="117"/>
  <c r="K161" i="121" s="1"/>
  <c r="E163" i="117"/>
  <c r="U163" i="117" s="1"/>
  <c r="AA146" i="117"/>
  <c r="K144" i="121" s="1"/>
  <c r="E146" i="117"/>
  <c r="U146" i="117" s="1"/>
  <c r="AA142" i="117"/>
  <c r="K140" i="121" s="1"/>
  <c r="E142" i="117"/>
  <c r="U142" i="117" s="1"/>
  <c r="E145" i="117"/>
  <c r="U145" i="117" s="1"/>
  <c r="AA145" i="117"/>
  <c r="K143" i="121" s="1"/>
  <c r="AA136" i="117"/>
  <c r="K134" i="121" s="1"/>
  <c r="E136" i="117"/>
  <c r="U136" i="117" s="1"/>
  <c r="AA154" i="117"/>
  <c r="K152" i="121" s="1"/>
  <c r="E154" i="117"/>
  <c r="U154" i="117" s="1"/>
  <c r="AA149" i="121" l="1"/>
  <c r="K149" i="122" s="1"/>
  <c r="E149" i="121"/>
  <c r="U149" i="121" s="1"/>
  <c r="AA134" i="121"/>
  <c r="K134" i="122" s="1"/>
  <c r="E134" i="121"/>
  <c r="U134" i="121" s="1"/>
  <c r="AA152" i="121"/>
  <c r="K152" i="122" s="1"/>
  <c r="E152" i="121"/>
  <c r="U152" i="121" s="1"/>
  <c r="AA161" i="121"/>
  <c r="K161" i="122" s="1"/>
  <c r="E161" i="121"/>
  <c r="U161" i="121" s="1"/>
  <c r="AA147" i="121"/>
  <c r="K147" i="122" s="1"/>
  <c r="E147" i="121"/>
  <c r="U147" i="121" s="1"/>
  <c r="AA146" i="121"/>
  <c r="K146" i="122" s="1"/>
  <c r="E146" i="121"/>
  <c r="U146" i="121" s="1"/>
  <c r="AA145" i="121"/>
  <c r="K145" i="122" s="1"/>
  <c r="E145" i="121"/>
  <c r="U145" i="121" s="1"/>
  <c r="AA139" i="121"/>
  <c r="K139" i="122" s="1"/>
  <c r="E139" i="121"/>
  <c r="U139" i="121" s="1"/>
  <c r="AA153" i="121"/>
  <c r="K153" i="122" s="1"/>
  <c r="E153" i="121"/>
  <c r="U153" i="121" s="1"/>
  <c r="AA135" i="121"/>
  <c r="K135" i="122" s="1"/>
  <c r="E135" i="121"/>
  <c r="U135" i="121" s="1"/>
  <c r="AA140" i="121"/>
  <c r="K140" i="122" s="1"/>
  <c r="E140" i="121"/>
  <c r="U140" i="121" s="1"/>
  <c r="AA150" i="121"/>
  <c r="K150" i="122" s="1"/>
  <c r="E150" i="121"/>
  <c r="U150" i="121" s="1"/>
  <c r="AA138" i="121"/>
  <c r="K138" i="122" s="1"/>
  <c r="E138" i="121"/>
  <c r="U138" i="121" s="1"/>
  <c r="AA137" i="121"/>
  <c r="K137" i="122" s="1"/>
  <c r="E137" i="121"/>
  <c r="U137" i="121" s="1"/>
  <c r="AA143" i="121"/>
  <c r="K143" i="122" s="1"/>
  <c r="E143" i="121"/>
  <c r="U143" i="121" s="1"/>
  <c r="AA144" i="121"/>
  <c r="K144" i="122" s="1"/>
  <c r="E144" i="121"/>
  <c r="U144" i="121" s="1"/>
  <c r="AA141" i="121"/>
  <c r="K141" i="122" s="1"/>
  <c r="E141" i="121"/>
  <c r="U141" i="121" s="1"/>
  <c r="AA142" i="121"/>
  <c r="K142" i="122" s="1"/>
  <c r="E142" i="121"/>
  <c r="U142" i="121" s="1"/>
  <c r="AA136" i="121"/>
  <c r="K136" i="122" s="1"/>
  <c r="E136" i="121"/>
  <c r="U136" i="121" s="1"/>
  <c r="AA151" i="121"/>
  <c r="K151" i="122" s="1"/>
  <c r="E151" i="121"/>
  <c r="U151" i="121" s="1"/>
  <c r="AA148" i="121"/>
  <c r="K148" i="122" s="1"/>
  <c r="E148" i="121"/>
  <c r="U148" i="121" s="1"/>
  <c r="BN80" i="11"/>
  <c r="AA151" i="122" l="1"/>
  <c r="E151" i="122"/>
  <c r="U151" i="122" s="1"/>
  <c r="AA137" i="122"/>
  <c r="E137" i="122"/>
  <c r="U137" i="122" s="1"/>
  <c r="AA150" i="122"/>
  <c r="E150" i="122"/>
  <c r="U150" i="122" s="1"/>
  <c r="AA135" i="122"/>
  <c r="E135" i="122"/>
  <c r="U135" i="122" s="1"/>
  <c r="AA139" i="122"/>
  <c r="E139" i="122"/>
  <c r="U139" i="122" s="1"/>
  <c r="AA146" i="122"/>
  <c r="E146" i="122"/>
  <c r="U146" i="122" s="1"/>
  <c r="AA161" i="122"/>
  <c r="E161" i="122"/>
  <c r="U161" i="122" s="1"/>
  <c r="AA134" i="122"/>
  <c r="E134" i="122"/>
  <c r="U134" i="122" s="1"/>
  <c r="AA144" i="122"/>
  <c r="E144" i="122"/>
  <c r="U144" i="122" s="1"/>
  <c r="AA142" i="122"/>
  <c r="E142" i="122"/>
  <c r="U142" i="122" s="1"/>
  <c r="AA148" i="122"/>
  <c r="E148" i="122"/>
  <c r="U148" i="122" s="1"/>
  <c r="AA136" i="122"/>
  <c r="E136" i="122"/>
  <c r="U136" i="122" s="1"/>
  <c r="AA141" i="122"/>
  <c r="E141" i="122"/>
  <c r="U141" i="122" s="1"/>
  <c r="AA143" i="122"/>
  <c r="E143" i="122"/>
  <c r="U143" i="122" s="1"/>
  <c r="AA138" i="122"/>
  <c r="E138" i="122"/>
  <c r="U138" i="122" s="1"/>
  <c r="AA140" i="122"/>
  <c r="E140" i="122"/>
  <c r="U140" i="122" s="1"/>
  <c r="AA153" i="122"/>
  <c r="E153" i="122"/>
  <c r="U153" i="122" s="1"/>
  <c r="AA145" i="122"/>
  <c r="E145" i="122"/>
  <c r="U145" i="122" s="1"/>
  <c r="AA147" i="122"/>
  <c r="E147" i="122"/>
  <c r="U147" i="122" s="1"/>
  <c r="AA152" i="122"/>
  <c r="E152" i="122"/>
  <c r="U152" i="122" s="1"/>
  <c r="AA149" i="122"/>
  <c r="E149" i="122"/>
  <c r="U149" i="122" s="1"/>
  <c r="BX139" i="13"/>
  <c r="CB119" i="13"/>
  <c r="BN79" i="11"/>
  <c r="BN81" i="11" s="1"/>
  <c r="CJ80" i="11"/>
  <c r="CJ100" i="11" l="1"/>
  <c r="CC102" i="11"/>
  <c r="CB116" i="13"/>
  <c r="CB70" i="13"/>
  <c r="DZ29" i="14"/>
  <c r="DZ33" i="14" s="1"/>
  <c r="BX70" i="13" l="1"/>
  <c r="BX170" i="13" s="1"/>
  <c r="CB170" i="13"/>
  <c r="EF71" i="13"/>
  <c r="BX116" i="13"/>
  <c r="EF70" i="13" l="1"/>
  <c r="DZ15" i="14"/>
  <c r="DZ7" i="14" l="1"/>
  <c r="DZ37" i="14"/>
  <c r="DZ38" i="14" s="1"/>
  <c r="E11" i="122" l="1"/>
  <c r="E271" i="122" s="1"/>
  <c r="L271" i="122"/>
  <c r="AB271" i="122" s="1"/>
  <c r="AB11" i="122"/>
  <c r="U11" i="122" s="1"/>
  <c r="U271" i="122" s="1"/>
  <c r="BN43" i="25"/>
  <c r="CD43" i="25"/>
  <c r="BN81" i="25"/>
  <c r="CD81" i="25"/>
  <c r="BN36" i="25"/>
  <c r="CD36" i="25"/>
  <c r="CD69" i="25"/>
  <c r="BN69" i="25"/>
  <c r="BN67" i="25"/>
  <c r="CD67" i="25"/>
  <c r="CD42" i="25"/>
  <c r="BN42" i="25"/>
  <c r="CD74" i="25"/>
  <c r="BN74" i="25"/>
  <c r="BN68" i="25"/>
  <c r="CD68" i="25"/>
  <c r="CD32" i="25"/>
  <c r="BN32" i="25"/>
  <c r="CD85" i="25"/>
  <c r="BN85" i="25"/>
  <c r="CD62" i="25"/>
  <c r="BN62" i="25"/>
  <c r="CD35" i="25"/>
  <c r="BN35" i="25"/>
  <c r="BN78" i="25"/>
  <c r="CD78" i="25"/>
  <c r="CD72" i="25"/>
  <c r="BN72" i="25"/>
  <c r="CD75" i="25"/>
  <c r="BN75" i="25"/>
  <c r="BN37" i="25"/>
  <c r="CD37" i="25"/>
  <c r="BN66" i="25"/>
  <c r="CD66" i="25"/>
  <c r="BN34" i="25"/>
  <c r="CD34" i="25"/>
  <c r="BN33" i="25"/>
  <c r="CD33" i="25"/>
  <c r="CD73" i="25"/>
  <c r="BN73" i="25"/>
  <c r="BN86" i="25"/>
  <c r="CD86" i="25"/>
  <c r="CD84" i="25"/>
  <c r="BN84" i="25"/>
  <c r="BN88" i="25"/>
  <c r="CD88" i="25"/>
  <c r="CD80" i="25"/>
  <c r="BN80" i="25"/>
  <c r="BN89" i="25"/>
  <c r="CD89" i="25"/>
  <c r="BN39" i="25"/>
  <c r="CD39" i="25"/>
  <c r="BN83" i="25"/>
  <c r="CD83" i="25"/>
  <c r="BN64" i="25"/>
  <c r="CD64" i="25"/>
  <c r="BN63" i="25"/>
  <c r="CD63" i="25"/>
  <c r="BN70" i="25"/>
  <c r="CD70" i="25"/>
  <c r="CD38" i="25"/>
  <c r="BN38" i="25"/>
  <c r="CD41" i="25"/>
  <c r="BN41" i="25"/>
  <c r="CD71" i="25"/>
  <c r="BN71" i="25"/>
  <c r="CD77" i="25"/>
  <c r="BN77" i="25"/>
  <c r="CD65" i="25"/>
  <c r="BN65" i="25"/>
  <c r="CD79" i="25"/>
  <c r="BN79" i="25"/>
  <c r="BN82" i="25"/>
  <c r="CD82" i="25"/>
  <c r="BN76" i="25"/>
  <c r="CD76" i="25"/>
  <c r="BN87" i="25"/>
  <c r="CD87" i="25"/>
  <c r="CD44" i="25"/>
  <c r="BN44" i="25"/>
  <c r="BN90" i="25"/>
  <c r="CD90" i="25"/>
  <c r="CD61" i="25"/>
  <c r="BN61" i="25"/>
  <c r="BN40" i="25"/>
  <c r="CD40"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D48" authorId="0" shapeId="0" xr:uid="{00000000-0006-0000-2800-000001000000}">
      <text>
        <r>
          <rPr>
            <b/>
            <sz val="9"/>
            <color indexed="81"/>
            <rFont val="Tahoma"/>
            <family val="2"/>
            <charset val="204"/>
          </rPr>
          <t>user:</t>
        </r>
        <r>
          <rPr>
            <sz val="9"/>
            <color indexed="81"/>
            <rFont val="Tahoma"/>
            <family val="2"/>
            <charset val="204"/>
          </rPr>
          <t xml:space="preserve">
кфо 2 питание расходы 342ст, 07.01</t>
        </r>
      </text>
    </comment>
  </commentList>
</comments>
</file>

<file path=xl/sharedStrings.xml><?xml version="1.0" encoding="utf-8"?>
<sst xmlns="http://schemas.openxmlformats.org/spreadsheetml/2006/main" count="11139" uniqueCount="1742">
  <si>
    <t>Среднемесячный размер оплаты труда на одного работника, руб.</t>
  </si>
  <si>
    <t>всего</t>
  </si>
  <si>
    <t>в том числе:</t>
  </si>
  <si>
    <t>х</t>
  </si>
  <si>
    <t>Наименование расходов</t>
  </si>
  <si>
    <t>Количество</t>
  </si>
  <si>
    <t>Сумма, руб.</t>
  </si>
  <si>
    <t>Наименование государственного внебюджетного фонда</t>
  </si>
  <si>
    <t>1.1.</t>
  </si>
  <si>
    <t>Страховые взносы в Пенсионный фонд Российской Федерации, всего</t>
  </si>
  <si>
    <t>по ставке 22,0 %</t>
  </si>
  <si>
    <t>по ставке 10,0 %</t>
  </si>
  <si>
    <t>1.2.</t>
  </si>
  <si>
    <t>1.3.</t>
  </si>
  <si>
    <t>с применением пониженных тарифов взносов в Пенсионный фонд</t>
  </si>
  <si>
    <t>Российской Федерации для отдельных категорий плательщиков</t>
  </si>
  <si>
    <t>Страховые взносы в Фонд социального страхования Российской</t>
  </si>
  <si>
    <t xml:space="preserve">обязательное социальное страхование на случай временной </t>
  </si>
  <si>
    <t>2.1.</t>
  </si>
  <si>
    <t>с применением ставки взносов в Фонд социального страхования</t>
  </si>
  <si>
    <t>Российской Федерации по ставке 0,0 %</t>
  </si>
  <si>
    <t>2.2.</t>
  </si>
  <si>
    <t>обязательное социальное страхование от несчастных случаев</t>
  </si>
  <si>
    <t>на производстве и профессиональных заболеваний по ставке 0,2 %</t>
  </si>
  <si>
    <t>2.3.</t>
  </si>
  <si>
    <t>2.4.</t>
  </si>
  <si>
    <t>2.5.</t>
  </si>
  <si>
    <r>
      <t>на производстве и профессиональных заболеваний по ставке 0,_ %</t>
    </r>
    <r>
      <rPr>
        <vertAlign val="superscript"/>
        <sz val="10"/>
        <rFont val="Times New Roman"/>
        <family val="1"/>
        <charset val="204"/>
      </rPr>
      <t>*</t>
    </r>
  </si>
  <si>
    <t>Страховые взносы в Федеральный фонд обязательного медицинского</t>
  </si>
  <si>
    <t>страхования, всего (по ставке 5,1 %)</t>
  </si>
  <si>
    <t>Федерации, всего</t>
  </si>
  <si>
    <t>нетрудоспособности и в связи с материнством по ставке 2,9 %</t>
  </si>
  <si>
    <t>* Указываются страховые тарифы, дифференцированные по классам профессионального риска, установленные Федеральным законом от 22 декабря 2005 г. № 179-ФЗ «О страховых тарифах на обязательное социальное страхование от несчастных случаев на производстве и профессиональных заболеваний на 2006 год» (Собрание законодательства Российской Федерации, 2005, № 52, ст. 5592; 2015, № 51, ст.7233).</t>
  </si>
  <si>
    <t>Приложение 3</t>
  </si>
  <si>
    <t>1. Расчеты (обоснования) выплат персоналу (строка 2100)</t>
  </si>
  <si>
    <t>субсидия на финансовое обеспечение выполнения муниципального задания</t>
  </si>
  <si>
    <t>Наименование должности</t>
  </si>
  <si>
    <t>Установленная численность, единиц</t>
  </si>
  <si>
    <t>№ п/п</t>
  </si>
  <si>
    <t>по должностному окладу</t>
  </si>
  <si>
    <t>по выплатам компенсационного характера</t>
  </si>
  <si>
    <t>по выплатам стимулирующего характера</t>
  </si>
  <si>
    <t>Фонд оплаты труда в год, руб.</t>
  </si>
  <si>
    <t>областной бюджет</t>
  </si>
  <si>
    <t>местный бюджет</t>
  </si>
  <si>
    <t>субсидии на иные цели</t>
  </si>
  <si>
    <t>поступления от оказания услуг (выполнения работ) на платной основе и иной приносящей доход деятельности</t>
  </si>
  <si>
    <t>4=5+6+7</t>
  </si>
  <si>
    <t>1.1. Расчеты (обоснования) расходов на оплату труда (КВР 111)</t>
  </si>
  <si>
    <t>5=3*4</t>
  </si>
  <si>
    <t>в Фонд социального страхования Российской Федерации, в Федеральный фонд обязательного медицинского страхования (КВР 119)</t>
  </si>
  <si>
    <t>Средняя стоимость, рубб</t>
  </si>
  <si>
    <t>в том числе по источникам финасового обеспечения</t>
  </si>
  <si>
    <t>Итого по КОСГУ 346 :</t>
  </si>
  <si>
    <t>Итого по КОСГУ 211:</t>
  </si>
  <si>
    <t>код субсидии</t>
  </si>
  <si>
    <t>Размер базы для начисления страховых взносов, руб.</t>
  </si>
  <si>
    <t>Сумма взноса, руб.</t>
  </si>
  <si>
    <t>Код и наименование фукциональной статьи расходов</t>
  </si>
  <si>
    <t xml:space="preserve">к Порядку </t>
  </si>
  <si>
    <t xml:space="preserve">6.9. Расчеты (обоснования) расходов на приобретение материальных запасов </t>
  </si>
  <si>
    <t>Итого по КОСГУ 213:</t>
  </si>
  <si>
    <t xml:space="preserve">1.7. Расчеты (обоснования) страховых взносов на обязательное страхование в Пенсионный фонд Российской Федерации, </t>
  </si>
  <si>
    <t>8=4*3*12</t>
  </si>
  <si>
    <t>0707</t>
  </si>
  <si>
    <t xml:space="preserve">Молодежная политика </t>
  </si>
  <si>
    <t>Подсобный рабочий</t>
  </si>
  <si>
    <t>Хозяйственные товары</t>
  </si>
  <si>
    <t>Приложение № 3</t>
  </si>
  <si>
    <t xml:space="preserve">        Код и наименование фукциональной статьи расходов                    0701 Дошкольное        образование </t>
  </si>
  <si>
    <t>1.1. Расчеты (обоснования)расходов на оплату труда (КВР 111)</t>
  </si>
  <si>
    <t>№</t>
  </si>
  <si>
    <t>Должность,</t>
  </si>
  <si>
    <t>Установленная</t>
  </si>
  <si>
    <t>Ежемесячная</t>
  </si>
  <si>
    <t>Районный</t>
  </si>
  <si>
    <t>Фонд оплаты</t>
  </si>
  <si>
    <t>п/п</t>
  </si>
  <si>
    <t>группа</t>
  </si>
  <si>
    <t>численность,</t>
  </si>
  <si>
    <t>надбавка к</t>
  </si>
  <si>
    <t>коэффициент</t>
  </si>
  <si>
    <t>труда в год, руб.</t>
  </si>
  <si>
    <t>должностей</t>
  </si>
  <si>
    <t>единиц</t>
  </si>
  <si>
    <t>по</t>
  </si>
  <si>
    <t>по выплатам</t>
  </si>
  <si>
    <t>должностному</t>
  </si>
  <si>
    <t>(гр. 3×гр. 4×</t>
  </si>
  <si>
    <t>компенсационного</t>
  </si>
  <si>
    <t>стимулирующего</t>
  </si>
  <si>
    <t>окладу, %</t>
  </si>
  <si>
    <t>(1+гр. 8/100)×</t>
  </si>
  <si>
    <t>окладу</t>
  </si>
  <si>
    <t>характера</t>
  </si>
  <si>
    <t>гр. 9×12)</t>
  </si>
  <si>
    <t>8=4*3*8</t>
  </si>
  <si>
    <t xml:space="preserve">Повар </t>
  </si>
  <si>
    <t>Кухонный рабочий</t>
  </si>
  <si>
    <t>Кастелянша</t>
  </si>
  <si>
    <t>Кладовщик</t>
  </si>
  <si>
    <t>Сторож</t>
  </si>
  <si>
    <t>Итого:</t>
  </si>
  <si>
    <t>6. Расчеты (обоснования) расходов на прочую закупку товаров, работ, услуг (КВР 244) (строка 2640)</t>
  </si>
  <si>
    <t xml:space="preserve">6.1. Расчет (обоснование) расходов на оплату услуг связи </t>
  </si>
  <si>
    <t>Стоимость</t>
  </si>
  <si>
    <t>номеров</t>
  </si>
  <si>
    <t>платежей</t>
  </si>
  <si>
    <t>за единицу,</t>
  </si>
  <si>
    <t>(гр. 3×гр. 4×гр.5)</t>
  </si>
  <si>
    <t>в год</t>
  </si>
  <si>
    <t>руб.</t>
  </si>
  <si>
    <t>6=3*4*5</t>
  </si>
  <si>
    <t>6.3. Расчет (обоснование) расходов на оплату коммунальных услуг</t>
  </si>
  <si>
    <t>Наименование показателя</t>
  </si>
  <si>
    <t>Размер</t>
  </si>
  <si>
    <t>Тариф</t>
  </si>
  <si>
    <t>Индексация,</t>
  </si>
  <si>
    <t>потребления</t>
  </si>
  <si>
    <t>(с учетом</t>
  </si>
  <si>
    <t>%</t>
  </si>
  <si>
    <t>(гр. 4×гр. 5×гр. 6)</t>
  </si>
  <si>
    <t>ресурсов</t>
  </si>
  <si>
    <t>НДС), руб.</t>
  </si>
  <si>
    <t>6=3*4*5/100</t>
  </si>
  <si>
    <t>Водоснабжение и водоотведение в т.ч.:</t>
  </si>
  <si>
    <t>Водоснабжение 1 полугодие</t>
  </si>
  <si>
    <t>Водоснабжение 2 полугодие</t>
  </si>
  <si>
    <t>Водоотведение 1 полугодие</t>
  </si>
  <si>
    <t>Водоотведение 2 полугодие</t>
  </si>
  <si>
    <t xml:space="preserve">Обращение с ТКО  </t>
  </si>
  <si>
    <t>Электроэнергия</t>
  </si>
  <si>
    <t>Теплоэнергия  в т.ч.:</t>
  </si>
  <si>
    <t>Теплоэнергия 1 полугодие</t>
  </si>
  <si>
    <t>Компонент на тепловую энергию 1 полугодие</t>
  </si>
  <si>
    <t>Компонент на тепловую энергию 2 полугодие</t>
  </si>
  <si>
    <t>Компонент на теплоноситель  1 полугодие</t>
  </si>
  <si>
    <t>Компонент на теплоноситель  2 полугодие</t>
  </si>
  <si>
    <t>6.6. Расчет (обоснование) расходов на оплату работ, услуг по содержанию имущества</t>
  </si>
  <si>
    <t xml:space="preserve">Цена работы (услуги), руб. </t>
  </si>
  <si>
    <t>Количество платежей в год</t>
  </si>
  <si>
    <t>работ (услуг),</t>
  </si>
  <si>
    <t xml:space="preserve">Дезинсекция </t>
  </si>
  <si>
    <t xml:space="preserve">Гидропневматическая промывка </t>
  </si>
  <si>
    <t xml:space="preserve">Обслуживание АПС и системы оповещения о пожаре </t>
  </si>
  <si>
    <t xml:space="preserve">Расчистка снега  </t>
  </si>
  <si>
    <t xml:space="preserve">Проверка и очистка вентиляционных каналов в здании </t>
  </si>
  <si>
    <t>Обеспечение функционирования канала связи Системы с Объектом</t>
  </si>
  <si>
    <t xml:space="preserve"> Испытание внутреннего противопожарного водопровода, пожарных кранов в здании </t>
  </si>
  <si>
    <t xml:space="preserve"> Испытание средств защиты, используемых в электроустановках </t>
  </si>
  <si>
    <t>Вывоз крупногабаритного мусора</t>
  </si>
  <si>
    <t>Итого по КОСГУ 225:</t>
  </si>
  <si>
    <t>6.7. Расчет (обоснование) расходов на оплату прочих работ, услуг</t>
  </si>
  <si>
    <t>услуги, руб.</t>
  </si>
  <si>
    <t>Оплата периодического медицинского осмотра</t>
  </si>
  <si>
    <t xml:space="preserve">Семинары, обучение по пожарной безопасности,  обучение по охране труда, повышение квалификации пед.персонала </t>
  </si>
  <si>
    <t>Аттестация по санитарно - гигиеническому обучению всех сотрудников</t>
  </si>
  <si>
    <t xml:space="preserve">Измерительные работы (замеры сопротивления) </t>
  </si>
  <si>
    <t>Услуги передачи тревожных сигналов</t>
  </si>
  <si>
    <t>Итого по КОСГУ 226:</t>
  </si>
  <si>
    <t xml:space="preserve">6.8. Расчеты (обоснования) расходов на приобретение основных средств </t>
  </si>
  <si>
    <t>Ковры, ковровые покрытия</t>
  </si>
  <si>
    <t>Итого по КОСГУ 310:</t>
  </si>
  <si>
    <t xml:space="preserve">6.10. Расчеты (обоснования) расходов на приобретение материальных запасов </t>
  </si>
  <si>
    <t>Средняя</t>
  </si>
  <si>
    <t>стоимость,</t>
  </si>
  <si>
    <t>Итого  по КОСГУ  341:</t>
  </si>
  <si>
    <t xml:space="preserve">Приобретние продуктов питания согласно расчета </t>
  </si>
  <si>
    <t>Итого  по КОСГУ  342:</t>
  </si>
  <si>
    <t>Приобретение мягкого инвентаря</t>
  </si>
  <si>
    <t>Итого  по КОСГУ  345:</t>
  </si>
  <si>
    <t xml:space="preserve">Хозяйственные товары, приобретение посуды </t>
  </si>
  <si>
    <t xml:space="preserve">Сантехнические товары </t>
  </si>
  <si>
    <t xml:space="preserve">Моющие средства </t>
  </si>
  <si>
    <t>Итого  по КОСГУ  346:</t>
  </si>
  <si>
    <t xml:space="preserve">Код и наименование функциональной статьи расходов                           1004 Охрана семьи и детства </t>
  </si>
  <si>
    <t xml:space="preserve">6.11. Расчеты (обоснования) расходов на приобретение материальных запасов </t>
  </si>
  <si>
    <t>Итого местный</t>
  </si>
  <si>
    <t>МОУ "Глажевская СОШ" дошкольное отделение</t>
  </si>
  <si>
    <t xml:space="preserve">Расчет </t>
  </si>
  <si>
    <t xml:space="preserve">на питание детей за счет субсидии на выполнение муниципального задания </t>
  </si>
  <si>
    <t>Компенсация части родительской платы за питание</t>
  </si>
  <si>
    <t>Всего по расчету на питание</t>
  </si>
  <si>
    <t>дети</t>
  </si>
  <si>
    <t xml:space="preserve">дето-дни </t>
  </si>
  <si>
    <t>цена</t>
  </si>
  <si>
    <t>сумма</t>
  </si>
  <si>
    <t>дето-дни  50%</t>
  </si>
  <si>
    <t>дето-дни  100%</t>
  </si>
  <si>
    <t>ИТОГО</t>
  </si>
  <si>
    <t>Расчет</t>
  </si>
  <si>
    <t>на питание детей за счет поступления от приносящей доход деятельности (родительская плата)</t>
  </si>
  <si>
    <t>Всего расходов</t>
  </si>
  <si>
    <t>дето-дни 50%</t>
  </si>
  <si>
    <t>Доходы</t>
  </si>
  <si>
    <t>Доходы без компенсации</t>
  </si>
  <si>
    <t>Услуги банка</t>
  </si>
  <si>
    <t>план</t>
  </si>
  <si>
    <t>Питание</t>
  </si>
  <si>
    <t>чистое питание</t>
  </si>
  <si>
    <t>Приложение № 1 к Порядку</t>
  </si>
  <si>
    <t>Утверждаю</t>
  </si>
  <si>
    <t>Директор</t>
  </si>
  <si>
    <t>(наименование должности уполномоченного лица)</t>
  </si>
  <si>
    <t>МОУ "Глажевская СОШ"</t>
  </si>
  <si>
    <t>(наименование Учредителя (Учреждения)</t>
  </si>
  <si>
    <t>(подпись)</t>
  </si>
  <si>
    <t>(расшифровка подписи)</t>
  </si>
  <si>
    <t xml:space="preserve"> г.</t>
  </si>
  <si>
    <t>и плановый период 20</t>
  </si>
  <si>
    <t>24</t>
  </si>
  <si>
    <t>и 20</t>
  </si>
  <si>
    <t>25</t>
  </si>
  <si>
    <r>
      <t xml:space="preserve"> годов </t>
    </r>
    <r>
      <rPr>
        <b/>
        <vertAlign val="superscript"/>
        <sz val="12"/>
        <rFont val="Times New Roman"/>
        <family val="1"/>
        <charset val="204"/>
      </rPr>
      <t>1</t>
    </r>
    <r>
      <rPr>
        <b/>
        <sz val="12"/>
        <rFont val="Times New Roman"/>
        <family val="1"/>
        <charset val="204"/>
      </rPr>
      <t>)</t>
    </r>
  </si>
  <si>
    <t>Коды</t>
  </si>
  <si>
    <t>от "</t>
  </si>
  <si>
    <t>"</t>
  </si>
  <si>
    <r>
      <t xml:space="preserve"> г.</t>
    </r>
    <r>
      <rPr>
        <vertAlign val="superscript"/>
        <sz val="12"/>
        <rFont val="Times New Roman"/>
        <family val="1"/>
        <charset val="204"/>
      </rPr>
      <t>2</t>
    </r>
  </si>
  <si>
    <t>Дата</t>
  </si>
  <si>
    <t>Орган, осуществляющий</t>
  </si>
  <si>
    <t>по Сводному реестру</t>
  </si>
  <si>
    <t>функции и полномочия учредителя</t>
  </si>
  <si>
    <t>Комитет по образованию Киришского  муниципального района Ленинградской области</t>
  </si>
  <si>
    <t>глава по БК</t>
  </si>
  <si>
    <t>963</t>
  </si>
  <si>
    <t>ИНН</t>
  </si>
  <si>
    <t>4708008050</t>
  </si>
  <si>
    <t>Учреждение</t>
  </si>
  <si>
    <t>КПП</t>
  </si>
  <si>
    <t>472701001</t>
  </si>
  <si>
    <t>Единица измерения: руб.</t>
  </si>
  <si>
    <t>383</t>
  </si>
  <si>
    <t>Раздел 1. Поступления и выплаты</t>
  </si>
  <si>
    <t>Код строки</t>
  </si>
  <si>
    <r>
      <t xml:space="preserve">Код по бюджетной классификации Российской Федерации </t>
    </r>
    <r>
      <rPr>
        <vertAlign val="superscript"/>
        <sz val="12"/>
        <rFont val="Times New Roman"/>
        <family val="1"/>
        <charset val="204"/>
      </rPr>
      <t>3</t>
    </r>
  </si>
  <si>
    <r>
      <t xml:space="preserve">Аналитический код </t>
    </r>
    <r>
      <rPr>
        <vertAlign val="superscript"/>
        <sz val="12"/>
        <rFont val="Times New Roman"/>
        <family val="1"/>
        <charset val="204"/>
      </rPr>
      <t>4</t>
    </r>
  </si>
  <si>
    <t>на 20</t>
  </si>
  <si>
    <t>г.</t>
  </si>
  <si>
    <t>за пределами планового периода</t>
  </si>
  <si>
    <t>первый год планового периода</t>
  </si>
  <si>
    <t>второй год планового периода</t>
  </si>
  <si>
    <t>ВСЕГО</t>
  </si>
  <si>
    <t>субсидии на финансовое обеспечение выполнения муниципального задания</t>
  </si>
  <si>
    <t>целевые субсидии</t>
  </si>
  <si>
    <t>субсидии на осуществление капитальных вложений</t>
  </si>
  <si>
    <t>1</t>
  </si>
  <si>
    <t>2</t>
  </si>
  <si>
    <t>3</t>
  </si>
  <si>
    <t>4</t>
  </si>
  <si>
    <t>6</t>
  </si>
  <si>
    <t>7</t>
  </si>
  <si>
    <t>8</t>
  </si>
  <si>
    <t>9</t>
  </si>
  <si>
    <t>10</t>
  </si>
  <si>
    <t>11</t>
  </si>
  <si>
    <t>12</t>
  </si>
  <si>
    <t>13</t>
  </si>
  <si>
    <t>14</t>
  </si>
  <si>
    <t>15</t>
  </si>
  <si>
    <t>16</t>
  </si>
  <si>
    <t>17</t>
  </si>
  <si>
    <t>18</t>
  </si>
  <si>
    <t>19</t>
  </si>
  <si>
    <t>20</t>
  </si>
  <si>
    <r>
      <t xml:space="preserve">Остаток средств на начало текущего финансового года </t>
    </r>
    <r>
      <rPr>
        <b/>
        <vertAlign val="superscript"/>
        <sz val="12"/>
        <rFont val="Times New Roman"/>
        <family val="1"/>
        <charset val="204"/>
      </rPr>
      <t>5</t>
    </r>
  </si>
  <si>
    <t>0001</t>
  </si>
  <si>
    <r>
      <t xml:space="preserve">Остаток средств на конец текущего финансового года </t>
    </r>
    <r>
      <rPr>
        <b/>
        <vertAlign val="superscript"/>
        <sz val="12"/>
        <rFont val="Times New Roman"/>
        <family val="1"/>
        <charset val="204"/>
      </rPr>
      <t>5</t>
    </r>
  </si>
  <si>
    <t>0002</t>
  </si>
  <si>
    <t>Доходы, всего:</t>
  </si>
  <si>
    <t>1000</t>
  </si>
  <si>
    <t>в том числе:
доходы от собственности, всего</t>
  </si>
  <si>
    <t>1100</t>
  </si>
  <si>
    <t>120</t>
  </si>
  <si>
    <t>поступление от платных услуг (аренда спортивного зала )</t>
  </si>
  <si>
    <t>доходы от оказания услуг, работ, компенсации затрат учреждений, всего</t>
  </si>
  <si>
    <t>1200</t>
  </si>
  <si>
    <t>130</t>
  </si>
  <si>
    <t>131</t>
  </si>
  <si>
    <t>в том числе:
субсидии на финансовое обеспечение выполнения муниципального задания за счет средств бюджета публично-правового образования, создавшего учреждение</t>
  </si>
  <si>
    <t>1210</t>
  </si>
  <si>
    <t>поступление от платных услуг (возмещение ком.услуг )</t>
  </si>
  <si>
    <t xml:space="preserve">поступление родительской платы </t>
  </si>
  <si>
    <t>поступление платных услуг(возмещение коммунальных услуг)</t>
  </si>
  <si>
    <t>поступление родительскиих средств за путевки в оздоровительный лагерь</t>
  </si>
  <si>
    <t>поступление от сотрудников ДОЛ средств за питание (5%)</t>
  </si>
  <si>
    <t>доходы от штрафов, пеней, иных сумм принудительного изъятия, всего</t>
  </si>
  <si>
    <t>1300</t>
  </si>
  <si>
    <t>140</t>
  </si>
  <si>
    <t>141</t>
  </si>
  <si>
    <t>1310</t>
  </si>
  <si>
    <t>безвозмездные денежные поступления, всего</t>
  </si>
  <si>
    <t>1400</t>
  </si>
  <si>
    <t>150</t>
  </si>
  <si>
    <t>1410</t>
  </si>
  <si>
    <t>152</t>
  </si>
  <si>
    <t>1411</t>
  </si>
  <si>
    <t>1412</t>
  </si>
  <si>
    <t>"Мероприятия по сохранению и развитию материально-технической базы муниципальных учреждений  общего образования (ремонт имущества и благоустройство территории)"</t>
  </si>
  <si>
    <t>1413</t>
  </si>
  <si>
    <t>1414</t>
  </si>
  <si>
    <t>1420</t>
  </si>
  <si>
    <t>прочие доходы, всего</t>
  </si>
  <si>
    <t>1500</t>
  </si>
  <si>
    <t>180</t>
  </si>
  <si>
    <t>в том числе: целевые субсидии</t>
  </si>
  <si>
    <t>1510</t>
  </si>
  <si>
    <t>1520</t>
  </si>
  <si>
    <t>доходы от операций с активами, всего</t>
  </si>
  <si>
    <t>1900</t>
  </si>
  <si>
    <r>
      <t xml:space="preserve">прочие поступления, всего </t>
    </r>
    <r>
      <rPr>
        <vertAlign val="superscript"/>
        <sz val="12"/>
        <rFont val="Times New Roman"/>
        <family val="1"/>
        <charset val="204"/>
      </rPr>
      <t>6</t>
    </r>
  </si>
  <si>
    <t>1980</t>
  </si>
  <si>
    <t>из них:
увеличение остатков денежных средств за счет возврата дебиторской задолженности прошлых лет</t>
  </si>
  <si>
    <t>1981</t>
  </si>
  <si>
    <t>510</t>
  </si>
  <si>
    <t>Расходы, всего</t>
  </si>
  <si>
    <t>2000</t>
  </si>
  <si>
    <t>в том числе:
на выплаты персоналу, всего</t>
  </si>
  <si>
    <t>2100</t>
  </si>
  <si>
    <t>в том числе:
оплата труда</t>
  </si>
  <si>
    <t>2110</t>
  </si>
  <si>
    <t>111</t>
  </si>
  <si>
    <t xml:space="preserve"> 0701 211</t>
  </si>
  <si>
    <t>оплата труда</t>
  </si>
  <si>
    <t xml:space="preserve"> 0702 211</t>
  </si>
  <si>
    <t xml:space="preserve"> 0707 211</t>
  </si>
  <si>
    <t>прочие выплаты персоналу, в том числе компенсационного характера</t>
  </si>
  <si>
    <t>2120</t>
  </si>
  <si>
    <t xml:space="preserve"> 0701 266</t>
  </si>
  <si>
    <t xml:space="preserve"> 0702 266</t>
  </si>
  <si>
    <t>112</t>
  </si>
  <si>
    <t xml:space="preserve"> 0702 212</t>
  </si>
  <si>
    <t xml:space="preserve"> 0702 226</t>
  </si>
  <si>
    <t>иные выплаты, за исключением фонда оплаты труда учреждения, для выполнения отдельных полномочий</t>
  </si>
  <si>
    <t>2130</t>
  </si>
  <si>
    <t>113</t>
  </si>
  <si>
    <t>взносы по обязательному социальному страхованию на выплаты по оплате труда работников и иные выплаты работникам учреждений, всего</t>
  </si>
  <si>
    <t>2140</t>
  </si>
  <si>
    <t>в том числе:
на выплаты по оплате труда</t>
  </si>
  <si>
    <t>2141</t>
  </si>
  <si>
    <t>119</t>
  </si>
  <si>
    <t xml:space="preserve"> 0701 213</t>
  </si>
  <si>
    <t>на выплаты по оплате труда</t>
  </si>
  <si>
    <t xml:space="preserve"> 0702 213</t>
  </si>
  <si>
    <t xml:space="preserve"> 0707 213</t>
  </si>
  <si>
    <t>на иные выплаты работникам</t>
  </si>
  <si>
    <t>2142</t>
  </si>
  <si>
    <t>денежное довольствие военнослужащих и сотрудников, имеющих специальные звания</t>
  </si>
  <si>
    <t>2150</t>
  </si>
  <si>
    <t>2160</t>
  </si>
  <si>
    <t>иные выплаты военнослужащим и сотрудникам, имеющим специальные звания</t>
  </si>
  <si>
    <t>2170</t>
  </si>
  <si>
    <t>134</t>
  </si>
  <si>
    <t>страховые взносы на обязательное социальное страхование в части выплат персоналу, подлежащих обложению страховыми взносами</t>
  </si>
  <si>
    <t>139</t>
  </si>
  <si>
    <t>в том числе:
на оплату труда стажеров</t>
  </si>
  <si>
    <t>социальные и иные выплаты населению, всего</t>
  </si>
  <si>
    <t>2200</t>
  </si>
  <si>
    <t>300</t>
  </si>
  <si>
    <t>в том числе:
социальные выплаты гражданам, кроме публичных нормативных социальных выплат</t>
  </si>
  <si>
    <t>2210</t>
  </si>
  <si>
    <t>320</t>
  </si>
  <si>
    <t>из них:
пособия, компенсации и иные социальные выплаты гражданам, кроме публичных нормативных обязательств</t>
  </si>
  <si>
    <t>2211</t>
  </si>
  <si>
    <t>321</t>
  </si>
  <si>
    <t>выплата стипендий, осуществление иных расходов на социальную поддержку обучающихся за счет средств стипендиального фонда</t>
  </si>
  <si>
    <t>2220</t>
  </si>
  <si>
    <t>340</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</si>
  <si>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</si>
  <si>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2230</t>
  </si>
  <si>
    <t>350</t>
  </si>
  <si>
    <t>2240</t>
  </si>
  <si>
    <t>360</t>
  </si>
  <si>
    <t>уплата налогов, сборов и иных платежей, всего</t>
  </si>
  <si>
    <t>2300</t>
  </si>
  <si>
    <t>850</t>
  </si>
  <si>
    <t>из них:
налог на имущество организаций и земельный налог</t>
  </si>
  <si>
    <t>2310</t>
  </si>
  <si>
    <t>851</t>
  </si>
  <si>
    <t>иные налоги (включаемые в состав расходов) в бюджеты бюджетной системы Российской Федерации, а также государственная пошлина</t>
  </si>
  <si>
    <t>2320</t>
  </si>
  <si>
    <t>852</t>
  </si>
  <si>
    <t>уплата штрафов (в том числе административных), пеней, иных платежей</t>
  </si>
  <si>
    <t>2330</t>
  </si>
  <si>
    <t>853</t>
  </si>
  <si>
    <t>безвозмездные перечисления организациям и физическим лицам, всего</t>
  </si>
  <si>
    <t>2400</t>
  </si>
  <si>
    <t>2410</t>
  </si>
  <si>
    <t>2420</t>
  </si>
  <si>
    <t>2430</t>
  </si>
  <si>
    <t>810</t>
  </si>
  <si>
    <t>862</t>
  </si>
  <si>
    <t>платежи в целях обеспечения реализации соглашений с правительствами иностранных государств и международными организациями</t>
  </si>
  <si>
    <t>863</t>
  </si>
  <si>
    <t>прочие выплаты (кроме выплат на закупку товаров, работ, услуг)</t>
  </si>
  <si>
    <t>2500</t>
  </si>
  <si>
    <t>исполнение судебных актов Российской Федерации и мировых соглашений по возмещению вреда, причиненного в результате деятельности учреждения</t>
  </si>
  <si>
    <t>2520</t>
  </si>
  <si>
    <t>831</t>
  </si>
  <si>
    <t>0702 226</t>
  </si>
  <si>
    <t>прочую закупку товаров, работ и услуг</t>
  </si>
  <si>
    <t>2640</t>
  </si>
  <si>
    <t>из них:</t>
  </si>
  <si>
    <t xml:space="preserve">услуги связи </t>
  </si>
  <si>
    <t>244</t>
  </si>
  <si>
    <t>0701 221</t>
  </si>
  <si>
    <t>0702 221</t>
  </si>
  <si>
    <t>транспортные услуги</t>
  </si>
  <si>
    <t>коммунальные услуги</t>
  </si>
  <si>
    <t>0701 223</t>
  </si>
  <si>
    <t>0702 223</t>
  </si>
  <si>
    <t xml:space="preserve">услуги за содержание имущества </t>
  </si>
  <si>
    <t>0701 225</t>
  </si>
  <si>
    <t>0702 225</t>
  </si>
  <si>
    <t>прочие работы,услуги</t>
  </si>
  <si>
    <t>0701 226</t>
  </si>
  <si>
    <t>страхование</t>
  </si>
  <si>
    <t>0702 227</t>
  </si>
  <si>
    <t>Увеличение стоимости основных средств</t>
  </si>
  <si>
    <t>0701 310</t>
  </si>
  <si>
    <t>0702 310</t>
  </si>
  <si>
    <t>0707 310</t>
  </si>
  <si>
    <t>Увеличение стоимости лекарственных препаратов и материалов ,применяемых в мед.целях</t>
  </si>
  <si>
    <t>0701 341</t>
  </si>
  <si>
    <t>Увеличение стоимости продуктов питания</t>
  </si>
  <si>
    <t>0701 342</t>
  </si>
  <si>
    <t>1004 342</t>
  </si>
  <si>
    <t>0702 343</t>
  </si>
  <si>
    <t>Увеличение стоимости строительных материалов</t>
  </si>
  <si>
    <t>0702 344</t>
  </si>
  <si>
    <t>Увеличение стоимости мягкого инвентаря</t>
  </si>
  <si>
    <t>0701 345</t>
  </si>
  <si>
    <t>0707 345</t>
  </si>
  <si>
    <t>Увеличение стоимости прочих оборотных запасов (материалов)</t>
  </si>
  <si>
    <t>0701 346</t>
  </si>
  <si>
    <t>0702 346</t>
  </si>
  <si>
    <t>0707 346</t>
  </si>
  <si>
    <t>Увеличение стоимости прочих материальных запасов однократного применения</t>
  </si>
  <si>
    <t>0702 349</t>
  </si>
  <si>
    <t>капитальные вложения в объекты государственной (муниципальной) собственности, всего</t>
  </si>
  <si>
    <t>2650</t>
  </si>
  <si>
    <t>400</t>
  </si>
  <si>
    <t>закупку товаров ,работ ,услуг в целях создания ,развития ,эксплуатации и вывода из эксплуатации государственных информационных сиситем</t>
  </si>
  <si>
    <t>246</t>
  </si>
  <si>
    <t>в том числе:
приобретение объектов недвижимого имущества государственными (муниципальными )учреждениями</t>
  </si>
  <si>
    <t>2651</t>
  </si>
  <si>
    <t>406</t>
  </si>
  <si>
    <t>строительство (реконструкция) объектов недвижимого имущества государственными (муниципальными ) учреждениями</t>
  </si>
  <si>
    <t>2652</t>
  </si>
  <si>
    <t>407</t>
  </si>
  <si>
    <t>закупка энергетических ресурсов</t>
  </si>
  <si>
    <t>247</t>
  </si>
  <si>
    <r>
      <t xml:space="preserve">Выплаты, уменьшающие доход, всего </t>
    </r>
    <r>
      <rPr>
        <b/>
        <vertAlign val="superscript"/>
        <sz val="14"/>
        <rFont val="Times New Roman"/>
        <family val="1"/>
        <charset val="204"/>
      </rPr>
      <t>8</t>
    </r>
  </si>
  <si>
    <t>3000</t>
  </si>
  <si>
    <t>100</t>
  </si>
  <si>
    <r>
      <t xml:space="preserve">в том числе:
налог на прибыль </t>
    </r>
    <r>
      <rPr>
        <vertAlign val="superscript"/>
        <sz val="14"/>
        <rFont val="Times New Roman"/>
        <family val="1"/>
        <charset val="204"/>
      </rPr>
      <t>8</t>
    </r>
  </si>
  <si>
    <t>3010</t>
  </si>
  <si>
    <r>
      <t xml:space="preserve">налог на добавленную стоимость </t>
    </r>
    <r>
      <rPr>
        <vertAlign val="superscript"/>
        <sz val="14"/>
        <rFont val="Times New Roman"/>
        <family val="1"/>
        <charset val="204"/>
      </rPr>
      <t>8</t>
    </r>
  </si>
  <si>
    <t>3020</t>
  </si>
  <si>
    <r>
      <t xml:space="preserve">прочие налоги, уменьшающие доход </t>
    </r>
    <r>
      <rPr>
        <vertAlign val="superscript"/>
        <sz val="14"/>
        <rFont val="Times New Roman"/>
        <family val="1"/>
        <charset val="204"/>
      </rPr>
      <t>8</t>
    </r>
  </si>
  <si>
    <t>3030</t>
  </si>
  <si>
    <t>189</t>
  </si>
  <si>
    <r>
      <t xml:space="preserve">Прочие выплаты, всего </t>
    </r>
    <r>
      <rPr>
        <b/>
        <vertAlign val="superscript"/>
        <sz val="14"/>
        <rFont val="Times New Roman"/>
        <family val="1"/>
        <charset val="204"/>
      </rPr>
      <t>9</t>
    </r>
  </si>
  <si>
    <t>4000</t>
  </si>
  <si>
    <t>из них:
возврат в бюджет средств субсидии</t>
  </si>
  <si>
    <t>4010</t>
  </si>
  <si>
    <t>610</t>
  </si>
  <si>
    <r>
      <t>_____</t>
    </r>
    <r>
      <rPr>
        <vertAlign val="superscript"/>
        <sz val="12"/>
        <rFont val="Times New Roman"/>
        <family val="1"/>
        <charset val="204"/>
      </rPr>
      <t>1</t>
    </r>
    <r>
      <rPr>
        <sz val="12"/>
        <rFont val="Times New Roman"/>
        <family val="1"/>
        <charset val="204"/>
      </rPr>
      <t>_В случае утверждения закона (решения) о бюджете на текущий финансовый год и плановый период.</t>
    </r>
  </si>
  <si>
    <r>
      <t>_____</t>
    </r>
    <r>
      <rPr>
        <vertAlign val="superscript"/>
        <sz val="12"/>
        <rFont val="Times New Roman"/>
        <family val="1"/>
        <charset val="204"/>
      </rPr>
      <t>2</t>
    </r>
    <r>
      <rPr>
        <sz val="12"/>
        <rFont val="Times New Roman"/>
        <family val="1"/>
        <charset val="204"/>
      </rPr>
      <t>_Указывается дата подписания Плана, а в случае утверждения Плана уполномоченным лицом учреждения - дата утверждения Плана.</t>
    </r>
  </si>
  <si>
    <r>
      <t>_____</t>
    </r>
    <r>
      <rPr>
        <vertAlign val="superscript"/>
        <sz val="12"/>
        <rFont val="Times New Roman"/>
        <family val="1"/>
        <charset val="204"/>
      </rPr>
      <t>3</t>
    </r>
    <r>
      <rPr>
        <sz val="12"/>
        <rFont val="Times New Roman"/>
        <family val="1"/>
        <charset val="204"/>
      </rPr>
      <t>_В графе 3 отражаются:</t>
    </r>
  </si>
  <si>
    <t>_____по строкам 1100 - 1900 - коды аналитической группы подвида доходов бюджетов классификации доходов бюджетов;</t>
  </si>
  <si>
    <t>_____по строкам 1980 - 1990 - коды аналитической группы вида источников финансирования дефицитов бюджетов классификации источников финансирования дефицитов бюджетов;</t>
  </si>
  <si>
    <t>_____по строкам 3000 - 3030 -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</si>
  <si>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_____по строкам 4000 - 4040 - коды аналитической группы вида источников финансирования дефицитов бюджетов классификации источников финансирования дефицитов бюджетов.</t>
  </si>
  <si>
    <r>
      <t>_____</t>
    </r>
    <r>
      <rPr>
        <vertAlign val="superscript"/>
        <sz val="12"/>
        <rFont val="Times New Roman"/>
        <family val="1"/>
        <charset val="204"/>
      </rPr>
      <t>4</t>
    </r>
    <r>
      <rPr>
        <sz val="12"/>
        <rFont val="Times New Roman"/>
        <family val="1"/>
        <charset val="204"/>
      </rPr>
      <t>_В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код функциональной статьи расходов</t>
    </r>
  </si>
  <si>
    <r>
      <t>_____</t>
    </r>
    <r>
      <rPr>
        <vertAlign val="superscript"/>
        <sz val="12"/>
        <rFont val="Times New Roman"/>
        <family val="1"/>
        <charset val="204"/>
      </rPr>
      <t>5</t>
    </r>
    <r>
      <rPr>
        <sz val="12"/>
        <rFont val="Times New Roman"/>
        <family val="1"/>
        <charset val="204"/>
      </rPr>
      <t>_По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</si>
  <si>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_____</t>
    </r>
    <r>
      <rPr>
        <vertAlign val="superscript"/>
        <sz val="12"/>
        <rFont val="Times New Roman"/>
        <family val="1"/>
        <charset val="204"/>
      </rPr>
      <t>6</t>
    </r>
    <r>
      <rPr>
        <sz val="12"/>
        <rFont val="Times New Roman"/>
        <family val="1"/>
        <charset val="204"/>
      </rPr>
      <t>_Показатели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 головным учреждением и обособленным подразделением.</t>
    </r>
  </si>
  <si>
    <r>
      <t>_____</t>
    </r>
    <r>
      <rPr>
        <vertAlign val="superscript"/>
        <sz val="12"/>
        <rFont val="Times New Roman"/>
        <family val="1"/>
        <charset val="204"/>
      </rPr>
      <t>8</t>
    </r>
    <r>
      <rPr>
        <sz val="12"/>
        <rFont val="Times New Roman"/>
        <family val="1"/>
        <charset val="204"/>
      </rPr>
      <t>_Показатель отражается со знаком "минус".</t>
    </r>
  </si>
  <si>
    <r>
      <t>_____</t>
    </r>
    <r>
      <rPr>
        <vertAlign val="superscript"/>
        <sz val="12"/>
        <rFont val="Times New Roman"/>
        <family val="1"/>
        <charset val="204"/>
      </rPr>
      <t>9</t>
    </r>
    <r>
      <rPr>
        <sz val="12"/>
        <rFont val="Times New Roman"/>
        <family val="1"/>
        <charset val="204"/>
      </rPr>
      <t>_Показатели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</si>
  <si>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 xml:space="preserve">Раздел 2. Сведения по выплатам на закупки товаров, работ, услуг </t>
    </r>
    <r>
      <rPr>
        <b/>
        <vertAlign val="superscript"/>
        <sz val="10"/>
        <rFont val="Times New Roman"/>
        <family val="1"/>
        <charset val="204"/>
      </rPr>
      <t>10</t>
    </r>
  </si>
  <si>
    <t>№
п/п</t>
  </si>
  <si>
    <t>Коды
строк</t>
  </si>
  <si>
    <t>Год
начала закупки</t>
  </si>
  <si>
    <t>Код бюджетной классификации Российской Федерации &lt;10.1&gt;</t>
  </si>
  <si>
    <t>Уникальный код &lt;10.2&gt;</t>
  </si>
  <si>
    <t>Сумма</t>
  </si>
  <si>
    <t>(текущий финансовый год)</t>
  </si>
  <si>
    <t>(первый год планового периода)</t>
  </si>
  <si>
    <t>(второй год планового периода)</t>
  </si>
  <si>
    <t>4.1</t>
  </si>
  <si>
    <t>4.2</t>
  </si>
  <si>
    <t>5</t>
  </si>
  <si>
    <r>
      <t xml:space="preserve">Выплаты на закупку товаров, работ, услуг, всего </t>
    </r>
    <r>
      <rPr>
        <b/>
        <vertAlign val="superscript"/>
        <sz val="10"/>
        <rFont val="Times New Roman"/>
        <family val="1"/>
        <charset val="204"/>
      </rPr>
      <t>11</t>
    </r>
  </si>
  <si>
    <t>26000</t>
  </si>
  <si>
    <t>1.1</t>
  </si>
  <si>
    <r>
      <t>в том числе:
по контрактам (договорам), заключенным до начала текущего финансового года без применения норм Федерального закона от 5 апреля 2013 г. № 44-ФЗ "О контрактной системе в сфере закупок товаров, работ, услуг для обеспечения государственных и муниципальных нужд" (далее - Федеральный закон № 44-ФЗ) и Федерального закона от 18 июля 2011 г. № 223-ФЗ "О закупках товаров, работ, услуг отдельными видами юридических лиц"(далее - Федеральный закон № 223-ФЗ)</t>
    </r>
    <r>
      <rPr>
        <vertAlign val="superscript"/>
        <sz val="10"/>
        <rFont val="Times New Roman"/>
        <family val="1"/>
        <charset val="204"/>
      </rPr>
      <t>12</t>
    </r>
  </si>
  <si>
    <t>26100</t>
  </si>
  <si>
    <t>1.2</t>
  </si>
  <si>
    <r>
      <t xml:space="preserve">по контрактам (договорам), планируемым к заключению в соответствующем финансовом году без применения норм Федерального закона № 44-ФЗ и Федерального закона № 223-ФЗ </t>
    </r>
    <r>
      <rPr>
        <vertAlign val="superscript"/>
        <sz val="10"/>
        <rFont val="Times New Roman"/>
        <family val="1"/>
        <charset val="204"/>
      </rPr>
      <t>12</t>
    </r>
  </si>
  <si>
    <t>26200</t>
  </si>
  <si>
    <t>1.3</t>
  </si>
  <si>
    <r>
      <t xml:space="preserve">по контрактам (договорам), заключенным до начала текущего финансового года с учетом требований Федерального закона № 44-ФЗ и Федерального закона № 223-ФЗ </t>
    </r>
    <r>
      <rPr>
        <vertAlign val="superscript"/>
        <sz val="10"/>
        <rFont val="Times New Roman"/>
        <family val="1"/>
        <charset val="204"/>
      </rPr>
      <t>13</t>
    </r>
  </si>
  <si>
    <t>26300</t>
  </si>
  <si>
    <t>1.3.1</t>
  </si>
  <si>
    <t>в том числе  в соответствии с Федеральным законом № 44-ФЗ</t>
  </si>
  <si>
    <t>26310</t>
  </si>
  <si>
    <t>из них &lt;10.1&gt;</t>
  </si>
  <si>
    <t>26310.1</t>
  </si>
  <si>
    <t>из них &lt;10.2&gt;</t>
  </si>
  <si>
    <t>26310.2</t>
  </si>
  <si>
    <t>1.3.2</t>
  </si>
  <si>
    <t>в том числе  в соответствии с Федеральным законом № 223-ФЗ</t>
  </si>
  <si>
    <t>26320</t>
  </si>
  <si>
    <t>1.4</t>
  </si>
  <si>
    <r>
      <t xml:space="preserve">по контрактам (договорам), планируемым к заключению в соответствующем финансовом году с учетом требований Федерального закона № 44-ФЗ и Федерального закона № 223-ФЗ </t>
    </r>
    <r>
      <rPr>
        <vertAlign val="superscript"/>
        <sz val="10"/>
        <rFont val="Times New Roman"/>
        <family val="1"/>
        <charset val="204"/>
      </rPr>
      <t>13</t>
    </r>
  </si>
  <si>
    <t>26400</t>
  </si>
  <si>
    <t>1.4.1</t>
  </si>
  <si>
    <t>в том числе:
за счет субсидий, предоставляемых на финансовое обеспечение выполнения муниципального задания</t>
  </si>
  <si>
    <t>26410</t>
  </si>
  <si>
    <t>1.4.1.1</t>
  </si>
  <si>
    <t>в том числе:
в соответствии с Федеральным законом № 44-ФЗ</t>
  </si>
  <si>
    <t>26411</t>
  </si>
  <si>
    <t>1.4.1.2</t>
  </si>
  <si>
    <r>
      <t xml:space="preserve">в соответствии с Федеральным законом № 223-ФЗ </t>
    </r>
    <r>
      <rPr>
        <vertAlign val="superscript"/>
        <sz val="10"/>
        <rFont val="Times New Roman"/>
        <family val="1"/>
        <charset val="204"/>
      </rPr>
      <t>14</t>
    </r>
  </si>
  <si>
    <t>26412</t>
  </si>
  <si>
    <t>1.4.2</t>
  </si>
  <si>
    <t>за счет субсидий, предоставляемых в соответствии с абзацем вторым пункта 1 статьи 78.1 Бюджетного кодекса Российской Федерации</t>
  </si>
  <si>
    <t>26420</t>
  </si>
  <si>
    <t>1.4.2.1</t>
  </si>
  <si>
    <t>26421</t>
  </si>
  <si>
    <t>26421.1</t>
  </si>
  <si>
    <t>1.4.2.2</t>
  </si>
  <si>
    <t>26422</t>
  </si>
  <si>
    <t>1.4.3</t>
  </si>
  <si>
    <r>
      <t xml:space="preserve">за счет субсидий, предоставляемых на осуществление капитальных вложений </t>
    </r>
    <r>
      <rPr>
        <vertAlign val="superscript"/>
        <sz val="10"/>
        <rFont val="Times New Roman"/>
        <family val="1"/>
        <charset val="204"/>
      </rPr>
      <t>15</t>
    </r>
  </si>
  <si>
    <t>26430</t>
  </si>
  <si>
    <t>26430.1</t>
  </si>
  <si>
    <t>26430.2</t>
  </si>
  <si>
    <t>1.4.4</t>
  </si>
  <si>
    <t>за счет средств обязательного медицинского страхования</t>
  </si>
  <si>
    <t>26440</t>
  </si>
  <si>
    <t>1.4.4.1</t>
  </si>
  <si>
    <t>26441</t>
  </si>
  <si>
    <t>1.4.4.2</t>
  </si>
  <si>
    <t>26442</t>
  </si>
  <si>
    <t>1.4.5</t>
  </si>
  <si>
    <t>за счет прочих источников финансового обеспечения</t>
  </si>
  <si>
    <t>26450</t>
  </si>
  <si>
    <t>1.4.5.1</t>
  </si>
  <si>
    <t>26451</t>
  </si>
  <si>
    <t>26451.1</t>
  </si>
  <si>
    <t>26451.2</t>
  </si>
  <si>
    <t>1.4.5.2</t>
  </si>
  <si>
    <t>в соответствии с Федеральным законом № 223-ФЗ</t>
  </si>
  <si>
    <t>26452</t>
  </si>
  <si>
    <r>
      <t xml:space="preserve">Итого по контрактам, планируемым к заключению в соответствующем финансовом году в соответствии с Федеральным законом № 44-ФЗ, по соответствующему году закупки </t>
    </r>
    <r>
      <rPr>
        <vertAlign val="superscript"/>
        <sz val="10"/>
        <rFont val="Times New Roman"/>
        <family val="1"/>
        <charset val="204"/>
      </rPr>
      <t>16</t>
    </r>
  </si>
  <si>
    <t>26500</t>
  </si>
  <si>
    <t>в том числе по году начала закупки:</t>
  </si>
  <si>
    <t>26510</t>
  </si>
  <si>
    <t>Итого по договорам, планируемым к заключению в соответствующем финансовом году в соответствии с Федеральным законом № 223-ФЗ, по соответствующему году закупки</t>
  </si>
  <si>
    <t>26610</t>
  </si>
  <si>
    <t>Руководитель учреждения</t>
  </si>
  <si>
    <t>(уполномоченное лицо учреждения)</t>
  </si>
  <si>
    <t>(должность)</t>
  </si>
  <si>
    <t>Исполнитель</t>
  </si>
  <si>
    <t>Главный бухгалтер</t>
  </si>
  <si>
    <t>(фамилия, инициалы)</t>
  </si>
  <si>
    <t>(телефон)</t>
  </si>
  <si>
    <t>СОГЛАСОВАНО</t>
  </si>
  <si>
    <t>(наименование должности уполномоченного лица Учредителя)</t>
  </si>
  <si>
    <r>
      <t>_____</t>
    </r>
    <r>
      <rPr>
        <vertAlign val="superscript"/>
        <sz val="10"/>
        <rFont val="Times New Roman"/>
        <family val="1"/>
        <charset val="204"/>
      </rPr>
      <t>10</t>
    </r>
    <r>
      <rPr>
        <sz val="10"/>
        <color indexed="9"/>
        <rFont val="Times New Roman"/>
        <family val="1"/>
        <charset val="204"/>
      </rPr>
      <t>_</t>
    </r>
    <r>
      <rPr>
        <sz val="10"/>
        <rFont val="Times New Roman"/>
        <family val="1"/>
        <charset val="204"/>
      </rPr>
      <t>В Разделе 2 "Сведения по выплатам на закупку товаров, работ, услуг" Плана детализируются показатели выплат по расходам на закупку товаров, работ, услуг, отраженные по соответсвующим строкам Раздела 1 "Поступления и выплаты" Плана.</t>
    </r>
  </si>
  <si>
    <r>
      <t>_____</t>
    </r>
    <r>
      <rPr>
        <vertAlign val="superscript"/>
        <sz val="10"/>
        <rFont val="Times New Roman"/>
        <family val="1"/>
        <charset val="204"/>
      </rPr>
      <t>10.2</t>
    </r>
    <r>
      <rPr>
        <sz val="10"/>
        <color indexed="9"/>
        <rFont val="Times New Roman"/>
        <family val="1"/>
        <charset val="204"/>
      </rPr>
      <t>_</t>
    </r>
    <r>
      <rPr>
        <sz val="10"/>
        <rFont val="Times New Roman"/>
        <family val="1"/>
        <charset val="204"/>
      </rPr>
      <t xml:space="preserve"> Указывается уникальный код объекта капитального строительства или объекта недвижимого имущества, присвоенный государственной интегрированной информационной системой управления общественными финансами «Электронный бюджет», в случае если источником финансового обеспечения расходов на осуществление капитальных вложений являются средства федерального бюджета, в том числе предоставленные в виде межбюджетного трансферта в целях софинансирования расходных обязательств субъекта Российской Федерации (муниципального образования).</t>
    </r>
  </si>
  <si>
    <r>
      <t>_____</t>
    </r>
    <r>
      <rPr>
        <vertAlign val="superscript"/>
        <sz val="10"/>
        <rFont val="Times New Roman"/>
        <family val="1"/>
        <charset val="204"/>
      </rPr>
      <t>11</t>
    </r>
    <r>
      <rPr>
        <sz val="10"/>
        <color indexed="9"/>
        <rFont val="Times New Roman"/>
        <family val="1"/>
        <charset val="204"/>
      </rPr>
      <t>_</t>
    </r>
    <r>
      <rPr>
        <sz val="10"/>
        <rFont val="Times New Roman"/>
        <family val="1"/>
        <charset val="204"/>
      </rPr>
      <t>Плановые показатели выплат на закупку товаров, работ, услуг по строке 26000 Раздела 2 «Сведения по выплатам на закупку товаров, работ, услуг» Плана распределяются на выплаты по контрактам (договорам), заключенным (планируемым к заключению) в соответствии с гражданским законодательством (строки 26100 и 26200), а также по контрактам (договорам),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 работ, услуг для обеспечения государственных и муниципальных нужд с детализацией указанных выплат по контрактам (договорам), заключенным до начала текущего финансового года (строка 26300) и планируемым к заключению в соответствующем финансовом году (строка 26400).</t>
    </r>
  </si>
  <si>
    <r>
      <t>_____</t>
    </r>
    <r>
      <rPr>
        <vertAlign val="superscript"/>
        <sz val="10"/>
        <rFont val="Times New Roman"/>
        <family val="1"/>
        <charset val="204"/>
      </rPr>
      <t>12</t>
    </r>
    <r>
      <rPr>
        <sz val="10"/>
        <color indexed="9"/>
        <rFont val="Times New Roman"/>
        <family val="1"/>
        <charset val="204"/>
      </rPr>
      <t>_</t>
    </r>
    <r>
      <rPr>
        <sz val="10"/>
        <rFont val="Times New Roman"/>
        <family val="1"/>
        <charset val="204"/>
      </rPr>
      <t>Указывается сумма договоров (контрактов) о закупках товаров, работ, услуг, заключенных без учета требований Федерального закона № 44-ФЗ и Федерального закона № 223-ФЗ, в случаях, предусмотренных указанными федеральными законами.</t>
    </r>
  </si>
  <si>
    <r>
      <t>_____</t>
    </r>
    <r>
      <rPr>
        <vertAlign val="superscript"/>
        <sz val="10"/>
        <rFont val="Times New Roman"/>
        <family val="1"/>
        <charset val="204"/>
      </rPr>
      <t>13</t>
    </r>
    <r>
      <rPr>
        <sz val="10"/>
        <color indexed="9"/>
        <rFont val="Times New Roman"/>
        <family val="1"/>
        <charset val="204"/>
      </rPr>
      <t>_</t>
    </r>
    <r>
      <rPr>
        <sz val="10"/>
        <rFont val="Times New Roman"/>
        <family val="1"/>
        <charset val="204"/>
      </rPr>
      <t>Указывается сумма закупок товаров, работ, услуг, осуществляемых в соответствии с Федеральным законом № 44-ФЗ и Федеральным законом № 223-ФЗ.</t>
    </r>
  </si>
  <si>
    <r>
      <t>_____</t>
    </r>
    <r>
      <rPr>
        <vertAlign val="superscript"/>
        <sz val="10"/>
        <rFont val="Times New Roman"/>
        <family val="1"/>
        <charset val="204"/>
      </rPr>
      <t>14</t>
    </r>
    <r>
      <rPr>
        <sz val="10"/>
        <color indexed="9"/>
        <rFont val="Times New Roman"/>
        <family val="1"/>
        <charset val="204"/>
      </rPr>
      <t>_</t>
    </r>
    <r>
      <rPr>
        <sz val="10"/>
        <rFont val="Times New Roman"/>
        <family val="1"/>
        <charset val="204"/>
      </rPr>
      <t>Государственным (муниципальным) бюджетным учреждением показатель не формируется.</t>
    </r>
  </si>
  <si>
    <r>
      <t>_____</t>
    </r>
    <r>
      <rPr>
        <vertAlign val="superscript"/>
        <sz val="10"/>
        <rFont val="Times New Roman"/>
        <family val="1"/>
        <charset val="204"/>
      </rPr>
      <t>15</t>
    </r>
    <r>
      <rPr>
        <sz val="10"/>
        <color indexed="9"/>
        <rFont val="Times New Roman"/>
        <family val="1"/>
        <charset val="204"/>
      </rPr>
      <t>_</t>
    </r>
    <r>
      <rPr>
        <sz val="10"/>
        <rFont val="Times New Roman"/>
        <family val="1"/>
        <charset val="204"/>
      </rPr>
      <t>Указывается сумма закупок товаров, работ, услуг, осуществляемых в соответствии с Федеральным законом № 44-ФЗ.</t>
    </r>
  </si>
  <si>
    <r>
      <t>_____</t>
    </r>
    <r>
      <rPr>
        <vertAlign val="superscript"/>
        <sz val="10"/>
        <rFont val="Times New Roman"/>
        <family val="1"/>
        <charset val="204"/>
      </rPr>
      <t>16</t>
    </r>
    <r>
      <rPr>
        <sz val="10"/>
        <color indexed="9"/>
        <rFont val="Times New Roman"/>
        <family val="1"/>
        <charset val="204"/>
      </rPr>
      <t>_</t>
    </r>
    <r>
      <rPr>
        <sz val="10"/>
        <rFont val="Times New Roman"/>
        <family val="1"/>
        <charset val="204"/>
      </rPr>
      <t>Плановые показатели выплат на закупку товаров, работ, услуг по строке 26500 муниципального бюджетного учреждения должен быть не менее суммы показателей строк 26410, 26420, 26430, 26440 по соответствующей графе, муниципального автономного учреждения - не менее показателя строки 26430 по соответствующей графе.</t>
    </r>
  </si>
  <si>
    <t>КФСР</t>
  </si>
  <si>
    <t>КВР</t>
  </si>
  <si>
    <t>КОСГУ</t>
  </si>
  <si>
    <t>Содержание воспитателей ГПД, содержание дополнительной штатной численности поваров</t>
  </si>
  <si>
    <t>Летняя занятость подростков</t>
  </si>
  <si>
    <t>Летняя и осенняя оздоровительные кампании</t>
  </si>
  <si>
    <t>Перезарядка огнетушителей</t>
  </si>
  <si>
    <t>Расходный материал к принтерам (картриджи)</t>
  </si>
  <si>
    <t>Обслуживание СКУД (домофон)</t>
  </si>
  <si>
    <t>Осуществление экстренного выезда вневедомственной охраны на объект</t>
  </si>
  <si>
    <t>Техническое обслуживание средств видеонаблюдения</t>
  </si>
  <si>
    <t>Медикаменты</t>
  </si>
  <si>
    <t xml:space="preserve">Дезинфецирующие средства </t>
  </si>
  <si>
    <t xml:space="preserve">Песок на участки </t>
  </si>
  <si>
    <t xml:space="preserve">     0702 Общее образование </t>
  </si>
  <si>
    <t>федеральный бюджет</t>
  </si>
  <si>
    <t>Лабораторные исследования</t>
  </si>
  <si>
    <t xml:space="preserve">6.1. Расчеты (обоснования) расходов на оплату услуг связи </t>
  </si>
  <si>
    <t>Количество номеров</t>
  </si>
  <si>
    <t>Стоимость за единицу, руб.</t>
  </si>
  <si>
    <t>Доступ к сети интернет</t>
  </si>
  <si>
    <t>Итого по КОСГУ 221:</t>
  </si>
  <si>
    <t>6.3. Расчеты (обоснования) расходов на оплату коммунальных услуг</t>
  </si>
  <si>
    <t>Размер потребления ресурсов (бюд-т)</t>
  </si>
  <si>
    <t>Размер потребления ресурсов (возм-е)</t>
  </si>
  <si>
    <t>Размер потребления ресурсов</t>
  </si>
  <si>
    <t>Тариф (с учетом НДС), руб.</t>
  </si>
  <si>
    <t>Индексация,               %</t>
  </si>
  <si>
    <t>Итого ХВС</t>
  </si>
  <si>
    <t>Итого стоки</t>
  </si>
  <si>
    <t>Компонент на теплоэнергию, Гкал</t>
  </si>
  <si>
    <t xml:space="preserve">Компонент на теплоноситель, куб м </t>
  </si>
  <si>
    <t xml:space="preserve">Итого ГВС при промывке </t>
  </si>
  <si>
    <t>Обращение с ТКО</t>
  </si>
  <si>
    <t>Итого по КОСГУ 223:</t>
  </si>
  <si>
    <t>6. Расчеты (обоснования) расходов на прочую закупку товаров, работ, услуг (КВР 247) (строка 2640)</t>
  </si>
  <si>
    <t xml:space="preserve">6.3. Расчеты (обоснования) расходов на оплату коммунальных услуг </t>
  </si>
  <si>
    <t>Итого тепловая энергия:</t>
  </si>
  <si>
    <t xml:space="preserve">Электрическая энергия  </t>
  </si>
  <si>
    <t>Итого по КОСГУ 349 :</t>
  </si>
  <si>
    <t>Запчасти для автобуса</t>
  </si>
  <si>
    <t>Хозяйственные товары, спец.одежда,</t>
  </si>
  <si>
    <t>Итого по КОСГУ 344 :</t>
  </si>
  <si>
    <t>Итого по КОСГУ 343 :</t>
  </si>
  <si>
    <t>Бензин</t>
  </si>
  <si>
    <t>Итого по КОСГУ 341 :</t>
  </si>
  <si>
    <t xml:space="preserve">Медицинский осмотр (первичные и периодический)                   </t>
  </si>
  <si>
    <t>Стоимость работ (услуг), руб.</t>
  </si>
  <si>
    <t xml:space="preserve">6.6. Расчеты (обоснования) расходов на оплату прочих работ, услуг </t>
  </si>
  <si>
    <t>Гидропневматическая промывка</t>
  </si>
  <si>
    <t>Техническое обслуживание АИТП</t>
  </si>
  <si>
    <t>Испытание внутреннего противопожарного водопровода, пожарных кранов в здании</t>
  </si>
  <si>
    <t>6.5. Расчеты (обоснования) расходов на оплату работ, услуг по содержанию имущества</t>
  </si>
  <si>
    <t>Теплоэнергия, Гкал  1 полугодие</t>
  </si>
  <si>
    <t>Компонент на теплоэнергию, Гкал 1 полугодие</t>
  </si>
  <si>
    <t>Компонент на теплоэнергию, Гкал 2 полугодие</t>
  </si>
  <si>
    <t>Техническое обслуживание средств сигнализации</t>
  </si>
  <si>
    <t>ГВС, использованное при промывке:</t>
  </si>
  <si>
    <t>Тех осблуживание и ремонт орг.техники, заправка картриджей</t>
  </si>
  <si>
    <t>6.7. Расчеты (обоснования) расходов на страхование</t>
  </si>
  <si>
    <t>ОСАГО страховка автобуса</t>
  </si>
  <si>
    <t>Итого по КОСГУ 227:</t>
  </si>
  <si>
    <t>71-139</t>
  </si>
  <si>
    <t>Работы по дезинсекции (акарицидная обработка) территории сада 7603,95*0,85</t>
  </si>
  <si>
    <t>Акарицидная обработка 10180*0,85</t>
  </si>
  <si>
    <t>Программное обслуж. 1С Бухгалтерия, 1С Зарплата</t>
  </si>
  <si>
    <t xml:space="preserve">Программное обслуж. 1С Бухгалтерия, 1С Зарплата                                                                                                                                                          </t>
  </si>
  <si>
    <t>Поверка приборов учета тепловой энергии</t>
  </si>
  <si>
    <t>Ремонт оргтехники, заправка картриджей</t>
  </si>
  <si>
    <t>Ремонт технологического оборудования</t>
  </si>
  <si>
    <t xml:space="preserve">Поверка приборов учета </t>
  </si>
  <si>
    <t>Обслуживание сайта</t>
  </si>
  <si>
    <t>Профилактическая дератизация 2000 кв.м. * 10,20</t>
  </si>
  <si>
    <t>КАЛЬКУЛЯЦИЯ СТОИМОСТИ ПУТЕВКИ</t>
  </si>
  <si>
    <t>МОУ "Глажевская СОШ "</t>
  </si>
  <si>
    <t>В ОЗДОРОВИТЕЛЬНОМ ЛАГЕРЕ  ДНЕВНОГО ПРЕБЫВАНИЯ  ДЕТЕЙ</t>
  </si>
  <si>
    <t xml:space="preserve"> в 2023 году</t>
  </si>
  <si>
    <t>Количество путевок</t>
  </si>
  <si>
    <t>Опекаемые</t>
  </si>
  <si>
    <t>Число дней пребывания</t>
  </si>
  <si>
    <t>Стоимость путевки</t>
  </si>
  <si>
    <t xml:space="preserve">Родительская плата за путевки </t>
  </si>
  <si>
    <t>ДОХОДЫ</t>
  </si>
  <si>
    <t>Целевой взнос за путевки</t>
  </si>
  <si>
    <t>Бюджет</t>
  </si>
  <si>
    <t>ИТОГО доходов</t>
  </si>
  <si>
    <t>РАСХОДЫ</t>
  </si>
  <si>
    <t>на 1 к/д</t>
  </si>
  <si>
    <t>К/дни</t>
  </si>
  <si>
    <t>бюджет</t>
  </si>
  <si>
    <t>родит.средства</t>
  </si>
  <si>
    <t>Культрасходы</t>
  </si>
  <si>
    <t>Хозяйственные расходы</t>
  </si>
  <si>
    <t>Заработная плата с начислениями нач.лагерей</t>
  </si>
  <si>
    <t>Питание ребенка</t>
  </si>
  <si>
    <t xml:space="preserve">Организация питания </t>
  </si>
  <si>
    <t>Питания сотрудников 95% с начислениями</t>
  </si>
  <si>
    <t xml:space="preserve">Проезд до места работы сотрудников </t>
  </si>
  <si>
    <t>Оплата за медицинский осмотр</t>
  </si>
  <si>
    <t>% банка за квитанцию</t>
  </si>
  <si>
    <t>Стирка белья</t>
  </si>
  <si>
    <t>Страховка детей</t>
  </si>
  <si>
    <t>Сан.вирусол.исслед.воды</t>
  </si>
  <si>
    <t>ВСЕГО расходов необходимых</t>
  </si>
  <si>
    <t>Расчет потребности на детей ТЖС в СОШ на 2023 год</t>
  </si>
  <si>
    <t>кол-во детей ТСЖ</t>
  </si>
  <si>
    <t>ст-ть путевки по расчету на 2020 год</t>
  </si>
  <si>
    <t>Итого на путевки</t>
  </si>
  <si>
    <t>стоимость путевки область с коэф. 1.04 к 2019 году</t>
  </si>
  <si>
    <t>общая сумма обл+местн.</t>
  </si>
  <si>
    <t>в том числе</t>
  </si>
  <si>
    <t>область</t>
  </si>
  <si>
    <t>мест. софин</t>
  </si>
  <si>
    <t>местн</t>
  </si>
  <si>
    <t>0709</t>
  </si>
  <si>
    <t>Другие вопросы в области образования (Летняя и осенняя оздоровительная кампании)</t>
  </si>
  <si>
    <t>Начальник лагеря</t>
  </si>
  <si>
    <t>местный</t>
  </si>
  <si>
    <t>областные</t>
  </si>
  <si>
    <t>дезинсекция пост.принадлежностей</t>
  </si>
  <si>
    <t>сан.вирусолог.исследования воды(лагерь)</t>
  </si>
  <si>
    <t>Оплата за мед.осмотр</t>
  </si>
  <si>
    <t>Трудовые книжки ,вкладыши</t>
  </si>
  <si>
    <t>1.3. Расчеты (обоснования) выплат персоналу при направлении в служебные командировки (КВР 112)</t>
  </si>
  <si>
    <t>Итого по КОСГУ 222:</t>
  </si>
  <si>
    <t>Проезд до места работы сотрудников</t>
  </si>
  <si>
    <t xml:space="preserve">питаниеи ребенка </t>
  </si>
  <si>
    <t>Организация питания</t>
  </si>
  <si>
    <t>организация питания сотрудников , возмещение  5 %</t>
  </si>
  <si>
    <t>процент банка за квитанцию</t>
  </si>
  <si>
    <t>стирка белья</t>
  </si>
  <si>
    <t>Итого по КОСГУ 227</t>
  </si>
  <si>
    <t>хоз.расходы</t>
  </si>
  <si>
    <t>культрасходы</t>
  </si>
  <si>
    <t>Итого по КОСГУ 226</t>
  </si>
  <si>
    <t>питание сотрудников 95 % с начислениями</t>
  </si>
  <si>
    <t>сан.вирусолог.исследования воды</t>
  </si>
  <si>
    <t xml:space="preserve"> 0709 211</t>
  </si>
  <si>
    <t xml:space="preserve"> 0709 213</t>
  </si>
  <si>
    <t>0709 222</t>
  </si>
  <si>
    <t>0709 225</t>
  </si>
  <si>
    <t>0709 226</t>
  </si>
  <si>
    <t>0709 227</t>
  </si>
  <si>
    <t>0709 346</t>
  </si>
  <si>
    <t>Приложение № 2 к постановлению
от 25.11.2022 № 2521</t>
  </si>
  <si>
    <t xml:space="preserve">Приложение № 4 к Порядку </t>
  </si>
  <si>
    <r>
      <rPr>
        <b/>
        <sz val="12"/>
        <color theme="1"/>
        <rFont val="Times New Roman"/>
        <family val="1"/>
        <charset val="204"/>
      </rPr>
      <t>Наименование учреждения</t>
    </r>
    <r>
      <rPr>
        <sz val="12"/>
        <color theme="1"/>
        <rFont val="Times New Roman"/>
        <family val="1"/>
        <charset val="204"/>
      </rPr>
      <t xml:space="preserve"> </t>
    </r>
  </si>
  <si>
    <t>Наименование показателей: поступления, расходы</t>
  </si>
  <si>
    <t>Утвержденный План</t>
  </si>
  <si>
    <t>Уточнение показателей Плана (+; -)</t>
  </si>
  <si>
    <t xml:space="preserve">Уточненный план </t>
  </si>
  <si>
    <t>Субсидии на финансовое обеспечение выполнения муниципального задания за счет средств бюджета публично-правового образования, создавшего учреждение</t>
  </si>
  <si>
    <t>0702</t>
  </si>
  <si>
    <t>Итого поступления</t>
  </si>
  <si>
    <t>Оплата труда</t>
  </si>
  <si>
    <t xml:space="preserve">Итого по КОСГУ 211 КВР 111 </t>
  </si>
  <si>
    <t>Итого по КОСГУ 213 КВР 119</t>
  </si>
  <si>
    <t>Итого по КОСГУ 221 КВР 244</t>
  </si>
  <si>
    <t>Водоотведение</t>
  </si>
  <si>
    <t>Итого по КОСГУ 223 КВР 244</t>
  </si>
  <si>
    <t>Итого по КОСГУ 223 КВР 247</t>
  </si>
  <si>
    <t>Итого по КОСГУ 225 КВР 244</t>
  </si>
  <si>
    <t>Итого по КОСГУ 226 КВР 244</t>
  </si>
  <si>
    <t>Итого по КОСГУ 227 КВР 244</t>
  </si>
  <si>
    <t>Итого по КОСГУ 310 КВР 244</t>
  </si>
  <si>
    <t>Итого по КОСГУ 341 КВР 244</t>
  </si>
  <si>
    <t>Итого по КОСГУ 345 КВР 244</t>
  </si>
  <si>
    <t>Итого по КОСГУ 346 КВР 244</t>
  </si>
  <si>
    <t>Итого расходы</t>
  </si>
  <si>
    <t>Итого выплаты, уменьшающие доход</t>
  </si>
  <si>
    <t>0701</t>
  </si>
  <si>
    <t>взносы по обязательному социальному страхованию на выплаты по оплате труда работников и иные выплаты работникам учреждений</t>
  </si>
  <si>
    <t xml:space="preserve">Дезинсекция   </t>
  </si>
  <si>
    <t xml:space="preserve">Обучение персонала занятого контролем тепловых установок </t>
  </si>
  <si>
    <t>Обучение персонала занятого контролем элетроустановок</t>
  </si>
  <si>
    <t xml:space="preserve">Медицинский осмотр (первичные и периодический)      </t>
  </si>
  <si>
    <t>питание ребенка</t>
  </si>
  <si>
    <t>организация питания</t>
  </si>
  <si>
    <t>оплата за мед.осмотр</t>
  </si>
  <si>
    <t>сан. вирусолог. исследования воды</t>
  </si>
  <si>
    <t>Стол для работы с тестом СКРТ 12*8 (1200*800*870)</t>
  </si>
  <si>
    <t>Средняя стоимость, руб.</t>
  </si>
  <si>
    <t xml:space="preserve">Расчистка территории и кровли от снега </t>
  </si>
  <si>
    <t>Расчеты (обоснования) к плану финансово-хозяйственной деятельности муниципального учреждения по выплатам на 2025 год</t>
  </si>
  <si>
    <t>Сумма, руб</t>
  </si>
  <si>
    <t>на 2025 год</t>
  </si>
  <si>
    <t>Задолженность по доходам (дебиторская задолженность по доходам) на начало года</t>
  </si>
  <si>
    <t>Полученные предварительные платежи (авансы) по контрактам (договорам) (кредиторская задолженность по доходам) на начало года</t>
  </si>
  <si>
    <t>доходы от оказания услуг, выполнения работ, в рамках установленного муниципального задания</t>
  </si>
  <si>
    <t>доходы от иной приносящей доход деятельности</t>
  </si>
  <si>
    <t>доходы, поступающие в порядке возмещения расходов, понесенных в связи с эксплуатацией имущества, находящегося в оперативном управлении бюджетных и автономных учреждений</t>
  </si>
  <si>
    <t>Задолженность по доходам (дебиторская задолженность по доходам) на конец года</t>
  </si>
  <si>
    <t>Полученные предварительные платежи (авансы) по контрактам (договорам) (кредиторская задолженность по доходам) на конец года</t>
  </si>
  <si>
    <t>3.1.  Детализированные расчеты поступлений от оказания платных услуг (работ), компенсации затрат учреждений</t>
  </si>
  <si>
    <t xml:space="preserve">3.1.1. Расчет плановых поступлений от оказания услуг (выполнения работ) в рамках установленного муниципального </t>
  </si>
  <si>
    <t>Наименование услуги (работы)</t>
  </si>
  <si>
    <t>Плата (тариф) за единицу услуги (работы)</t>
  </si>
  <si>
    <t>Планируемый объем оказания услуг (выполнения работ)</t>
  </si>
  <si>
    <t>Общий объем планируемых поступлений</t>
  </si>
  <si>
    <t>на 2024 год</t>
  </si>
  <si>
    <t>Реализация основных общеобразовательных программ начального общего образования</t>
  </si>
  <si>
    <t>Реализация основных общеобразовательных программ основного общего образования</t>
  </si>
  <si>
    <t>Присмотр и уход (ГПД)</t>
  </si>
  <si>
    <t>Присмотр и уход</t>
  </si>
  <si>
    <t>Организация отдыха детей и молодежи</t>
  </si>
  <si>
    <t>Содержание имущества</t>
  </si>
  <si>
    <t>Итого</t>
  </si>
  <si>
    <t>3.2.  Детализированные расчеты поступлений от оказания платных услуг (работ), компенсации затрат учреждений</t>
  </si>
  <si>
    <t>3.2.1. Расчет плановых поступлений от иной приносящей доход деятельности</t>
  </si>
  <si>
    <t>Итого по КОСГУ 342 КВР 244</t>
  </si>
  <si>
    <t xml:space="preserve">Электротовары </t>
  </si>
  <si>
    <t>Приобретение продуктов питания</t>
  </si>
  <si>
    <t>поступление родительской платы за детский сад</t>
  </si>
  <si>
    <t>Субвенции по выплате компенсации части родительской платы за присмотр и уход за ребенком в образовательных организациях</t>
  </si>
  <si>
    <t>1004</t>
  </si>
  <si>
    <t>241</t>
  </si>
  <si>
    <t>Компенсация части родительской платы / Приобретение продуктов питания</t>
  </si>
  <si>
    <t>Наименование должности (профессии)</t>
  </si>
  <si>
    <t>Кол-во шт. единиц</t>
  </si>
  <si>
    <t>Расчетная величина для определения должностных                                                                      окладов  (окладов, ставок заработной платы для                                                        педагогических работников) работников</t>
  </si>
  <si>
    <t>межуровневые коэффициенты для определения должностных окладов (окладов, ставок заработной платы для педагогических работников) работников</t>
  </si>
  <si>
    <t xml:space="preserve">Размер должностного оклада (оклада, ставки заработной платы для педагогических работников) работника (за исключением руководителей, заместителей руководителей и главных бухгалтеров) </t>
  </si>
  <si>
    <t>квалиф. категория</t>
  </si>
  <si>
    <t>Окладо-ставочная часть</t>
  </si>
  <si>
    <t>Компенсационные выплаты за выполнение отдельных дополнительных обязанностей</t>
  </si>
  <si>
    <t>Должностной оклад                                                                             и компенсационные выплаты</t>
  </si>
  <si>
    <r>
      <t xml:space="preserve">Стимулирующие выплаты                                 </t>
    </r>
    <r>
      <rPr>
        <b/>
        <sz val="11"/>
        <color indexed="10"/>
        <rFont val="Times New Roman"/>
        <family val="1"/>
        <charset val="204"/>
      </rPr>
      <t xml:space="preserve">                  </t>
    </r>
    <r>
      <rPr>
        <b/>
        <sz val="11"/>
        <color indexed="8"/>
        <rFont val="Times New Roman"/>
        <family val="1"/>
        <charset val="204"/>
      </rPr>
      <t xml:space="preserve">            </t>
    </r>
  </si>
  <si>
    <t>Итого                               ФОТ                               в месяц,                             руб.</t>
  </si>
  <si>
    <t>ВСЕГО                        ФОТ                                       за период,                                 руб.</t>
  </si>
  <si>
    <t>Страховые взносы за период  КОСГУ 213</t>
  </si>
  <si>
    <r>
      <t xml:space="preserve">по должностям работников образования </t>
    </r>
    <r>
      <rPr>
        <sz val="9"/>
        <color indexed="8"/>
        <rFont val="Times New Roman"/>
        <family val="1"/>
        <charset val="204"/>
      </rPr>
      <t/>
    </r>
  </si>
  <si>
    <t xml:space="preserve">по общеотраслевым должностям                                          руководителей, специалистов и служащих                                                                      </t>
  </si>
  <si>
    <t xml:space="preserve">по общеотраслевым профессиям рабочих </t>
  </si>
  <si>
    <t>компенсирующая надбавка</t>
  </si>
  <si>
    <t>комбинированная надбавка</t>
  </si>
  <si>
    <r>
      <t xml:space="preserve">за выполнение функций                                                        классного руководителя                                                                   </t>
    </r>
    <r>
      <rPr>
        <b/>
        <sz val="11"/>
        <color indexed="10"/>
        <rFont val="Times New Roman"/>
        <family val="1"/>
        <charset val="204"/>
      </rPr>
      <t xml:space="preserve"> федеральный бюджет</t>
    </r>
  </si>
  <si>
    <t>вредность 4% СОУТ</t>
  </si>
  <si>
    <t>среднее профессиональное образование</t>
  </si>
  <si>
    <t>высшее профессиональное образование</t>
  </si>
  <si>
    <t>квалификационный                                              разряд</t>
  </si>
  <si>
    <t>межуровней                                               коэффициент</t>
  </si>
  <si>
    <t>директор</t>
  </si>
  <si>
    <t>прочие</t>
  </si>
  <si>
    <t>СРЕДНИЙ</t>
  </si>
  <si>
    <t>Воспитатель (среднее образование)</t>
  </si>
  <si>
    <t>Воспитатель (высшее образование)</t>
  </si>
  <si>
    <t>Инстуктор по физической культуре</t>
  </si>
  <si>
    <t>Музыкальный руководитель</t>
  </si>
  <si>
    <t>Педагог-психолог</t>
  </si>
  <si>
    <t>Учитель-логопед</t>
  </si>
  <si>
    <t>Бухгалтер</t>
  </si>
  <si>
    <t>Младший воспитатель</t>
  </si>
  <si>
    <t>Уборщик СП 2р.</t>
  </si>
  <si>
    <t>Дворник</t>
  </si>
  <si>
    <t>налоги в месяц</t>
  </si>
  <si>
    <t>5% от базы</t>
  </si>
  <si>
    <t>Таблицы в месяц</t>
  </si>
  <si>
    <t>Таблицы в год</t>
  </si>
  <si>
    <t>2% от Фот</t>
  </si>
  <si>
    <t>Премии в месяц</t>
  </si>
  <si>
    <t>Премии в год</t>
  </si>
  <si>
    <t>Всего</t>
  </si>
  <si>
    <t>Заведующий хозяйством</t>
  </si>
  <si>
    <t>Заведующий дошкольным отделением</t>
  </si>
  <si>
    <t>Областной</t>
  </si>
  <si>
    <t>1.2. Расчеты (обоснования) пособий за первые три дня временной нетрудоспособности за счет средств работодателя, в случае заболевания работника или полученной им травмы (за исключением несчастных случаев на производстве и профессиональных заболеваний) (КВР 111)</t>
  </si>
  <si>
    <t>Количество работников, чел.</t>
  </si>
  <si>
    <t>Средний размер выплаты на одного работника, руб.</t>
  </si>
  <si>
    <t xml:space="preserve">Первые три дня пособия по временной нетрудоспособности за счет средств работодателя </t>
  </si>
  <si>
    <t>Итого по КОСГУ 266:</t>
  </si>
  <si>
    <t xml:space="preserve">Итого по КОСГУ 266 КВР 111 </t>
  </si>
  <si>
    <t>Увеличение стоимости горюче-смазочных материалов</t>
  </si>
  <si>
    <t>Повышаюшие коэффициенты, квалиф. категория</t>
  </si>
  <si>
    <t>за проверку                                                         письменных работ</t>
  </si>
  <si>
    <r>
      <t xml:space="preserve">за выполнение функций                                                 классного руководителя                                                                   </t>
    </r>
    <r>
      <rPr>
        <b/>
        <sz val="11"/>
        <color indexed="10"/>
        <rFont val="Times New Roman"/>
        <family val="1"/>
        <charset val="204"/>
      </rPr>
      <t xml:space="preserve"> обласатной бюджет</t>
    </r>
  </si>
  <si>
    <t>За заведование кабинетом</t>
  </si>
  <si>
    <t>Зам.дир по УВР</t>
  </si>
  <si>
    <t>замы</t>
  </si>
  <si>
    <t>Зам.дир по ВР</t>
  </si>
  <si>
    <t>пед работники</t>
  </si>
  <si>
    <t>Зам.дир по безопасности</t>
  </si>
  <si>
    <t>Советник директора по воспитанию и взаимодействию с детскими и общественными объединениями</t>
  </si>
  <si>
    <t>Библиотекарь</t>
  </si>
  <si>
    <t>Учитель (среднее образование)</t>
  </si>
  <si>
    <t>Учитель (высшее образование)</t>
  </si>
  <si>
    <t>Педагог психолог</t>
  </si>
  <si>
    <t>Социальный педагог (высшее)</t>
  </si>
  <si>
    <t>Старшый вожатый</t>
  </si>
  <si>
    <t>Пед.доп.образов.(среднее образование)</t>
  </si>
  <si>
    <t>Пед.доп.образов.(высшее образование)</t>
  </si>
  <si>
    <t>Лаборант</t>
  </si>
  <si>
    <t xml:space="preserve">Рабочий по КОРЗ </t>
  </si>
  <si>
    <t>Водитель автомобиля</t>
  </si>
  <si>
    <t>Гардеробщик</t>
  </si>
  <si>
    <t>Секретарь</t>
  </si>
  <si>
    <t>Размер должностного оклада работника</t>
  </si>
  <si>
    <r>
      <t xml:space="preserve">Стимулирующие выплаты                                  </t>
    </r>
    <r>
      <rPr>
        <b/>
        <sz val="11"/>
        <color indexed="10"/>
        <rFont val="Times New Roman"/>
        <family val="1"/>
        <charset val="204"/>
      </rPr>
      <t xml:space="preserve">                          </t>
    </r>
    <r>
      <rPr>
        <b/>
        <sz val="11"/>
        <color indexed="8"/>
        <rFont val="Times New Roman"/>
        <family val="1"/>
        <charset val="204"/>
      </rPr>
      <t xml:space="preserve">            </t>
    </r>
  </si>
  <si>
    <t>Уборщик служебных помещений</t>
  </si>
  <si>
    <t>Классное руководство</t>
  </si>
  <si>
    <t>Первые три дня пособие по временной нетрудоспособности за счет средств работодателя</t>
  </si>
  <si>
    <t>на 5 мес.</t>
  </si>
  <si>
    <t>на 12 мес.</t>
  </si>
  <si>
    <t>Итого по КОСГУ 343 КВР 244</t>
  </si>
  <si>
    <t>Приобретение горюче-смазочных материалов (Бензин)</t>
  </si>
  <si>
    <t xml:space="preserve">     0702 Общее образование    77.1.ЕВ.51790</t>
  </si>
  <si>
    <t>Фонд оплаты труда, руб.</t>
  </si>
  <si>
    <t>0702 211</t>
  </si>
  <si>
    <t>0702 213</t>
  </si>
  <si>
    <t>на выплаты по оплате труда 771ЕВ51790</t>
  </si>
  <si>
    <t xml:space="preserve"> 0709 222</t>
  </si>
  <si>
    <t>Расчет плановых показателей по прочим поступлениям (510)</t>
  </si>
  <si>
    <t>Полное наименование учреждения</t>
  </si>
  <si>
    <t>Аналитический код подвида дохода</t>
  </si>
  <si>
    <t>1. Расчет прочих поступлений</t>
  </si>
  <si>
    <t>Увеличение остатков денежных средств за счет возврата залоговых платежей, задатков</t>
  </si>
  <si>
    <t>0010</t>
  </si>
  <si>
    <t>0011</t>
  </si>
  <si>
    <t>0012</t>
  </si>
  <si>
    <t>Увеличение остатков денежных средств за счет возврата ранее выплаченных авансов</t>
  </si>
  <si>
    <t>0020</t>
  </si>
  <si>
    <t>0021</t>
  </si>
  <si>
    <t>0022</t>
  </si>
  <si>
    <t>Увеличение остатков денежных средств за счет возврата ранее предоставленных кредитов, займов (ссуд)</t>
  </si>
  <si>
    <t>0030</t>
  </si>
  <si>
    <t>0031</t>
  </si>
  <si>
    <t>0032</t>
  </si>
  <si>
    <t>Увеличение остатков денежных средств за счет поступления в рамках расчетов между головным учреждением и обособленными подразделениями (филиалами)*</t>
  </si>
  <si>
    <t>0040</t>
  </si>
  <si>
    <t>0041</t>
  </si>
  <si>
    <t>0042</t>
  </si>
  <si>
    <t>Прочие поступления денежных средств</t>
  </si>
  <si>
    <t>0050</t>
  </si>
  <si>
    <t>Остаток средств на начало текущего финансового года</t>
  </si>
  <si>
    <t>0051</t>
  </si>
  <si>
    <t>0052</t>
  </si>
  <si>
    <t>9000</t>
  </si>
  <si>
    <t>Остаток на 01.01.2023 г. для возврата в бюджет</t>
  </si>
  <si>
    <t>Хранение автобуса</t>
  </si>
  <si>
    <t xml:space="preserve">Абон. плата за инф. услуги (Глонасс) </t>
  </si>
  <si>
    <t>Реализация основных общеобразовательных программ начального общего образования;адаптированная образовательная программа ;обучающиеся с ограниченными возможностями здоровья (ОВЗ)</t>
  </si>
  <si>
    <t>Реализация основных общеобразовательных программ основного общего образования.Адаптированная образовательная программа;обучающиеся с ограниченными возможностями здоровья (ОВЗ);</t>
  </si>
  <si>
    <t>Реализация основных общеобразовательных программ среднего общего образования</t>
  </si>
  <si>
    <t>Реализация основных общеобразовательных программ дошкольного образования(обучающиеся за исключением обучающихся с ограниченными возможностями здоровья ;от 1 года до 3 лет)</t>
  </si>
  <si>
    <t>Реализация основных общеобразовательных программ дошкольного образования(обучающиеся за исключением обучающихся с ограниченными возможностями здоровья ;от 3 лет до 8 лет)</t>
  </si>
  <si>
    <t>Реализация основных общеобразовательных программ дошкольного образования(адаптированная образовательная программа;обучающиеся с ограниченными возможностями (ОВЗ) от 3 лет до 8 лет)</t>
  </si>
  <si>
    <t>Реализация основных общеобразовательных программ дошкольного образования(от 3 лет до 8лет)</t>
  </si>
  <si>
    <t>Теплоэнергия 1 полуг.</t>
  </si>
  <si>
    <t>Теплоэнергия 2 полуг.</t>
  </si>
  <si>
    <t>Компонент на теплоэнергию 1 полуг.</t>
  </si>
  <si>
    <t>Компонент на теплоэнергию 2 полуг.</t>
  </si>
  <si>
    <t>Компонент теплоноситель 1 полуг.</t>
  </si>
  <si>
    <t>Компонент теплоноситель 2 полуг.</t>
  </si>
  <si>
    <t>Электроэнергия 1 полуг.</t>
  </si>
  <si>
    <t>Электроэнергия 2 полуг.</t>
  </si>
  <si>
    <t>Вода 1 полуг.</t>
  </si>
  <si>
    <t>Вода 2 полуг.</t>
  </si>
  <si>
    <t>Стоки 1 полуг.</t>
  </si>
  <si>
    <t>Стоки 2 полуг.</t>
  </si>
  <si>
    <t>Плата за негативное воздействие на работу централизованной системы водоотведения 1 полугодие</t>
  </si>
  <si>
    <t>Плата за негативное воздействие на работу централизованной системы водоотведения 2 полугодие</t>
  </si>
  <si>
    <t>Питание сотрудников 5%</t>
  </si>
  <si>
    <t>Предоставление спортивного зала (возмещение ком услуг)</t>
  </si>
  <si>
    <t>6.5. Расчеты (обоснования) расходов на оплату работ, услуг по содержанию имущества (КВР 244)</t>
  </si>
  <si>
    <t>Реализация основных общеобразовательных программ основного общего образования; проходящие обучение по состоянию здоровья на дому</t>
  </si>
  <si>
    <t>Строительные товары</t>
  </si>
  <si>
    <t>Итого по КОСГУ 344 КВР 244</t>
  </si>
  <si>
    <t>Оплата труда 77.1.ЕВ.51790</t>
  </si>
  <si>
    <t>взносы по обязательному социальному страхованию на выплаты по оплате труда работников и иные выплаты работникам учреждений 77.1.ЕВ.51790</t>
  </si>
  <si>
    <t>Субсидии на финансовое обеспечение выполнения муниципального задания за счет средств бюджета публично-правового образования, создавшего учреждение  77.1.ЕВ.51790</t>
  </si>
  <si>
    <t>УСН</t>
  </si>
  <si>
    <t>Бланки государственного образца (бланк аттестата)</t>
  </si>
  <si>
    <t xml:space="preserve">Бланки государственного образца (бланкт аттестата) </t>
  </si>
  <si>
    <t>Итого по КОСГУ 349 КВР 244</t>
  </si>
  <si>
    <t>Возврат в бюджет средств субсидии</t>
  </si>
  <si>
    <t>Техническое обслуживание, технический осмотр автобуса</t>
  </si>
  <si>
    <t>Акарицидная обработка территории школы</t>
  </si>
  <si>
    <t>1.7. Расчет обоснований (расчетов) расходов на уплату взносов на обязательное социальное страхование (КВР 119)</t>
  </si>
  <si>
    <t>Страховые взносы на обязательное пенсионное страхование, на обязательное социальное страхование на случай временной нетрудоспособности и в связи с материнством, на обязательное медицинское страхование, всего</t>
  </si>
  <si>
    <t xml:space="preserve">в том числе:
в пределах установленной единой предельной величины базы для исчисления страховых взносов по тарифу 30,0%
</t>
  </si>
  <si>
    <t>свыше установленной единой предельной величины базы для исчисления страховых взносов по тарифу 15,1%</t>
  </si>
  <si>
    <t>с применением пониженных тарифов страховых взносов для отдельных категорий плательщиков, всего</t>
  </si>
  <si>
    <t xml:space="preserve">в том числе:
по тарифу &lt;1&gt;
</t>
  </si>
  <si>
    <t>с применением дополнительных тарифов страховых взносов для отдельных категорий плательщиков, всего</t>
  </si>
  <si>
    <t>2.</t>
  </si>
  <si>
    <t>Страховые взносы на обязательное социальное страхование от несчастных случаев на производстве и профессиональных заболеваний по установленному тарифу, всего</t>
  </si>
  <si>
    <t>2.1</t>
  </si>
  <si>
    <t xml:space="preserve">в том числе:
обязательное социальное страхование от несчастных случаев на производстве и профессиональных заболеваний по тарифу 0,2%
</t>
  </si>
  <si>
    <t>2.2</t>
  </si>
  <si>
    <t>обязательное социальное страхование от несчастных случаев на производстве и профессиональных заболеваний по тарифу &lt;2&gt;</t>
  </si>
  <si>
    <t>2.3</t>
  </si>
  <si>
    <t>Уточнение расчета по страховым взносам на обязательное социальное страхование, всего</t>
  </si>
  <si>
    <t>2.4</t>
  </si>
  <si>
    <t xml:space="preserve">в том числе:
корректировка округления
</t>
  </si>
  <si>
    <t>2.5</t>
  </si>
  <si>
    <t>корректировка в связи с регрессом по страховым взносам</t>
  </si>
  <si>
    <t xml:space="preserve">&lt;1&gt; Указываются страховые тарифы, установленные главой 34 Налогового кодекса Российской Федерации (Собрание законодательства Российской Федерации, 2000, N 32, ст. 3340; 2016, N 27, ст. 4176; 2022, N 48, ст. 8310) 
</t>
  </si>
  <si>
    <t xml:space="preserve">&lt;2&gt; Указываются страховые тарифы, дифференцированные по классам профессионального риска, установленные Федеральным законом от 22 декабря 2005 г. N 179-ФЗ "О страховых тарифах на обязательное социальное страхование от несчастных случаев на производстве и профессиональных заболеваний на 2006 год" (Собрание законодательства Российской Федерации, 2005, N 52, ст. 5592; 2022, N 52, ст. 9347).
</t>
  </si>
  <si>
    <t>1.7. Расчет обоснований (расчетов) расходов на уплату взносов на обязательное социальное страхование (КВР 119) КЦСР 77.1.EB.51790</t>
  </si>
  <si>
    <t>1910</t>
  </si>
  <si>
    <t>в том числе: доходы от операций с нефинансовыми активами, всего</t>
  </si>
  <si>
    <t>в том числе: доходы от выбытия основных средств</t>
  </si>
  <si>
    <t>1911</t>
  </si>
  <si>
    <t>411</t>
  </si>
  <si>
    <t>доходы от выбытия нематериальных активов</t>
  </si>
  <si>
    <t>1912</t>
  </si>
  <si>
    <t>420</t>
  </si>
  <si>
    <t>доходы от выбытия непроизведенных активов</t>
  </si>
  <si>
    <t>1913</t>
  </si>
  <si>
    <t>430</t>
  </si>
  <si>
    <t>доходы от выбытия материальных запасов</t>
  </si>
  <si>
    <t>1914</t>
  </si>
  <si>
    <t>440</t>
  </si>
  <si>
    <t>доходы от выбытия биологических активов</t>
  </si>
  <si>
    <t>460</t>
  </si>
  <si>
    <t>Исполнитель Вайкум Любовь Вячеславовна 71-139</t>
  </si>
  <si>
    <t>расходы на закупку товаров, работ, услуг всего</t>
  </si>
  <si>
    <t>2600</t>
  </si>
  <si>
    <t>2610</t>
  </si>
  <si>
    <t>закупку товаров, работ, услуг в целях капитального ремонта муниципального имущества</t>
  </si>
  <si>
    <t>2630</t>
  </si>
  <si>
    <t>243</t>
  </si>
  <si>
    <t>в том числе:                                                                                                                           приобретение объектов недвижимого имущества муниципальными учреждениями</t>
  </si>
  <si>
    <t>пункт</t>
  </si>
  <si>
    <t>Приложение № 2 к Порядку</t>
  </si>
  <si>
    <t>Расчеты (обоснования) к плану финансово-хозяйственной деятельности муниципального учреждения по поступлениям</t>
  </si>
  <si>
    <t>1. Обоснование (расчет) плановых показателей поступлений доходов</t>
  </si>
  <si>
    <t>по статье 120 «Доходы от собственности» аналитической группы подвида доходов бюджетов</t>
  </si>
  <si>
    <t>0100</t>
  </si>
  <si>
    <t>0200</t>
  </si>
  <si>
    <t>Доходы от собственности, всего</t>
  </si>
  <si>
    <t>0300</t>
  </si>
  <si>
    <t>в том числе: доходы, получаемые в виде арендной либо иной платы за передачу в возмездное пользование муниципального имущества</t>
  </si>
  <si>
    <t>0310</t>
  </si>
  <si>
    <t>плата по соглашениям об установлении сервитута</t>
  </si>
  <si>
    <t>0320</t>
  </si>
  <si>
    <t>доходы в виде процентов по депозитам автономных учреждений в кредитных организациях</t>
  </si>
  <si>
    <t>0330</t>
  </si>
  <si>
    <t>доходы в виде процентов по остаткам средств на счетах автономных учреждений в кредитных организациях</t>
  </si>
  <si>
    <t>0340</t>
  </si>
  <si>
    <t>проценты, полученные от предоставления займов</t>
  </si>
  <si>
    <t>0350</t>
  </si>
  <si>
    <t>проценты по иным финансовым инструментам</t>
  </si>
  <si>
    <t>0360</t>
  </si>
  <si>
    <t>доходы в виде прибыли, приходящейся на доли в уставных (складочных) капиталах хозяйственных товариществ и обществ, или дивидендов по акциям принадлежащим бюджетным и автономным учреждениям</t>
  </si>
  <si>
    <t>0370</t>
  </si>
  <si>
    <t>доходы от распоряжения правами на результаты интеллектуальной деятельности и средствами индивидуализации</t>
  </si>
  <si>
    <t>0380</t>
  </si>
  <si>
    <t>прочие поступления от использования имущества, находящегося в оперативном управлении бюджетных и автономных учреждений</t>
  </si>
  <si>
    <t>0390</t>
  </si>
  <si>
    <t>0400</t>
  </si>
  <si>
    <t>0500</t>
  </si>
  <si>
    <t>Планируемые поступления доходов от собственности (с.0100 - с.0200 с. + 0300 - с. 0400 + с. 0500)</t>
  </si>
  <si>
    <t>0600</t>
  </si>
  <si>
    <t>Наименование объекта</t>
  </si>
  <si>
    <t>Плата (тариф) арендной платы за единицу площади (объект), руб</t>
  </si>
  <si>
    <t>Планируемый объем предоставления имущества в аренду (в натуральных показателях)</t>
  </si>
  <si>
    <t>Объем планируемых поступлений, руб</t>
  </si>
  <si>
    <t>город</t>
  </si>
  <si>
    <t>Недвижимое имущество, всего</t>
  </si>
  <si>
    <t>район</t>
  </si>
  <si>
    <t>0101</t>
  </si>
  <si>
    <t>Движимое имущество, всего</t>
  </si>
  <si>
    <t>0201</t>
  </si>
  <si>
    <t>1.1.2. Расчет доходов в виде процентов по депозитам автономных учреждений в кредитных организациях</t>
  </si>
  <si>
    <t>Наименование показателя (вид договора)</t>
  </si>
  <si>
    <t>среднегодовой объем средств, на которые начисляются проценты</t>
  </si>
  <si>
    <t>ставка размещения %</t>
  </si>
  <si>
    <t>сумма доходов в виде процентов</t>
  </si>
  <si>
    <t>ставка размещения, %</t>
  </si>
  <si>
    <t>и</t>
  </si>
  <si>
    <t>2. Расчет плановых поступлений в виде прибыли, приходящейся на доли в уставных (складочных) капиталах хозяйственных товариществ и обществ, или дивидендов по акциям, принадлежащим бюджетным и автономным учреждениям</t>
  </si>
  <si>
    <t>Размер прибыли на акцию (долю участия)</t>
  </si>
  <si>
    <t>Количество акций (размер участия, доля)</t>
  </si>
  <si>
    <t>Общий объем планируемых поступлений дивидендов (прибыли на долю участия)</t>
  </si>
  <si>
    <t>Поступления в виде прибыли, приходящейся на доли в уставных (складочных) капиталах хозяйственных товариществ и обществ, дивидендов по акциям, принадлежащим бюджетным и автономным учреждениям, всего</t>
  </si>
  <si>
    <t>X</t>
  </si>
  <si>
    <t>3. Обоснование (расчет) плановых показателей поступлений доходов по статье аналитической группы подвида доходов бюджетов</t>
  </si>
  <si>
    <r>
      <rPr>
        <u/>
        <sz val="12"/>
        <rFont val="Times New Roman"/>
        <family val="1"/>
        <charset val="204"/>
      </rPr>
      <t>130 "Доходы от оказания платных услуг, компенсаций затрат"</t>
    </r>
    <r>
      <rPr>
        <sz val="12"/>
        <rFont val="Times New Roman"/>
        <family val="1"/>
        <charset val="204"/>
      </rPr>
      <t>_</t>
    </r>
  </si>
  <si>
    <t>Доходы от оказания услуг, выполнения работ, компенсация затрат</t>
  </si>
  <si>
    <t>в том числе: субсидии на финансовое обеспечение выполнения муниципального задания за счет средств федерального бюджета (бюджета субъекта Российской Федерации, местного бюджета)</t>
  </si>
  <si>
    <t>кво4</t>
  </si>
  <si>
    <t>кфо2 ПОЛНОСТЬЮ</t>
  </si>
  <si>
    <t>кфо2 ПЛАТНЫЕ</t>
  </si>
  <si>
    <t>3.1.    Детализированные расчеты поступлений от оказания платных услуг (работ), компенсации затрат учреждений</t>
  </si>
  <si>
    <t>3.1.1.    Расчет плановых поступлений от оказания услуг (выполнения работ) в рамках установленного муниципального задания</t>
  </si>
  <si>
    <t>Код строк и</t>
  </si>
  <si>
    <t xml:space="preserve">Реализация основных общеобразовательных программ дошкольного образования, обучающиеся за исключением обучающихся с ограниченными возможностями здоровья; От 1 года до 3 лет </t>
  </si>
  <si>
    <t>ГР9 ИЗ ЗАЯВКИ НА ФИН ОБЕСПЕЧЕНИЕ ГР7</t>
  </si>
  <si>
    <t xml:space="preserve">Реализация основных общеобразовательных программ дошкольного образования, обучающиеся за исключением обучающихся с ограниченными возможностями здоровья; От 3 лет до 8 лет </t>
  </si>
  <si>
    <t>Присмотр и уход, физические лица льготных категорий, определяемых учредителем</t>
  </si>
  <si>
    <t>0003</t>
  </si>
  <si>
    <t>раздел 3 стр 0310+0320</t>
  </si>
  <si>
    <t>3.2. Детализированные расчеты поступлений от оказания платных услуг (работ), компенсации затрат учреждений</t>
  </si>
  <si>
    <r>
      <rPr>
        <u/>
        <sz val="12"/>
        <rFont val="Times New Roman"/>
        <family val="1"/>
        <charset val="204"/>
      </rPr>
      <t>3.2.1. Расчет плановых поступлений от иной приносящей доход деятельности</t>
    </r>
    <r>
      <rPr>
        <sz val="12"/>
        <rFont val="Times New Roman"/>
        <family val="1"/>
        <charset val="204"/>
      </rPr>
      <t>_</t>
    </r>
  </si>
  <si>
    <t>0 001</t>
  </si>
  <si>
    <t>0 002</t>
  </si>
  <si>
    <t>0 003</t>
  </si>
  <si>
    <t>на 2020 год (на текущий финансовый год)</t>
  </si>
  <si>
    <t>на 20_год (на очередной финансовый год)</t>
  </si>
  <si>
    <t>на 20_год (на первый год планового периода)</t>
  </si>
  <si>
    <t>на 20_год (на второй год планового периода)</t>
  </si>
  <si>
    <t>Прочие поступления, всего</t>
  </si>
  <si>
    <r>
      <rPr>
        <u/>
        <sz val="12"/>
        <rFont val="Times New Roman"/>
        <family val="1"/>
        <charset val="204"/>
      </rPr>
      <t>1.1. Детализированный расчет прочих поступлений (510)</t>
    </r>
  </si>
  <si>
    <t>на 20_год (на текущий финансовый год)</t>
  </si>
  <si>
    <t>на 20_ год (на очередной финансовый год)</t>
  </si>
  <si>
    <t>Возмещение средств от ФСС</t>
  </si>
  <si>
    <t>Увеличение остатка на 01 января</t>
  </si>
  <si>
    <t>* Показатель формируется в случае распределения показателей Плана между головным учреждением и его обособленными подразделениями</t>
  </si>
  <si>
    <t>Обоснования (расчеты) плановых показателей по прочим выплатам (610)</t>
  </si>
  <si>
    <t>1. Объем прочих выплат</t>
  </si>
  <si>
    <t>Объем расходов</t>
  </si>
  <si>
    <t>Прочие выплаты</t>
  </si>
  <si>
    <r>
      <rPr>
        <u/>
        <sz val="12"/>
        <rFont val="Times New Roman"/>
        <family val="1"/>
        <charset val="204"/>
      </rPr>
      <t>1.1. Расчет объема прочих выплат (610)</t>
    </r>
  </si>
  <si>
    <t>Уменьшение остатков денежных средств за счет перечисления залоговых платежей, задатков</t>
  </si>
  <si>
    <t>Уменьшение остатков средств при перечислении на депозиты</t>
  </si>
  <si>
    <t>Уменьшение остатков денежных средств за счет перечисления средств в целях предоставления займов (микрозаймов)</t>
  </si>
  <si>
    <t>0301</t>
  </si>
  <si>
    <t>Уменьшение остатков денежных средств за счет возврата в бюджет средств субсидии, предоставленной учреждению на финансовое обеспечение выполнения государственного (муниципального) задания</t>
  </si>
  <si>
    <t>0401</t>
  </si>
  <si>
    <t>Уменьшение остатков денежных средств за счет возврата в бюджет средств субсидии, предоставленной учреждению на иные цели</t>
  </si>
  <si>
    <t>0501</t>
  </si>
  <si>
    <t>Уменьшение остатков денежных средств за счет возврата в бюджет средств субсидии, предоставленной учреждению на капитальные вложения</t>
  </si>
  <si>
    <t>0601</t>
  </si>
  <si>
    <t>Уменьшение остатков денежных средств за счет выплат в рамках расчетов между головным учреждением и обособленными подразделениями</t>
  </si>
  <si>
    <t>0700</t>
  </si>
  <si>
    <t>Прочие выбытия денежных средств</t>
  </si>
  <si>
    <t>0800</t>
  </si>
  <si>
    <t>0801</t>
  </si>
  <si>
    <t>в том числе: аренда спортивного зала</t>
  </si>
  <si>
    <t>возмещение коммунальных+питание сотрудников</t>
  </si>
  <si>
    <t xml:space="preserve">Техническое обслуживание узла учета </t>
  </si>
  <si>
    <t>0701 343</t>
  </si>
  <si>
    <t>Техническое обслуживание узла учета</t>
  </si>
  <si>
    <t>увеличение суммы договора</t>
  </si>
  <si>
    <t>потребность</t>
  </si>
  <si>
    <t>расходы на выплаты военнослужащим и сотрудникам, имеющим специальные звания, зависящие от размера денежного довольствия</t>
  </si>
  <si>
    <t>133</t>
  </si>
  <si>
    <t>2180</t>
  </si>
  <si>
    <t>2181</t>
  </si>
  <si>
    <t>из них    гранты, предоставляемые бюджетным учреждениям</t>
  </si>
  <si>
    <t>613</t>
  </si>
  <si>
    <t>гранты, предоставляемые автономным учреждениям</t>
  </si>
  <si>
    <t>623</t>
  </si>
  <si>
    <t>гранты, предоставляемые иным некоммерческим организациям (за исключением бюджетных и автономных учреждений)</t>
  </si>
  <si>
    <t>634</t>
  </si>
  <si>
    <t>гранты, предоставляемыедругим организациям и физическим лицам</t>
  </si>
  <si>
    <t>2440</t>
  </si>
  <si>
    <t>взносы в международные огранизации</t>
  </si>
  <si>
    <t>2450</t>
  </si>
  <si>
    <t>2460</t>
  </si>
  <si>
    <r>
      <t>_____</t>
    </r>
    <r>
      <rPr>
        <vertAlign val="superscript"/>
        <sz val="10"/>
        <rFont val="Times New Roman"/>
        <family val="1"/>
        <charset val="204"/>
      </rPr>
      <t>10.1</t>
    </r>
    <r>
      <rPr>
        <sz val="10"/>
        <color indexed="9"/>
        <rFont val="Times New Roman"/>
        <family val="1"/>
        <charset val="204"/>
      </rPr>
      <t>_</t>
    </r>
    <r>
      <rPr>
        <sz val="10"/>
        <rFont val="Times New Roman"/>
        <family val="1"/>
        <charset val="204"/>
      </rPr>
      <t>В случае, если учреждению предоставляются субсидия на иные цели, субсидия на осуществление капитальных вложений или грант в форме субсидии в соответствии с абзацем первым пункта 4 статьи 78.1 Бюджетного Кодекса Российской Федерации в целях достижения результатов федерального проекта, в том числе входящего в состав соответствующего национального проекта (программы), определенного Указом Президента Российской Федерации от 7 мая 2018 г. №204 "О национальных целях и стратегических задачах развития Российской Федерации на период до 2024 года" (Собрание законодательства Российской Федерации, 2018, №20, ст.2817; №30, ст.4717), или регионального проекта, обеспечивающего достижение целей, показателей и результатов федерального проекта (далее - региональный проект), показатели строк 26310, 26421, 26430 и 26451 Раздела 2 "Сведения по выплатам на закупку товаров, работ, услуг" детализируются по коду целевой статьи (8-17 разряды кода классификации расходов бюджетов, при этом в рамках реализации регионального проекта в 8-10 разрядах могут указываться нули).</t>
    </r>
  </si>
  <si>
    <t>в том числе:  научно-исследовательских, опытно-конструкторских и технологических работ</t>
  </si>
  <si>
    <t>закупку товаров, работ, услуг в целях создания, развития, эксплуатации и вывода из эксплуатации государственных информационных систем</t>
  </si>
  <si>
    <t>2660</t>
  </si>
  <si>
    <t>2700</t>
  </si>
  <si>
    <t>2710</t>
  </si>
  <si>
    <t>строительство (реконструкция) объектов недвижимого имущества государственными (муниципальными) учреждениями</t>
  </si>
  <si>
    <t>2720</t>
  </si>
  <si>
    <r>
      <t>_____</t>
    </r>
    <r>
      <rPr>
        <vertAlign val="superscript"/>
        <sz val="12"/>
        <rFont val="Times New Roman"/>
        <family val="1"/>
        <charset val="204"/>
      </rPr>
      <t>7</t>
    </r>
    <r>
      <rPr>
        <sz val="12"/>
        <rFont val="Times New Roman"/>
        <family val="1"/>
        <charset val="204"/>
      </rPr>
      <t>_Показатели выплат по расходам на закупки товаров, работ, услуг, отраженные по строкам Раздела 1 "Поступления и выплаты" Плана, подлежат детализации в Разделе 2 "Сведения по выплатам на закупку товаров, работ, услуг" Плана.</t>
    </r>
  </si>
  <si>
    <t>специальные расходы</t>
  </si>
  <si>
    <t>2800</t>
  </si>
  <si>
    <t>880</t>
  </si>
  <si>
    <t>_____по строкам 2000 - 2800 - коды видов расходов бюджетов классификации расходов бюджетов;</t>
  </si>
  <si>
    <t>ГВС при промывке-Компонент по т/энергию</t>
  </si>
  <si>
    <t>ГВС при промывке - Компонент на теплоноситель</t>
  </si>
  <si>
    <t>Содержание имущества 0702</t>
  </si>
  <si>
    <t>итого</t>
  </si>
  <si>
    <t>Приобретение горюче-смазочных материалов (Бензин, масло)</t>
  </si>
  <si>
    <t>Бензин, масло</t>
  </si>
  <si>
    <t>Хозяйственные товары, спец.одежда</t>
  </si>
  <si>
    <t>0702 341</t>
  </si>
  <si>
    <t>МОУ "Глажевская СОШ" (дошкольное отделение)</t>
  </si>
  <si>
    <t>на питание детей за счет субсидии на выполнение муниципального задания</t>
  </si>
  <si>
    <t xml:space="preserve"> 2023 год</t>
  </si>
  <si>
    <t>компенсация</t>
  </si>
  <si>
    <t>дето-дни факт за 10 месяцев 2023</t>
  </si>
  <si>
    <t xml:space="preserve">Всего </t>
  </si>
  <si>
    <t>дето-дни план на 2 месяца 2023</t>
  </si>
  <si>
    <t>Отклонение плана от факта</t>
  </si>
  <si>
    <t xml:space="preserve">дето-дни  сад </t>
  </si>
  <si>
    <t>дето-дни 100%</t>
  </si>
  <si>
    <t>дето-дни сад 50%</t>
  </si>
  <si>
    <t>дето-дни сад 100%</t>
  </si>
  <si>
    <t>Всего сад</t>
  </si>
  <si>
    <t>Итого доходы</t>
  </si>
  <si>
    <t>Компенсация</t>
  </si>
  <si>
    <t>Итого доходы без компенсации</t>
  </si>
  <si>
    <t xml:space="preserve">Доходы от род.платы в ПФХД </t>
  </si>
  <si>
    <t>119-2,7%=115,81</t>
  </si>
  <si>
    <t>Стоимость питания без компенсации</t>
  </si>
  <si>
    <t>% от общей стоимости родительской платы</t>
  </si>
  <si>
    <t>ст-ть питания без компенсации</t>
  </si>
  <si>
    <t>остаток на 01.01.2023г.</t>
  </si>
  <si>
    <t>Остаток по питанию в сумме 157098,33 руб.  необходим для возрата в бюджет за неисполнение муниципального задания (детодни) в 2023 году.</t>
  </si>
  <si>
    <t>Услуги банка (Сбербанк)</t>
  </si>
  <si>
    <t>Налог (УСН 1% от доходов)</t>
  </si>
  <si>
    <t xml:space="preserve">Доходы от род.платы в План ФХД </t>
  </si>
  <si>
    <t>Обязуемся не допустить кредиторской задолженности за продукты питания.</t>
  </si>
  <si>
    <t>питание в Плане ФХД</t>
  </si>
  <si>
    <t>Экономия в цене образовалась в результате конкурсных процедур в течение 2023 года.</t>
  </si>
  <si>
    <t xml:space="preserve">СПРАВОЧНО: Кредиторская задолженность на 01.01.2023г. в сумме 18 827,37 руб. по страховым взносам на пенсионное страхование </t>
  </si>
  <si>
    <t>Примечание (указываются причины изменения показателей)</t>
  </si>
  <si>
    <t>Расчет ФОТ работников МОУ "Глажевская СОШ"                                       01.01.2024 - 31.12.2024</t>
  </si>
  <si>
    <t>с 01.01.2024-31.12.2024</t>
  </si>
  <si>
    <t>План финансово- хозяйственной деятельности на 2024 год</t>
  </si>
  <si>
    <t>26</t>
  </si>
  <si>
    <t>Предоставление абонентской линии, местные соединения</t>
  </si>
  <si>
    <t>Абонт. плата за доступ в Интернет</t>
  </si>
  <si>
    <t>Техническое обслуживание средств СКУД (домофон)</t>
  </si>
  <si>
    <t>Дератизация:  2171,98 кв.м * 10,80 руб/12</t>
  </si>
  <si>
    <t>Дератизация:  2000 кв.м * 10,80 руб/12</t>
  </si>
  <si>
    <t xml:space="preserve">ТО приборов объектовых оконечных ПАК "Стрелец-Мониторинг"и вып. работ (услуг) по круглосут. тех. мониторингу состояния СПС </t>
  </si>
  <si>
    <t>Осуществление экстренного выезда наряда вневедомственной охраны на объект</t>
  </si>
  <si>
    <t>Обновление программы Вижен-Софт (питание)</t>
  </si>
  <si>
    <t xml:space="preserve">Обслуживание СПС и СОУЭ </t>
  </si>
  <si>
    <t>Обслуживание средств тревожной сигнализации</t>
  </si>
  <si>
    <t>Обслуживание СПС и СОУЭ</t>
  </si>
  <si>
    <t>Проведение СОУТ</t>
  </si>
  <si>
    <t>Резерв на продукты питания (остаток на 01.01.2024г.)</t>
  </si>
  <si>
    <t>дето-дни  100% СВО</t>
  </si>
  <si>
    <t>ассигнования</t>
  </si>
  <si>
    <t>ФОТ +взн</t>
  </si>
  <si>
    <t>комм</t>
  </si>
  <si>
    <t>коммун</t>
  </si>
  <si>
    <t>Моющие, дезинфицирующие средства</t>
  </si>
  <si>
    <t>Семинары, обучение по пожарной безопасности,  обучение по охране труда, повышение квалификации пед.персонала,обучение персонала занятого контролем тепловых установок, обучение персонала занятого контролем элетроустановок,Аттестация по санитарно - гигиеническому обучению всех сотрудников</t>
  </si>
  <si>
    <t xml:space="preserve">Работы по дезинсекции (акарицидная обработка) территории сада </t>
  </si>
  <si>
    <t>Дезинфекция</t>
  </si>
  <si>
    <t>Тех обслуживание и ремонт орг.техники, заправка картриджей</t>
  </si>
  <si>
    <t>Расчеты (обоснования) к плану финансово-хозяйственной деятельности муниципального учреждения по выплатам на 2024 год</t>
  </si>
  <si>
    <t xml:space="preserve">Итого негативное воздействие на ЦСВ </t>
  </si>
  <si>
    <t>Обработка территории от борщевика</t>
  </si>
  <si>
    <t>Машинист по стирке и ремонту  спецодежды (белья)</t>
  </si>
  <si>
    <t>Рабочий по комплексному обслуживанию и ремонту зданий</t>
  </si>
  <si>
    <t>ночные*</t>
  </si>
  <si>
    <t>праздничные**</t>
  </si>
  <si>
    <t>Повар</t>
  </si>
  <si>
    <t>*</t>
  </si>
  <si>
    <t>Ночные : 12265*12 мес = 147180 р. /1780,6 ч = 82,65 руб. *20% = 16,53 руб. стоимость 1 часа ночных</t>
  </si>
  <si>
    <t xml:space="preserve">366*8 = 2928 * 16,53 = 48399,84 руб. на год /12 мес = 4024,99 / 3 ставки = 1344,44 руб. </t>
  </si>
  <si>
    <t>**</t>
  </si>
  <si>
    <t>Праздничные: 14 дней в 2024 году *24 часа = 336 часов *82,65 руб. стоимость 1 часа = 27 770,40 руб. / 12 мес  = 2314,20/ 3ставки= 771,40 руб.</t>
  </si>
  <si>
    <t>Расчет ФОТ работноков МОУ "Глажевская СОШ"                                       01.01.2024- 31.12.2024</t>
  </si>
  <si>
    <t xml:space="preserve">Размер должностного оклада работника </t>
  </si>
  <si>
    <t xml:space="preserve">Стимулирующие выплаты                            </t>
  </si>
  <si>
    <t>ВСЕГО                        ФОТ                                       за 2024,                                 руб.</t>
  </si>
  <si>
    <t xml:space="preserve">Приобретение простой неисключительной лицензии (Антивирус) </t>
  </si>
  <si>
    <t>Расчеты (обоснования) к плану финансово-хозяйственной деятельности муниципального учреждения по выплатам на 2026 год</t>
  </si>
  <si>
    <t xml:space="preserve">Обучение сотрудников, аттестация по санитарно-гигиеническому обучению сотрудников                                </t>
  </si>
  <si>
    <t>963324050</t>
  </si>
  <si>
    <t>Сейф для хранения медикаментов</t>
  </si>
  <si>
    <t>Комплект оборудования для пропоганды здорового образа жизни</t>
  </si>
  <si>
    <t>Приобретение медицинского оборудования</t>
  </si>
  <si>
    <t xml:space="preserve">Капитальный ремонт здания МОУ "Глажевская СОШ" </t>
  </si>
  <si>
    <t xml:space="preserve">Питание ребенка </t>
  </si>
  <si>
    <t>Питание сотрудников 95 % с начислениями</t>
  </si>
  <si>
    <t>Сан.вирусолог.исследования воды</t>
  </si>
  <si>
    <t>Благоустройство территории</t>
  </si>
  <si>
    <t>963324097</t>
  </si>
  <si>
    <t>Реализация мероприятий по модернизации школьных систем образования</t>
  </si>
  <si>
    <t>"Мероприятия по сохранению и развитию материально-технической базы муниципальных учреждений  дошкольного образования (приобретение основных средств и материальных запасов)" мед. оборудование</t>
  </si>
  <si>
    <t>Негативное воздействие на работу ЦСВ 1 полугодие</t>
  </si>
  <si>
    <t>Негативное воздействие на работу ЦСВ 2 полугодие</t>
  </si>
  <si>
    <t>Компонент на теплоэнергию 1 полугодие</t>
  </si>
  <si>
    <t>Компонент на теплоэнергию 2 полугодие</t>
  </si>
  <si>
    <t>Компонент на теплоноситель 1 полугодие</t>
  </si>
  <si>
    <t>Семинары, обучение по пожарной безопасности,  обучение по охране труда, повышение квалификации пед.персонала, обучение персонала занятого контролем тепловых установок, обучение персонала занятого контролем элетроустановок, аттестация по санитарно - гигиеническому обучению всех сотрудников</t>
  </si>
  <si>
    <t xml:space="preserve">Обучение сотрудников, аттестация по санитарно-гигиеническому обучению сотрудников                                 </t>
  </si>
  <si>
    <t>Абон.плата за инф. услуги (Глонасс)</t>
  </si>
  <si>
    <t>на 2026 год</t>
  </si>
  <si>
    <t>на 2024 год и плановый период 2025 и 2026 годов</t>
  </si>
  <si>
    <t>на 2024  год</t>
  </si>
  <si>
    <t>Пояснительная записка к плану финансово-хозяйственной деятельности  (изменений к плану) на 2024 год</t>
  </si>
  <si>
    <t>963324046</t>
  </si>
  <si>
    <t>963324061</t>
  </si>
  <si>
    <t>"Реализация мероприятий по модернизации школьных систем образования" 77.3.02.L7500</t>
  </si>
  <si>
    <t>"Мероприятия по сохранению и развитию материально-технической базы муниципальных учреждений  дошкольного образования (ремонт имущества и благоустройство территории)"</t>
  </si>
  <si>
    <t>1.3. Расчеты (обоснования) выплат персоналу при направлении в служебные командировки (КВР 112) прочие выплаты персоналу, в том числе компенсационного характера</t>
  </si>
  <si>
    <t xml:space="preserve">ФОТ </t>
  </si>
  <si>
    <t>налоги</t>
  </si>
  <si>
    <t>КВР 244</t>
  </si>
  <si>
    <t>КВР 247</t>
  </si>
  <si>
    <t>Водоотведение июль-ноябрь</t>
  </si>
  <si>
    <t>Теплоэнергия июль-ноябрь</t>
  </si>
  <si>
    <t>Водоснабжение июль-ноябрь</t>
  </si>
  <si>
    <t>Негативное воздействие на работу ЦСВ июль-ноябрь</t>
  </si>
  <si>
    <t>26600</t>
  </si>
  <si>
    <t xml:space="preserve">Итого по КОСГУ 222 КВР 112 </t>
  </si>
  <si>
    <t>Тепловая энергия</t>
  </si>
  <si>
    <t>СПРАВОЧНО:</t>
  </si>
  <si>
    <t>Электрическая энергия</t>
  </si>
  <si>
    <t>Кредиторская задолженность на 01.01.2024г.</t>
  </si>
  <si>
    <t>Дебиторская задолженность на 01.01.2024г.</t>
  </si>
  <si>
    <t>прочие выплаты персоналу, в том числе компенсационного характера (проезд до места работы сотрудников)</t>
  </si>
  <si>
    <t>учебные</t>
  </si>
  <si>
    <t xml:space="preserve">Рабочий по комплексному обслуживанию и ремонту зданий </t>
  </si>
  <si>
    <t xml:space="preserve">Уборщик служебных помещений </t>
  </si>
  <si>
    <t>Учебные расходы</t>
  </si>
  <si>
    <t>Педагог дополнительного образования (среднее образование)</t>
  </si>
  <si>
    <t>Педагог дополнительного образования (высшее образование)</t>
  </si>
  <si>
    <t>от  06 февраля 2024 г.</t>
  </si>
  <si>
    <t>увед. №1 от 11.01.24г.</t>
  </si>
  <si>
    <t>увед. №5 от 11.01.2024г, увед. №6 от 11.01.24г.</t>
  </si>
  <si>
    <t>увед №9 от 12.01.204г.</t>
  </si>
  <si>
    <t>Индукционная стационарная система ИЦР-30</t>
  </si>
  <si>
    <t>Учебники</t>
  </si>
  <si>
    <t xml:space="preserve">Химические препараты </t>
  </si>
  <si>
    <t>Тактильная мнемосхема</t>
  </si>
  <si>
    <t>Спортивный инвентарь</t>
  </si>
  <si>
    <t>Канцелярские товары, бумага</t>
  </si>
  <si>
    <t xml:space="preserve">итого </t>
  </si>
  <si>
    <t>Химические препараты</t>
  </si>
  <si>
    <t xml:space="preserve">Приобретение простой неисключительной лицензии (Сайт образовательной организации) </t>
  </si>
  <si>
    <t>от  05 февраля 2024 г.</t>
  </si>
  <si>
    <t>отражен остаток на 01.01.2024</t>
  </si>
  <si>
    <t>Увеличение стоимости лекарственных препаратов и материалов, применяемых в мед.целях</t>
  </si>
  <si>
    <t>Песок на участки</t>
  </si>
  <si>
    <t>поступление род платы без компенсации</t>
  </si>
  <si>
    <t>Налог 1% УСН</t>
  </si>
  <si>
    <t xml:space="preserve">Компенсация части родительской платы </t>
  </si>
  <si>
    <t>Дезинсекция</t>
  </si>
  <si>
    <t>потребность (с остатка на 01.01.2024)</t>
  </si>
  <si>
    <t xml:space="preserve">увед.№ 57 от17.01.2024 </t>
  </si>
  <si>
    <t xml:space="preserve">увед № 57 от 17.01.2024 компенсация </t>
  </si>
  <si>
    <t>Хозяйственные товары, моющие</t>
  </si>
  <si>
    <t>уменьшение суммы</t>
  </si>
  <si>
    <t>потребность в приобретении</t>
  </si>
  <si>
    <t>увед. №17 от 11.01.2024</t>
  </si>
  <si>
    <t>Расчеты (обоснования) к плану финансово-хозяйственной деятельности муниципального учреждения на 2026 год</t>
  </si>
  <si>
    <t xml:space="preserve"> в 2024 году</t>
  </si>
  <si>
    <t>Расчет потребности на детей ТЖС в СОШ на 2024 год</t>
  </si>
  <si>
    <t xml:space="preserve">     0702 Общее образование    77.2.ЕВ.51790</t>
  </si>
  <si>
    <t>оплата труда 77.2.ЕВ.51790</t>
  </si>
  <si>
    <t>6. Расчеты (обоснования) расходов на прочую закупку товаров, работ, услуг (КВР 243)</t>
  </si>
  <si>
    <t>Учебные расходы (канцелярские товары, игры, игрушки, наглядные учебные пособия, настольные развивающие игры, магнитные пособия, спортивный инвентарь )</t>
  </si>
  <si>
    <t>Итого по КОСГУ 225 КВР 243</t>
  </si>
  <si>
    <t>Устройство пандуса</t>
  </si>
  <si>
    <t>963324048</t>
  </si>
  <si>
    <t>"Мероприятия по сохранению и развитию материально-технической базы муниципальных учреждений  общего образования (приобретение основных средств и материальных запасов)"</t>
  </si>
  <si>
    <t>Приобретение медицинского оборудования ( тонометр с возрастными манжетами; секундомер; динамометр; оториноскоп с набором воронок; бактерицидный облучатель воздуха, переносной; вакуумный матрас)</t>
  </si>
  <si>
    <t>Ремонт принудительно - вытяжной вентиляции</t>
  </si>
  <si>
    <t>Ремонт площадки под мусорные контейнеры</t>
  </si>
  <si>
    <t>Ремонт помещений пищеблока (склад)</t>
  </si>
  <si>
    <t>Ремонт внутренних помещений (склад №2 пищеблока коридор №1, коридор входа)</t>
  </si>
  <si>
    <t>"Мероприятия по сохранению и развитию материально-технической базы муниципальных учреждений  общего образования (приобретение основных средств и материальных запасов)" мед. оборудование</t>
  </si>
  <si>
    <t>963324045</t>
  </si>
  <si>
    <t xml:space="preserve">увед. №355 от 11.03.24г.                     </t>
  </si>
  <si>
    <t xml:space="preserve">увед. №361 от 11.03.24г.                     </t>
  </si>
  <si>
    <t xml:space="preserve">увед.№ 325 от 11.03.2024 </t>
  </si>
  <si>
    <t xml:space="preserve">увед. №390 от 11.03.24г.                     </t>
  </si>
  <si>
    <t>Монтаж автоматической системы пожарной сигнализации и системы оповещения людей при пожаре</t>
  </si>
  <si>
    <t xml:space="preserve">увед.№ 361 от 11.03.2024 </t>
  </si>
  <si>
    <t xml:space="preserve">увед № 390 от 11.03.2024 </t>
  </si>
  <si>
    <t>Исполнитель Назарова Маргарита Анатольевна71-139</t>
  </si>
  <si>
    <t>от  21 марта 2024 г.</t>
  </si>
  <si>
    <t>М.А. Назарова</t>
  </si>
  <si>
    <t xml:space="preserve">увед.№ 355 от 11.03.2024 </t>
  </si>
  <si>
    <t xml:space="preserve">увед № 355 от 11.03.2024 </t>
  </si>
  <si>
    <t xml:space="preserve">увед № 390 от 11.03.2024  </t>
  </si>
  <si>
    <t>0701 264</t>
  </si>
  <si>
    <t>2.1. Расчеты (обоснования) расходов на выплату уволенным работникам среднего месячного заработка на период трудоустройства, в случае их увольнения в связи с ликвидацией организации, иными организационно-штатными мероприятиями, приводящими к сокращению численности или штата работников организации, осуществляемые на основании статей 178 и 318 Трудового кодекса Российской Федерации (КВР 321)</t>
  </si>
  <si>
    <t>Итого по КОСГУ 264:</t>
  </si>
  <si>
    <t>Средний заработок на период трудоустройства</t>
  </si>
  <si>
    <t>2. Расчеты (обоснования) социальных и иных выплат населению (строка 2200)</t>
  </si>
  <si>
    <t>в связи с увеличением КОСГУ 264</t>
  </si>
  <si>
    <t>Итого по КОСГУ 264 КВР 321</t>
  </si>
  <si>
    <t>Расходы на выплату  среднего месячного заработка на период трудоустройства</t>
  </si>
  <si>
    <t>Ноутбук Lenovo</t>
  </si>
  <si>
    <t>Портативная колонка JBL</t>
  </si>
  <si>
    <t>Расходный материал к принтерами, картриджи</t>
  </si>
  <si>
    <t>Медикаменты, медицинские изделия</t>
  </si>
  <si>
    <t>Уведомление №255 от 18.04.24г.</t>
  </si>
  <si>
    <t>Возмещение ком. услуг</t>
  </si>
  <si>
    <t>Не требуется</t>
  </si>
  <si>
    <t>Уведомление № 255 от 18.04.24г.</t>
  </si>
  <si>
    <t>Заключены договора.</t>
  </si>
  <si>
    <t>Доход от аренды спорт. зала</t>
  </si>
  <si>
    <t>Заключен договор</t>
  </si>
  <si>
    <t>Нет необходимости</t>
  </si>
  <si>
    <t>Перенос на заправку огн.</t>
  </si>
  <si>
    <t>Договор зкалючен</t>
  </si>
  <si>
    <t>Компьютерная техника (принтер, МФУ, ноутбук)</t>
  </si>
  <si>
    <t>Телевизор ЖК 65"</t>
  </si>
  <si>
    <t>Витрина демонстрационная</t>
  </si>
  <si>
    <t>Уведомление №243 от 17.04.24г. Ком. предл. №314 от 15.04.24</t>
  </si>
  <si>
    <t>Увеличение суммы договора</t>
  </si>
  <si>
    <t>Уведомление № 243 от 17.04.24г.</t>
  </si>
  <si>
    <t>Расчет ФОТ работников МОУ "Глажевская СОШ"                                       01.09.2024 - 31.12.2024</t>
  </si>
  <si>
    <t>С 01.09.2024г. по 31.12.2024г.</t>
  </si>
  <si>
    <t>Расчет ФОТ работников МОУ "Глажевская СОШ"                                       01.07.2024 - 31.08.2024</t>
  </si>
  <si>
    <t xml:space="preserve">Компенсационные выплаты </t>
  </si>
  <si>
    <t>Старший вожатый</t>
  </si>
  <si>
    <t>уборщик на 4ст.</t>
  </si>
  <si>
    <t>дворник 1</t>
  </si>
  <si>
    <t>гардеробщик 2</t>
  </si>
  <si>
    <t>секретарь</t>
  </si>
  <si>
    <t>Стало</t>
  </si>
  <si>
    <t>Было</t>
  </si>
  <si>
    <t>ПЛЮСОм</t>
  </si>
  <si>
    <t xml:space="preserve">секретарь </t>
  </si>
  <si>
    <t>учебные расходы</t>
  </si>
  <si>
    <t>по плану фхд уч.расх.</t>
  </si>
  <si>
    <t>Расчет ФОТ работников МОУ "Глажевская СОШ"                                       01.01.2024 - 30.06.2024</t>
  </si>
  <si>
    <t>Расчет ФОТ работников                               01.01.2024- 30.06.2024</t>
  </si>
  <si>
    <t>Доплата на Указ Президента</t>
  </si>
  <si>
    <t>Инструктор по физической культуре</t>
  </si>
  <si>
    <t>дворник 2</t>
  </si>
  <si>
    <t>воспит.2,1ст.</t>
  </si>
  <si>
    <t>Отклонение</t>
  </si>
  <si>
    <t>инструктор 0,1ст.</t>
  </si>
  <si>
    <t>муз.рук.0,25ст.</t>
  </si>
  <si>
    <t>пед.психолог 0,5ст.</t>
  </si>
  <si>
    <t>с 01.01.2024 по 30.06.2024</t>
  </si>
  <si>
    <t>С 01.07.2024г. по 31.08.2024г.</t>
  </si>
  <si>
    <t>С 01.01.2024г. по 30.06.2024г.</t>
  </si>
  <si>
    <t>Ё</t>
  </si>
  <si>
    <t>Замена блока СКЗИ  в тахографе</t>
  </si>
  <si>
    <t>Перенос на тех. обсл. тех. осм. автобуса</t>
  </si>
  <si>
    <t>Перенос на аккариц. обротку и замену блока СКЗИ</t>
  </si>
  <si>
    <t>Перенос на замену блока СКЗИ</t>
  </si>
  <si>
    <t xml:space="preserve"> Предписание Прокуратуры. Коммерческое предложение №373 от 02.05.24г.</t>
  </si>
  <si>
    <t>Необходимо для дог. на  зап. части. Доход от аренды спорт. зала</t>
  </si>
  <si>
    <t>Перенос с 310</t>
  </si>
  <si>
    <t>Заключены договоры.</t>
  </si>
  <si>
    <t xml:space="preserve">Коммерческое предложение № 255 от 26.03.24г. </t>
  </si>
  <si>
    <t xml:space="preserve">Коммерческое предложение № 257 от 26.03.24г. </t>
  </si>
  <si>
    <t>с 01.09.2024 по 31.12.2024</t>
  </si>
  <si>
    <t>с 01.07.2024 по 31.08.2024</t>
  </si>
  <si>
    <t>Расчет ФОТ работников                               01.07.2024- 31.08.2024</t>
  </si>
  <si>
    <t>Расчет ФОТ работников                               01.09.2024- 31.12.2024</t>
  </si>
  <si>
    <t xml:space="preserve">стало </t>
  </si>
  <si>
    <t>было</t>
  </si>
  <si>
    <t>гпд</t>
  </si>
  <si>
    <t>школа</t>
  </si>
  <si>
    <t>сад</t>
  </si>
  <si>
    <t>оклад директора</t>
  </si>
  <si>
    <t>план средняя зарплата  52870</t>
  </si>
  <si>
    <t>Требует замены 1 раз в 3 года, ком. предл.</t>
  </si>
  <si>
    <t xml:space="preserve">Стимулирующие выплаты                                                               </t>
  </si>
  <si>
    <t>за выполнение функций                                                        классного руководителя                                                                    федеральный бюджет</t>
  </si>
  <si>
    <t>Расчет ФОТ работников  МОУ "Глажевская СОШ" (дошкольное отделение) 01.01.2024- 30.06.2024</t>
  </si>
  <si>
    <t>Расчет ФОТ работников  МОУ "Глажевская СОШ" (дошкольное отделение) 01.07.2024- 31.12.2024</t>
  </si>
  <si>
    <t>Приобретение картриджей</t>
  </si>
  <si>
    <t>Мышь оптическа</t>
  </si>
  <si>
    <t>Мышь оптическая</t>
  </si>
  <si>
    <t>Наглядные пособия</t>
  </si>
  <si>
    <t>Хозяйственные, сантехнические товары, электротовары</t>
  </si>
  <si>
    <t>Ежегодное продление неисключительных прав на использование ПО</t>
  </si>
  <si>
    <t>Ежегодное обновление, ком. предл. ФИС ФРДО</t>
  </si>
  <si>
    <t>Перенос на медикаменты по предписанию Прокуратуры. Коммерческое предложение №373 от 02.05.24г.</t>
  </si>
  <si>
    <t>Учебно-лабораторные материалы</t>
  </si>
  <si>
    <t>Перерасчет оплаты труда с 01.07.24 в связи с закрытием 1 группы</t>
  </si>
  <si>
    <t>Перенос на запр. огнет.; обучение; аккар. Обработку. Перерасчет оплаты труда с 01.07.24 в связи с закрытием 1 группы</t>
  </si>
  <si>
    <t xml:space="preserve">Перенос на ФИС ФРДО; .; перенос на 346; </t>
  </si>
  <si>
    <t>Уведомление № 255 от 18.04.24г. , ком. предл. № 378 от 06.05.24</t>
  </si>
  <si>
    <t>Перерасчет оплаты труда  с 01.07.24 в связи с открытием дополнительного класса, Уведомление № 255 от 18.04.24г.</t>
  </si>
  <si>
    <t>Перенос с канц. Товаров</t>
  </si>
  <si>
    <t>121</t>
  </si>
  <si>
    <t>от  13 июня 2024 г.</t>
  </si>
  <si>
    <t>Камерная обработка постельных принадлежностей</t>
  </si>
  <si>
    <t>Обеспечение деятельности муниципальных учреждений общего образования не в рамках муниципального задания ( летняя и осеннии оздоровительные компании)</t>
  </si>
  <si>
    <t>Уведомление №242 от 06.06.24г.</t>
  </si>
  <si>
    <t>Уведомление №287 от 06.06.24г.</t>
  </si>
  <si>
    <t>963324059</t>
  </si>
  <si>
    <t>Уведомление № 264 от 06.06.2024</t>
  </si>
  <si>
    <t>Уведомление №264 от 06.06.24г.</t>
  </si>
  <si>
    <t>Перенос на гидропн. промывку и ремонт техн. оборуд.</t>
  </si>
  <si>
    <t>Перенос на ремонт тех. обор.</t>
  </si>
  <si>
    <t>Клиноко-бактериологические исследования</t>
  </si>
  <si>
    <t xml:space="preserve">Ремонт принудительной вытяжной вентиляции кухни </t>
  </si>
  <si>
    <t>Ремонт пищеблока</t>
  </si>
  <si>
    <t>Заключены договора</t>
  </si>
  <si>
    <t>Заключено доп. соглашение</t>
  </si>
  <si>
    <t>Переключились на интернет через систему ЕСПД</t>
  </si>
  <si>
    <t>Уведомление № 242 от 06.06.2024г.</t>
  </si>
  <si>
    <t>Уведомления № 287, 242 от 06.06.2024г.</t>
  </si>
  <si>
    <t>Перенос с питания сотрудников (0709 226)</t>
  </si>
  <si>
    <t>Договор заключен, перенос на хоз. тов. ( 0709 346)</t>
  </si>
  <si>
    <t>от  20 июня 2024 г.</t>
  </si>
  <si>
    <t>Итого 221:</t>
  </si>
  <si>
    <t xml:space="preserve"> Итого 223:</t>
  </si>
  <si>
    <t>Необходимость</t>
  </si>
  <si>
    <t>И.о Главного бухгалтера</t>
  </si>
  <si>
    <t>Спил, обрезка (вырубка) и валка деревьев</t>
  </si>
  <si>
    <t>Уведомление № 371 от 25.06.2024</t>
  </si>
  <si>
    <t>Перенос на КОЗГУ 226</t>
  </si>
  <si>
    <t>Перенос с КОЗГУ 225</t>
  </si>
  <si>
    <t>Перенос на спил дерева</t>
  </si>
  <si>
    <t>Перенос с КОЗГУ 343</t>
  </si>
  <si>
    <t>1.7.1 Взносы по обязательному социальному страхованию на выплаты по оплате труда работников и иные выплаты работникам учреждений (КВР 119)</t>
  </si>
  <si>
    <t>Итого по КОСГУ 265:</t>
  </si>
  <si>
    <t>Пособия по социальной помощи, выплачиваемые работодателями, нанимателями бывшим работникам в натуральной форме (в части выплаты социального пособия на погребение лицам, имеющим право на его получение)</t>
  </si>
  <si>
    <t>Возмещение расходов на выплату социального пособия на погребение</t>
  </si>
  <si>
    <t>0702 265</t>
  </si>
  <si>
    <t>Перенос на КОЗГУ 265</t>
  </si>
  <si>
    <t>А.С. Руколеев</t>
  </si>
  <si>
    <t>от  14 августа 2024 г.</t>
  </si>
  <si>
    <t>Ремонт крыльца главного входа</t>
  </si>
  <si>
    <t>Аварийный ремонт системы центрального отопления и аварийный ремонт канализации в подвальном помещении</t>
  </si>
  <si>
    <t>Уведомление №417 от 07.08.2024</t>
  </si>
  <si>
    <t>Уведомление № 417 от 07.08.2024</t>
  </si>
  <si>
    <t>Уведомление №399 от 23.07.2024</t>
  </si>
  <si>
    <t>Уведомления             № 399 от 23.07.2024;                  № 417                      от 07.08.2024</t>
  </si>
  <si>
    <t>Перенос на проведение СОУТ</t>
  </si>
  <si>
    <t>Ремонт асфальтобетонного покрытия</t>
  </si>
  <si>
    <t>ё</t>
  </si>
  <si>
    <t xml:space="preserve">ТО приборов объектовых оконечных ПАК "Стрелец-Мониторинг" и вып. работ (услуг) по круглосут. тех. мониторингу состояния СПС </t>
  </si>
  <si>
    <t xml:space="preserve"> 963324050</t>
  </si>
  <si>
    <r>
      <rPr>
        <sz val="10"/>
        <color rgb="FFFF0000"/>
        <rFont val="Times New Roman"/>
        <family val="1"/>
        <charset val="204"/>
      </rPr>
      <t xml:space="preserve"> </t>
    </r>
    <r>
      <rPr>
        <sz val="10"/>
        <rFont val="Times New Roman"/>
        <family val="1"/>
        <charset val="204"/>
      </rPr>
      <t>963324050</t>
    </r>
  </si>
  <si>
    <t>Наглядные  пособия</t>
  </si>
  <si>
    <t>от  18 сентября 2024 г.</t>
  </si>
  <si>
    <t>Уведомление № 428 от 29.08.24</t>
  </si>
  <si>
    <t>Уведомление № 498 от 11.09.24</t>
  </si>
  <si>
    <t>Изменение штатного расписания (перенес с КОСГУ 346)</t>
  </si>
  <si>
    <t>Заключен договор (перенос на КОСГУ 226 лаб. исслед.)</t>
  </si>
  <si>
    <t>Уведомление №498 от 11.09.24</t>
  </si>
  <si>
    <t>Перенос   с КОСГУ 226</t>
  </si>
  <si>
    <t>Заключен договор (пернос на ремонт оргтех)</t>
  </si>
  <si>
    <t>Перенос с  226 КОСГУ</t>
  </si>
  <si>
    <t>Перенос с  226 КОСГУ  и лабор. исследов.</t>
  </si>
  <si>
    <t>Перенос с КОСГУ 346 хоз. тов.</t>
  </si>
  <si>
    <t>Перенос на лаб. исседования</t>
  </si>
  <si>
    <t>Перенос на КОСГУ 225</t>
  </si>
  <si>
    <t>перенос на ремонт. орг. тех на 225 КОСГУ</t>
  </si>
  <si>
    <t>Перенос на замену. блока СКЗИ; обращение с ТКО КОСГУ 223</t>
  </si>
  <si>
    <t>Перенос на 225 КОСГУ</t>
  </si>
  <si>
    <t>Перенос на КОСГУ 346 (Расходный материал к принтерами, картриджи)</t>
  </si>
  <si>
    <t>Перено на КОСГУ 346 хоз. тов.</t>
  </si>
  <si>
    <t>Перенос на мед. осмотр 226 КОЗГУ ; перенос с КОСГУ 345</t>
  </si>
  <si>
    <t>Перенос на КОСГУ 211 и 213</t>
  </si>
  <si>
    <t>Перенос с КОСГУ 310, 349</t>
  </si>
  <si>
    <t>v</t>
  </si>
  <si>
    <t>1415</t>
  </si>
  <si>
    <t>Частичная компенсация арендной платы за жилое помещение педагогическим работникам Киришского муниципального района Ленинградской</t>
  </si>
  <si>
    <t xml:space="preserve"> 0702 214</t>
  </si>
  <si>
    <t>иные выплаты населению</t>
  </si>
  <si>
    <t xml:space="preserve">Промывка канализационной системы с предоставлением  каналопромывочной машины </t>
  </si>
  <si>
    <t>Итого по КОСГУ 214:</t>
  </si>
  <si>
    <t xml:space="preserve">Частичная компенсация арендной платы за жилое помещение педагогическим работникам Киришского муниципального района </t>
  </si>
  <si>
    <t xml:space="preserve">Оборудование для кабинета химии </t>
  </si>
  <si>
    <t>1.8.  Иные выплаты персоналу учреждений, за исключением фонда оплаты труда (КВР 112)</t>
  </si>
  <si>
    <t>Обновление и обслуживание програмного продукта " Вижен-Софт:Питание"</t>
  </si>
  <si>
    <t>МФУ струйный Canon Pixma</t>
  </si>
  <si>
    <t>Ноутбук Lenovo IdeaPad</t>
  </si>
  <si>
    <t>разница</t>
  </si>
  <si>
    <t>от  17 октября 2024 г.</t>
  </si>
  <si>
    <t>Увед. № 510 от 03.10.202.                                             Увед. № 556 от 17.10.2024</t>
  </si>
  <si>
    <t>Арендная плата</t>
  </si>
  <si>
    <t>Пени по договору</t>
  </si>
  <si>
    <t>963324012</t>
  </si>
  <si>
    <t>Уведомл. № 521 от 23.09.24г.</t>
  </si>
  <si>
    <t>Уведомл. №481 от 03.10.24., №457 от 03.10.24г.</t>
  </si>
  <si>
    <t>Увед. № 556 от 17.10.24</t>
  </si>
  <si>
    <t xml:space="preserve">Итого по КОСГУ 214 КВР 112 </t>
  </si>
  <si>
    <t>Перенос на промывку канализ. сист.;  КСГУ 226 лаб. исслед.</t>
  </si>
  <si>
    <t>На поверку приборов учета, на обучение</t>
  </si>
  <si>
    <t>На поверку приборов учета</t>
  </si>
  <si>
    <t>Заключены договоры</t>
  </si>
  <si>
    <t>Уведомл. №510 от 03.10.24г.</t>
  </si>
  <si>
    <t>Перенос на обсл. оргтех., поверку приб. учета</t>
  </si>
  <si>
    <t>Перенос с исп. ср-в защиты, с КОСГУ 225 лаб. исслед.; с КОСГУ 346 хоз. тов.</t>
  </si>
  <si>
    <t>Перенос на замену СКЗИ</t>
  </si>
  <si>
    <t>Заключен договор.</t>
  </si>
  <si>
    <t>Перенос с КОСГУ 225 и мед. осмотра (заключены договоры)</t>
  </si>
  <si>
    <t>На поверку приборов учета КОСГУ 225; на мед. комис.</t>
  </si>
  <si>
    <t>Перенос с 346 КОСГУ</t>
  </si>
  <si>
    <t>Перенос на оборуд. для каб. химии</t>
  </si>
  <si>
    <t>Исковое заявления от Киришкой городской прокуратуры</t>
  </si>
  <si>
    <t>Перенос на 310 КОСГУ</t>
  </si>
  <si>
    <t xml:space="preserve">На косгу 226 (поверка приборов учета), арендная плата
</t>
  </si>
  <si>
    <t>Уведомл.№ 510 от 03.10.24г.</t>
  </si>
  <si>
    <t>Заключен договор, перенос на канц. тов.</t>
  </si>
  <si>
    <t>Перенос с уч. лабор.</t>
  </si>
  <si>
    <t xml:space="preserve"> Субсидии на финансовое обеспечение выполнения муниципального задания (федеральное классное руководство)</t>
  </si>
  <si>
    <t xml:space="preserve">  Субсидии на финансовое обеспечение выполнения муниципального задания (Советник по воспитанию)</t>
  </si>
  <si>
    <t>Водоснабжение</t>
  </si>
  <si>
    <t>Возмещение МАУ "Центр питания "Здоровое детство"</t>
  </si>
  <si>
    <t>Теплоэнергия, Гкал 2 полугодие</t>
  </si>
  <si>
    <t>Возмещение МАУ "Центр питания "Здоровое детство" 1 полугодие</t>
  </si>
  <si>
    <t>Возмещение МАУ "Центр питания "Здоровое детство" 2 полугодие</t>
  </si>
  <si>
    <t>Теплоэнергия 2 полугодие</t>
  </si>
  <si>
    <t>Компонент на теплоноситель, куб м  1 полугодие</t>
  </si>
  <si>
    <t>Компонент на теплоноситель, куб м 2 полугодие</t>
  </si>
  <si>
    <t>ГВС при промывке в т.ч.:</t>
  </si>
  <si>
    <t>,-1051,28 в мусор</t>
  </si>
  <si>
    <t xml:space="preserve">в плане №9 </t>
  </si>
  <si>
    <t xml:space="preserve">экономия </t>
  </si>
  <si>
    <t>в 9 плане</t>
  </si>
  <si>
    <t>кред. Задолж тепло</t>
  </si>
  <si>
    <t>кред. Задолж. Тепло</t>
  </si>
  <si>
    <t>Дебит. Задолж. Водоотвед</t>
  </si>
  <si>
    <t>деб. Задолж. Свет</t>
  </si>
  <si>
    <t>Итого теплоэнергия:</t>
  </si>
  <si>
    <t>Водоснабжение и водоотведение итого:</t>
  </si>
  <si>
    <t>Итого электроэнергия</t>
  </si>
  <si>
    <t>Всего ХВС, стоки, негат. возд.</t>
  </si>
  <si>
    <t>Всего:</t>
  </si>
  <si>
    <t>ВСЕГО тепловая энергия:</t>
  </si>
  <si>
    <t>,+139456,64</t>
  </si>
  <si>
    <t>Итого электрическая энергия:</t>
  </si>
  <si>
    <t>,+2843,14 (с комп. на теплон.)</t>
  </si>
  <si>
    <t>,+362,74</t>
  </si>
  <si>
    <t>,-1897,45 (1534,71в мусор, 362,74 в кред. Зад)</t>
  </si>
  <si>
    <t>,-4499,10 (2843,14 на комп. на теплоэн., 1655,96 на мусор</t>
  </si>
  <si>
    <t>ЭКОНОМИЯ  89189,85</t>
  </si>
  <si>
    <t>перерасх. 123507,91</t>
  </si>
  <si>
    <t>негативное воздействие на ЦСВ</t>
  </si>
  <si>
    <t>уточнить переносить или оставить</t>
  </si>
  <si>
    <t>,-2102,56 в мусор</t>
  </si>
  <si>
    <t>итого в мусор   4688,55</t>
  </si>
  <si>
    <t>План на 2024 год</t>
  </si>
  <si>
    <t>,-228646,49 (15494,98 на мусор</t>
  </si>
  <si>
    <t>,+150000 уведомл.+ 9750 с запчаст.</t>
  </si>
  <si>
    <t>,+2500 С ОБУЧ.</t>
  </si>
  <si>
    <t>коммутатор купим</t>
  </si>
  <si>
    <t>,+13590 с учебников</t>
  </si>
  <si>
    <t>остаток в учебн.</t>
  </si>
  <si>
    <t>,+110003,73 с воды с 223 244</t>
  </si>
  <si>
    <t>,+13504,18 с воды 223 244</t>
  </si>
  <si>
    <t>,-176507,87 (-110003,73 в тепло, -13504.18 в электр., -52999,96 в 346 хоз.</t>
  </si>
  <si>
    <t>экономия в 346 возврат</t>
  </si>
  <si>
    <t>,-1676,16 в 346</t>
  </si>
  <si>
    <t>Оборудование для кабинета психолога и логопеда</t>
  </si>
  <si>
    <t>уведомл. №650 от 21.11.24г.</t>
  </si>
  <si>
    <t>Негативное воздействие на работу 2 полугодие</t>
  </si>
  <si>
    <t>перенос в теплоэн.</t>
  </si>
  <si>
    <t>перенос в терлоэн.</t>
  </si>
  <si>
    <t>Дебит. задолж. на 01.01.24., перенос в теплоэн., на КОСГУ 346</t>
  </si>
  <si>
    <t>перенос на КОСГУ 346</t>
  </si>
  <si>
    <t>перенос на КОСГУ 346, на электроэн.</t>
  </si>
  <si>
    <t>Дебит. задолж. на 01.01.24г., перенос с негат. возд. 2 полугодие</t>
  </si>
  <si>
    <t>Дебиторская задолженность  (водоотв.) на 01.01.2024г.</t>
  </si>
  <si>
    <t>Кредиторская задолженность (теплоэнергия) на 01.01.2024г.</t>
  </si>
  <si>
    <t>Кред. задолж. на 01.01.24г., перенос с КОСГУ 223</t>
  </si>
  <si>
    <t>Перенос с КОСГУ 223</t>
  </si>
  <si>
    <t>Перенос в теплоэн.</t>
  </si>
  <si>
    <t>Заключен договор. Перенос на КОСГУ 346</t>
  </si>
  <si>
    <t>КП №8620от 12.11.24г.</t>
  </si>
  <si>
    <t>КП № 897 ОТ 20.11.24г.</t>
  </si>
  <si>
    <t>Перенос с КОСГУ 346, уведомл. № 650 от 21.11.24г.</t>
  </si>
  <si>
    <t xml:space="preserve">Водоснабжение </t>
  </si>
  <si>
    <t xml:space="preserve">Водоотведение </t>
  </si>
  <si>
    <t xml:space="preserve">Негативное воздействие на работу ЦСВ </t>
  </si>
  <si>
    <t>Кредиторская задолженность (водоснаб.) на 01.01.2024г.</t>
  </si>
  <si>
    <t>Кред. задолж. на 01.01.24г., перенос на обращение с ТКО</t>
  </si>
  <si>
    <t>перенос на обращение с ТКО</t>
  </si>
  <si>
    <t>Перенос в теплоэн.              1 полугодие</t>
  </si>
  <si>
    <t>Перенос в  комп. на теплон. 1 полуг.</t>
  </si>
  <si>
    <t>Компонент на теплоноситель 2 полугодие</t>
  </si>
  <si>
    <t xml:space="preserve"> </t>
  </si>
  <si>
    <t>,- на 346 хоз. 2125,45</t>
  </si>
  <si>
    <t>Заключен договор, перенос на КОСГУ 346</t>
  </si>
  <si>
    <t>Перенос на СОУТ и КОСГУ 346</t>
  </si>
  <si>
    <t>Перенос с обучения</t>
  </si>
  <si>
    <t>Пени по договору № 5 от 03.07.24г.</t>
  </si>
  <si>
    <t>Кресло офисное</t>
  </si>
  <si>
    <t xml:space="preserve">,+ с пени </t>
  </si>
  <si>
    <t>С пени по дог. № 5 от 03.07.24г.</t>
  </si>
  <si>
    <t>Перенос в поверку</t>
  </si>
  <si>
    <t>с учебников</t>
  </si>
  <si>
    <t>,-13590,00 мфу, - 82800 сстулья</t>
  </si>
  <si>
    <t>Перенос с учебников</t>
  </si>
  <si>
    <t>перенос в дезинсекц.</t>
  </si>
  <si>
    <t>Перенос в дезинсекцию</t>
  </si>
  <si>
    <t>,+ 1910,20 с вент. Каналов, +0,1 с дезинф</t>
  </si>
  <si>
    <t>Перенос в 346, 0,01 коп. в дезинсекцию</t>
  </si>
  <si>
    <t>Мебель ученическая</t>
  </si>
  <si>
    <t>Уведомл. №659 от 22.11.24г.</t>
  </si>
  <si>
    <t>,-1867,03</t>
  </si>
  <si>
    <t>,+39100</t>
  </si>
  <si>
    <r>
      <t xml:space="preserve">2  </t>
    </r>
    <r>
      <rPr>
        <b/>
        <sz val="16"/>
        <color theme="1" tint="0.499984740745262"/>
        <rFont val="Times New Roman"/>
        <family val="1"/>
        <charset val="204"/>
      </rPr>
      <t>346</t>
    </r>
    <r>
      <rPr>
        <b/>
        <sz val="16"/>
        <color rgb="FFFF0000"/>
        <rFont val="Times New Roman"/>
        <family val="1"/>
        <charset val="204"/>
      </rPr>
      <t xml:space="preserve">  +59174,29</t>
    </r>
  </si>
  <si>
    <t>,+107416,77</t>
  </si>
  <si>
    <t>,- 1676,16</t>
  </si>
  <si>
    <t>с 346 +413000,00</t>
  </si>
  <si>
    <t>,+413000,00</t>
  </si>
  <si>
    <t>4 мест 59259,94</t>
  </si>
  <si>
    <t>2- ка +1676,16</t>
  </si>
  <si>
    <t>,-383063,9</t>
  </si>
  <si>
    <t>4-ка обл. -443000,00</t>
  </si>
  <si>
    <t>,-90000,00 возврат</t>
  </si>
  <si>
    <t>перерасчет питания</t>
  </si>
  <si>
    <t>перерасчет по питанию</t>
  </si>
  <si>
    <t>Перенос с КОСГУ 223, 225,342</t>
  </si>
  <si>
    <t>Одноэлементная магнитная меловая доска 250*120см</t>
  </si>
  <si>
    <t>с увед.</t>
  </si>
  <si>
    <t>с учвед</t>
  </si>
  <si>
    <t>декабря</t>
  </si>
  <si>
    <t xml:space="preserve">,-20562,89 в зап. Части   </t>
  </si>
  <si>
    <t>перенос в 346 зап. части</t>
  </si>
  <si>
    <t>Перенос на 343 КОСГУ, с КОСГУ 225, 223</t>
  </si>
  <si>
    <r>
      <t xml:space="preserve">4 обл. </t>
    </r>
    <r>
      <rPr>
        <sz val="16"/>
        <color theme="1" tint="0.499984740745262"/>
        <rFont val="Times New Roman"/>
        <family val="1"/>
        <charset val="204"/>
      </rPr>
      <t xml:space="preserve">346 </t>
    </r>
    <r>
      <rPr>
        <sz val="16"/>
        <color rgb="FFFF0000"/>
        <rFont val="Times New Roman"/>
        <family val="1"/>
        <charset val="204"/>
      </rPr>
      <t>+56860</t>
    </r>
  </si>
  <si>
    <r>
      <t>4. мест</t>
    </r>
    <r>
      <rPr>
        <sz val="16"/>
        <color theme="1" tint="0.499984740745262"/>
        <rFont val="Times New Roman"/>
        <family val="1"/>
        <charset val="204"/>
      </rPr>
      <t xml:space="preserve"> 346</t>
    </r>
    <r>
      <rPr>
        <sz val="16"/>
        <color rgb="FFFF0000"/>
        <rFont val="Times New Roman"/>
        <family val="1"/>
        <charset val="204"/>
      </rPr>
      <t xml:space="preserve"> 77855,17</t>
    </r>
  </si>
  <si>
    <t>346 + 193889,46</t>
  </si>
  <si>
    <t>,-2853,83 в 346 хоз.</t>
  </si>
  <si>
    <t>перенос  в КОСГУ 346</t>
  </si>
  <si>
    <t>,+2860 карты с увед.+ 17500 для каб. Химии с увед</t>
  </si>
  <si>
    <t>,-4782,33 в 346, - 0,1 коп. в дезинс.</t>
  </si>
  <si>
    <t>,-4782,33</t>
  </si>
  <si>
    <t>,+21839,49 (4688,55+1655,96+15494,98</t>
  </si>
  <si>
    <t>перенос с комп. на теплоэн.</t>
  </si>
  <si>
    <t>перенос в комп. на теплоэн., на обращение с ТКО</t>
  </si>
  <si>
    <t>Перенос с ХВС, нег. возд., комп. на теплоносит., электроэн.</t>
  </si>
  <si>
    <t>Дебит. задолж. на 01.01.24г., перенос на обращение с ТКО,  теплоэнергию, КОСГУ 346, 225</t>
  </si>
  <si>
    <t xml:space="preserve">Перенос в теплоэн.1 полугодие, </t>
  </si>
  <si>
    <t>Перенос  с  комп. на теплон. 2 полуг.</t>
  </si>
  <si>
    <t>Кред. задолж. на 01.01.24г., перенос со 2-го полугодия, комп. на теплоэн., комп. на теплонос.</t>
  </si>
  <si>
    <t>Перенос с дезинф., с электроэн.,   на КОСГУ 346</t>
  </si>
  <si>
    <t>,-9750 на ГСМ, +20562,89 с ремонта автоб.+ 837,11 с электроэн.</t>
  </si>
  <si>
    <t>уведомл. №650 от 21.11.24г.; перенос с КОСГУ 223, 226,227; 225, пени по дог. № 5 от 03.07.24г.</t>
  </si>
  <si>
    <t>,+10 с канц. Тов</t>
  </si>
  <si>
    <t>с канц. тов.</t>
  </si>
  <si>
    <t>,-2524 в поверку</t>
  </si>
  <si>
    <t>,- 11986,07 в поверку 225</t>
  </si>
  <si>
    <t>,-837,11 в зап. Части</t>
  </si>
  <si>
    <t>60871,69 в хоз</t>
  </si>
  <si>
    <t>,+11986,07</t>
  </si>
  <si>
    <t>,-4385,03 (,-2500 на Соут., -1885,03 на  346)</t>
  </si>
  <si>
    <t>на 4 (,+1885,03 с обуч.+ 2125,45 со страховки, +60871,69 с электроэн..)  на 2( + 44664,22 с пени на счетчик, 14510,07 с поверки),+33000 с уведомл.</t>
  </si>
  <si>
    <t>согласование</t>
  </si>
  <si>
    <t>,+710 с увед, -10 в учебн. Лаб+41750,14 с учебных</t>
  </si>
  <si>
    <t xml:space="preserve">Перенос на комп. Технику., мебель учениническую, в КОСГУ 346 , </t>
  </si>
  <si>
    <t>уведомл. №650 от 21.11.24г., перенос в учебно-лабор., перенос с КОСГУ 310</t>
  </si>
  <si>
    <t>от  04 декабря 2024 г.</t>
  </si>
  <si>
    <t>ДОБАВЛЕНО  15494,98</t>
  </si>
  <si>
    <t>Стенд (классный уголок)</t>
  </si>
  <si>
    <t>с (2-ки 14510,07 (14510,07 в 346).), в 4 +11986,07с 223 электроэн., +2524 с дезинф</t>
  </si>
  <si>
    <t>в конце года компенсацию считать по факту</t>
  </si>
  <si>
    <t>факт 01.01.2024-30.11.2024</t>
  </si>
  <si>
    <t>план 01.12.2024-31.12.2024</t>
  </si>
  <si>
    <t xml:space="preserve">Всего по расчету на питание </t>
  </si>
  <si>
    <t>Итого на питание с компенсацией</t>
  </si>
  <si>
    <t>питание в расшифровке</t>
  </si>
  <si>
    <t xml:space="preserve">отклонение </t>
  </si>
  <si>
    <t xml:space="preserve">Всего доходов </t>
  </si>
  <si>
    <t xml:space="preserve">Ожидаемое поступление родительской платы с учетом компенсации </t>
  </si>
  <si>
    <t xml:space="preserve"> УСН, прочее</t>
  </si>
  <si>
    <t>питание</t>
  </si>
  <si>
    <t>дето-дни</t>
  </si>
  <si>
    <t>стоимость без учета налога и услуг банка</t>
  </si>
  <si>
    <t>факт 10 мес.2023 165,43</t>
  </si>
  <si>
    <t>119-1%=117,81</t>
  </si>
  <si>
    <t>165,43-117,81=47,62 бюджет питание</t>
  </si>
  <si>
    <t>117,81/2+47,62=106,53 бюджет дети 50 %</t>
  </si>
  <si>
    <t>фактическая компенсация по справкам</t>
  </si>
  <si>
    <t>плановая компенсация</t>
  </si>
  <si>
    <t>Налог</t>
  </si>
  <si>
    <t>,-179581,28 по 4; - 205173 по 2 перерасчет по питанию</t>
  </si>
  <si>
    <t xml:space="preserve"> возврат по 4 (,+2853,83 с 223 ГВС при прмывке, +52999,96 с воды, +4782,33 с 225 вент. Кан, +179581,28 с 342, .)в хоз на 2  1676,16 с вижен-софт </t>
  </si>
  <si>
    <t>ЭКОНОМИЯ 179361,7</t>
  </si>
  <si>
    <t>,-413000,00 в 310,+9060 c 213</t>
  </si>
  <si>
    <t>перенос в КОСГУ 266</t>
  </si>
  <si>
    <t>перенос с КОЗГУ 211</t>
  </si>
  <si>
    <t>Перенос на  КОСГУ 310,                 с КОСГУ 213</t>
  </si>
  <si>
    <t>Всего  по КОСГУ 211:</t>
  </si>
  <si>
    <t>Всего по КОСГУ 266:</t>
  </si>
  <si>
    <t>Содержание имущества 0701, 1004</t>
  </si>
  <si>
    <t>пени не учитываются код 140</t>
  </si>
  <si>
    <t>Стол обеденный с гигиеническим покрытием для кабинета технологии</t>
  </si>
  <si>
    <t>Хозяйственные товары, моющие (резерв (возврат в бюджет за неисполнение дето-дней 295082,45))</t>
  </si>
  <si>
    <t xml:space="preserve">Приобретение продуктов питания </t>
  </si>
  <si>
    <t>Увед. № 731 от 13.12.24г.</t>
  </si>
  <si>
    <t>Увед. № 732 от 13.12.24</t>
  </si>
  <si>
    <t>16   декабря</t>
  </si>
  <si>
    <t>16.12.2024г.</t>
  </si>
  <si>
    <t>от 16 декабря 2024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</si>
</sst>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 _₽_-;\-* #,##0.00\ _₽_-;_-* &quot;-&quot;??\ _₽_-;_-@_-"/>
    <numFmt numFmtId="165" formatCode="_-* #,##0.00_р_._-;\-* #,##0.00_р_._-;_-* &quot;-&quot;??_р_._-;_-@_-"/>
    <numFmt numFmtId="166" formatCode="_-* #,##0.00\ _р_._-;\-* #,##0.00\ _р_._-;_-* &quot;-&quot;??\ _р_._-;_-@_-"/>
    <numFmt numFmtId="167" formatCode="_-* #,##0.000\ _р_._-;\-* #,##0.000\ _р_._-;_-* &quot;-&quot;??\ _р_._-;_-@_-"/>
    <numFmt numFmtId="168" formatCode="#,##0.00_р_."/>
    <numFmt numFmtId="169" formatCode="_-* #,##0.0000\ _р_._-;\-* #,##0.0000\ _р_._-;_-* &quot;-&quot;??\ _р_._-;_-@_-"/>
    <numFmt numFmtId="170" formatCode="#,##0.000"/>
    <numFmt numFmtId="171" formatCode="0.0"/>
    <numFmt numFmtId="172" formatCode="0.000000000"/>
    <numFmt numFmtId="173" formatCode="_(* #,##0.00_);_(* \(#,##0.00\);_(* &quot;-&quot;??_);_(@_)"/>
    <numFmt numFmtId="174" formatCode="_-* #,##0\ _р_._-;\-* #,##0\ _р_._-;_-* &quot;-&quot;??\ _р_._-;_-@_-"/>
    <numFmt numFmtId="175" formatCode="0.0000"/>
    <numFmt numFmtId="176" formatCode="#,##0.00&quot;р.&quot;"/>
    <numFmt numFmtId="177" formatCode="_-* #,##0.0\ _р_._-;\-* #,##0.0\ _р_._-;_-* &quot;-&quot;??\ _р_._-;_-@_-"/>
    <numFmt numFmtId="178" formatCode="#,##0.00000"/>
    <numFmt numFmtId="179" formatCode="0.000"/>
    <numFmt numFmtId="180" formatCode="_-* #,##0_р_._-;\-* #,##0_р_._-;_-* &quot;-&quot;??_р_._-;_-@_-"/>
    <numFmt numFmtId="181" formatCode="#,##0.00_ ;\-#,##0.00\ "/>
    <numFmt numFmtId="182" formatCode="#,##0.0_ ;\-#,##0.0\ "/>
  </numFmts>
  <fonts count="100"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2"/>
      <name val="Times New Roman"/>
      <family val="1"/>
      <charset val="204"/>
    </font>
    <font>
      <sz val="8"/>
      <name val="Times New Roman"/>
      <family val="1"/>
      <charset val="204"/>
    </font>
    <font>
      <b/>
      <sz val="12"/>
      <name val="Times New Roman"/>
      <family val="1"/>
      <charset val="204"/>
    </font>
    <font>
      <sz val="6"/>
      <name val="Times New Roman"/>
      <family val="1"/>
      <charset val="204"/>
    </font>
    <font>
      <b/>
      <sz val="6"/>
      <name val="Times New Roman"/>
      <family val="1"/>
      <charset val="204"/>
    </font>
    <font>
      <sz val="10"/>
      <name val="Times New Roman"/>
      <family val="1"/>
      <charset val="204"/>
    </font>
    <font>
      <i/>
      <sz val="12"/>
      <name val="Times New Roman"/>
      <family val="1"/>
      <charset val="204"/>
    </font>
    <font>
      <vertAlign val="superscript"/>
      <sz val="10"/>
      <name val="Times New Roman"/>
      <family val="1"/>
      <charset val="204"/>
    </font>
    <font>
      <b/>
      <sz val="10"/>
      <name val="Times New Roman"/>
      <family val="1"/>
      <charset val="204"/>
    </font>
    <font>
      <sz val="10"/>
      <color rgb="FFFF0000"/>
      <name val="Times New Roman"/>
      <family val="1"/>
      <charset val="204"/>
    </font>
    <font>
      <b/>
      <sz val="14"/>
      <name val="Times New Roman"/>
      <family val="1"/>
      <charset val="204"/>
    </font>
    <font>
      <sz val="10"/>
      <color theme="1"/>
      <name val="Times New Roman"/>
      <family val="1"/>
      <charset val="204"/>
    </font>
    <font>
      <b/>
      <sz val="10"/>
      <color theme="1"/>
      <name val="Times New Roman"/>
      <family val="1"/>
      <charset val="204"/>
    </font>
    <font>
      <sz val="11"/>
      <color indexed="8"/>
      <name val="Calibri"/>
      <family val="2"/>
      <charset val="204"/>
    </font>
    <font>
      <b/>
      <sz val="10"/>
      <color indexed="8"/>
      <name val="Times New Roman"/>
      <family val="1"/>
      <charset val="204"/>
    </font>
    <font>
      <sz val="12"/>
      <color rgb="FFFF0000"/>
      <name val="Times New Roman"/>
      <family val="1"/>
      <charset val="204"/>
    </font>
    <font>
      <sz val="12"/>
      <name val="Arial Cyr"/>
      <charset val="204"/>
    </font>
    <font>
      <b/>
      <vertAlign val="superscript"/>
      <sz val="12"/>
      <name val="Times New Roman"/>
      <family val="1"/>
      <charset val="204"/>
    </font>
    <font>
      <vertAlign val="superscript"/>
      <sz val="12"/>
      <name val="Times New Roman"/>
      <family val="1"/>
      <charset val="204"/>
    </font>
    <font>
      <b/>
      <sz val="12"/>
      <color theme="1"/>
      <name val="Times New Roman"/>
      <family val="1"/>
      <charset val="204"/>
    </font>
    <font>
      <sz val="12"/>
      <color theme="1"/>
      <name val="Times New Roman"/>
      <family val="1"/>
      <charset val="204"/>
    </font>
    <font>
      <b/>
      <sz val="12"/>
      <name val="Arial Cyr"/>
      <charset val="204"/>
    </font>
    <font>
      <sz val="14"/>
      <name val="Times New Roman"/>
      <family val="1"/>
      <charset val="204"/>
    </font>
    <font>
      <b/>
      <vertAlign val="superscript"/>
      <sz val="14"/>
      <name val="Times New Roman"/>
      <family val="1"/>
      <charset val="204"/>
    </font>
    <font>
      <b/>
      <sz val="14"/>
      <color theme="1"/>
      <name val="Times New Roman"/>
      <family val="1"/>
      <charset val="204"/>
    </font>
    <font>
      <sz val="14"/>
      <color theme="1"/>
      <name val="Times New Roman"/>
      <family val="1"/>
      <charset val="204"/>
    </font>
    <font>
      <vertAlign val="superscript"/>
      <sz val="14"/>
      <name val="Times New Roman"/>
      <family val="1"/>
      <charset val="204"/>
    </font>
    <font>
      <b/>
      <vertAlign val="superscript"/>
      <sz val="10"/>
      <name val="Times New Roman"/>
      <family val="1"/>
      <charset val="204"/>
    </font>
    <font>
      <sz val="10"/>
      <color indexed="9"/>
      <name val="Times New Roman"/>
      <family val="1"/>
      <charset val="204"/>
    </font>
    <font>
      <sz val="10"/>
      <name val="Arial"/>
      <family val="2"/>
      <charset val="204"/>
    </font>
    <font>
      <b/>
      <sz val="11"/>
      <name val="Times New Roman"/>
      <family val="1"/>
      <charset val="204"/>
    </font>
    <font>
      <sz val="11"/>
      <name val="Times New Roman"/>
      <family val="1"/>
      <charset val="204"/>
    </font>
    <font>
      <sz val="11"/>
      <color theme="1"/>
      <name val="Times New Roman"/>
      <family val="1"/>
      <charset val="204"/>
    </font>
    <font>
      <b/>
      <sz val="11"/>
      <color theme="1"/>
      <name val="Times New Roman"/>
      <family val="1"/>
      <charset val="204"/>
    </font>
    <font>
      <sz val="8"/>
      <name val="Arial Cyr"/>
      <charset val="204"/>
    </font>
    <font>
      <b/>
      <sz val="11"/>
      <color theme="1"/>
      <name val="Calibri"/>
      <family val="2"/>
      <charset val="204"/>
      <scheme val="minor"/>
    </font>
    <font>
      <sz val="10"/>
      <color rgb="FF000000"/>
      <name val="Times New Roman"/>
      <family val="1"/>
      <charset val="204"/>
    </font>
    <font>
      <b/>
      <sz val="10"/>
      <color rgb="FF000000"/>
      <name val="Times New Roman"/>
      <family val="1"/>
      <charset val="204"/>
    </font>
    <font>
      <b/>
      <sz val="16"/>
      <color indexed="8"/>
      <name val="Times New Roman"/>
      <family val="1"/>
      <charset val="204"/>
    </font>
    <font>
      <b/>
      <sz val="11"/>
      <color indexed="8"/>
      <name val="Times New Roman"/>
      <family val="1"/>
      <charset val="204"/>
    </font>
    <font>
      <sz val="11"/>
      <color indexed="8"/>
      <name val="Times New Roman"/>
      <family val="1"/>
      <charset val="204"/>
    </font>
    <font>
      <b/>
      <sz val="11"/>
      <color indexed="10"/>
      <name val="Times New Roman"/>
      <family val="1"/>
      <charset val="204"/>
    </font>
    <font>
      <sz val="9"/>
      <color indexed="8"/>
      <name val="Times New Roman"/>
      <family val="1"/>
      <charset val="204"/>
    </font>
    <font>
      <sz val="11"/>
      <color rgb="FFFF0000"/>
      <name val="Times New Roman"/>
      <family val="1"/>
      <charset val="204"/>
    </font>
    <font>
      <b/>
      <sz val="8"/>
      <color rgb="FFFF0000"/>
      <name val="Times New Roman"/>
      <family val="1"/>
      <charset val="204"/>
    </font>
    <font>
      <i/>
      <sz val="11"/>
      <color indexed="8"/>
      <name val="Times New Roman"/>
      <family val="1"/>
      <charset val="204"/>
    </font>
    <font>
      <b/>
      <i/>
      <sz val="12"/>
      <name val="Times New Roman"/>
      <family val="1"/>
      <charset val="204"/>
    </font>
    <font>
      <b/>
      <u/>
      <sz val="12"/>
      <name val="Times New Roman"/>
      <family val="1"/>
      <charset val="204"/>
    </font>
    <font>
      <sz val="11"/>
      <color theme="1"/>
      <name val="Calibri"/>
      <family val="2"/>
      <scheme val="minor"/>
    </font>
    <font>
      <b/>
      <sz val="11"/>
      <color theme="1"/>
      <name val="Calibri"/>
      <family val="2"/>
      <scheme val="minor"/>
    </font>
    <font>
      <u/>
      <sz val="12"/>
      <name val="Times New Roman"/>
      <family val="1"/>
      <charset val="204"/>
    </font>
    <font>
      <sz val="9"/>
      <name val="Times New Roman"/>
      <family val="1"/>
      <charset val="204"/>
    </font>
    <font>
      <sz val="10"/>
      <color theme="0"/>
      <name val="Times New Roman"/>
      <family val="1"/>
      <charset val="204"/>
    </font>
    <font>
      <b/>
      <sz val="11"/>
      <color theme="0"/>
      <name val="Times New Roman"/>
      <family val="1"/>
      <charset val="204"/>
    </font>
    <font>
      <sz val="11"/>
      <color theme="0"/>
      <name val="Times New Roman"/>
      <family val="1"/>
      <charset val="204"/>
    </font>
    <font>
      <sz val="12"/>
      <color theme="0"/>
      <name val="Times New Roman"/>
      <family val="1"/>
      <charset val="204"/>
    </font>
    <font>
      <b/>
      <sz val="9"/>
      <color indexed="81"/>
      <name val="Tahoma"/>
      <family val="2"/>
      <charset val="204"/>
    </font>
    <font>
      <sz val="9"/>
      <color indexed="81"/>
      <name val="Tahoma"/>
      <family val="2"/>
      <charset val="204"/>
    </font>
    <font>
      <i/>
      <sz val="12"/>
      <color theme="1"/>
      <name val="Times New Roman"/>
      <family val="1"/>
      <charset val="204"/>
    </font>
    <font>
      <b/>
      <i/>
      <sz val="12"/>
      <color theme="1"/>
      <name val="Times New Roman"/>
      <family val="1"/>
      <charset val="204"/>
    </font>
    <font>
      <b/>
      <u/>
      <sz val="12"/>
      <color theme="1"/>
      <name val="Times New Roman"/>
      <family val="1"/>
      <charset val="204"/>
    </font>
    <font>
      <b/>
      <u/>
      <sz val="11"/>
      <color theme="1"/>
      <name val="Calibri"/>
      <family val="2"/>
      <charset val="204"/>
      <scheme val="minor"/>
    </font>
    <font>
      <sz val="10"/>
      <name val="Arial"/>
      <family val="2"/>
      <charset val="204"/>
    </font>
    <font>
      <b/>
      <sz val="11"/>
      <color rgb="FFFF0000"/>
      <name val="Times New Roman"/>
      <family val="1"/>
      <charset val="204"/>
    </font>
    <font>
      <sz val="18"/>
      <name val="Times New Roman"/>
      <family val="1"/>
      <charset val="204"/>
    </font>
    <font>
      <b/>
      <sz val="16"/>
      <name val="Times New Roman"/>
      <family val="1"/>
      <charset val="204"/>
    </font>
    <font>
      <sz val="8"/>
      <color rgb="FFFF0000"/>
      <name val="Times New Roman"/>
      <family val="1"/>
      <charset val="204"/>
    </font>
    <font>
      <b/>
      <sz val="12"/>
      <color rgb="FFFF0000"/>
      <name val="Times New Roman"/>
      <family val="1"/>
      <charset val="204"/>
    </font>
    <font>
      <b/>
      <sz val="10"/>
      <color rgb="FFFF0000"/>
      <name val="Times New Roman"/>
      <family val="1"/>
      <charset val="204"/>
    </font>
    <font>
      <sz val="14"/>
      <color rgb="FFFF0000"/>
      <name val="Times New Roman"/>
      <family val="1"/>
      <charset val="204"/>
    </font>
    <font>
      <sz val="10"/>
      <color rgb="FF7030A0"/>
      <name val="Times New Roman"/>
      <family val="1"/>
      <charset val="204"/>
    </font>
    <font>
      <sz val="16"/>
      <color rgb="FF7030A0"/>
      <name val="Times New Roman"/>
      <family val="1"/>
      <charset val="204"/>
    </font>
    <font>
      <sz val="14"/>
      <color rgb="FF7030A0"/>
      <name val="Times New Roman"/>
      <family val="1"/>
      <charset val="204"/>
    </font>
    <font>
      <b/>
      <sz val="10"/>
      <color rgb="FF7030A0"/>
      <name val="Times New Roman"/>
      <family val="1"/>
      <charset val="204"/>
    </font>
    <font>
      <b/>
      <sz val="16"/>
      <color rgb="FFFF0000"/>
      <name val="Times New Roman"/>
      <family val="1"/>
      <charset val="204"/>
    </font>
    <font>
      <sz val="18"/>
      <color rgb="FFFF0000"/>
      <name val="Times New Roman"/>
      <family val="1"/>
      <charset val="204"/>
    </font>
    <font>
      <sz val="10"/>
      <color theme="9" tint="0.79998168889431442"/>
      <name val="Times New Roman"/>
      <family val="1"/>
      <charset val="204"/>
    </font>
    <font>
      <sz val="18"/>
      <color theme="1" tint="0.14999847407452621"/>
      <name val="Times New Roman"/>
      <family val="1"/>
      <charset val="204"/>
    </font>
    <font>
      <sz val="10"/>
      <color theme="1" tint="0.14999847407452621"/>
      <name val="Times New Roman"/>
      <family val="1"/>
      <charset val="204"/>
    </font>
    <font>
      <sz val="9"/>
      <color rgb="FFFF0000"/>
      <name val="Times New Roman"/>
      <family val="1"/>
      <charset val="204"/>
    </font>
    <font>
      <sz val="20"/>
      <color rgb="FFFF0000"/>
      <name val="Times New Roman"/>
      <family val="1"/>
      <charset val="204"/>
    </font>
    <font>
      <sz val="16"/>
      <color rgb="FFFF0000"/>
      <name val="Times New Roman"/>
      <family val="1"/>
      <charset val="204"/>
    </font>
    <font>
      <b/>
      <sz val="16"/>
      <color theme="1" tint="0.499984740745262"/>
      <name val="Times New Roman"/>
      <family val="1"/>
      <charset val="204"/>
    </font>
    <font>
      <sz val="16"/>
      <color theme="1" tint="0.499984740745262"/>
      <name val="Times New Roman"/>
      <family val="1"/>
      <charset val="204"/>
    </font>
    <font>
      <b/>
      <sz val="14"/>
      <color rgb="FFFF0000"/>
      <name val="Times New Roman"/>
      <family val="1"/>
      <charset val="204"/>
    </font>
    <font>
      <sz val="16"/>
      <name val="Times New Roman"/>
      <family val="1"/>
      <charset val="204"/>
    </font>
    <font>
      <sz val="12"/>
      <color theme="1"/>
      <name val="Calibri"/>
      <family val="2"/>
      <charset val="204"/>
      <scheme val="minor"/>
    </font>
    <font>
      <b/>
      <sz val="12"/>
      <color theme="0"/>
      <name val="Times New Roman"/>
      <family val="1"/>
      <charset val="204"/>
    </font>
    <font>
      <sz val="12"/>
      <name val="Calibri"/>
      <family val="2"/>
      <charset val="204"/>
      <scheme val="minor"/>
    </font>
  </fonts>
  <fills count="1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00"/>
        <bgColor indexed="64"/>
      </patternFill>
    </fill>
    <fill>
      <patternFill patternType="solid">
        <fgColor rgb="FFCCFFFF"/>
        <bgColor indexed="64"/>
      </patternFill>
    </fill>
    <fill>
      <patternFill patternType="solid">
        <fgColor theme="5" tint="0.79998168889431442"/>
        <bgColor indexed="64"/>
      </patternFill>
    </fill>
    <fill>
      <patternFill patternType="solid">
        <fgColor rgb="FFFFFFCC"/>
        <bgColor indexed="64"/>
      </patternFill>
    </fill>
    <fill>
      <patternFill patternType="solid">
        <fgColor rgb="FFE1E1FF"/>
        <bgColor indexed="64"/>
      </patternFill>
    </fill>
    <fill>
      <patternFill patternType="solid">
        <fgColor rgb="FFCCFFCC"/>
        <bgColor indexed="64"/>
      </patternFill>
    </fill>
    <fill>
      <patternFill patternType="solid">
        <fgColor rgb="FFFFE5FF"/>
        <bgColor indexed="64"/>
      </patternFill>
    </fill>
    <fill>
      <patternFill patternType="solid">
        <fgColor theme="9" tint="0.39997558519241921"/>
        <bgColor indexed="64"/>
      </patternFill>
    </fill>
    <fill>
      <patternFill patternType="solid">
        <fgColor rgb="FF92D050"/>
        <bgColor indexed="64"/>
      </patternFill>
    </fill>
    <fill>
      <patternFill patternType="solid">
        <fgColor theme="9" tint="0.79998168889431442"/>
        <bgColor indexed="64"/>
      </patternFill>
    </fill>
  </fills>
  <borders count="75">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thin">
        <color indexed="64"/>
      </bottom>
      <diagonal/>
    </border>
    <border>
      <left/>
      <right style="mediumDashDot">
        <color indexed="64"/>
      </right>
      <top/>
      <bottom style="thin">
        <color indexed="64"/>
      </bottom>
      <diagonal/>
    </border>
    <border>
      <left style="mediumDashDot">
        <color indexed="64"/>
      </left>
      <right/>
      <top style="thin">
        <color indexed="64"/>
      </top>
      <bottom/>
      <diagonal/>
    </border>
    <border>
      <left/>
      <right style="mediumDashDot">
        <color indexed="64"/>
      </right>
      <top style="thin">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right/>
      <top style="mediumDashDot">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1">
    <xf numFmtId="0" fontId="0" fillId="0" borderId="0"/>
    <xf numFmtId="166" fontId="10" fillId="0" borderId="0" applyFont="0" applyFill="0" applyBorder="0" applyAlignment="0" applyProtection="0"/>
    <xf numFmtId="9" fontId="10" fillId="0" borderId="0" applyFont="0" applyFill="0" applyBorder="0" applyAlignment="0" applyProtection="0"/>
    <xf numFmtId="166" fontId="10" fillId="0" borderId="0" applyFont="0" applyFill="0" applyBorder="0" applyAlignment="0" applyProtection="0"/>
    <xf numFmtId="0" fontId="9" fillId="0" borderId="0"/>
    <xf numFmtId="165" fontId="24" fillId="0" borderId="0" applyFont="0" applyFill="0" applyBorder="0" applyAlignment="0" applyProtection="0"/>
    <xf numFmtId="0" fontId="40" fillId="0" borderId="0"/>
    <xf numFmtId="43" fontId="9" fillId="0" borderId="0" applyFont="0" applyFill="0" applyBorder="0" applyAlignment="0" applyProtection="0"/>
    <xf numFmtId="0" fontId="10" fillId="0" borderId="0"/>
    <xf numFmtId="173" fontId="40" fillId="0" borderId="0" applyFont="0" applyFill="0" applyBorder="0" applyAlignment="0" applyProtection="0"/>
    <xf numFmtId="0" fontId="8" fillId="0" borderId="0"/>
    <xf numFmtId="164" fontId="8" fillId="0" borderId="0" applyFont="0" applyFill="0" applyBorder="0" applyAlignment="0" applyProtection="0"/>
    <xf numFmtId="0" fontId="7" fillId="0" borderId="0"/>
    <xf numFmtId="43" fontId="7" fillId="0" borderId="0" applyFont="0" applyFill="0" applyBorder="0" applyAlignment="0" applyProtection="0"/>
    <xf numFmtId="43" fontId="40" fillId="0" borderId="0" applyFont="0" applyFill="0" applyBorder="0" applyAlignment="0" applyProtection="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0" fontId="24" fillId="0" borderId="0"/>
    <xf numFmtId="43" fontId="10" fillId="0" borderId="0" applyFont="0" applyFill="0" applyBorder="0" applyAlignment="0" applyProtection="0"/>
    <xf numFmtId="0" fontId="5" fillId="0" borderId="0"/>
    <xf numFmtId="0" fontId="59" fillId="0" borderId="0"/>
    <xf numFmtId="0" fontId="4" fillId="0" borderId="0"/>
    <xf numFmtId="165" fontId="10" fillId="0" borderId="0" applyFont="0" applyFill="0" applyBorder="0" applyAlignment="0" applyProtection="0"/>
    <xf numFmtId="0" fontId="3" fillId="0" borderId="0"/>
    <xf numFmtId="0" fontId="2" fillId="0" borderId="0"/>
    <xf numFmtId="0" fontId="1" fillId="0" borderId="0"/>
    <xf numFmtId="164" fontId="1" fillId="0" borderId="0" applyFont="0" applyFill="0" applyBorder="0" applyAlignment="0" applyProtection="0"/>
    <xf numFmtId="0" fontId="73" fillId="0" borderId="0"/>
    <xf numFmtId="165" fontId="1" fillId="0" borderId="0" applyFont="0" applyFill="0" applyBorder="0" applyAlignment="0" applyProtection="0"/>
  </cellStyleXfs>
  <cellXfs count="2307">
    <xf numFmtId="0" fontId="0" fillId="0" borderId="0" xfId="0"/>
    <xf numFmtId="0" fontId="11" fillId="0" borderId="0" xfId="0" applyFont="1" applyAlignment="1">
      <alignment horizontal="left"/>
    </xf>
    <xf numFmtId="0" fontId="12" fillId="0" borderId="0" xfId="0" applyFont="1" applyAlignment="1">
      <alignment horizontal="center" vertical="center"/>
    </xf>
    <xf numFmtId="0" fontId="12" fillId="0" borderId="0" xfId="0" applyFont="1" applyAlignment="1">
      <alignment horizontal="right" vertical="center"/>
    </xf>
    <xf numFmtId="0" fontId="13" fillId="0" borderId="0" xfId="0" applyFont="1" applyAlignment="1">
      <alignment horizontal="left"/>
    </xf>
    <xf numFmtId="0" fontId="14" fillId="0" borderId="0" xfId="0" applyFont="1" applyAlignment="1">
      <alignment horizontal="left"/>
    </xf>
    <xf numFmtId="0" fontId="15" fillId="0" borderId="0" xfId="0" applyFont="1" applyAlignment="1">
      <alignment horizontal="center"/>
    </xf>
    <xf numFmtId="0" fontId="15" fillId="0" borderId="0" xfId="0" applyFont="1" applyAlignment="1">
      <alignment horizontal="left"/>
    </xf>
    <xf numFmtId="0" fontId="16" fillId="0" borderId="0" xfId="0" applyFont="1" applyAlignment="1">
      <alignment horizontal="left"/>
    </xf>
    <xf numFmtId="0" fontId="16" fillId="0" borderId="1" xfId="0" applyFont="1" applyBorder="1" applyAlignment="1">
      <alignment horizontal="left"/>
    </xf>
    <xf numFmtId="0" fontId="17" fillId="0" borderId="0" xfId="0" applyFont="1" applyAlignment="1">
      <alignment horizontal="center" vertical="center"/>
    </xf>
    <xf numFmtId="0" fontId="12" fillId="0" borderId="0" xfId="0" applyFont="1" applyAlignment="1">
      <alignment horizontal="left"/>
    </xf>
    <xf numFmtId="0" fontId="16" fillId="0" borderId="2"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vertical="center" wrapText="1"/>
    </xf>
    <xf numFmtId="0" fontId="16" fillId="0" borderId="4" xfId="0" applyFont="1" applyBorder="1" applyAlignment="1">
      <alignment horizontal="center"/>
    </xf>
    <xf numFmtId="0" fontId="16" fillId="0" borderId="4" xfId="0" applyFont="1" applyBorder="1" applyAlignment="1">
      <alignment horizontal="center" vertical="center"/>
    </xf>
    <xf numFmtId="0" fontId="16" fillId="0" borderId="4" xfId="0" applyFont="1" applyBorder="1" applyAlignment="1">
      <alignment horizontal="left"/>
    </xf>
    <xf numFmtId="0" fontId="16" fillId="0" borderId="4" xfId="0" applyFont="1" applyBorder="1" applyAlignment="1">
      <alignment horizontal="right"/>
    </xf>
    <xf numFmtId="0" fontId="13" fillId="0" borderId="0" xfId="0" applyFont="1"/>
    <xf numFmtId="0" fontId="11" fillId="0" borderId="0" xfId="0" applyFont="1" applyAlignment="1">
      <alignment horizontal="right" vertical="center"/>
    </xf>
    <xf numFmtId="49" fontId="13" fillId="0" borderId="11" xfId="0" applyNumberFormat="1" applyFont="1" applyBorder="1" applyAlignment="1">
      <alignment horizontal="center"/>
    </xf>
    <xf numFmtId="166" fontId="16" fillId="0" borderId="4" xfId="1" applyFont="1" applyBorder="1" applyAlignment="1">
      <alignment horizontal="right"/>
    </xf>
    <xf numFmtId="166" fontId="16" fillId="0" borderId="4" xfId="0" applyNumberFormat="1" applyFont="1" applyBorder="1" applyAlignment="1">
      <alignment horizontal="left"/>
    </xf>
    <xf numFmtId="0" fontId="19" fillId="0" borderId="4" xfId="0" applyFont="1" applyBorder="1" applyAlignment="1">
      <alignment horizontal="right"/>
    </xf>
    <xf numFmtId="0" fontId="19" fillId="0" borderId="4" xfId="0" applyFont="1" applyBorder="1" applyAlignment="1">
      <alignment horizontal="center"/>
    </xf>
    <xf numFmtId="166" fontId="19" fillId="0" borderId="4" xfId="0" applyNumberFormat="1" applyFont="1" applyBorder="1" applyAlignment="1">
      <alignment horizontal="right"/>
    </xf>
    <xf numFmtId="0" fontId="19" fillId="0" borderId="4" xfId="0" applyFont="1" applyBorder="1" applyAlignment="1">
      <alignment horizontal="left"/>
    </xf>
    <xf numFmtId="166" fontId="19" fillId="0" borderId="4" xfId="0" applyNumberFormat="1" applyFont="1" applyBorder="1" applyAlignment="1">
      <alignment horizontal="left"/>
    </xf>
    <xf numFmtId="0" fontId="19" fillId="0" borderId="0" xfId="0" applyFont="1" applyAlignment="1">
      <alignment horizontal="left"/>
    </xf>
    <xf numFmtId="4" fontId="16" fillId="0" borderId="4" xfId="0" applyNumberFormat="1" applyFont="1" applyBorder="1" applyAlignment="1">
      <alignment horizontal="left"/>
    </xf>
    <xf numFmtId="0" fontId="19" fillId="0" borderId="2" xfId="0" applyFont="1" applyBorder="1" applyAlignment="1">
      <alignment horizontal="center"/>
    </xf>
    <xf numFmtId="4" fontId="19" fillId="0" borderId="4" xfId="0" applyNumberFormat="1" applyFont="1" applyBorder="1" applyAlignment="1">
      <alignment horizontal="left"/>
    </xf>
    <xf numFmtId="0" fontId="16" fillId="0" borderId="0" xfId="0" applyFont="1" applyAlignment="1">
      <alignment horizontal="center" vertical="center"/>
    </xf>
    <xf numFmtId="0" fontId="12" fillId="2" borderId="0" xfId="0" applyFont="1" applyFill="1" applyAlignment="1">
      <alignment horizontal="center" vertical="center"/>
    </xf>
    <xf numFmtId="0" fontId="12" fillId="2" borderId="0" xfId="0" applyFont="1" applyFill="1" applyAlignment="1">
      <alignment horizontal="right" vertical="center"/>
    </xf>
    <xf numFmtId="0" fontId="13" fillId="2" borderId="0" xfId="0" applyFont="1" applyFill="1" applyAlignment="1">
      <alignment horizontal="left"/>
    </xf>
    <xf numFmtId="0" fontId="13" fillId="2" borderId="0" xfId="0" applyFont="1" applyFill="1" applyAlignment="1">
      <alignment horizontal="left" vertical="center"/>
    </xf>
    <xf numFmtId="0" fontId="15" fillId="2" borderId="0" xfId="0" applyFont="1" applyFill="1" applyAlignment="1">
      <alignment horizontal="center" vertical="center"/>
    </xf>
    <xf numFmtId="0" fontId="15" fillId="2" borderId="0" xfId="0" applyFont="1" applyFill="1" applyAlignment="1">
      <alignment horizontal="left" vertical="center"/>
    </xf>
    <xf numFmtId="0" fontId="16" fillId="2" borderId="0" xfId="0" applyFont="1" applyFill="1" applyAlignment="1">
      <alignment horizontal="left"/>
    </xf>
    <xf numFmtId="0" fontId="11" fillId="2" borderId="0" xfId="0" applyFont="1" applyFill="1" applyAlignment="1">
      <alignment horizontal="left"/>
    </xf>
    <xf numFmtId="0" fontId="16" fillId="2" borderId="4" xfId="0" applyFont="1" applyFill="1" applyBorder="1" applyAlignment="1">
      <alignment horizontal="center" vertical="center" wrapText="1"/>
    </xf>
    <xf numFmtId="0" fontId="16" fillId="2" borderId="4" xfId="0" applyFont="1" applyFill="1" applyBorder="1" applyAlignment="1">
      <alignment horizontal="center" vertical="center"/>
    </xf>
    <xf numFmtId="0" fontId="19" fillId="0" borderId="0" xfId="0" applyFont="1" applyAlignment="1">
      <alignment horizontal="right"/>
    </xf>
    <xf numFmtId="0" fontId="16" fillId="0" borderId="0" xfId="0" applyFont="1" applyAlignment="1">
      <alignment horizontal="center"/>
    </xf>
    <xf numFmtId="166" fontId="16" fillId="0" borderId="0" xfId="3" applyFont="1" applyFill="1" applyBorder="1" applyAlignment="1">
      <alignment horizontal="center"/>
    </xf>
    <xf numFmtId="166" fontId="19" fillId="0" borderId="0" xfId="3" applyFont="1" applyFill="1" applyBorder="1" applyAlignment="1">
      <alignment horizontal="right"/>
    </xf>
    <xf numFmtId="0" fontId="16" fillId="0" borderId="2" xfId="0" applyFont="1" applyBorder="1" applyAlignment="1">
      <alignment horizontal="left"/>
    </xf>
    <xf numFmtId="0" fontId="16" fillId="0" borderId="5" xfId="0" applyFont="1" applyBorder="1" applyAlignment="1">
      <alignment horizontal="left"/>
    </xf>
    <xf numFmtId="0" fontId="20" fillId="0" borderId="4" xfId="0" applyFont="1" applyBorder="1" applyAlignment="1">
      <alignment horizontal="left"/>
    </xf>
    <xf numFmtId="0" fontId="20" fillId="0" borderId="0" xfId="0" applyFont="1" applyAlignment="1">
      <alignment horizontal="left"/>
    </xf>
    <xf numFmtId="164" fontId="16" fillId="0" borderId="0" xfId="0" applyNumberFormat="1" applyFont="1" applyAlignment="1">
      <alignment horizontal="left"/>
    </xf>
    <xf numFmtId="0" fontId="19" fillId="2" borderId="0" xfId="0" applyFont="1" applyFill="1" applyAlignment="1">
      <alignment horizontal="left"/>
    </xf>
    <xf numFmtId="0" fontId="19" fillId="0" borderId="0" xfId="4" applyFont="1" applyAlignment="1">
      <alignment horizontal="left"/>
    </xf>
    <xf numFmtId="0" fontId="22" fillId="0" borderId="0" xfId="4" applyFont="1"/>
    <xf numFmtId="0" fontId="16" fillId="0" borderId="0" xfId="4" applyFont="1"/>
    <xf numFmtId="0" fontId="19" fillId="0" borderId="0" xfId="4" applyFont="1" applyAlignment="1">
      <alignment horizontal="center"/>
    </xf>
    <xf numFmtId="0" fontId="16" fillId="0" borderId="4" xfId="4" applyFont="1" applyBorder="1" applyAlignment="1">
      <alignment horizontal="center" vertical="center" wrapText="1"/>
    </xf>
    <xf numFmtId="0" fontId="16" fillId="0" borderId="4" xfId="4" applyFont="1" applyBorder="1" applyAlignment="1">
      <alignment horizontal="center" vertical="center"/>
    </xf>
    <xf numFmtId="0" fontId="16" fillId="0" borderId="2" xfId="4" applyFont="1" applyBorder="1" applyAlignment="1">
      <alignment horizontal="left" vertical="center" wrapText="1"/>
    </xf>
    <xf numFmtId="3" fontId="16" fillId="0" borderId="4" xfId="4" applyNumberFormat="1" applyFont="1" applyBorder="1" applyAlignment="1">
      <alignment horizontal="center" vertical="center" wrapText="1"/>
    </xf>
    <xf numFmtId="4" fontId="22" fillId="0" borderId="4" xfId="4" applyNumberFormat="1" applyFont="1" applyBorder="1" applyAlignment="1">
      <alignment horizontal="center" vertical="center"/>
    </xf>
    <xf numFmtId="4" fontId="16" fillId="0" borderId="4" xfId="4" applyNumberFormat="1" applyFont="1" applyBorder="1" applyAlignment="1">
      <alignment horizontal="center" vertical="center" wrapText="1"/>
    </xf>
    <xf numFmtId="4" fontId="22" fillId="0" borderId="4" xfId="4" applyNumberFormat="1" applyFont="1" applyBorder="1"/>
    <xf numFmtId="0" fontId="19" fillId="0" borderId="2" xfId="4" applyFont="1" applyBorder="1" applyAlignment="1">
      <alignment horizontal="left" vertical="center" wrapText="1"/>
    </xf>
    <xf numFmtId="0" fontId="19" fillId="0" borderId="4" xfId="4" applyFont="1" applyBorder="1" applyAlignment="1">
      <alignment horizontal="center" vertical="center" wrapText="1"/>
    </xf>
    <xf numFmtId="3" fontId="19" fillId="0" borderId="4" xfId="4" applyNumberFormat="1" applyFont="1" applyBorder="1" applyAlignment="1">
      <alignment horizontal="center" vertical="center"/>
    </xf>
    <xf numFmtId="4" fontId="23" fillId="0" borderId="4" xfId="4" applyNumberFormat="1" applyFont="1" applyBorder="1" applyAlignment="1">
      <alignment horizontal="center" vertical="center"/>
    </xf>
    <xf numFmtId="4" fontId="19" fillId="0" borderId="4" xfId="5" applyNumberFormat="1" applyFont="1" applyBorder="1" applyAlignment="1">
      <alignment horizontal="center" vertical="center"/>
    </xf>
    <xf numFmtId="4" fontId="23" fillId="0" borderId="4" xfId="5" applyNumberFormat="1" applyFont="1" applyBorder="1" applyAlignment="1">
      <alignment horizontal="center" vertical="center"/>
    </xf>
    <xf numFmtId="0" fontId="23" fillId="0" borderId="0" xfId="4" applyFont="1"/>
    <xf numFmtId="4" fontId="23" fillId="0" borderId="4" xfId="4" applyNumberFormat="1" applyFont="1" applyBorder="1"/>
    <xf numFmtId="4" fontId="23" fillId="0" borderId="0" xfId="4" applyNumberFormat="1" applyFont="1"/>
    <xf numFmtId="0" fontId="19" fillId="0" borderId="9" xfId="4" applyFont="1" applyBorder="1" applyAlignment="1">
      <alignment horizontal="left" vertical="center" wrapText="1"/>
    </xf>
    <xf numFmtId="0" fontId="25" fillId="0" borderId="0" xfId="4" applyFont="1"/>
    <xf numFmtId="1" fontId="22" fillId="0" borderId="4" xfId="4" applyNumberFormat="1" applyFont="1" applyBorder="1"/>
    <xf numFmtId="166" fontId="22" fillId="0" borderId="4" xfId="1" applyFont="1" applyBorder="1"/>
    <xf numFmtId="168" fontId="22" fillId="0" borderId="4" xfId="4" applyNumberFormat="1" applyFont="1" applyBorder="1"/>
    <xf numFmtId="0" fontId="22" fillId="0" borderId="4" xfId="4" applyFont="1" applyBorder="1"/>
    <xf numFmtId="1" fontId="22" fillId="0" borderId="0" xfId="4" applyNumberFormat="1" applyFont="1"/>
    <xf numFmtId="1" fontId="23" fillId="0" borderId="4" xfId="4" applyNumberFormat="1" applyFont="1" applyBorder="1"/>
    <xf numFmtId="0" fontId="23" fillId="0" borderId="4" xfId="4" applyFont="1" applyBorder="1"/>
    <xf numFmtId="168" fontId="23" fillId="0" borderId="4" xfId="4" applyNumberFormat="1" applyFont="1" applyBorder="1"/>
    <xf numFmtId="1" fontId="23" fillId="0" borderId="0" xfId="4" applyNumberFormat="1" applyFont="1"/>
    <xf numFmtId="0" fontId="16" fillId="0" borderId="4" xfId="4" applyFont="1" applyBorder="1" applyAlignment="1">
      <alignment horizontal="left" vertical="center" wrapText="1"/>
    </xf>
    <xf numFmtId="9" fontId="22" fillId="0" borderId="4" xfId="4" applyNumberFormat="1" applyFont="1" applyBorder="1"/>
    <xf numFmtId="0" fontId="22" fillId="0" borderId="4" xfId="4" applyFont="1" applyBorder="1" applyAlignment="1">
      <alignment wrapText="1"/>
    </xf>
    <xf numFmtId="168" fontId="22" fillId="0" borderId="0" xfId="4" applyNumberFormat="1" applyFont="1"/>
    <xf numFmtId="10" fontId="22" fillId="0" borderId="0" xfId="2" applyNumberFormat="1" applyFont="1"/>
    <xf numFmtId="169" fontId="22" fillId="0" borderId="0" xfId="1" applyNumberFormat="1" applyFont="1"/>
    <xf numFmtId="4" fontId="22" fillId="0" borderId="0" xfId="4" applyNumberFormat="1" applyFont="1"/>
    <xf numFmtId="0" fontId="11" fillId="0" borderId="0" xfId="0" applyFont="1" applyAlignment="1">
      <alignment horizontal="left" vertical="center"/>
    </xf>
    <xf numFmtId="0" fontId="13" fillId="0" borderId="0" xfId="0" applyFont="1" applyAlignment="1">
      <alignment horizontal="left" vertical="center"/>
    </xf>
    <xf numFmtId="4" fontId="13" fillId="0" borderId="2" xfId="3" applyNumberFormat="1" applyFont="1" applyFill="1" applyBorder="1" applyAlignment="1">
      <alignment horizontal="center" vertical="center"/>
    </xf>
    <xf numFmtId="4" fontId="13" fillId="0" borderId="4" xfId="3" applyNumberFormat="1" applyFont="1" applyFill="1" applyBorder="1" applyAlignment="1">
      <alignment horizontal="center" vertical="center"/>
    </xf>
    <xf numFmtId="4" fontId="13" fillId="0" borderId="1" xfId="3" applyNumberFormat="1" applyFont="1" applyFill="1" applyBorder="1" applyAlignment="1">
      <alignment horizontal="center" vertical="center"/>
    </xf>
    <xf numFmtId="4" fontId="30" fillId="0" borderId="29" xfId="3" applyNumberFormat="1" applyFont="1" applyFill="1" applyBorder="1" applyAlignment="1">
      <alignment horizontal="center" vertical="center"/>
    </xf>
    <xf numFmtId="4" fontId="13" fillId="0" borderId="20" xfId="3" applyNumberFormat="1" applyFont="1" applyFill="1" applyBorder="1" applyAlignment="1">
      <alignment horizontal="center" vertical="center"/>
    </xf>
    <xf numFmtId="4" fontId="13" fillId="0" borderId="29" xfId="3" applyNumberFormat="1" applyFont="1" applyFill="1" applyBorder="1" applyAlignment="1">
      <alignment horizontal="center" vertical="center"/>
    </xf>
    <xf numFmtId="4" fontId="11" fillId="0" borderId="3" xfId="3" applyNumberFormat="1" applyFont="1" applyFill="1" applyBorder="1" applyAlignment="1">
      <alignment horizontal="center" vertical="center"/>
    </xf>
    <xf numFmtId="4" fontId="11" fillId="0" borderId="15" xfId="3" applyNumberFormat="1" applyFont="1" applyFill="1" applyBorder="1" applyAlignment="1">
      <alignment horizontal="center" vertical="center"/>
    </xf>
    <xf numFmtId="4" fontId="11" fillId="0" borderId="11" xfId="3" applyNumberFormat="1" applyFont="1" applyFill="1" applyBorder="1" applyAlignment="1">
      <alignment horizontal="center" vertical="center"/>
    </xf>
    <xf numFmtId="4" fontId="31" fillId="0" borderId="32" xfId="3" applyNumberFormat="1" applyFont="1" applyFill="1" applyBorder="1" applyAlignment="1">
      <alignment horizontal="center" vertical="center"/>
    </xf>
    <xf numFmtId="4" fontId="11" fillId="0" borderId="30" xfId="3" applyNumberFormat="1" applyFont="1" applyFill="1" applyBorder="1" applyAlignment="1">
      <alignment horizontal="center" vertical="center"/>
    </xf>
    <xf numFmtId="4" fontId="11" fillId="0" borderId="31" xfId="3" applyNumberFormat="1" applyFont="1" applyFill="1" applyBorder="1" applyAlignment="1">
      <alignment horizontal="center" vertical="center"/>
    </xf>
    <xf numFmtId="4" fontId="11" fillId="0" borderId="20" xfId="3" applyNumberFormat="1" applyFont="1" applyFill="1" applyBorder="1" applyAlignment="1">
      <alignment horizontal="center" vertical="center"/>
    </xf>
    <xf numFmtId="4" fontId="11" fillId="0" borderId="4" xfId="3" applyNumberFormat="1" applyFont="1" applyFill="1" applyBorder="1" applyAlignment="1">
      <alignment horizontal="center" vertical="center"/>
    </xf>
    <xf numFmtId="4" fontId="11" fillId="0" borderId="21" xfId="3" applyNumberFormat="1" applyFont="1" applyFill="1" applyBorder="1" applyAlignment="1">
      <alignment horizontal="center" vertical="center"/>
    </xf>
    <xf numFmtId="4" fontId="11" fillId="0" borderId="1" xfId="3" applyNumberFormat="1" applyFont="1" applyFill="1" applyBorder="1" applyAlignment="1">
      <alignment horizontal="center" vertical="center"/>
    </xf>
    <xf numFmtId="4" fontId="31" fillId="0" borderId="20" xfId="3" applyNumberFormat="1" applyFont="1" applyFill="1" applyBorder="1" applyAlignment="1">
      <alignment horizontal="center" vertical="center"/>
    </xf>
    <xf numFmtId="4" fontId="11" fillId="0" borderId="36" xfId="3" applyNumberFormat="1" applyFont="1" applyFill="1" applyBorder="1" applyAlignment="1">
      <alignment horizontal="center" vertical="center"/>
    </xf>
    <xf numFmtId="0" fontId="16" fillId="2" borderId="0" xfId="0" applyFont="1" applyFill="1" applyAlignment="1">
      <alignment horizontal="center" vertical="top"/>
    </xf>
    <xf numFmtId="0" fontId="16" fillId="2" borderId="42" xfId="0" applyFont="1" applyFill="1" applyBorder="1" applyAlignment="1">
      <alignment horizontal="left"/>
    </xf>
    <xf numFmtId="0" fontId="16" fillId="2" borderId="43" xfId="0" applyFont="1" applyFill="1" applyBorder="1" applyAlignment="1">
      <alignment horizontal="left"/>
    </xf>
    <xf numFmtId="0" fontId="16" fillId="2" borderId="44" xfId="0" applyFont="1" applyFill="1" applyBorder="1" applyAlignment="1">
      <alignment horizontal="left"/>
    </xf>
    <xf numFmtId="0" fontId="16" fillId="2" borderId="45" xfId="0" applyFont="1" applyFill="1" applyBorder="1" applyAlignment="1">
      <alignment horizontal="left"/>
    </xf>
    <xf numFmtId="0" fontId="16" fillId="2" borderId="44" xfId="0" applyFont="1" applyFill="1" applyBorder="1" applyAlignment="1">
      <alignment horizontal="center" vertical="top"/>
    </xf>
    <xf numFmtId="0" fontId="16" fillId="2" borderId="45" xfId="0" applyFont="1" applyFill="1" applyBorder="1" applyAlignment="1">
      <alignment horizontal="center" vertical="top"/>
    </xf>
    <xf numFmtId="0" fontId="16" fillId="2" borderId="50" xfId="0" applyFont="1" applyFill="1" applyBorder="1" applyAlignment="1">
      <alignment horizontal="left"/>
    </xf>
    <xf numFmtId="0" fontId="16" fillId="2" borderId="51" xfId="0" applyFont="1" applyFill="1" applyBorder="1" applyAlignment="1">
      <alignment horizontal="left"/>
    </xf>
    <xf numFmtId="0" fontId="16" fillId="2" borderId="52" xfId="0" applyFont="1" applyFill="1" applyBorder="1" applyAlignment="1">
      <alignment horizontal="left"/>
    </xf>
    <xf numFmtId="0" fontId="16" fillId="2" borderId="53" xfId="0" applyFont="1" applyFill="1" applyBorder="1" applyAlignment="1">
      <alignment horizontal="left"/>
    </xf>
    <xf numFmtId="0" fontId="39" fillId="2" borderId="0" xfId="0" applyFont="1" applyFill="1" applyAlignment="1">
      <alignment horizontal="left"/>
    </xf>
    <xf numFmtId="0" fontId="11" fillId="2" borderId="0" xfId="0" applyFont="1" applyFill="1" applyAlignment="1">
      <alignment horizontal="right" vertical="center"/>
    </xf>
    <xf numFmtId="0" fontId="15" fillId="2" borderId="11" xfId="0" applyFont="1" applyFill="1" applyBorder="1" applyAlignment="1">
      <alignment vertical="center"/>
    </xf>
    <xf numFmtId="0" fontId="13" fillId="2" borderId="0" xfId="0" applyFont="1" applyFill="1" applyAlignment="1">
      <alignment vertical="center"/>
    </xf>
    <xf numFmtId="0" fontId="16" fillId="2" borderId="0" xfId="0" applyFont="1" applyFill="1" applyAlignment="1">
      <alignment horizontal="left" vertical="center"/>
    </xf>
    <xf numFmtId="0" fontId="11" fillId="2" borderId="0" xfId="0" applyFont="1" applyFill="1" applyAlignment="1">
      <alignment horizontal="left" vertical="center"/>
    </xf>
    <xf numFmtId="0" fontId="19" fillId="2" borderId="0" xfId="0" applyFont="1" applyFill="1" applyAlignment="1">
      <alignment horizontal="left" vertical="center"/>
    </xf>
    <xf numFmtId="0" fontId="16" fillId="2" borderId="4" xfId="0" applyFont="1" applyFill="1" applyBorder="1" applyAlignment="1">
      <alignment vertical="center" wrapText="1"/>
    </xf>
    <xf numFmtId="0" fontId="19" fillId="2" borderId="4" xfId="0" applyFont="1" applyFill="1" applyBorder="1" applyAlignment="1">
      <alignment horizontal="center" vertical="center" wrapText="1"/>
    </xf>
    <xf numFmtId="0" fontId="19" fillId="2" borderId="0" xfId="0" applyFont="1" applyFill="1" applyAlignment="1">
      <alignment horizontal="center" vertical="center" wrapText="1"/>
    </xf>
    <xf numFmtId="4" fontId="19" fillId="2" borderId="0" xfId="0" applyNumberFormat="1" applyFont="1" applyFill="1" applyAlignment="1">
      <alignment horizontal="center" vertical="center" wrapText="1"/>
    </xf>
    <xf numFmtId="0" fontId="16" fillId="2" borderId="4" xfId="0" applyFont="1" applyFill="1" applyBorder="1" applyAlignment="1">
      <alignment horizontal="left" vertical="center" wrapText="1"/>
    </xf>
    <xf numFmtId="43" fontId="19" fillId="0" borderId="4" xfId="0" applyNumberFormat="1" applyFont="1" applyBorder="1" applyAlignment="1">
      <alignment horizontal="left"/>
    </xf>
    <xf numFmtId="0" fontId="13" fillId="0" borderId="0" xfId="0" applyFont="1" applyAlignment="1">
      <alignment vertical="center"/>
    </xf>
    <xf numFmtId="0" fontId="16" fillId="0" borderId="0" xfId="0" applyFont="1" applyAlignment="1">
      <alignment horizontal="left" vertical="center"/>
    </xf>
    <xf numFmtId="4" fontId="16" fillId="0" borderId="4" xfId="0" applyNumberFormat="1" applyFont="1" applyBorder="1" applyAlignment="1">
      <alignment horizontal="center" vertical="center"/>
    </xf>
    <xf numFmtId="4" fontId="19" fillId="0" borderId="4" xfId="0" applyNumberFormat="1" applyFont="1" applyBorder="1" applyAlignment="1">
      <alignment horizontal="center" vertical="center"/>
    </xf>
    <xf numFmtId="0" fontId="19" fillId="0" borderId="0" xfId="0" applyFont="1" applyAlignment="1">
      <alignment horizontal="left" vertical="center"/>
    </xf>
    <xf numFmtId="4" fontId="12" fillId="0" borderId="0" xfId="0" applyNumberFormat="1" applyFont="1" applyAlignment="1">
      <alignment horizontal="left"/>
    </xf>
    <xf numFmtId="4" fontId="16" fillId="0" borderId="0" xfId="0" applyNumberFormat="1" applyFont="1" applyAlignment="1">
      <alignment horizontal="left"/>
    </xf>
    <xf numFmtId="0" fontId="19" fillId="0" borderId="0" xfId="6" applyFont="1"/>
    <xf numFmtId="0" fontId="16" fillId="0" borderId="0" xfId="6" applyFont="1"/>
    <xf numFmtId="0" fontId="19" fillId="0" borderId="0" xfId="6" applyFont="1" applyAlignment="1">
      <alignment horizontal="center"/>
    </xf>
    <xf numFmtId="0" fontId="16" fillId="0" borderId="54" xfId="6" applyFont="1" applyBorder="1"/>
    <xf numFmtId="0" fontId="16" fillId="0" borderId="55" xfId="6" applyFont="1" applyBorder="1"/>
    <xf numFmtId="49" fontId="16" fillId="0" borderId="55" xfId="6" applyNumberFormat="1" applyFont="1" applyBorder="1"/>
    <xf numFmtId="0" fontId="16" fillId="0" borderId="56" xfId="6" applyFont="1" applyBorder="1"/>
    <xf numFmtId="0" fontId="16" fillId="0" borderId="37" xfId="6" applyFont="1" applyBorder="1"/>
    <xf numFmtId="0" fontId="16" fillId="0" borderId="19" xfId="6" applyFont="1" applyBorder="1"/>
    <xf numFmtId="2" fontId="16" fillId="0" borderId="0" xfId="6" applyNumberFormat="1" applyFont="1"/>
    <xf numFmtId="0" fontId="16" fillId="0" borderId="57" xfId="6" applyFont="1" applyBorder="1"/>
    <xf numFmtId="171" fontId="16" fillId="0" borderId="58" xfId="6" applyNumberFormat="1" applyFont="1" applyBorder="1"/>
    <xf numFmtId="0" fontId="16" fillId="0" borderId="58" xfId="6" applyFont="1" applyBorder="1"/>
    <xf numFmtId="0" fontId="16" fillId="0" borderId="59" xfId="6" applyFont="1" applyBorder="1"/>
    <xf numFmtId="0" fontId="19" fillId="0" borderId="54" xfId="6" applyFont="1" applyBorder="1"/>
    <xf numFmtId="0" fontId="16" fillId="0" borderId="36" xfId="6" applyFont="1" applyBorder="1"/>
    <xf numFmtId="0" fontId="16" fillId="0" borderId="4" xfId="6" applyFont="1" applyBorder="1"/>
    <xf numFmtId="171" fontId="16" fillId="3" borderId="29" xfId="6" applyNumberFormat="1" applyFont="1" applyFill="1" applyBorder="1" applyAlignment="1">
      <alignment horizontal="center"/>
    </xf>
    <xf numFmtId="2" fontId="16" fillId="0" borderId="29" xfId="6" applyNumberFormat="1" applyFont="1" applyBorder="1" applyAlignment="1">
      <alignment horizontal="center"/>
    </xf>
    <xf numFmtId="0" fontId="19" fillId="0" borderId="57" xfId="6" applyFont="1" applyBorder="1"/>
    <xf numFmtId="0" fontId="19" fillId="0" borderId="39" xfId="6" applyFont="1" applyBorder="1"/>
    <xf numFmtId="0" fontId="19" fillId="0" borderId="38" xfId="6" applyFont="1" applyBorder="1"/>
    <xf numFmtId="2" fontId="19" fillId="0" borderId="59" xfId="6" applyNumberFormat="1" applyFont="1" applyBorder="1" applyAlignment="1">
      <alignment horizontal="center"/>
    </xf>
    <xf numFmtId="0" fontId="19" fillId="0" borderId="60" xfId="6" applyFont="1" applyBorder="1"/>
    <xf numFmtId="0" fontId="19" fillId="0" borderId="61" xfId="6" applyFont="1" applyBorder="1"/>
    <xf numFmtId="0" fontId="19" fillId="0" borderId="61" xfId="6" applyFont="1" applyBorder="1" applyAlignment="1">
      <alignment horizontal="center"/>
    </xf>
    <xf numFmtId="0" fontId="19" fillId="0" borderId="62" xfId="6" applyFont="1" applyBorder="1" applyAlignment="1">
      <alignment horizontal="center"/>
    </xf>
    <xf numFmtId="0" fontId="19" fillId="0" borderId="62" xfId="6" applyFont="1" applyBorder="1"/>
    <xf numFmtId="171" fontId="16" fillId="0" borderId="0" xfId="6" applyNumberFormat="1" applyFont="1"/>
    <xf numFmtId="0" fontId="16" fillId="0" borderId="63" xfId="6" applyFont="1" applyBorder="1"/>
    <xf numFmtId="0" fontId="19" fillId="0" borderId="64" xfId="6" applyFont="1" applyBorder="1"/>
    <xf numFmtId="0" fontId="19" fillId="0" borderId="65" xfId="6" applyFont="1" applyBorder="1"/>
    <xf numFmtId="0" fontId="16" fillId="0" borderId="64" xfId="6" applyFont="1" applyBorder="1"/>
    <xf numFmtId="0" fontId="19" fillId="0" borderId="66" xfId="6" applyFont="1" applyBorder="1"/>
    <xf numFmtId="0" fontId="16" fillId="0" borderId="15" xfId="6" applyFont="1" applyBorder="1" applyAlignment="1">
      <alignment horizontal="center"/>
    </xf>
    <xf numFmtId="0" fontId="16" fillId="0" borderId="4" xfId="6" applyFont="1" applyBorder="1" applyAlignment="1">
      <alignment horizontal="center"/>
    </xf>
    <xf numFmtId="0" fontId="19" fillId="0" borderId="3" xfId="6" applyFont="1" applyBorder="1"/>
    <xf numFmtId="0" fontId="16" fillId="0" borderId="15" xfId="6" applyFont="1" applyBorder="1"/>
    <xf numFmtId="0" fontId="16" fillId="3" borderId="36" xfId="6" applyFont="1" applyFill="1" applyBorder="1"/>
    <xf numFmtId="2" fontId="16" fillId="0" borderId="4" xfId="6" applyNumberFormat="1" applyFont="1" applyBorder="1" applyAlignment="1">
      <alignment horizontal="center"/>
    </xf>
    <xf numFmtId="0" fontId="19" fillId="0" borderId="2" xfId="6" applyFont="1" applyBorder="1" applyAlignment="1">
      <alignment horizontal="center"/>
    </xf>
    <xf numFmtId="2" fontId="16" fillId="3" borderId="4" xfId="6" applyNumberFormat="1" applyFont="1" applyFill="1" applyBorder="1" applyAlignment="1">
      <alignment horizontal="center"/>
    </xf>
    <xf numFmtId="0" fontId="16" fillId="0" borderId="0" xfId="6" applyFont="1" applyAlignment="1">
      <alignment horizontal="right"/>
    </xf>
    <xf numFmtId="0" fontId="16" fillId="4" borderId="36" xfId="6" applyFont="1" applyFill="1" applyBorder="1"/>
    <xf numFmtId="0" fontId="16" fillId="2" borderId="36" xfId="6" applyFont="1" applyFill="1" applyBorder="1"/>
    <xf numFmtId="2" fontId="16" fillId="0" borderId="0" xfId="6" applyNumberFormat="1" applyFont="1" applyAlignment="1">
      <alignment horizontal="right"/>
    </xf>
    <xf numFmtId="0" fontId="16" fillId="4" borderId="67" xfId="6" applyFont="1" applyFill="1" applyBorder="1"/>
    <xf numFmtId="0" fontId="16" fillId="0" borderId="13" xfId="6" applyFont="1" applyBorder="1" applyAlignment="1">
      <alignment horizontal="center"/>
    </xf>
    <xf numFmtId="0" fontId="19" fillId="0" borderId="6" xfId="6" applyFont="1" applyBorder="1" applyAlignment="1">
      <alignment horizontal="center"/>
    </xf>
    <xf numFmtId="0" fontId="16" fillId="3" borderId="67" xfId="6" applyFont="1" applyFill="1" applyBorder="1"/>
    <xf numFmtId="0" fontId="16" fillId="0" borderId="68" xfId="8" applyFont="1" applyBorder="1" applyAlignment="1">
      <alignment wrapText="1"/>
    </xf>
    <xf numFmtId="2" fontId="16" fillId="0" borderId="13" xfId="6" applyNumberFormat="1" applyFont="1" applyBorder="1" applyAlignment="1">
      <alignment horizontal="center"/>
    </xf>
    <xf numFmtId="0" fontId="16" fillId="0" borderId="67" xfId="6" applyFont="1" applyBorder="1"/>
    <xf numFmtId="171" fontId="16" fillId="0" borderId="13" xfId="6" applyNumberFormat="1" applyFont="1" applyBorder="1" applyAlignment="1">
      <alignment horizontal="center"/>
    </xf>
    <xf numFmtId="0" fontId="19" fillId="0" borderId="6" xfId="6" applyFont="1" applyBorder="1"/>
    <xf numFmtId="171" fontId="16" fillId="0" borderId="4" xfId="6" applyNumberFormat="1" applyFont="1" applyBorder="1" applyAlignment="1">
      <alignment horizontal="center"/>
    </xf>
    <xf numFmtId="0" fontId="19" fillId="0" borderId="36" xfId="6" applyFont="1" applyBorder="1"/>
    <xf numFmtId="2" fontId="19" fillId="0" borderId="4" xfId="6" applyNumberFormat="1" applyFont="1" applyBorder="1" applyAlignment="1">
      <alignment horizontal="center"/>
    </xf>
    <xf numFmtId="0" fontId="19" fillId="0" borderId="4" xfId="6" applyFont="1" applyBorder="1" applyAlignment="1">
      <alignment horizontal="center"/>
    </xf>
    <xf numFmtId="2" fontId="41" fillId="0" borderId="4" xfId="6" applyNumberFormat="1" applyFont="1" applyBorder="1" applyAlignment="1">
      <alignment horizontal="center"/>
    </xf>
    <xf numFmtId="171" fontId="41" fillId="0" borderId="4" xfId="6" applyNumberFormat="1" applyFont="1" applyBorder="1" applyAlignment="1">
      <alignment horizontal="center"/>
    </xf>
    <xf numFmtId="0" fontId="11" fillId="0" borderId="0" xfId="6" applyFont="1"/>
    <xf numFmtId="171" fontId="16" fillId="0" borderId="0" xfId="6" applyNumberFormat="1" applyFont="1" applyAlignment="1">
      <alignment horizontal="center"/>
    </xf>
    <xf numFmtId="2" fontId="16" fillId="3" borderId="0" xfId="6" applyNumberFormat="1" applyFont="1" applyFill="1"/>
    <xf numFmtId="14" fontId="16" fillId="0" borderId="0" xfId="6" applyNumberFormat="1" applyFont="1" applyAlignment="1">
      <alignment horizontal="left"/>
    </xf>
    <xf numFmtId="172" fontId="16" fillId="0" borderId="69" xfId="6" applyNumberFormat="1" applyFont="1" applyBorder="1"/>
    <xf numFmtId="0" fontId="41" fillId="0" borderId="0" xfId="6" applyFont="1" applyAlignment="1">
      <alignment vertical="center"/>
    </xf>
    <xf numFmtId="0" fontId="42" fillId="0" borderId="0" xfId="6" applyFont="1"/>
    <xf numFmtId="0" fontId="41" fillId="0" borderId="0" xfId="6" applyFont="1"/>
    <xf numFmtId="9" fontId="42" fillId="0" borderId="0" xfId="6" applyNumberFormat="1" applyFont="1" applyAlignment="1">
      <alignment horizontal="center"/>
    </xf>
    <xf numFmtId="0" fontId="42" fillId="0" borderId="4" xfId="6" applyFont="1" applyBorder="1" applyAlignment="1">
      <alignment horizontal="center" vertical="center"/>
    </xf>
    <xf numFmtId="0" fontId="11" fillId="0" borderId="4" xfId="6" applyFont="1" applyBorder="1" applyAlignment="1">
      <alignment horizontal="left" vertical="center"/>
    </xf>
    <xf numFmtId="0" fontId="42" fillId="5" borderId="4" xfId="6" applyFont="1" applyFill="1" applyBorder="1"/>
    <xf numFmtId="2" fontId="42" fillId="5" borderId="4" xfId="6" applyNumberFormat="1" applyFont="1" applyFill="1" applyBorder="1"/>
    <xf numFmtId="173" fontId="42" fillId="5" borderId="4" xfId="9" applyFont="1" applyFill="1" applyBorder="1"/>
    <xf numFmtId="0" fontId="42" fillId="6" borderId="4" xfId="6" applyFont="1" applyFill="1" applyBorder="1"/>
    <xf numFmtId="173" fontId="41" fillId="6" borderId="4" xfId="9" applyFont="1" applyFill="1" applyBorder="1"/>
    <xf numFmtId="173" fontId="42" fillId="6" borderId="4" xfId="9" applyFont="1" applyFill="1" applyBorder="1"/>
    <xf numFmtId="164" fontId="16" fillId="0" borderId="0" xfId="6" applyNumberFormat="1" applyFont="1"/>
    <xf numFmtId="166" fontId="16" fillId="0" borderId="4" xfId="1" applyFont="1" applyBorder="1" applyAlignment="1">
      <alignment horizontal="left"/>
    </xf>
    <xf numFmtId="4" fontId="16" fillId="0" borderId="4" xfId="0" applyNumberFormat="1" applyFont="1" applyBorder="1" applyAlignment="1">
      <alignment horizontal="center"/>
    </xf>
    <xf numFmtId="0" fontId="16" fillId="0" borderId="3" xfId="6" applyFont="1" applyBorder="1"/>
    <xf numFmtId="0" fontId="16" fillId="7" borderId="69" xfId="6" applyFont="1" applyFill="1" applyBorder="1" applyAlignment="1">
      <alignment horizontal="center"/>
    </xf>
    <xf numFmtId="0" fontId="16" fillId="7" borderId="0" xfId="6" applyFont="1" applyFill="1"/>
    <xf numFmtId="164" fontId="16" fillId="0" borderId="4" xfId="6" applyNumberFormat="1" applyFont="1" applyBorder="1"/>
    <xf numFmtId="164" fontId="19" fillId="7" borderId="4" xfId="6" applyNumberFormat="1" applyFont="1" applyFill="1" applyBorder="1"/>
    <xf numFmtId="164" fontId="19" fillId="7" borderId="0" xfId="6" applyNumberFormat="1" applyFont="1" applyFill="1"/>
    <xf numFmtId="164" fontId="16" fillId="7" borderId="0" xfId="6" applyNumberFormat="1" applyFont="1" applyFill="1"/>
    <xf numFmtId="2" fontId="16" fillId="7" borderId="0" xfId="6" applyNumberFormat="1" applyFont="1" applyFill="1"/>
    <xf numFmtId="166" fontId="16" fillId="0" borderId="4" xfId="1" applyFont="1" applyBorder="1" applyAlignment="1">
      <alignment horizontal="center"/>
    </xf>
    <xf numFmtId="4" fontId="16" fillId="0" borderId="4" xfId="0" applyNumberFormat="1" applyFont="1" applyBorder="1" applyAlignment="1">
      <alignment horizontal="center" vertical="center" wrapText="1"/>
    </xf>
    <xf numFmtId="0" fontId="16" fillId="0" borderId="0" xfId="0" applyFont="1" applyAlignment="1">
      <alignment horizontal="left" vertical="center" wrapText="1"/>
    </xf>
    <xf numFmtId="4" fontId="22" fillId="0" borderId="4" xfId="0" applyNumberFormat="1" applyFont="1" applyBorder="1" applyAlignment="1">
      <alignment horizontal="center" vertical="center" wrapText="1"/>
    </xf>
    <xf numFmtId="4" fontId="23" fillId="0" borderId="4" xfId="0" applyNumberFormat="1" applyFont="1" applyBorder="1" applyAlignment="1">
      <alignment horizontal="center"/>
    </xf>
    <xf numFmtId="0" fontId="19" fillId="0" borderId="0" xfId="0" applyFont="1" applyAlignment="1">
      <alignment horizontal="right" vertical="center"/>
    </xf>
    <xf numFmtId="4" fontId="19" fillId="0" borderId="0" xfId="0" applyNumberFormat="1" applyFont="1" applyAlignment="1">
      <alignment horizontal="center" vertical="center"/>
    </xf>
    <xf numFmtId="4" fontId="19" fillId="0" borderId="4" xfId="0" applyNumberFormat="1" applyFont="1" applyBorder="1" applyAlignment="1">
      <alignment horizontal="center"/>
    </xf>
    <xf numFmtId="4" fontId="13" fillId="0" borderId="4" xfId="0" applyNumberFormat="1" applyFont="1" applyBorder="1" applyAlignment="1">
      <alignment horizontal="center" vertical="center"/>
    </xf>
    <xf numFmtId="4" fontId="11" fillId="0" borderId="4" xfId="0" applyNumberFormat="1" applyFont="1" applyBorder="1" applyAlignment="1">
      <alignment horizontal="center" vertical="center"/>
    </xf>
    <xf numFmtId="166" fontId="16" fillId="0" borderId="4" xfId="1" applyFont="1" applyFill="1" applyBorder="1" applyAlignment="1">
      <alignment horizontal="left"/>
    </xf>
    <xf numFmtId="0" fontId="16" fillId="0" borderId="3" xfId="0" applyFont="1" applyBorder="1" applyAlignment="1">
      <alignment horizontal="left"/>
    </xf>
    <xf numFmtId="0" fontId="16" fillId="0" borderId="11" xfId="0" applyFont="1" applyBorder="1" applyAlignment="1">
      <alignment horizontal="left"/>
    </xf>
    <xf numFmtId="0" fontId="16" fillId="0" borderId="12" xfId="0" applyFont="1" applyBorder="1" applyAlignment="1">
      <alignment horizontal="left"/>
    </xf>
    <xf numFmtId="0" fontId="16" fillId="0" borderId="3"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4" xfId="0" applyFont="1" applyBorder="1" applyAlignment="1">
      <alignment horizontal="center" wrapText="1"/>
    </xf>
    <xf numFmtId="0" fontId="16" fillId="0" borderId="15" xfId="0" applyFont="1" applyBorder="1" applyAlignment="1">
      <alignment horizontal="center" wrapText="1"/>
    </xf>
    <xf numFmtId="4" fontId="19" fillId="0" borderId="4" xfId="0" applyNumberFormat="1" applyFont="1" applyBorder="1" applyAlignment="1">
      <alignment horizontal="right"/>
    </xf>
    <xf numFmtId="0" fontId="16" fillId="0" borderId="15" xfId="0" applyFont="1" applyBorder="1" applyAlignment="1">
      <alignment horizontal="center" vertical="center" wrapText="1"/>
    </xf>
    <xf numFmtId="166" fontId="16" fillId="0" borderId="4" xfId="0" applyNumberFormat="1" applyFont="1" applyBorder="1" applyAlignment="1">
      <alignment horizontal="center"/>
    </xf>
    <xf numFmtId="166" fontId="19" fillId="0" borderId="4" xfId="0" applyNumberFormat="1" applyFont="1" applyBorder="1" applyAlignment="1">
      <alignment horizontal="center"/>
    </xf>
    <xf numFmtId="164" fontId="13" fillId="0" borderId="0" xfId="0" applyNumberFormat="1" applyFont="1" applyAlignment="1">
      <alignment horizontal="left"/>
    </xf>
    <xf numFmtId="166" fontId="16" fillId="0" borderId="4" xfId="3" applyFont="1" applyFill="1" applyBorder="1" applyAlignment="1">
      <alignment horizontal="left"/>
    </xf>
    <xf numFmtId="165" fontId="19" fillId="0" borderId="4" xfId="0" applyNumberFormat="1" applyFont="1" applyBorder="1" applyAlignment="1">
      <alignment horizontal="left"/>
    </xf>
    <xf numFmtId="166" fontId="16" fillId="0" borderId="0" xfId="0" applyNumberFormat="1" applyFont="1" applyAlignment="1">
      <alignment horizontal="left"/>
    </xf>
    <xf numFmtId="4" fontId="16" fillId="0" borderId="13" xfId="0" applyNumberFormat="1" applyFont="1" applyBorder="1" applyAlignment="1">
      <alignment horizontal="right"/>
    </xf>
    <xf numFmtId="49" fontId="16" fillId="0" borderId="13" xfId="0" applyNumberFormat="1" applyFont="1" applyBorder="1" applyAlignment="1">
      <alignment horizontal="right"/>
    </xf>
    <xf numFmtId="166" fontId="16" fillId="0" borderId="4" xfId="3" applyFont="1" applyFill="1" applyBorder="1" applyAlignment="1">
      <alignment vertical="center"/>
    </xf>
    <xf numFmtId="0" fontId="16" fillId="0" borderId="4" xfId="0" applyFont="1" applyBorder="1" applyAlignment="1">
      <alignment vertical="center"/>
    </xf>
    <xf numFmtId="166" fontId="19" fillId="0" borderId="4" xfId="3" applyFont="1" applyFill="1" applyBorder="1" applyAlignment="1">
      <alignment vertical="center"/>
    </xf>
    <xf numFmtId="166" fontId="20" fillId="0" borderId="4" xfId="3" applyFont="1" applyFill="1" applyBorder="1" applyAlignment="1">
      <alignment vertical="center"/>
    </xf>
    <xf numFmtId="0" fontId="20" fillId="0" borderId="4" xfId="0" applyFont="1" applyBorder="1" applyAlignment="1">
      <alignment vertical="center"/>
    </xf>
    <xf numFmtId="164" fontId="20" fillId="0" borderId="4" xfId="0" applyNumberFormat="1" applyFont="1" applyBorder="1" applyAlignment="1">
      <alignment vertical="center"/>
    </xf>
    <xf numFmtId="166" fontId="22" fillId="0" borderId="4" xfId="3" applyFont="1" applyFill="1" applyBorder="1" applyAlignment="1">
      <alignment vertical="center"/>
    </xf>
    <xf numFmtId="165" fontId="19" fillId="0" borderId="4" xfId="0" applyNumberFormat="1" applyFont="1" applyBorder="1" applyAlignment="1">
      <alignment vertical="center"/>
    </xf>
    <xf numFmtId="165" fontId="16" fillId="0" borderId="4" xfId="0" applyNumberFormat="1" applyFont="1" applyBorder="1" applyAlignment="1">
      <alignment vertical="center"/>
    </xf>
    <xf numFmtId="166" fontId="16" fillId="0" borderId="4" xfId="3" applyFont="1" applyFill="1" applyBorder="1" applyAlignment="1">
      <alignment horizontal="left" vertical="top"/>
    </xf>
    <xf numFmtId="166" fontId="16" fillId="0" borderId="4" xfId="3" applyFont="1" applyFill="1" applyBorder="1" applyAlignment="1">
      <alignment horizontal="center"/>
    </xf>
    <xf numFmtId="165" fontId="19" fillId="0" borderId="4" xfId="0" applyNumberFormat="1" applyFont="1" applyBorder="1" applyAlignment="1">
      <alignment horizontal="left" vertical="top"/>
    </xf>
    <xf numFmtId="0" fontId="19" fillId="0" borderId="0" xfId="0" applyFont="1" applyAlignment="1">
      <alignment horizontal="center" vertical="center"/>
    </xf>
    <xf numFmtId="166" fontId="19" fillId="0" borderId="0" xfId="3" applyFont="1" applyFill="1" applyBorder="1" applyAlignment="1">
      <alignment horizontal="center" vertical="center"/>
    </xf>
    <xf numFmtId="165" fontId="19" fillId="0" borderId="0" xfId="0" applyNumberFormat="1" applyFont="1" applyAlignment="1">
      <alignment horizontal="left"/>
    </xf>
    <xf numFmtId="165" fontId="19" fillId="0" borderId="0" xfId="0" applyNumberFormat="1" applyFont="1" applyAlignment="1">
      <alignment horizontal="left" vertical="top"/>
    </xf>
    <xf numFmtId="166" fontId="16" fillId="0" borderId="4" xfId="3" applyFont="1" applyFill="1" applyBorder="1" applyAlignment="1">
      <alignment horizontal="center" vertical="center"/>
    </xf>
    <xf numFmtId="166" fontId="19" fillId="0" borderId="4" xfId="3" applyFont="1" applyFill="1" applyBorder="1" applyAlignment="1">
      <alignment horizontal="center" vertical="center"/>
    </xf>
    <xf numFmtId="166" fontId="19" fillId="0" borderId="4" xfId="3" applyFont="1" applyFill="1" applyBorder="1" applyAlignment="1">
      <alignment horizontal="left" vertical="center"/>
    </xf>
    <xf numFmtId="165" fontId="16" fillId="0" borderId="4" xfId="0" applyNumberFormat="1" applyFont="1" applyBorder="1" applyAlignment="1">
      <alignment horizontal="left"/>
    </xf>
    <xf numFmtId="164" fontId="11" fillId="0" borderId="0" xfId="0" applyNumberFormat="1" applyFont="1" applyAlignment="1">
      <alignment horizontal="left"/>
    </xf>
    <xf numFmtId="166" fontId="16" fillId="0" borderId="4" xfId="1" applyFont="1" applyFill="1" applyBorder="1" applyAlignment="1">
      <alignment vertical="center" wrapText="1"/>
    </xf>
    <xf numFmtId="166" fontId="16" fillId="0" borderId="4" xfId="1" applyFont="1" applyFill="1" applyBorder="1" applyAlignment="1"/>
    <xf numFmtId="4" fontId="11" fillId="0" borderId="0" xfId="0" applyNumberFormat="1" applyFont="1" applyAlignment="1">
      <alignment horizontal="left"/>
    </xf>
    <xf numFmtId="166" fontId="16" fillId="0" borderId="4" xfId="0" applyNumberFormat="1" applyFont="1" applyBorder="1" applyAlignment="1">
      <alignment horizontal="center" vertical="center"/>
    </xf>
    <xf numFmtId="0" fontId="41" fillId="0" borderId="0" xfId="0" applyFont="1"/>
    <xf numFmtId="0" fontId="42" fillId="0" borderId="0" xfId="0" applyFont="1" applyAlignment="1">
      <alignment horizontal="left"/>
    </xf>
    <xf numFmtId="0" fontId="41" fillId="0" borderId="0" xfId="0" applyFont="1" applyAlignment="1">
      <alignment horizontal="center"/>
    </xf>
    <xf numFmtId="0" fontId="41" fillId="0" borderId="0" xfId="0" applyFont="1" applyAlignment="1">
      <alignment horizontal="left"/>
    </xf>
    <xf numFmtId="0" fontId="42" fillId="0" borderId="4" xfId="0" applyFont="1" applyBorder="1" applyAlignment="1">
      <alignment horizontal="center"/>
    </xf>
    <xf numFmtId="0" fontId="42" fillId="0" borderId="4" xfId="0" applyFont="1" applyBorder="1" applyAlignment="1">
      <alignment horizontal="left"/>
    </xf>
    <xf numFmtId="166" fontId="42" fillId="0" borderId="4" xfId="0" applyNumberFormat="1" applyFont="1" applyBorder="1" applyAlignment="1">
      <alignment horizontal="left"/>
    </xf>
    <xf numFmtId="0" fontId="41" fillId="0" borderId="4" xfId="0" applyFont="1" applyBorder="1" applyAlignment="1">
      <alignment horizontal="left"/>
    </xf>
    <xf numFmtId="166" fontId="41" fillId="0" borderId="4" xfId="0" applyNumberFormat="1" applyFont="1" applyBorder="1" applyAlignment="1">
      <alignment horizontal="left"/>
    </xf>
    <xf numFmtId="0" fontId="16" fillId="0" borderId="4" xfId="0" applyFont="1" applyBorder="1" applyAlignment="1">
      <alignment horizontal="left" vertical="center"/>
    </xf>
    <xf numFmtId="0" fontId="16" fillId="0" borderId="2" xfId="0" applyFont="1" applyBorder="1" applyAlignment="1">
      <alignment horizontal="center" vertical="center" wrapText="1"/>
    </xf>
    <xf numFmtId="0" fontId="16" fillId="0" borderId="2" xfId="0" applyFont="1" applyBorder="1" applyAlignment="1">
      <alignment horizontal="center" vertical="center"/>
    </xf>
    <xf numFmtId="0" fontId="19" fillId="0" borderId="4" xfId="0" applyFont="1" applyBorder="1" applyAlignment="1">
      <alignment horizontal="center" vertical="center"/>
    </xf>
    <xf numFmtId="0" fontId="42" fillId="0" borderId="0" xfId="0" applyFont="1" applyAlignment="1">
      <alignment horizontal="center" vertical="center" wrapText="1"/>
    </xf>
    <xf numFmtId="165" fontId="19" fillId="0" borderId="4" xfId="3" applyNumberFormat="1" applyFont="1" applyFill="1" applyBorder="1" applyAlignment="1">
      <alignment horizontal="left"/>
    </xf>
    <xf numFmtId="0" fontId="50" fillId="0" borderId="0" xfId="19" applyFont="1" applyAlignment="1">
      <alignment horizontal="center" vertical="center" wrapText="1"/>
    </xf>
    <xf numFmtId="0" fontId="42" fillId="0" borderId="0" xfId="0" applyFont="1" applyAlignment="1">
      <alignment vertical="center" wrapText="1"/>
    </xf>
    <xf numFmtId="0" fontId="51" fillId="0" borderId="4" xfId="19" applyFont="1" applyBorder="1" applyAlignment="1">
      <alignment horizontal="center" vertical="center" wrapText="1"/>
    </xf>
    <xf numFmtId="0" fontId="51" fillId="0" borderId="4" xfId="19" applyFont="1" applyBorder="1" applyAlignment="1">
      <alignment horizontal="center" vertical="center" textRotation="90" wrapText="1"/>
    </xf>
    <xf numFmtId="0" fontId="51" fillId="0" borderId="13" xfId="19" applyFont="1" applyBorder="1" applyAlignment="1">
      <alignment horizontal="center" vertical="center" wrapText="1"/>
    </xf>
    <xf numFmtId="4" fontId="51" fillId="0" borderId="4" xfId="19" applyNumberFormat="1" applyFont="1" applyBorder="1" applyAlignment="1">
      <alignment horizontal="right" vertical="center" wrapText="1"/>
    </xf>
    <xf numFmtId="4" fontId="42" fillId="0" borderId="0" xfId="0" applyNumberFormat="1" applyFont="1" applyAlignment="1">
      <alignment vertical="center" wrapText="1"/>
    </xf>
    <xf numFmtId="4" fontId="51" fillId="0" borderId="4" xfId="19" applyNumberFormat="1" applyFont="1" applyBorder="1" applyAlignment="1">
      <alignment horizontal="center" vertical="center" wrapText="1"/>
    </xf>
    <xf numFmtId="4" fontId="42" fillId="0" borderId="4" xfId="19" applyNumberFormat="1" applyFont="1" applyBorder="1" applyAlignment="1">
      <alignment horizontal="right" vertical="center" wrapText="1"/>
    </xf>
    <xf numFmtId="0" fontId="41" fillId="0" borderId="69" xfId="0" applyFont="1" applyBorder="1" applyAlignment="1">
      <alignment vertical="center" wrapText="1"/>
    </xf>
    <xf numFmtId="4" fontId="54" fillId="0" borderId="4" xfId="19" applyNumberFormat="1" applyFont="1" applyBorder="1" applyAlignment="1">
      <alignment horizontal="right" vertical="center" wrapText="1"/>
    </xf>
    <xf numFmtId="0" fontId="51" fillId="0" borderId="4" xfId="19" applyFont="1" applyBorder="1" applyAlignment="1">
      <alignment vertical="center" wrapText="1"/>
    </xf>
    <xf numFmtId="4" fontId="50" fillId="0" borderId="4" xfId="19" applyNumberFormat="1" applyFont="1" applyBorder="1" applyAlignment="1">
      <alignment horizontal="right" vertical="center" wrapText="1"/>
    </xf>
    <xf numFmtId="0" fontId="50" fillId="0" borderId="4" xfId="19" applyFont="1" applyBorder="1" applyAlignment="1">
      <alignment vertical="center" wrapText="1"/>
    </xf>
    <xf numFmtId="0" fontId="41" fillId="0" borderId="0" xfId="0" applyFont="1" applyAlignment="1">
      <alignment vertical="center" wrapText="1"/>
    </xf>
    <xf numFmtId="0" fontId="51" fillId="0" borderId="0" xfId="19" applyFont="1" applyAlignment="1">
      <alignment horizontal="left" vertical="center" wrapText="1"/>
    </xf>
    <xf numFmtId="0" fontId="51" fillId="0" borderId="0" xfId="19" applyFont="1" applyAlignment="1">
      <alignment vertical="center" wrapText="1"/>
    </xf>
    <xf numFmtId="0" fontId="51" fillId="0" borderId="0" xfId="19" applyFont="1" applyAlignment="1">
      <alignment horizontal="right" vertical="center" wrapText="1"/>
    </xf>
    <xf numFmtId="4" fontId="51" fillId="0" borderId="0" xfId="19" applyNumberFormat="1" applyFont="1" applyAlignment="1">
      <alignment horizontal="right" vertical="center" wrapText="1"/>
    </xf>
    <xf numFmtId="4" fontId="55" fillId="0" borderId="0" xfId="19" applyNumberFormat="1" applyFont="1" applyAlignment="1">
      <alignment horizontal="center" vertical="center" wrapText="1"/>
    </xf>
    <xf numFmtId="4" fontId="51" fillId="0" borderId="0" xfId="19" applyNumberFormat="1" applyFont="1" applyAlignment="1">
      <alignment horizontal="center" vertical="center" wrapText="1"/>
    </xf>
    <xf numFmtId="4" fontId="51" fillId="0" borderId="0" xfId="19" applyNumberFormat="1" applyFont="1" applyAlignment="1">
      <alignment vertical="center" wrapText="1"/>
    </xf>
    <xf numFmtId="0" fontId="51" fillId="0" borderId="0" xfId="19" applyFont="1" applyAlignment="1">
      <alignment horizontal="center" vertical="center" wrapText="1"/>
    </xf>
    <xf numFmtId="2" fontId="51" fillId="0" borderId="0" xfId="19" applyNumberFormat="1" applyFont="1" applyAlignment="1">
      <alignment vertical="center" wrapText="1"/>
    </xf>
    <xf numFmtId="2" fontId="50" fillId="0" borderId="0" xfId="19" applyNumberFormat="1" applyFont="1" applyAlignment="1">
      <alignment vertical="center" wrapText="1"/>
    </xf>
    <xf numFmtId="175" fontId="55" fillId="0" borderId="0" xfId="19" applyNumberFormat="1" applyFont="1" applyAlignment="1">
      <alignment horizontal="center" vertical="center" wrapText="1"/>
    </xf>
    <xf numFmtId="4" fontId="50" fillId="0" borderId="0" xfId="19" applyNumberFormat="1" applyFont="1" applyAlignment="1">
      <alignment vertical="center" wrapText="1"/>
    </xf>
    <xf numFmtId="2" fontId="56" fillId="0" borderId="0" xfId="19" applyNumberFormat="1" applyFont="1" applyAlignment="1">
      <alignment vertical="center" wrapText="1"/>
    </xf>
    <xf numFmtId="176" fontId="50" fillId="0" borderId="0" xfId="19" applyNumberFormat="1" applyFont="1" applyAlignment="1">
      <alignment vertical="center" wrapText="1"/>
    </xf>
    <xf numFmtId="0" fontId="50" fillId="0" borderId="0" xfId="19" applyFont="1" applyAlignment="1">
      <alignment vertical="center" wrapText="1"/>
    </xf>
    <xf numFmtId="176" fontId="50" fillId="0" borderId="0" xfId="19" applyNumberFormat="1" applyFont="1" applyAlignment="1">
      <alignment horizontal="center" vertical="center" wrapText="1"/>
    </xf>
    <xf numFmtId="49" fontId="50" fillId="0" borderId="0" xfId="19" applyNumberFormat="1" applyFont="1" applyAlignment="1">
      <alignment horizontal="center" vertical="center" wrapText="1"/>
    </xf>
    <xf numFmtId="4" fontId="50" fillId="0" borderId="0" xfId="19" applyNumberFormat="1" applyFont="1" applyAlignment="1">
      <alignment horizontal="center" vertical="center" wrapText="1"/>
    </xf>
    <xf numFmtId="166" fontId="16" fillId="0" borderId="4" xfId="1" applyFont="1" applyBorder="1" applyAlignment="1">
      <alignment horizontal="left" vertical="center"/>
    </xf>
    <xf numFmtId="164" fontId="19" fillId="0" borderId="4" xfId="0" applyNumberFormat="1" applyFont="1" applyBorder="1" applyAlignment="1">
      <alignment horizontal="left" vertical="center"/>
    </xf>
    <xf numFmtId="166" fontId="19" fillId="2" borderId="4" xfId="1" applyFont="1" applyFill="1" applyBorder="1" applyAlignment="1">
      <alignment horizontal="left" vertical="center"/>
    </xf>
    <xf numFmtId="166" fontId="19" fillId="0" borderId="4" xfId="1" applyFont="1" applyBorder="1" applyAlignment="1">
      <alignment horizontal="left" vertical="center"/>
    </xf>
    <xf numFmtId="164" fontId="16" fillId="0" borderId="4" xfId="0" applyNumberFormat="1" applyFont="1" applyBorder="1" applyAlignment="1">
      <alignment horizontal="left" vertical="center"/>
    </xf>
    <xf numFmtId="4" fontId="51" fillId="0" borderId="4" xfId="19" applyNumberFormat="1" applyFont="1" applyBorder="1" applyAlignment="1">
      <alignment vertical="center" wrapText="1"/>
    </xf>
    <xf numFmtId="0" fontId="57" fillId="2" borderId="11" xfId="0" applyFont="1" applyFill="1" applyBorder="1" applyAlignment="1">
      <alignment horizontal="left" vertical="center"/>
    </xf>
    <xf numFmtId="166" fontId="16" fillId="2" borderId="4" xfId="1" applyFont="1" applyFill="1" applyBorder="1" applyAlignment="1">
      <alignment horizontal="center" vertical="center"/>
    </xf>
    <xf numFmtId="0" fontId="16" fillId="2" borderId="4" xfId="0" applyFont="1" applyFill="1" applyBorder="1" applyAlignment="1">
      <alignment horizontal="left" vertical="center"/>
    </xf>
    <xf numFmtId="166" fontId="19" fillId="2" borderId="4" xfId="1" applyFont="1" applyFill="1" applyBorder="1" applyAlignment="1">
      <alignment horizontal="center" vertical="center" wrapText="1"/>
    </xf>
    <xf numFmtId="166" fontId="19" fillId="2" borderId="0" xfId="1" applyFont="1" applyFill="1" applyBorder="1" applyAlignment="1">
      <alignment horizontal="center" vertical="center" wrapText="1"/>
    </xf>
    <xf numFmtId="164" fontId="19" fillId="2" borderId="4" xfId="1" applyNumberFormat="1" applyFont="1" applyFill="1" applyBorder="1" applyAlignment="1">
      <alignment horizontal="center" vertical="center" wrapText="1"/>
    </xf>
    <xf numFmtId="4" fontId="16" fillId="2" borderId="0" xfId="0" applyNumberFormat="1" applyFont="1" applyFill="1" applyAlignment="1">
      <alignment horizontal="left" vertical="center"/>
    </xf>
    <xf numFmtId="2" fontId="16" fillId="2" borderId="0" xfId="0" applyNumberFormat="1" applyFont="1" applyFill="1" applyAlignment="1">
      <alignment horizontal="left" vertical="center"/>
    </xf>
    <xf numFmtId="166" fontId="16" fillId="0" borderId="4" xfId="1" applyFont="1" applyFill="1" applyBorder="1" applyAlignment="1">
      <alignment horizontal="left" vertical="center"/>
    </xf>
    <xf numFmtId="0" fontId="19" fillId="2" borderId="4" xfId="0" applyFont="1" applyFill="1" applyBorder="1" applyAlignment="1">
      <alignment horizontal="center" vertical="center"/>
    </xf>
    <xf numFmtId="166" fontId="19" fillId="2" borderId="4" xfId="0" applyNumberFormat="1" applyFont="1" applyFill="1" applyBorder="1" applyAlignment="1">
      <alignment horizontal="left" vertical="center"/>
    </xf>
    <xf numFmtId="166" fontId="16" fillId="0" borderId="4" xfId="0" applyNumberFormat="1" applyFont="1" applyBorder="1" applyAlignment="1">
      <alignment horizontal="right"/>
    </xf>
    <xf numFmtId="164" fontId="19" fillId="0" borderId="4" xfId="0" applyNumberFormat="1" applyFont="1" applyBorder="1" applyAlignment="1">
      <alignment horizontal="left"/>
    </xf>
    <xf numFmtId="0" fontId="11" fillId="0" borderId="0" xfId="0" applyFont="1" applyAlignment="1">
      <alignment horizontal="center" vertical="center"/>
    </xf>
    <xf numFmtId="0" fontId="11" fillId="0" borderId="4" xfId="0" applyFont="1" applyBorder="1" applyAlignment="1">
      <alignment horizontal="center" vertical="center"/>
    </xf>
    <xf numFmtId="0" fontId="11" fillId="0" borderId="4" xfId="0" applyFont="1" applyBorder="1" applyAlignment="1">
      <alignment horizontal="center" vertical="center" wrapText="1"/>
    </xf>
    <xf numFmtId="0" fontId="11" fillId="0" borderId="0" xfId="0" applyFont="1" applyAlignment="1">
      <alignment vertical="center"/>
    </xf>
    <xf numFmtId="0" fontId="11" fillId="0" borderId="4" xfId="0" applyFont="1" applyBorder="1" applyAlignment="1">
      <alignment horizontal="left" vertical="center"/>
    </xf>
    <xf numFmtId="166" fontId="16" fillId="0" borderId="4" xfId="1" applyFont="1" applyBorder="1" applyAlignment="1">
      <alignment horizontal="center" vertical="center"/>
    </xf>
    <xf numFmtId="0" fontId="43" fillId="0" borderId="0" xfId="23" applyFont="1" applyAlignment="1">
      <alignment horizontal="center"/>
    </xf>
    <xf numFmtId="0" fontId="43" fillId="0" borderId="0" xfId="23" applyFont="1"/>
    <xf numFmtId="0" fontId="13" fillId="0" borderId="0" xfId="23" applyFont="1" applyAlignment="1">
      <alignment horizontal="left"/>
    </xf>
    <xf numFmtId="0" fontId="14" fillId="0" borderId="0" xfId="23" applyFont="1" applyAlignment="1">
      <alignment horizontal="center"/>
    </xf>
    <xf numFmtId="0" fontId="14" fillId="0" borderId="0" xfId="23" applyFont="1" applyAlignment="1">
      <alignment horizontal="left"/>
    </xf>
    <xf numFmtId="0" fontId="16" fillId="0" borderId="2" xfId="23" applyFont="1" applyBorder="1" applyAlignment="1">
      <alignment horizontal="center" vertical="center"/>
    </xf>
    <xf numFmtId="0" fontId="16" fillId="0" borderId="0" xfId="23" applyFont="1" applyAlignment="1">
      <alignment horizontal="left"/>
    </xf>
    <xf numFmtId="0" fontId="16" fillId="0" borderId="4" xfId="23" applyFont="1" applyBorder="1" applyAlignment="1">
      <alignment horizontal="center" vertical="center"/>
    </xf>
    <xf numFmtId="0" fontId="16" fillId="0" borderId="2" xfId="23" applyFont="1" applyBorder="1" applyAlignment="1">
      <alignment horizontal="center"/>
    </xf>
    <xf numFmtId="0" fontId="16" fillId="0" borderId="4" xfId="23" applyFont="1" applyBorder="1" applyAlignment="1">
      <alignment horizontal="center"/>
    </xf>
    <xf numFmtId="0" fontId="16" fillId="0" borderId="4" xfId="23" applyFont="1" applyBorder="1" applyAlignment="1">
      <alignment horizontal="left" vertical="center" wrapText="1"/>
    </xf>
    <xf numFmtId="0" fontId="16" fillId="0" borderId="4" xfId="23" applyFont="1" applyBorder="1" applyAlignment="1">
      <alignment horizontal="right" vertical="center"/>
    </xf>
    <xf numFmtId="0" fontId="16" fillId="0" borderId="4" xfId="23" applyFont="1" applyBorder="1" applyAlignment="1">
      <alignment horizontal="left" vertical="center"/>
    </xf>
    <xf numFmtId="49" fontId="16" fillId="0" borderId="4" xfId="23" applyNumberFormat="1" applyFont="1" applyBorder="1" applyAlignment="1">
      <alignment horizontal="center" vertical="center"/>
    </xf>
    <xf numFmtId="0" fontId="16" fillId="0" borderId="4" xfId="23" applyFont="1" applyBorder="1" applyAlignment="1">
      <alignment vertical="center"/>
    </xf>
    <xf numFmtId="49" fontId="16" fillId="0" borderId="0" xfId="23" applyNumberFormat="1" applyFont="1" applyAlignment="1">
      <alignment horizontal="center"/>
    </xf>
    <xf numFmtId="166" fontId="16" fillId="0" borderId="4" xfId="1" applyFont="1" applyBorder="1" applyAlignment="1">
      <alignment horizontal="right" vertical="center"/>
    </xf>
    <xf numFmtId="166" fontId="16" fillId="0" borderId="4" xfId="23" applyNumberFormat="1" applyFont="1" applyBorder="1" applyAlignment="1">
      <alignment horizontal="right" vertical="center"/>
    </xf>
    <xf numFmtId="164" fontId="16" fillId="0" borderId="4" xfId="23" applyNumberFormat="1" applyFont="1" applyBorder="1" applyAlignment="1">
      <alignment horizontal="right" vertical="center"/>
    </xf>
    <xf numFmtId="49" fontId="19" fillId="0" borderId="4" xfId="23" applyNumberFormat="1" applyFont="1" applyBorder="1" applyAlignment="1">
      <alignment horizontal="center" vertical="center"/>
    </xf>
    <xf numFmtId="0" fontId="19" fillId="0" borderId="4" xfId="23" applyFont="1" applyBorder="1" applyAlignment="1">
      <alignment horizontal="right" vertical="center"/>
    </xf>
    <xf numFmtId="0" fontId="19" fillId="0" borderId="4" xfId="23" applyFont="1" applyBorder="1" applyAlignment="1">
      <alignment horizontal="center" vertical="center"/>
    </xf>
    <xf numFmtId="166" fontId="19" fillId="0" borderId="4" xfId="1" applyFont="1" applyBorder="1" applyAlignment="1">
      <alignment horizontal="right" vertical="center"/>
    </xf>
    <xf numFmtId="0" fontId="19" fillId="0" borderId="4" xfId="23" applyFont="1" applyBorder="1" applyAlignment="1">
      <alignment horizontal="left" vertical="center"/>
    </xf>
    <xf numFmtId="0" fontId="19" fillId="0" borderId="0" xfId="23" applyFont="1" applyAlignment="1">
      <alignment horizontal="left"/>
    </xf>
    <xf numFmtId="164" fontId="16" fillId="0" borderId="4" xfId="23" applyNumberFormat="1" applyFont="1" applyBorder="1" applyAlignment="1">
      <alignment horizontal="center" vertical="center"/>
    </xf>
    <xf numFmtId="164" fontId="16" fillId="0" borderId="4" xfId="23" applyNumberFormat="1" applyFont="1" applyBorder="1" applyAlignment="1">
      <alignment horizontal="left" vertical="center"/>
    </xf>
    <xf numFmtId="49" fontId="19" fillId="0" borderId="4" xfId="23" applyNumberFormat="1" applyFont="1" applyBorder="1" applyAlignment="1">
      <alignment vertical="center"/>
    </xf>
    <xf numFmtId="0" fontId="19" fillId="0" borderId="4" xfId="23" applyFont="1" applyBorder="1" applyAlignment="1">
      <alignment vertical="center"/>
    </xf>
    <xf numFmtId="166" fontId="19" fillId="0" borderId="4" xfId="1" applyFont="1" applyBorder="1" applyAlignment="1">
      <alignment vertical="center"/>
    </xf>
    <xf numFmtId="0" fontId="19" fillId="0" borderId="0" xfId="23" applyFont="1"/>
    <xf numFmtId="4" fontId="22" fillId="0" borderId="4" xfId="22" applyNumberFormat="1" applyFont="1" applyBorder="1" applyAlignment="1">
      <alignment horizontal="center" vertical="center" wrapText="1"/>
    </xf>
    <xf numFmtId="0" fontId="59" fillId="0" borderId="0" xfId="22"/>
    <xf numFmtId="0" fontId="59" fillId="0" borderId="0" xfId="22" applyAlignment="1">
      <alignment horizontal="center"/>
    </xf>
    <xf numFmtId="0" fontId="47" fillId="0" borderId="4" xfId="22" applyFont="1" applyBorder="1" applyAlignment="1">
      <alignment horizontal="center" vertical="center" wrapText="1"/>
    </xf>
    <xf numFmtId="0" fontId="22" fillId="0" borderId="4" xfId="22" applyFont="1" applyBorder="1" applyAlignment="1">
      <alignment horizontal="left" vertical="center" wrapText="1"/>
    </xf>
    <xf numFmtId="4" fontId="59" fillId="0" borderId="0" xfId="22" applyNumberFormat="1"/>
    <xf numFmtId="0" fontId="48" fillId="0" borderId="4" xfId="22" applyFont="1" applyBorder="1" applyAlignment="1">
      <alignment horizontal="left" vertical="center" wrapText="1"/>
    </xf>
    <xf numFmtId="178" fontId="22" fillId="0" borderId="4" xfId="22" applyNumberFormat="1" applyFont="1" applyBorder="1" applyAlignment="1">
      <alignment horizontal="center" vertical="center" wrapText="1"/>
    </xf>
    <xf numFmtId="0" fontId="48" fillId="0" borderId="4" xfId="22" applyFont="1" applyBorder="1" applyAlignment="1">
      <alignment horizontal="center" vertical="center" wrapText="1"/>
    </xf>
    <xf numFmtId="4" fontId="48" fillId="0" borderId="4" xfId="22" applyNumberFormat="1" applyFont="1" applyBorder="1" applyAlignment="1">
      <alignment horizontal="center" vertical="center" wrapText="1"/>
    </xf>
    <xf numFmtId="4" fontId="23" fillId="0" borderId="4" xfId="22" applyNumberFormat="1" applyFont="1" applyBorder="1" applyAlignment="1">
      <alignment horizontal="center" vertical="center" wrapText="1"/>
    </xf>
    <xf numFmtId="0" fontId="60" fillId="0" borderId="0" xfId="22" applyFont="1"/>
    <xf numFmtId="0" fontId="11" fillId="0" borderId="13" xfId="0" applyFont="1" applyBorder="1" applyAlignment="1">
      <alignment horizontal="center" vertical="center"/>
    </xf>
    <xf numFmtId="0" fontId="11" fillId="0" borderId="4" xfId="0" applyFont="1" applyBorder="1" applyAlignment="1">
      <alignment horizontal="center"/>
    </xf>
    <xf numFmtId="0" fontId="11" fillId="0" borderId="4" xfId="0" applyFont="1" applyBorder="1" applyAlignment="1">
      <alignment horizontal="justify" wrapText="1"/>
    </xf>
    <xf numFmtId="0" fontId="11" fillId="0" borderId="4" xfId="0" applyFont="1" applyBorder="1" applyAlignment="1">
      <alignment horizontal="justify"/>
    </xf>
    <xf numFmtId="0" fontId="11" fillId="0" borderId="0" xfId="0" applyFont="1"/>
    <xf numFmtId="0" fontId="11" fillId="0" borderId="0" xfId="0" applyFont="1" applyAlignment="1">
      <alignment horizontal="center"/>
    </xf>
    <xf numFmtId="0" fontId="11" fillId="0" borderId="4" xfId="0" applyFont="1" applyBorder="1" applyAlignment="1">
      <alignment horizontal="left"/>
    </xf>
    <xf numFmtId="0" fontId="16" fillId="0" borderId="0" xfId="0" applyFont="1"/>
    <xf numFmtId="0" fontId="11" fillId="0" borderId="4" xfId="0" applyFont="1" applyBorder="1" applyAlignment="1">
      <alignment horizontal="left" vertical="top"/>
    </xf>
    <xf numFmtId="0" fontId="11" fillId="0" borderId="0" xfId="0" applyFont="1" applyAlignment="1">
      <alignment wrapText="1"/>
    </xf>
    <xf numFmtId="0" fontId="11" fillId="9" borderId="4" xfId="0" applyFont="1" applyFill="1" applyBorder="1" applyAlignment="1">
      <alignment horizontal="justify"/>
    </xf>
    <xf numFmtId="0" fontId="11" fillId="9" borderId="4" xfId="0" applyFont="1" applyFill="1" applyBorder="1" applyAlignment="1">
      <alignment horizontal="center" vertical="center"/>
    </xf>
    <xf numFmtId="165" fontId="11" fillId="9" borderId="4" xfId="24" applyFont="1" applyFill="1" applyBorder="1" applyAlignment="1">
      <alignment horizontal="center" vertical="center"/>
    </xf>
    <xf numFmtId="0" fontId="11" fillId="10" borderId="4" xfId="0" applyFont="1" applyFill="1" applyBorder="1" applyAlignment="1">
      <alignment horizontal="justify" wrapText="1"/>
    </xf>
    <xf numFmtId="0" fontId="11" fillId="10" borderId="4" xfId="0" applyFont="1" applyFill="1" applyBorder="1" applyAlignment="1">
      <alignment horizontal="center" vertical="center"/>
    </xf>
    <xf numFmtId="4" fontId="11" fillId="10" borderId="4" xfId="0" applyNumberFormat="1" applyFont="1" applyFill="1" applyBorder="1" applyAlignment="1">
      <alignment horizontal="center" vertical="center"/>
    </xf>
    <xf numFmtId="0" fontId="11" fillId="10" borderId="4" xfId="0" applyFont="1" applyFill="1" applyBorder="1" applyAlignment="1">
      <alignment horizontal="justify"/>
    </xf>
    <xf numFmtId="165" fontId="11" fillId="10" borderId="4" xfId="24" applyFont="1" applyFill="1" applyBorder="1" applyAlignment="1">
      <alignment horizontal="center" vertical="center"/>
    </xf>
    <xf numFmtId="0" fontId="11" fillId="11" borderId="0" xfId="0" applyFont="1" applyFill="1"/>
    <xf numFmtId="0" fontId="11" fillId="11" borderId="4" xfId="0" applyFont="1" applyFill="1" applyBorder="1" applyAlignment="1">
      <alignment horizontal="center" vertical="center"/>
    </xf>
    <xf numFmtId="0" fontId="11" fillId="11" borderId="4" xfId="0" applyFont="1" applyFill="1" applyBorder="1" applyAlignment="1">
      <alignment horizontal="center"/>
    </xf>
    <xf numFmtId="0" fontId="11" fillId="11" borderId="0" xfId="0" applyFont="1" applyFill="1" applyAlignment="1">
      <alignment horizontal="center"/>
    </xf>
    <xf numFmtId="0" fontId="11" fillId="11" borderId="4" xfId="0" applyFont="1" applyFill="1" applyBorder="1" applyAlignment="1">
      <alignment horizontal="left" vertical="top" wrapText="1"/>
    </xf>
    <xf numFmtId="1" fontId="11" fillId="11" borderId="4" xfId="0" applyNumberFormat="1" applyFont="1" applyFill="1" applyBorder="1" applyAlignment="1">
      <alignment horizontal="center" vertical="center"/>
    </xf>
    <xf numFmtId="2" fontId="11" fillId="11" borderId="4" xfId="0" applyNumberFormat="1" applyFont="1" applyFill="1" applyBorder="1" applyAlignment="1">
      <alignment horizontal="center" vertical="center"/>
    </xf>
    <xf numFmtId="4" fontId="26" fillId="11" borderId="15" xfId="0" applyNumberFormat="1" applyFont="1" applyFill="1" applyBorder="1" applyAlignment="1">
      <alignment vertical="center"/>
    </xf>
    <xf numFmtId="0" fontId="11" fillId="11" borderId="4" xfId="0" applyFont="1" applyFill="1" applyBorder="1" applyAlignment="1">
      <alignment horizontal="left"/>
    </xf>
    <xf numFmtId="4" fontId="11" fillId="11" borderId="4" xfId="0" applyNumberFormat="1" applyFont="1" applyFill="1" applyBorder="1" applyAlignment="1">
      <alignment horizontal="center" vertical="center"/>
    </xf>
    <xf numFmtId="0" fontId="11" fillId="11" borderId="0" xfId="0" applyFont="1" applyFill="1" applyAlignment="1">
      <alignment horizontal="center" vertical="center"/>
    </xf>
    <xf numFmtId="0" fontId="11" fillId="11" borderId="7" xfId="0" applyFont="1" applyFill="1" applyBorder="1" applyAlignment="1">
      <alignment horizontal="center" vertical="center"/>
    </xf>
    <xf numFmtId="4" fontId="11" fillId="11" borderId="0" xfId="0" applyNumberFormat="1" applyFont="1" applyFill="1" applyAlignment="1">
      <alignment horizontal="center" vertical="center"/>
    </xf>
    <xf numFmtId="4" fontId="11" fillId="11" borderId="0" xfId="0" applyNumberFormat="1" applyFont="1" applyFill="1"/>
    <xf numFmtId="4" fontId="11" fillId="11" borderId="0" xfId="0" applyNumberFormat="1" applyFont="1" applyFill="1" applyAlignment="1">
      <alignment horizontal="left"/>
    </xf>
    <xf numFmtId="0" fontId="11" fillId="11" borderId="0" xfId="0" applyFont="1" applyFill="1" applyAlignment="1">
      <alignment horizontal="left"/>
    </xf>
    <xf numFmtId="4" fontId="11" fillId="11" borderId="4" xfId="0" applyNumberFormat="1" applyFont="1" applyFill="1" applyBorder="1" applyAlignment="1">
      <alignment horizontal="left" vertical="top" wrapText="1"/>
    </xf>
    <xf numFmtId="165" fontId="11" fillId="11" borderId="4" xfId="0" applyNumberFormat="1" applyFont="1" applyFill="1" applyBorder="1" applyAlignment="1">
      <alignment horizontal="center" vertical="center"/>
    </xf>
    <xf numFmtId="179" fontId="11" fillId="11" borderId="0" xfId="0" applyNumberFormat="1" applyFont="1" applyFill="1"/>
    <xf numFmtId="0" fontId="11" fillId="0" borderId="0" xfId="0" applyFont="1" applyAlignment="1">
      <alignment vertical="top"/>
    </xf>
    <xf numFmtId="0" fontId="58" fillId="0" borderId="0" xfId="0" applyFont="1" applyAlignment="1">
      <alignment vertical="center"/>
    </xf>
    <xf numFmtId="166" fontId="11" fillId="0" borderId="4" xfId="1" applyFont="1" applyBorder="1" applyAlignment="1">
      <alignment horizontal="center" vertical="center"/>
    </xf>
    <xf numFmtId="166" fontId="11" fillId="0" borderId="4" xfId="0" applyNumberFormat="1" applyFont="1" applyBorder="1" applyAlignment="1">
      <alignment horizontal="center" vertical="center"/>
    </xf>
    <xf numFmtId="0" fontId="11" fillId="0" borderId="13" xfId="0" applyFont="1" applyBorder="1" applyAlignment="1">
      <alignment horizontal="left" vertical="top"/>
    </xf>
    <xf numFmtId="0" fontId="11" fillId="0" borderId="72" xfId="0" applyFont="1" applyBorder="1" applyAlignment="1">
      <alignment horizontal="justify" vertical="center"/>
    </xf>
    <xf numFmtId="0" fontId="11" fillId="0" borderId="73" xfId="0" applyFont="1" applyBorder="1" applyAlignment="1">
      <alignment horizontal="center" vertical="center"/>
    </xf>
    <xf numFmtId="166" fontId="13" fillId="0" borderId="73" xfId="0" applyNumberFormat="1" applyFont="1" applyBorder="1" applyAlignment="1">
      <alignment horizontal="center" vertical="center"/>
    </xf>
    <xf numFmtId="0" fontId="11" fillId="0" borderId="74" xfId="0" applyFont="1" applyBorder="1" applyAlignment="1">
      <alignment horizontal="center" vertical="center"/>
    </xf>
    <xf numFmtId="166" fontId="13" fillId="0" borderId="4" xfId="1" applyFont="1" applyBorder="1" applyAlignment="1">
      <alignment horizontal="center" vertical="center"/>
    </xf>
    <xf numFmtId="4" fontId="31" fillId="10" borderId="4" xfId="0" applyNumberFormat="1" applyFont="1" applyFill="1" applyBorder="1" applyAlignment="1">
      <alignment horizontal="center" vertical="center"/>
    </xf>
    <xf numFmtId="166" fontId="16" fillId="0" borderId="4" xfId="1" applyFont="1" applyFill="1" applyBorder="1" applyAlignment="1">
      <alignment horizontal="center" vertical="center"/>
    </xf>
    <xf numFmtId="166" fontId="62" fillId="0" borderId="0" xfId="1" applyFont="1" applyAlignment="1">
      <alignment horizontal="center" vertical="center"/>
    </xf>
    <xf numFmtId="4" fontId="11" fillId="0" borderId="0" xfId="0" applyNumberFormat="1" applyFont="1" applyAlignment="1">
      <alignment horizontal="center" vertical="center"/>
    </xf>
    <xf numFmtId="0" fontId="22" fillId="12" borderId="4" xfId="22" applyFont="1" applyFill="1" applyBorder="1" applyAlignment="1">
      <alignment horizontal="left" vertical="center" wrapText="1"/>
    </xf>
    <xf numFmtId="0" fontId="47" fillId="12" borderId="4" xfId="22" applyFont="1" applyFill="1" applyBorder="1" applyAlignment="1">
      <alignment horizontal="center" vertical="center" wrapText="1"/>
    </xf>
    <xf numFmtId="4" fontId="22" fillId="12" borderId="4" xfId="22" applyNumberFormat="1" applyFont="1" applyFill="1" applyBorder="1" applyAlignment="1">
      <alignment horizontal="center" vertical="center" wrapText="1"/>
    </xf>
    <xf numFmtId="0" fontId="22" fillId="12" borderId="4" xfId="22" applyFont="1" applyFill="1" applyBorder="1" applyAlignment="1">
      <alignment horizontal="center" vertical="center" wrapText="1"/>
    </xf>
    <xf numFmtId="0" fontId="22" fillId="13" borderId="4" xfId="22" applyFont="1" applyFill="1" applyBorder="1" applyAlignment="1">
      <alignment horizontal="left" vertical="center" wrapText="1"/>
    </xf>
    <xf numFmtId="0" fontId="47" fillId="13" borderId="4" xfId="22" applyFont="1" applyFill="1" applyBorder="1" applyAlignment="1">
      <alignment horizontal="center" vertical="center" wrapText="1"/>
    </xf>
    <xf numFmtId="4" fontId="22" fillId="13" borderId="4" xfId="22" applyNumberFormat="1" applyFont="1" applyFill="1" applyBorder="1" applyAlignment="1">
      <alignment horizontal="center" vertical="center" wrapText="1"/>
    </xf>
    <xf numFmtId="0" fontId="22" fillId="13" borderId="4" xfId="22" applyFont="1" applyFill="1" applyBorder="1" applyAlignment="1">
      <alignment horizontal="center" vertical="center" wrapText="1"/>
    </xf>
    <xf numFmtId="0" fontId="22" fillId="14" borderId="4" xfId="22" applyFont="1" applyFill="1" applyBorder="1" applyAlignment="1">
      <alignment horizontal="left" vertical="center" wrapText="1"/>
    </xf>
    <xf numFmtId="0" fontId="47" fillId="14" borderId="4" xfId="22" applyFont="1" applyFill="1" applyBorder="1" applyAlignment="1">
      <alignment horizontal="center" vertical="center" wrapText="1"/>
    </xf>
    <xf numFmtId="4" fontId="22" fillId="14" borderId="4" xfId="22" applyNumberFormat="1" applyFont="1" applyFill="1" applyBorder="1" applyAlignment="1">
      <alignment horizontal="center" vertical="center" wrapText="1"/>
    </xf>
    <xf numFmtId="0" fontId="22" fillId="14" borderId="4" xfId="22" applyFont="1" applyFill="1" applyBorder="1" applyAlignment="1">
      <alignment horizontal="center" vertical="center" wrapText="1"/>
    </xf>
    <xf numFmtId="174" fontId="22" fillId="14" borderId="4" xfId="1" applyNumberFormat="1" applyFont="1" applyFill="1" applyBorder="1" applyAlignment="1">
      <alignment vertical="center" wrapText="1"/>
    </xf>
    <xf numFmtId="166" fontId="59" fillId="0" borderId="0" xfId="1" applyFont="1"/>
    <xf numFmtId="0" fontId="22" fillId="0" borderId="0" xfId="22" applyFont="1"/>
    <xf numFmtId="0" fontId="22" fillId="0" borderId="0" xfId="22" applyFont="1" applyAlignment="1">
      <alignment horizontal="center"/>
    </xf>
    <xf numFmtId="4" fontId="22" fillId="0" borderId="0" xfId="22" applyNumberFormat="1" applyFont="1" applyAlignment="1">
      <alignment horizontal="center"/>
    </xf>
    <xf numFmtId="4" fontId="20" fillId="12" borderId="4" xfId="22" applyNumberFormat="1" applyFont="1" applyFill="1" applyBorder="1" applyAlignment="1">
      <alignment horizontal="center" vertical="center" wrapText="1"/>
    </xf>
    <xf numFmtId="0" fontId="13" fillId="2" borderId="0" xfId="0" applyFont="1" applyFill="1" applyAlignment="1">
      <alignment horizontal="center" vertical="center"/>
    </xf>
    <xf numFmtId="0" fontId="11" fillId="2" borderId="0" xfId="0" applyFont="1" applyFill="1" applyAlignment="1">
      <alignment horizontal="center" vertical="center"/>
    </xf>
    <xf numFmtId="0" fontId="11" fillId="2" borderId="0" xfId="0" applyFont="1" applyFill="1" applyAlignment="1">
      <alignment horizontal="center"/>
    </xf>
    <xf numFmtId="0" fontId="11" fillId="2" borderId="4" xfId="0" applyFont="1" applyFill="1" applyBorder="1" applyAlignment="1">
      <alignment horizontal="center"/>
    </xf>
    <xf numFmtId="166" fontId="11" fillId="2" borderId="4" xfId="3" applyFont="1" applyFill="1" applyBorder="1" applyAlignment="1">
      <alignment horizontal="left"/>
    </xf>
    <xf numFmtId="49" fontId="11" fillId="2" borderId="4" xfId="3" applyNumberFormat="1" applyFont="1" applyFill="1" applyBorder="1" applyAlignment="1">
      <alignment horizontal="center"/>
    </xf>
    <xf numFmtId="166" fontId="11" fillId="2" borderId="0" xfId="3" applyFont="1" applyFill="1" applyAlignment="1">
      <alignment horizontal="left"/>
    </xf>
    <xf numFmtId="166" fontId="13" fillId="2" borderId="4" xfId="3" applyFont="1" applyFill="1" applyBorder="1" applyAlignment="1">
      <alignment horizontal="left"/>
    </xf>
    <xf numFmtId="166" fontId="13" fillId="2" borderId="0" xfId="3" applyFont="1" applyFill="1" applyAlignment="1">
      <alignment horizontal="left"/>
    </xf>
    <xf numFmtId="166" fontId="16" fillId="2" borderId="0" xfId="0" applyNumberFormat="1" applyFont="1" applyFill="1" applyAlignment="1">
      <alignment horizontal="left" vertical="center"/>
    </xf>
    <xf numFmtId="164" fontId="16" fillId="2" borderId="0" xfId="0" applyNumberFormat="1" applyFont="1" applyFill="1" applyAlignment="1">
      <alignment horizontal="left" vertical="center"/>
    </xf>
    <xf numFmtId="43" fontId="50" fillId="0" borderId="0" xfId="20" applyFont="1" applyFill="1" applyAlignment="1">
      <alignment vertical="center" wrapText="1"/>
    </xf>
    <xf numFmtId="0" fontId="13" fillId="0" borderId="0" xfId="0" applyFont="1" applyAlignment="1">
      <alignment horizontal="left" vertical="center" wrapText="1"/>
    </xf>
    <xf numFmtId="0" fontId="42" fillId="0" borderId="4" xfId="0" applyFont="1" applyBorder="1" applyAlignment="1">
      <alignment horizontal="center" vertical="center"/>
    </xf>
    <xf numFmtId="0" fontId="42" fillId="0" borderId="4" xfId="0" applyFont="1" applyBorder="1" applyAlignment="1">
      <alignment horizontal="center" vertical="center" wrapText="1"/>
    </xf>
    <xf numFmtId="0" fontId="41" fillId="0" borderId="4" xfId="0" applyFont="1" applyBorder="1" applyAlignment="1">
      <alignment horizontal="center" vertical="center" wrapText="1"/>
    </xf>
    <xf numFmtId="2" fontId="42" fillId="0" borderId="4" xfId="0" applyNumberFormat="1" applyFont="1" applyBorder="1" applyAlignment="1">
      <alignment horizontal="center" vertical="center" wrapText="1"/>
    </xf>
    <xf numFmtId="0" fontId="63" fillId="0" borderId="0" xfId="0" applyFont="1"/>
    <xf numFmtId="0" fontId="19" fillId="0" borderId="0" xfId="0" applyFont="1"/>
    <xf numFmtId="0" fontId="41" fillId="0" borderId="4" xfId="0" applyFont="1" applyBorder="1" applyAlignment="1">
      <alignment horizontal="center" vertical="center"/>
    </xf>
    <xf numFmtId="0" fontId="42" fillId="0" borderId="2" xfId="0" applyFont="1" applyBorder="1" applyAlignment="1">
      <alignment horizontal="left" vertical="center" wrapText="1"/>
    </xf>
    <xf numFmtId="1" fontId="42" fillId="0" borderId="4" xfId="0" applyNumberFormat="1" applyFont="1" applyBorder="1" applyAlignment="1">
      <alignment horizontal="center" vertical="center" wrapText="1"/>
    </xf>
    <xf numFmtId="2" fontId="42" fillId="0" borderId="4" xfId="0" applyNumberFormat="1" applyFont="1" applyBorder="1" applyAlignment="1">
      <alignment horizontal="center" vertical="center"/>
    </xf>
    <xf numFmtId="165" fontId="42" fillId="0" borderId="4" xfId="24" applyFont="1" applyBorder="1" applyAlignment="1">
      <alignment horizontal="center" vertical="center" wrapText="1"/>
    </xf>
    <xf numFmtId="0" fontId="42" fillId="0" borderId="4" xfId="0" applyFont="1" applyBorder="1"/>
    <xf numFmtId="0" fontId="41" fillId="0" borderId="2" xfId="0" applyFont="1" applyBorder="1" applyAlignment="1">
      <alignment horizontal="left" vertical="center" wrapText="1"/>
    </xf>
    <xf numFmtId="1" fontId="41" fillId="0" borderId="4" xfId="0" applyNumberFormat="1" applyFont="1" applyBorder="1" applyAlignment="1">
      <alignment horizontal="center" vertical="center" wrapText="1"/>
    </xf>
    <xf numFmtId="165" fontId="41" fillId="0" borderId="4" xfId="24" applyFont="1" applyBorder="1" applyAlignment="1">
      <alignment horizontal="center" vertical="center" wrapText="1"/>
    </xf>
    <xf numFmtId="0" fontId="41" fillId="0" borderId="4" xfId="0" applyFont="1" applyBorder="1" applyAlignment="1">
      <alignment horizontal="left" vertical="center" wrapText="1"/>
    </xf>
    <xf numFmtId="1" fontId="41" fillId="0" borderId="4" xfId="0" applyNumberFormat="1" applyFont="1" applyBorder="1" applyAlignment="1">
      <alignment horizontal="center" vertical="center"/>
    </xf>
    <xf numFmtId="165" fontId="41" fillId="0" borderId="4" xfId="24" applyFont="1" applyBorder="1" applyAlignment="1">
      <alignment horizontal="right" vertical="center"/>
    </xf>
    <xf numFmtId="165" fontId="42" fillId="0" borderId="4" xfId="24" applyFont="1" applyBorder="1"/>
    <xf numFmtId="165" fontId="42" fillId="0" borderId="4" xfId="24" applyFont="1" applyFill="1" applyBorder="1"/>
    <xf numFmtId="164" fontId="16" fillId="0" borderId="0" xfId="0" applyNumberFormat="1" applyFont="1"/>
    <xf numFmtId="0" fontId="42" fillId="0" borderId="0" xfId="0" applyFont="1"/>
    <xf numFmtId="0" fontId="54" fillId="0" borderId="0" xfId="0" applyFont="1"/>
    <xf numFmtId="0" fontId="65" fillId="2" borderId="4" xfId="0" applyFont="1" applyFill="1" applyBorder="1"/>
    <xf numFmtId="0" fontId="42" fillId="2" borderId="4" xfId="0" applyFont="1" applyFill="1" applyBorder="1"/>
    <xf numFmtId="165" fontId="41" fillId="0" borderId="4" xfId="24" applyFont="1" applyBorder="1" applyAlignment="1">
      <alignment horizontal="center" vertical="center"/>
    </xf>
    <xf numFmtId="165" fontId="42" fillId="2" borderId="4" xfId="24" applyFont="1" applyFill="1" applyBorder="1"/>
    <xf numFmtId="0" fontId="63" fillId="2" borderId="0" xfId="0" applyFont="1" applyFill="1"/>
    <xf numFmtId="0" fontId="22" fillId="0" borderId="0" xfId="0" applyFont="1"/>
    <xf numFmtId="0" fontId="22" fillId="2" borderId="0" xfId="0" applyFont="1" applyFill="1"/>
    <xf numFmtId="180" fontId="11" fillId="0" borderId="0" xfId="24" applyNumberFormat="1" applyFont="1" applyFill="1"/>
    <xf numFmtId="165" fontId="11" fillId="0" borderId="0" xfId="24" applyFont="1" applyFill="1"/>
    <xf numFmtId="165" fontId="11" fillId="0" borderId="0" xfId="0" applyNumberFormat="1" applyFont="1"/>
    <xf numFmtId="165" fontId="22" fillId="0" borderId="0" xfId="0" applyNumberFormat="1" applyFont="1"/>
    <xf numFmtId="165" fontId="13" fillId="0" borderId="0" xfId="24" applyFont="1" applyFill="1"/>
    <xf numFmtId="165" fontId="66" fillId="0" borderId="0" xfId="0" applyNumberFormat="1" applyFont="1"/>
    <xf numFmtId="165" fontId="42" fillId="0" borderId="0" xfId="24" applyFont="1" applyFill="1" applyBorder="1"/>
    <xf numFmtId="2" fontId="11" fillId="0" borderId="0" xfId="0" applyNumberFormat="1" applyFont="1" applyAlignment="1">
      <alignment horizontal="center"/>
    </xf>
    <xf numFmtId="164" fontId="22" fillId="0" borderId="0" xfId="0" applyNumberFormat="1" applyFont="1"/>
    <xf numFmtId="0" fontId="26" fillId="0" borderId="0" xfId="0" applyFont="1"/>
    <xf numFmtId="0" fontId="66" fillId="0" borderId="0" xfId="0" applyFont="1"/>
    <xf numFmtId="2" fontId="16" fillId="0" borderId="0" xfId="0" applyNumberFormat="1" applyFont="1"/>
    <xf numFmtId="165" fontId="13" fillId="0" borderId="0" xfId="0" applyNumberFormat="1" applyFont="1"/>
    <xf numFmtId="165" fontId="16" fillId="0" borderId="0" xfId="24" applyFont="1" applyFill="1"/>
    <xf numFmtId="0" fontId="33" fillId="0" borderId="0" xfId="0" applyFont="1"/>
    <xf numFmtId="166" fontId="59" fillId="8" borderId="0" xfId="1" applyFont="1" applyFill="1"/>
    <xf numFmtId="0" fontId="13" fillId="0" borderId="0" xfId="25" applyFont="1" applyAlignment="1">
      <alignment horizontal="left"/>
    </xf>
    <xf numFmtId="0" fontId="14" fillId="0" borderId="0" xfId="25" applyFont="1" applyAlignment="1">
      <alignment horizontal="center"/>
    </xf>
    <xf numFmtId="0" fontId="14" fillId="0" borderId="0" xfId="25" applyFont="1" applyAlignment="1">
      <alignment horizontal="left"/>
    </xf>
    <xf numFmtId="0" fontId="16" fillId="0" borderId="2" xfId="25" applyFont="1" applyBorder="1" applyAlignment="1">
      <alignment horizontal="center" vertical="center"/>
    </xf>
    <xf numFmtId="0" fontId="16" fillId="0" borderId="0" xfId="25" applyFont="1" applyAlignment="1">
      <alignment horizontal="left"/>
    </xf>
    <xf numFmtId="0" fontId="16" fillId="0" borderId="4" xfId="25" applyFont="1" applyBorder="1" applyAlignment="1">
      <alignment horizontal="center" vertical="center"/>
    </xf>
    <xf numFmtId="0" fontId="16" fillId="0" borderId="2" xfId="25" applyFont="1" applyBorder="1" applyAlignment="1">
      <alignment horizontal="center"/>
    </xf>
    <xf numFmtId="0" fontId="16" fillId="0" borderId="4" xfId="25" applyFont="1" applyBorder="1" applyAlignment="1">
      <alignment horizontal="center"/>
    </xf>
    <xf numFmtId="0" fontId="16" fillId="0" borderId="4" xfId="25" applyFont="1" applyBorder="1" applyAlignment="1">
      <alignment horizontal="left" vertical="center" wrapText="1"/>
    </xf>
    <xf numFmtId="164" fontId="16" fillId="0" borderId="4" xfId="25" applyNumberFormat="1" applyFont="1" applyBorder="1" applyAlignment="1">
      <alignment horizontal="right" vertical="center"/>
    </xf>
    <xf numFmtId="0" fontId="16" fillId="0" borderId="4" xfId="25" applyFont="1" applyBorder="1" applyAlignment="1">
      <alignment horizontal="left" vertical="center"/>
    </xf>
    <xf numFmtId="0" fontId="16" fillId="0" borderId="4" xfId="25" applyFont="1" applyBorder="1" applyAlignment="1">
      <alignment horizontal="right" vertical="center"/>
    </xf>
    <xf numFmtId="49" fontId="16" fillId="0" borderId="4" xfId="25" applyNumberFormat="1" applyFont="1" applyBorder="1" applyAlignment="1">
      <alignment horizontal="center" vertical="center"/>
    </xf>
    <xf numFmtId="0" fontId="16" fillId="0" borderId="4" xfId="25" applyFont="1" applyBorder="1" applyAlignment="1">
      <alignment vertical="center"/>
    </xf>
    <xf numFmtId="166" fontId="16" fillId="0" borderId="4" xfId="25" applyNumberFormat="1" applyFont="1" applyBorder="1" applyAlignment="1">
      <alignment horizontal="right" vertical="center"/>
    </xf>
    <xf numFmtId="49" fontId="19" fillId="0" borderId="4" xfId="25" applyNumberFormat="1" applyFont="1" applyBorder="1" applyAlignment="1">
      <alignment horizontal="center" vertical="center"/>
    </xf>
    <xf numFmtId="0" fontId="19" fillId="0" borderId="4" xfId="25" applyFont="1" applyBorder="1" applyAlignment="1">
      <alignment horizontal="right" vertical="center"/>
    </xf>
    <xf numFmtId="0" fontId="19" fillId="0" borderId="4" xfId="25" applyFont="1" applyBorder="1" applyAlignment="1">
      <alignment horizontal="center" vertical="center"/>
    </xf>
    <xf numFmtId="0" fontId="19" fillId="0" borderId="4" xfId="25" applyFont="1" applyBorder="1" applyAlignment="1">
      <alignment horizontal="left" vertical="center"/>
    </xf>
    <xf numFmtId="0" fontId="19" fillId="0" borderId="0" xfId="25" applyFont="1" applyAlignment="1">
      <alignment horizontal="left"/>
    </xf>
    <xf numFmtId="49" fontId="16" fillId="0" borderId="0" xfId="25" applyNumberFormat="1" applyFont="1" applyAlignment="1">
      <alignment horizontal="center"/>
    </xf>
    <xf numFmtId="0" fontId="35" fillId="0" borderId="0" xfId="25" applyFont="1" applyAlignment="1">
      <alignment horizontal="left"/>
    </xf>
    <xf numFmtId="0" fontId="43" fillId="0" borderId="0" xfId="25" applyFont="1"/>
    <xf numFmtId="0" fontId="43" fillId="0" borderId="0" xfId="25" applyFont="1" applyAlignment="1">
      <alignment horizontal="center"/>
    </xf>
    <xf numFmtId="0" fontId="20" fillId="0" borderId="0" xfId="0" applyFont="1" applyAlignment="1">
      <alignment vertical="center" wrapText="1"/>
    </xf>
    <xf numFmtId="0" fontId="16" fillId="0" borderId="0" xfId="0" applyFont="1" applyAlignment="1">
      <alignment vertical="center" wrapText="1"/>
    </xf>
    <xf numFmtId="3" fontId="16" fillId="2" borderId="0" xfId="0" applyNumberFormat="1" applyFont="1" applyFill="1" applyAlignment="1">
      <alignment horizontal="left" vertical="center"/>
    </xf>
    <xf numFmtId="0" fontId="13" fillId="0" borderId="0" xfId="26" applyFont="1" applyAlignment="1">
      <alignment horizontal="left"/>
    </xf>
    <xf numFmtId="0" fontId="14" fillId="0" borderId="0" xfId="26" applyFont="1" applyAlignment="1">
      <alignment horizontal="center"/>
    </xf>
    <xf numFmtId="0" fontId="14" fillId="0" borderId="0" xfId="26" applyFont="1" applyAlignment="1">
      <alignment horizontal="left"/>
    </xf>
    <xf numFmtId="0" fontId="16" fillId="0" borderId="2" xfId="26" applyFont="1" applyBorder="1" applyAlignment="1">
      <alignment horizontal="center" vertical="center"/>
    </xf>
    <xf numFmtId="0" fontId="16" fillId="0" borderId="0" xfId="26" applyFont="1" applyAlignment="1">
      <alignment horizontal="left"/>
    </xf>
    <xf numFmtId="0" fontId="16" fillId="0" borderId="4" xfId="26" applyFont="1" applyBorder="1" applyAlignment="1">
      <alignment horizontal="center" vertical="center"/>
    </xf>
    <xf numFmtId="0" fontId="16" fillId="0" borderId="2" xfId="26" applyFont="1" applyBorder="1" applyAlignment="1">
      <alignment horizontal="center"/>
    </xf>
    <xf numFmtId="0" fontId="16" fillId="0" borderId="4" xfId="26" applyFont="1" applyBorder="1" applyAlignment="1">
      <alignment horizontal="center"/>
    </xf>
    <xf numFmtId="0" fontId="16" fillId="0" borderId="4" xfId="26" applyFont="1" applyBorder="1" applyAlignment="1">
      <alignment horizontal="left" vertical="center" wrapText="1"/>
    </xf>
    <xf numFmtId="164" fontId="16" fillId="0" borderId="4" xfId="26" applyNumberFormat="1" applyFont="1" applyBorder="1" applyAlignment="1">
      <alignment horizontal="right" vertical="center"/>
    </xf>
    <xf numFmtId="0" fontId="16" fillId="0" borderId="4" xfId="26" applyFont="1" applyBorder="1" applyAlignment="1">
      <alignment horizontal="left" vertical="center"/>
    </xf>
    <xf numFmtId="0" fontId="16" fillId="0" borderId="4" xfId="26" applyFont="1" applyBorder="1" applyAlignment="1">
      <alignment horizontal="right" vertical="center"/>
    </xf>
    <xf numFmtId="49" fontId="16" fillId="0" borderId="4" xfId="26" applyNumberFormat="1" applyFont="1" applyBorder="1" applyAlignment="1">
      <alignment horizontal="center" vertical="center"/>
    </xf>
    <xf numFmtId="0" fontId="16" fillId="0" borderId="4" xfId="26" applyFont="1" applyBorder="1" applyAlignment="1">
      <alignment vertical="center"/>
    </xf>
    <xf numFmtId="166" fontId="16" fillId="0" borderId="4" xfId="26" applyNumberFormat="1" applyFont="1" applyBorder="1" applyAlignment="1">
      <alignment horizontal="right" vertical="center"/>
    </xf>
    <xf numFmtId="49" fontId="19" fillId="0" borderId="4" xfId="26" applyNumberFormat="1" applyFont="1" applyBorder="1" applyAlignment="1">
      <alignment horizontal="center" vertical="center"/>
    </xf>
    <xf numFmtId="0" fontId="19" fillId="0" borderId="4" xfId="26" applyFont="1" applyBorder="1" applyAlignment="1">
      <alignment horizontal="right" vertical="center"/>
    </xf>
    <xf numFmtId="0" fontId="19" fillId="0" borderId="4" xfId="26" applyFont="1" applyBorder="1" applyAlignment="1">
      <alignment horizontal="center" vertical="center"/>
    </xf>
    <xf numFmtId="0" fontId="19" fillId="0" borderId="4" xfId="26" applyFont="1" applyBorder="1" applyAlignment="1">
      <alignment horizontal="left" vertical="center"/>
    </xf>
    <xf numFmtId="0" fontId="19" fillId="0" borderId="0" xfId="26" applyFont="1" applyAlignment="1">
      <alignment horizontal="left"/>
    </xf>
    <xf numFmtId="0" fontId="43" fillId="0" borderId="0" xfId="26" applyFont="1"/>
    <xf numFmtId="0" fontId="43" fillId="0" borderId="0" xfId="26" applyFont="1" applyAlignment="1">
      <alignment horizontal="center"/>
    </xf>
    <xf numFmtId="0" fontId="42" fillId="0" borderId="0" xfId="0" applyFont="1" applyAlignment="1">
      <alignment horizontal="left" vertical="center" wrapText="1"/>
    </xf>
    <xf numFmtId="0" fontId="41" fillId="0" borderId="0" xfId="0" applyFont="1" applyAlignment="1">
      <alignment horizontal="left" vertical="center" wrapText="1"/>
    </xf>
    <xf numFmtId="4" fontId="16" fillId="0" borderId="4" xfId="0" applyNumberFormat="1" applyFont="1" applyBorder="1" applyAlignment="1">
      <alignment vertical="center"/>
    </xf>
    <xf numFmtId="49" fontId="16" fillId="0" borderId="4" xfId="0" applyNumberFormat="1" applyFont="1" applyBorder="1" applyAlignment="1">
      <alignment horizontal="center" vertical="center"/>
    </xf>
    <xf numFmtId="4" fontId="42" fillId="0" borderId="4" xfId="0" applyNumberFormat="1" applyFont="1" applyBorder="1" applyAlignment="1">
      <alignment horizontal="center" vertical="center" wrapText="1"/>
    </xf>
    <xf numFmtId="4" fontId="41" fillId="0" borderId="4" xfId="0" applyNumberFormat="1" applyFont="1" applyBorder="1" applyAlignment="1">
      <alignment horizontal="center" vertical="center" wrapText="1"/>
    </xf>
    <xf numFmtId="166" fontId="16" fillId="0" borderId="0" xfId="1" applyFont="1" applyFill="1" applyAlignment="1">
      <alignment horizontal="left"/>
    </xf>
    <xf numFmtId="166" fontId="19" fillId="0" borderId="4" xfId="0" applyNumberFormat="1" applyFont="1" applyBorder="1" applyAlignment="1">
      <alignment vertical="center"/>
    </xf>
    <xf numFmtId="4" fontId="16" fillId="0" borderId="1" xfId="0" applyNumberFormat="1" applyFont="1" applyBorder="1" applyAlignment="1">
      <alignment vertical="center"/>
    </xf>
    <xf numFmtId="4" fontId="19" fillId="0" borderId="4" xfId="0" applyNumberFormat="1" applyFont="1" applyBorder="1" applyAlignment="1">
      <alignment vertical="center"/>
    </xf>
    <xf numFmtId="0" fontId="16" fillId="0" borderId="0" xfId="0" applyFont="1" applyAlignment="1">
      <alignment horizontal="right" vertical="center"/>
    </xf>
    <xf numFmtId="4" fontId="16" fillId="0" borderId="0" xfId="0" applyNumberFormat="1" applyFont="1" applyAlignment="1">
      <alignment horizontal="left" vertical="center"/>
    </xf>
    <xf numFmtId="4" fontId="16" fillId="0" borderId="0" xfId="0" applyNumberFormat="1" applyFont="1" applyAlignment="1">
      <alignment horizontal="center" vertical="center"/>
    </xf>
    <xf numFmtId="4" fontId="11" fillId="0" borderId="0" xfId="0" applyNumberFormat="1" applyFont="1" applyAlignment="1">
      <alignment horizontal="left" vertical="center"/>
    </xf>
    <xf numFmtId="166" fontId="31" fillId="0" borderId="0" xfId="1" applyFont="1" applyAlignment="1">
      <alignment vertical="center"/>
    </xf>
    <xf numFmtId="166" fontId="16" fillId="0" borderId="4" xfId="1" applyFont="1" applyBorder="1" applyAlignment="1">
      <alignment horizontal="center" vertical="center" wrapText="1"/>
    </xf>
    <xf numFmtId="166" fontId="31" fillId="0" borderId="4" xfId="1" applyFont="1" applyFill="1" applyBorder="1" applyAlignment="1">
      <alignment vertical="center"/>
    </xf>
    <xf numFmtId="166" fontId="30" fillId="0" borderId="4" xfId="1" applyFont="1" applyFill="1" applyBorder="1" applyAlignment="1">
      <alignment vertical="center"/>
    </xf>
    <xf numFmtId="166" fontId="70" fillId="0" borderId="4" xfId="1" applyFont="1" applyFill="1" applyBorder="1" applyAlignment="1">
      <alignment vertical="center"/>
    </xf>
    <xf numFmtId="166" fontId="69" fillId="0" borderId="4" xfId="1" applyFont="1" applyFill="1" applyBorder="1" applyAlignment="1">
      <alignment vertical="center"/>
    </xf>
    <xf numFmtId="166" fontId="30" fillId="0" borderId="0" xfId="1" applyFont="1" applyAlignment="1">
      <alignment vertical="center"/>
    </xf>
    <xf numFmtId="166" fontId="31" fillId="0" borderId="11" xfId="1" applyFont="1" applyBorder="1" applyAlignment="1">
      <alignment vertical="center"/>
    </xf>
    <xf numFmtId="166" fontId="30" fillId="0" borderId="11" xfId="1" applyFont="1" applyBorder="1" applyAlignment="1">
      <alignment vertical="center"/>
    </xf>
    <xf numFmtId="166" fontId="30" fillId="0" borderId="4" xfId="1" applyFont="1" applyBorder="1" applyAlignment="1">
      <alignment vertical="center"/>
    </xf>
    <xf numFmtId="166" fontId="31" fillId="0" borderId="4" xfId="1" applyFont="1" applyBorder="1" applyAlignment="1">
      <alignment vertical="center"/>
    </xf>
    <xf numFmtId="166" fontId="13" fillId="2" borderId="2" xfId="3" applyFont="1" applyFill="1" applyBorder="1" applyAlignment="1">
      <alignment horizontal="center"/>
    </xf>
    <xf numFmtId="166" fontId="13" fillId="2" borderId="1" xfId="3" applyFont="1" applyFill="1" applyBorder="1" applyAlignment="1">
      <alignment horizontal="center"/>
    </xf>
    <xf numFmtId="166" fontId="13" fillId="2" borderId="5" xfId="3" applyFont="1" applyFill="1" applyBorder="1" applyAlignment="1">
      <alignment horizontal="center"/>
    </xf>
    <xf numFmtId="166" fontId="13" fillId="2" borderId="0" xfId="3" applyFont="1" applyFill="1" applyAlignment="1">
      <alignment horizontal="center"/>
    </xf>
    <xf numFmtId="164" fontId="16" fillId="2" borderId="4" xfId="0" applyNumberFormat="1" applyFont="1" applyFill="1" applyBorder="1" applyAlignment="1">
      <alignment horizontal="left" vertical="center"/>
    </xf>
    <xf numFmtId="164" fontId="43" fillId="0" borderId="0" xfId="23" applyNumberFormat="1" applyFont="1"/>
    <xf numFmtId="0" fontId="31" fillId="0" borderId="0" xfId="27" applyFont="1" applyAlignment="1">
      <alignment vertical="center"/>
    </xf>
    <xf numFmtId="49" fontId="31" fillId="0" borderId="0" xfId="27" applyNumberFormat="1" applyFont="1" applyAlignment="1">
      <alignment vertical="center"/>
    </xf>
    <xf numFmtId="4" fontId="31" fillId="0" borderId="0" xfId="27" applyNumberFormat="1" applyFont="1" applyAlignment="1">
      <alignment vertical="center" wrapText="1"/>
    </xf>
    <xf numFmtId="49" fontId="30" fillId="0" borderId="0" xfId="27" applyNumberFormat="1" applyFont="1" applyAlignment="1">
      <alignment vertical="center"/>
    </xf>
    <xf numFmtId="0" fontId="30" fillId="0" borderId="0" xfId="27" applyFont="1" applyAlignment="1">
      <alignment vertical="center"/>
    </xf>
    <xf numFmtId="49" fontId="31" fillId="0" borderId="11" xfId="27" applyNumberFormat="1" applyFont="1" applyBorder="1" applyAlignment="1">
      <alignment vertical="center"/>
    </xf>
    <xf numFmtId="0" fontId="22" fillId="0" borderId="0" xfId="27" applyFont="1" applyAlignment="1">
      <alignment vertical="center"/>
    </xf>
    <xf numFmtId="49" fontId="16" fillId="0" borderId="4" xfId="27" applyNumberFormat="1" applyFont="1" applyBorder="1" applyAlignment="1">
      <alignment horizontal="center" vertical="center" wrapText="1"/>
    </xf>
    <xf numFmtId="0" fontId="31" fillId="0" borderId="4" xfId="27" applyFont="1" applyBorder="1" applyAlignment="1">
      <alignment vertical="center" wrapText="1"/>
    </xf>
    <xf numFmtId="49" fontId="31" fillId="0" borderId="4" xfId="27" applyNumberFormat="1" applyFont="1" applyBorder="1" applyAlignment="1">
      <alignment vertical="center"/>
    </xf>
    <xf numFmtId="0" fontId="31" fillId="0" borderId="4" xfId="27" applyFont="1" applyBorder="1" applyAlignment="1">
      <alignment vertical="center"/>
    </xf>
    <xf numFmtId="49" fontId="31" fillId="0" borderId="4" xfId="28" applyNumberFormat="1" applyFont="1" applyFill="1" applyBorder="1" applyAlignment="1">
      <alignment vertical="center"/>
    </xf>
    <xf numFmtId="4" fontId="31" fillId="0" borderId="4" xfId="27" applyNumberFormat="1" applyFont="1" applyBorder="1" applyAlignment="1">
      <alignment vertical="center" wrapText="1"/>
    </xf>
    <xf numFmtId="49" fontId="31" fillId="0" borderId="4" xfId="28" applyNumberFormat="1" applyFont="1" applyFill="1" applyBorder="1" applyAlignment="1">
      <alignment horizontal="center" vertical="center"/>
    </xf>
    <xf numFmtId="0" fontId="30" fillId="0" borderId="4" xfId="27" applyFont="1" applyBorder="1" applyAlignment="1">
      <alignment vertical="center"/>
    </xf>
    <xf numFmtId="4" fontId="31" fillId="0" borderId="4" xfId="28" applyNumberFormat="1" applyFont="1" applyFill="1" applyBorder="1" applyAlignment="1">
      <alignment vertical="center"/>
    </xf>
    <xf numFmtId="4" fontId="30" fillId="0" borderId="4" xfId="28" applyNumberFormat="1" applyFont="1" applyFill="1" applyBorder="1" applyAlignment="1">
      <alignment vertical="center"/>
    </xf>
    <xf numFmtId="4" fontId="30" fillId="0" borderId="4" xfId="27" applyNumberFormat="1" applyFont="1" applyBorder="1" applyAlignment="1">
      <alignment vertical="center" wrapText="1"/>
    </xf>
    <xf numFmtId="49" fontId="30" fillId="0" borderId="4" xfId="28" applyNumberFormat="1" applyFont="1" applyFill="1" applyBorder="1" applyAlignment="1">
      <alignment vertical="center"/>
    </xf>
    <xf numFmtId="49" fontId="30" fillId="0" borderId="4" xfId="28" applyNumberFormat="1" applyFont="1" applyFill="1" applyBorder="1" applyAlignment="1">
      <alignment horizontal="center" vertical="center"/>
    </xf>
    <xf numFmtId="0" fontId="30" fillId="0" borderId="4" xfId="27" applyFont="1" applyBorder="1" applyAlignment="1">
      <alignment vertical="center" wrapText="1"/>
    </xf>
    <xf numFmtId="49" fontId="30" fillId="0" borderId="4" xfId="27" applyNumberFormat="1" applyFont="1" applyBorder="1" applyAlignment="1">
      <alignment vertical="center"/>
    </xf>
    <xf numFmtId="0" fontId="69" fillId="0" borderId="4" xfId="27" applyFont="1" applyBorder="1" applyAlignment="1">
      <alignment vertical="center" wrapText="1"/>
    </xf>
    <xf numFmtId="49" fontId="69" fillId="0" borderId="4" xfId="27" applyNumberFormat="1" applyFont="1" applyBorder="1" applyAlignment="1">
      <alignment vertical="center"/>
    </xf>
    <xf numFmtId="0" fontId="69" fillId="0" borderId="4" xfId="27" applyFont="1" applyBorder="1" applyAlignment="1">
      <alignment vertical="center"/>
    </xf>
    <xf numFmtId="4" fontId="70" fillId="0" borderId="4" xfId="28" applyNumberFormat="1" applyFont="1" applyFill="1" applyBorder="1" applyAlignment="1">
      <alignment vertical="center"/>
    </xf>
    <xf numFmtId="4" fontId="69" fillId="0" borderId="4" xfId="27" applyNumberFormat="1" applyFont="1" applyBorder="1" applyAlignment="1">
      <alignment vertical="center" wrapText="1"/>
    </xf>
    <xf numFmtId="0" fontId="69" fillId="0" borderId="0" xfId="27" applyFont="1" applyAlignment="1">
      <alignment vertical="center"/>
    </xf>
    <xf numFmtId="49" fontId="69" fillId="0" borderId="4" xfId="28" applyNumberFormat="1" applyFont="1" applyFill="1" applyBorder="1" applyAlignment="1">
      <alignment vertical="center"/>
    </xf>
    <xf numFmtId="49" fontId="70" fillId="0" borderId="4" xfId="28" applyNumberFormat="1" applyFont="1" applyFill="1" applyBorder="1" applyAlignment="1">
      <alignment vertical="center"/>
    </xf>
    <xf numFmtId="4" fontId="69" fillId="0" borderId="4" xfId="28" applyNumberFormat="1" applyFont="1" applyFill="1" applyBorder="1" applyAlignment="1">
      <alignment vertical="center"/>
    </xf>
    <xf numFmtId="4" fontId="30" fillId="0" borderId="0" xfId="27" applyNumberFormat="1" applyFont="1" applyAlignment="1">
      <alignment vertical="center"/>
    </xf>
    <xf numFmtId="166" fontId="16" fillId="0" borderId="4" xfId="1" applyFont="1" applyFill="1" applyBorder="1" applyAlignment="1">
      <alignment horizontal="center" vertical="center" wrapText="1"/>
    </xf>
    <xf numFmtId="49" fontId="69" fillId="0" borderId="4" xfId="28" applyNumberFormat="1" applyFont="1" applyFill="1" applyBorder="1" applyAlignment="1">
      <alignment horizontal="center" vertical="center"/>
    </xf>
    <xf numFmtId="166" fontId="30" fillId="0" borderId="0" xfId="1" applyFont="1" applyFill="1" applyBorder="1" applyAlignment="1">
      <alignment vertical="center"/>
    </xf>
    <xf numFmtId="166" fontId="31" fillId="0" borderId="0" xfId="1" applyFont="1" applyFill="1" applyBorder="1" applyAlignment="1">
      <alignment vertical="center"/>
    </xf>
    <xf numFmtId="0" fontId="19" fillId="0" borderId="0" xfId="29" applyFont="1"/>
    <xf numFmtId="0" fontId="16" fillId="0" borderId="0" xfId="29" applyFont="1"/>
    <xf numFmtId="0" fontId="19" fillId="0" borderId="0" xfId="29" applyFont="1" applyAlignment="1">
      <alignment horizontal="center"/>
    </xf>
    <xf numFmtId="0" fontId="16" fillId="0" borderId="54" xfId="29" applyFont="1" applyBorder="1"/>
    <xf numFmtId="0" fontId="16" fillId="0" borderId="55" xfId="29" applyFont="1" applyBorder="1"/>
    <xf numFmtId="49" fontId="16" fillId="0" borderId="55" xfId="29" applyNumberFormat="1" applyFont="1" applyBorder="1"/>
    <xf numFmtId="0" fontId="16" fillId="0" borderId="56" xfId="29" applyFont="1" applyBorder="1"/>
    <xf numFmtId="0" fontId="16" fillId="0" borderId="37" xfId="29" applyFont="1" applyBorder="1"/>
    <xf numFmtId="0" fontId="16" fillId="0" borderId="19" xfId="29" applyFont="1" applyBorder="1"/>
    <xf numFmtId="2" fontId="16" fillId="0" borderId="0" xfId="29" applyNumberFormat="1" applyFont="1"/>
    <xf numFmtId="0" fontId="16" fillId="0" borderId="57" xfId="29" applyFont="1" applyBorder="1"/>
    <xf numFmtId="171" fontId="16" fillId="0" borderId="58" xfId="29" applyNumberFormat="1" applyFont="1" applyBorder="1"/>
    <xf numFmtId="0" fontId="16" fillId="0" borderId="58" xfId="29" applyFont="1" applyBorder="1"/>
    <xf numFmtId="0" fontId="16" fillId="0" borderId="59" xfId="29" applyFont="1" applyBorder="1"/>
    <xf numFmtId="0" fontId="19" fillId="0" borderId="54" xfId="29" applyFont="1" applyBorder="1"/>
    <xf numFmtId="0" fontId="16" fillId="0" borderId="36" xfId="29" applyFont="1" applyBorder="1"/>
    <xf numFmtId="0" fontId="16" fillId="0" borderId="4" xfId="29" applyFont="1" applyBorder="1"/>
    <xf numFmtId="171" fontId="16" fillId="3" borderId="29" xfId="29" applyNumberFormat="1" applyFont="1" applyFill="1" applyBorder="1" applyAlignment="1">
      <alignment horizontal="center"/>
    </xf>
    <xf numFmtId="2" fontId="16" fillId="0" borderId="29" xfId="29" applyNumberFormat="1" applyFont="1" applyBorder="1" applyAlignment="1">
      <alignment horizontal="center"/>
    </xf>
    <xf numFmtId="0" fontId="19" fillId="0" borderId="57" xfId="29" applyFont="1" applyBorder="1"/>
    <xf numFmtId="0" fontId="19" fillId="0" borderId="39" xfId="29" applyFont="1" applyBorder="1"/>
    <xf numFmtId="0" fontId="19" fillId="0" borderId="38" xfId="29" applyFont="1" applyBorder="1"/>
    <xf numFmtId="2" fontId="19" fillId="0" borderId="59" xfId="29" applyNumberFormat="1" applyFont="1" applyBorder="1" applyAlignment="1">
      <alignment horizontal="center"/>
    </xf>
    <xf numFmtId="0" fontId="19" fillId="0" borderId="60" xfId="29" applyFont="1" applyBorder="1"/>
    <xf numFmtId="0" fontId="19" fillId="0" borderId="61" xfId="29" applyFont="1" applyBorder="1"/>
    <xf numFmtId="0" fontId="19" fillId="0" borderId="61" xfId="29" applyFont="1" applyBorder="1" applyAlignment="1">
      <alignment horizontal="center"/>
    </xf>
    <xf numFmtId="0" fontId="19" fillId="0" borderId="62" xfId="29" applyFont="1" applyBorder="1" applyAlignment="1">
      <alignment horizontal="center"/>
    </xf>
    <xf numFmtId="0" fontId="19" fillId="0" borderId="62" xfId="29" applyFont="1" applyBorder="1"/>
    <xf numFmtId="171" fontId="16" fillId="0" borderId="0" xfId="29" applyNumberFormat="1" applyFont="1"/>
    <xf numFmtId="0" fontId="16" fillId="0" borderId="63" xfId="29" applyFont="1" applyBorder="1"/>
    <xf numFmtId="0" fontId="19" fillId="0" borderId="64" xfId="29" applyFont="1" applyBorder="1"/>
    <xf numFmtId="0" fontId="19" fillId="0" borderId="65" xfId="29" applyFont="1" applyBorder="1"/>
    <xf numFmtId="0" fontId="16" fillId="0" borderId="64" xfId="29" applyFont="1" applyBorder="1"/>
    <xf numFmtId="0" fontId="19" fillId="0" borderId="66" xfId="29" applyFont="1" applyBorder="1"/>
    <xf numFmtId="0" fontId="16" fillId="0" borderId="15" xfId="29" applyFont="1" applyBorder="1" applyAlignment="1">
      <alignment horizontal="center"/>
    </xf>
    <xf numFmtId="0" fontId="16" fillId="0" borderId="4" xfId="29" applyFont="1" applyBorder="1" applyAlignment="1">
      <alignment horizontal="center"/>
    </xf>
    <xf numFmtId="0" fontId="19" fillId="0" borderId="3" xfId="29" applyFont="1" applyBorder="1"/>
    <xf numFmtId="0" fontId="16" fillId="0" borderId="15" xfId="29" applyFont="1" applyBorder="1"/>
    <xf numFmtId="0" fontId="16" fillId="3" borderId="36" xfId="29" applyFont="1" applyFill="1" applyBorder="1"/>
    <xf numFmtId="2" fontId="16" fillId="0" borderId="4" xfId="29" applyNumberFormat="1" applyFont="1" applyBorder="1" applyAlignment="1">
      <alignment horizontal="center"/>
    </xf>
    <xf numFmtId="0" fontId="19" fillId="0" borderId="2" xfId="29" applyFont="1" applyBorder="1" applyAlignment="1">
      <alignment horizontal="center"/>
    </xf>
    <xf numFmtId="2" fontId="16" fillId="3" borderId="4" xfId="29" applyNumberFormat="1" applyFont="1" applyFill="1" applyBorder="1" applyAlignment="1">
      <alignment horizontal="center"/>
    </xf>
    <xf numFmtId="0" fontId="16" fillId="0" borderId="0" xfId="29" applyFont="1" applyAlignment="1">
      <alignment horizontal="right"/>
    </xf>
    <xf numFmtId="164" fontId="16" fillId="0" borderId="0" xfId="29" applyNumberFormat="1" applyFont="1"/>
    <xf numFmtId="0" fontId="16" fillId="4" borderId="36" xfId="29" applyFont="1" applyFill="1" applyBorder="1"/>
    <xf numFmtId="0" fontId="16" fillId="2" borderId="36" xfId="29" applyFont="1" applyFill="1" applyBorder="1"/>
    <xf numFmtId="2" fontId="16" fillId="0" borderId="0" xfId="29" applyNumberFormat="1" applyFont="1" applyAlignment="1">
      <alignment horizontal="right"/>
    </xf>
    <xf numFmtId="0" fontId="16" fillId="4" borderId="67" xfId="29" applyFont="1" applyFill="1" applyBorder="1"/>
    <xf numFmtId="0" fontId="16" fillId="0" borderId="13" xfId="29" applyFont="1" applyBorder="1" applyAlignment="1">
      <alignment horizontal="center"/>
    </xf>
    <xf numFmtId="0" fontId="19" fillId="0" borderId="6" xfId="29" applyFont="1" applyBorder="1" applyAlignment="1">
      <alignment horizontal="center"/>
    </xf>
    <xf numFmtId="0" fontId="16" fillId="3" borderId="67" xfId="29" applyFont="1" applyFill="1" applyBorder="1"/>
    <xf numFmtId="2" fontId="16" fillId="0" borderId="13" xfId="29" applyNumberFormat="1" applyFont="1" applyBorder="1" applyAlignment="1">
      <alignment horizontal="center"/>
    </xf>
    <xf numFmtId="0" fontId="16" fillId="0" borderId="67" xfId="29" applyFont="1" applyBorder="1"/>
    <xf numFmtId="171" fontId="16" fillId="0" borderId="13" xfId="29" applyNumberFormat="1" applyFont="1" applyBorder="1" applyAlignment="1">
      <alignment horizontal="center"/>
    </xf>
    <xf numFmtId="0" fontId="19" fillId="0" borderId="6" xfId="29" applyFont="1" applyBorder="1"/>
    <xf numFmtId="171" fontId="16" fillId="0" borderId="4" xfId="29" applyNumberFormat="1" applyFont="1" applyBorder="1" applyAlignment="1">
      <alignment horizontal="center"/>
    </xf>
    <xf numFmtId="0" fontId="19" fillId="0" borderId="36" xfId="29" applyFont="1" applyBorder="1"/>
    <xf numFmtId="2" fontId="19" fillId="0" borderId="4" xfId="29" applyNumberFormat="1" applyFont="1" applyBorder="1" applyAlignment="1">
      <alignment horizontal="center"/>
    </xf>
    <xf numFmtId="0" fontId="19" fillId="0" borderId="4" xfId="29" applyFont="1" applyBorder="1" applyAlignment="1">
      <alignment horizontal="center"/>
    </xf>
    <xf numFmtId="2" fontId="41" fillId="0" borderId="4" xfId="29" applyNumberFormat="1" applyFont="1" applyBorder="1" applyAlignment="1">
      <alignment horizontal="center"/>
    </xf>
    <xf numFmtId="171" fontId="41" fillId="0" borderId="4" xfId="29" applyNumberFormat="1" applyFont="1" applyBorder="1" applyAlignment="1">
      <alignment horizontal="center"/>
    </xf>
    <xf numFmtId="0" fontId="11" fillId="0" borderId="0" xfId="29" applyFont="1"/>
    <xf numFmtId="171" fontId="16" fillId="0" borderId="0" xfId="29" applyNumberFormat="1" applyFont="1" applyAlignment="1">
      <alignment horizontal="center"/>
    </xf>
    <xf numFmtId="2" fontId="16" fillId="3" borderId="0" xfId="29" applyNumberFormat="1" applyFont="1" applyFill="1"/>
    <xf numFmtId="14" fontId="16" fillId="0" borderId="0" xfId="29" applyNumberFormat="1" applyFont="1" applyAlignment="1">
      <alignment horizontal="left"/>
    </xf>
    <xf numFmtId="172" fontId="16" fillId="0" borderId="69" xfId="29" applyNumberFormat="1" applyFont="1" applyBorder="1"/>
    <xf numFmtId="0" fontId="41" fillId="0" borderId="0" xfId="29" applyFont="1" applyAlignment="1">
      <alignment vertical="center"/>
    </xf>
    <xf numFmtId="0" fontId="42" fillId="0" borderId="0" xfId="29" applyFont="1"/>
    <xf numFmtId="0" fontId="41" fillId="0" borderId="0" xfId="29" applyFont="1"/>
    <xf numFmtId="9" fontId="42" fillId="0" borderId="0" xfId="29" applyNumberFormat="1" applyFont="1" applyAlignment="1">
      <alignment horizontal="center"/>
    </xf>
    <xf numFmtId="0" fontId="42" fillId="0" borderId="4" xfId="29" applyFont="1" applyBorder="1" applyAlignment="1">
      <alignment horizontal="center" vertical="center"/>
    </xf>
    <xf numFmtId="0" fontId="11" fillId="0" borderId="4" xfId="29" applyFont="1" applyBorder="1" applyAlignment="1">
      <alignment horizontal="left" vertical="center"/>
    </xf>
    <xf numFmtId="0" fontId="42" fillId="5" borderId="4" xfId="29" applyFont="1" applyFill="1" applyBorder="1"/>
    <xf numFmtId="2" fontId="42" fillId="5" borderId="4" xfId="29" applyNumberFormat="1" applyFont="1" applyFill="1" applyBorder="1"/>
    <xf numFmtId="0" fontId="42" fillId="6" borderId="4" xfId="29" applyFont="1" applyFill="1" applyBorder="1"/>
    <xf numFmtId="0" fontId="11" fillId="0" borderId="2" xfId="0" applyFont="1" applyBorder="1" applyAlignment="1">
      <alignment horizontal="center" vertical="center"/>
    </xf>
    <xf numFmtId="0" fontId="11" fillId="0" borderId="2" xfId="0" applyFont="1" applyBorder="1" applyAlignment="1">
      <alignment horizontal="center" vertical="center" wrapText="1"/>
    </xf>
    <xf numFmtId="166" fontId="22" fillId="0" borderId="0" xfId="22" applyNumberFormat="1" applyFont="1"/>
    <xf numFmtId="0" fontId="26" fillId="0" borderId="0" xfId="0" applyFont="1" applyAlignment="1">
      <alignment horizontal="left" vertical="center"/>
    </xf>
    <xf numFmtId="0" fontId="11" fillId="0" borderId="11" xfId="0" applyFont="1" applyBorder="1" applyAlignment="1">
      <alignment horizontal="center" vertical="center"/>
    </xf>
    <xf numFmtId="49" fontId="11" fillId="0" borderId="0" xfId="0" applyNumberFormat="1" applyFont="1" applyAlignment="1">
      <alignment vertical="center"/>
    </xf>
    <xf numFmtId="49" fontId="11" fillId="0" borderId="11" xfId="0" applyNumberFormat="1" applyFont="1" applyBorder="1" applyAlignment="1">
      <alignment vertical="center"/>
    </xf>
    <xf numFmtId="49" fontId="11" fillId="0" borderId="20" xfId="0" applyNumberFormat="1" applyFont="1" applyBorder="1" applyAlignment="1">
      <alignment horizontal="center" vertical="center"/>
    </xf>
    <xf numFmtId="49" fontId="11" fillId="0" borderId="1" xfId="0" applyNumberFormat="1" applyFont="1" applyBorder="1" applyAlignment="1">
      <alignment horizontal="center" vertical="center"/>
    </xf>
    <xf numFmtId="0" fontId="11" fillId="0" borderId="7" xfId="0" applyFont="1" applyBorder="1" applyAlignment="1">
      <alignment horizontal="center" vertical="center" wrapText="1"/>
    </xf>
    <xf numFmtId="0" fontId="11" fillId="0" borderId="1" xfId="0" applyFont="1" applyBorder="1" applyAlignment="1">
      <alignment horizontal="center" vertical="center"/>
    </xf>
    <xf numFmtId="0" fontId="11" fillId="0" borderId="0" xfId="0" applyFont="1" applyAlignment="1">
      <alignment horizontal="center" vertical="center" wrapText="1"/>
    </xf>
    <xf numFmtId="0" fontId="13" fillId="0" borderId="1" xfId="0" applyFont="1" applyBorder="1" applyAlignment="1">
      <alignment horizontal="left" vertical="center"/>
    </xf>
    <xf numFmtId="0" fontId="11" fillId="0" borderId="10" xfId="0" applyFont="1" applyBorder="1" applyAlignment="1">
      <alignment horizontal="left" vertical="center"/>
    </xf>
    <xf numFmtId="0" fontId="13" fillId="0" borderId="11" xfId="0" applyFont="1" applyBorder="1" applyAlignment="1">
      <alignment horizontal="left" vertical="center"/>
    </xf>
    <xf numFmtId="0" fontId="11" fillId="0" borderId="6" xfId="0" applyFont="1" applyBorder="1" applyAlignment="1">
      <alignment horizontal="left" vertical="center"/>
    </xf>
    <xf numFmtId="0" fontId="11" fillId="0" borderId="7" xfId="0" applyFont="1" applyBorder="1" applyAlignment="1">
      <alignment horizontal="right" vertical="center"/>
    </xf>
    <xf numFmtId="0" fontId="11" fillId="0" borderId="7" xfId="0" applyFont="1" applyBorder="1" applyAlignment="1">
      <alignment horizontal="left" vertical="center"/>
    </xf>
    <xf numFmtId="0" fontId="11" fillId="0" borderId="8" xfId="0" applyFont="1" applyBorder="1" applyAlignment="1">
      <alignment horizontal="right" vertical="center"/>
    </xf>
    <xf numFmtId="0" fontId="11" fillId="0" borderId="1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5"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6" xfId="0" applyNumberFormat="1" applyFont="1" applyBorder="1" applyAlignment="1">
      <alignment horizontal="center" vertical="center"/>
    </xf>
    <xf numFmtId="49" fontId="11" fillId="0" borderId="13" xfId="0" applyNumberFormat="1" applyFont="1" applyBorder="1" applyAlignment="1">
      <alignment horizontal="center" vertical="center"/>
    </xf>
    <xf numFmtId="4" fontId="13" fillId="0" borderId="17" xfId="0" applyNumberFormat="1" applyFont="1" applyBorder="1" applyAlignment="1">
      <alignment horizontal="center" vertical="center"/>
    </xf>
    <xf numFmtId="4" fontId="13" fillId="0" borderId="26" xfId="0" applyNumberFormat="1" applyFont="1" applyBorder="1" applyAlignment="1">
      <alignment horizontal="center" vertical="center"/>
    </xf>
    <xf numFmtId="4" fontId="13" fillId="0" borderId="27" xfId="0" applyNumberFormat="1" applyFont="1" applyBorder="1" applyAlignment="1">
      <alignment horizontal="center" vertical="center"/>
    </xf>
    <xf numFmtId="4" fontId="13" fillId="0" borderId="28" xfId="0" applyNumberFormat="1" applyFont="1" applyBorder="1" applyAlignment="1">
      <alignment horizontal="center" vertical="center"/>
    </xf>
    <xf numFmtId="4" fontId="13" fillId="0" borderId="16" xfId="0" applyNumberFormat="1" applyFont="1" applyBorder="1" applyAlignment="1">
      <alignment horizontal="center" vertical="center"/>
    </xf>
    <xf numFmtId="4" fontId="13" fillId="0" borderId="18" xfId="0" applyNumberFormat="1" applyFont="1" applyBorder="1" applyAlignment="1">
      <alignment horizontal="center" vertical="center"/>
    </xf>
    <xf numFmtId="4" fontId="13" fillId="0" borderId="1" xfId="0" applyNumberFormat="1" applyFont="1" applyBorder="1" applyAlignment="1">
      <alignment horizontal="center" vertical="center"/>
    </xf>
    <xf numFmtId="4" fontId="13" fillId="0" borderId="2" xfId="0" applyNumberFormat="1" applyFont="1" applyBorder="1" applyAlignment="1">
      <alignment horizontal="center" vertical="center"/>
    </xf>
    <xf numFmtId="4" fontId="13" fillId="0" borderId="29" xfId="0" applyNumberFormat="1" applyFont="1" applyBorder="1" applyAlignment="1">
      <alignment horizontal="center" vertical="center"/>
    </xf>
    <xf numFmtId="4" fontId="13" fillId="0" borderId="20" xfId="0" applyNumberFormat="1" applyFont="1" applyBorder="1" applyAlignment="1">
      <alignment horizontal="center" vertical="center"/>
    </xf>
    <xf numFmtId="4" fontId="13" fillId="0" borderId="21" xfId="0" applyNumberFormat="1" applyFont="1" applyBorder="1" applyAlignment="1">
      <alignment horizontal="center" vertical="center"/>
    </xf>
    <xf numFmtId="4" fontId="30" fillId="0" borderId="1" xfId="0" applyNumberFormat="1" applyFont="1" applyBorder="1" applyAlignment="1">
      <alignment horizontal="center" vertical="center"/>
    </xf>
    <xf numFmtId="49" fontId="11" fillId="0" borderId="5" xfId="0" applyNumberFormat="1" applyFont="1" applyBorder="1" applyAlignment="1">
      <alignment horizontal="center" vertical="center"/>
    </xf>
    <xf numFmtId="49" fontId="11" fillId="0" borderId="2" xfId="0" applyNumberFormat="1" applyFont="1" applyBorder="1" applyAlignment="1">
      <alignment horizontal="center" vertical="center"/>
    </xf>
    <xf numFmtId="4" fontId="11" fillId="0" borderId="1" xfId="0" applyNumberFormat="1" applyFont="1" applyBorder="1" applyAlignment="1">
      <alignment horizontal="center" vertical="center"/>
    </xf>
    <xf numFmtId="4" fontId="11" fillId="0" borderId="2" xfId="0" applyNumberFormat="1" applyFont="1" applyBorder="1" applyAlignment="1">
      <alignment horizontal="center" vertical="center"/>
    </xf>
    <xf numFmtId="4" fontId="31" fillId="0" borderId="29" xfId="0" applyNumberFormat="1" applyFont="1" applyBorder="1" applyAlignment="1">
      <alignment horizontal="center" vertical="center"/>
    </xf>
    <xf numFmtId="4" fontId="11" fillId="0" borderId="20" xfId="0" applyNumberFormat="1" applyFont="1" applyBorder="1" applyAlignment="1">
      <alignment horizontal="center" vertical="center"/>
    </xf>
    <xf numFmtId="4" fontId="11" fillId="0" borderId="21" xfId="0" applyNumberFormat="1" applyFont="1" applyBorder="1" applyAlignment="1">
      <alignment horizontal="center" vertical="center"/>
    </xf>
    <xf numFmtId="0" fontId="11" fillId="0" borderId="21" xfId="0" applyFont="1" applyBorder="1" applyAlignment="1">
      <alignment horizontal="center" vertical="center"/>
    </xf>
    <xf numFmtId="4" fontId="11" fillId="0" borderId="3" xfId="0" applyNumberFormat="1" applyFont="1" applyBorder="1" applyAlignment="1">
      <alignment horizontal="center" vertical="center"/>
    </xf>
    <xf numFmtId="4" fontId="11" fillId="0" borderId="15" xfId="0" applyNumberFormat="1" applyFont="1" applyBorder="1" applyAlignment="1">
      <alignment horizontal="center" vertical="center"/>
    </xf>
    <xf numFmtId="4" fontId="11" fillId="0" borderId="11" xfId="0" applyNumberFormat="1" applyFont="1" applyBorder="1" applyAlignment="1">
      <alignment horizontal="center" vertical="center"/>
    </xf>
    <xf numFmtId="4" fontId="31" fillId="0" borderId="32" xfId="0" applyNumberFormat="1" applyFont="1" applyBorder="1" applyAlignment="1">
      <alignment horizontal="center" vertical="center"/>
    </xf>
    <xf numFmtId="4" fontId="11" fillId="0" borderId="30" xfId="0" applyNumberFormat="1" applyFont="1" applyBorder="1" applyAlignment="1">
      <alignment horizontal="center" vertical="center"/>
    </xf>
    <xf numFmtId="4" fontId="11" fillId="0" borderId="31" xfId="0" applyNumberFormat="1" applyFont="1" applyBorder="1" applyAlignment="1">
      <alignment horizontal="center" vertical="center"/>
    </xf>
    <xf numFmtId="0" fontId="11" fillId="0" borderId="3" xfId="0" applyFont="1" applyBorder="1" applyAlignment="1">
      <alignment horizontal="center" vertical="center"/>
    </xf>
    <xf numFmtId="0" fontId="11" fillId="0" borderId="31" xfId="0" applyFont="1" applyBorder="1" applyAlignment="1">
      <alignment horizontal="center" vertical="center"/>
    </xf>
    <xf numFmtId="4" fontId="11" fillId="0" borderId="29" xfId="0" applyNumberFormat="1" applyFont="1" applyBorder="1" applyAlignment="1">
      <alignment horizontal="center" vertical="center"/>
    </xf>
    <xf numFmtId="4" fontId="11" fillId="0" borderId="7" xfId="0" applyNumberFormat="1" applyFont="1" applyBorder="1" applyAlignment="1">
      <alignment horizontal="center" vertical="center"/>
    </xf>
    <xf numFmtId="4" fontId="11" fillId="0" borderId="6" xfId="0" applyNumberFormat="1" applyFont="1" applyBorder="1" applyAlignment="1">
      <alignment horizontal="center" vertical="center"/>
    </xf>
    <xf numFmtId="4" fontId="11" fillId="0" borderId="13" xfId="0" applyNumberFormat="1" applyFont="1" applyBorder="1" applyAlignment="1">
      <alignment horizontal="center" vertical="center"/>
    </xf>
    <xf numFmtId="4" fontId="11" fillId="0" borderId="34" xfId="0" applyNumberFormat="1" applyFont="1" applyBorder="1" applyAlignment="1">
      <alignment horizontal="center" vertical="center"/>
    </xf>
    <xf numFmtId="4" fontId="11" fillId="0" borderId="33" xfId="0" applyNumberFormat="1" applyFont="1" applyBorder="1" applyAlignment="1">
      <alignment horizontal="center" vertical="center"/>
    </xf>
    <xf numFmtId="4" fontId="11" fillId="0" borderId="35" xfId="0" applyNumberFormat="1" applyFont="1" applyBorder="1" applyAlignment="1">
      <alignment horizontal="center" vertical="center"/>
    </xf>
    <xf numFmtId="4" fontId="11" fillId="0" borderId="32" xfId="0" applyNumberFormat="1" applyFont="1" applyBorder="1" applyAlignment="1">
      <alignment horizontal="center" vertical="center"/>
    </xf>
    <xf numFmtId="4" fontId="13" fillId="0" borderId="36" xfId="0" applyNumberFormat="1" applyFont="1" applyBorder="1" applyAlignment="1">
      <alignment horizontal="center" vertical="center"/>
    </xf>
    <xf numFmtId="4" fontId="13" fillId="0" borderId="5" xfId="0" applyNumberFormat="1" applyFont="1" applyBorder="1" applyAlignment="1">
      <alignment horizontal="center" vertical="center"/>
    </xf>
    <xf numFmtId="4" fontId="13" fillId="0" borderId="3" xfId="0" applyNumberFormat="1" applyFont="1" applyBorder="1" applyAlignment="1">
      <alignment horizontal="center" vertical="center"/>
    </xf>
    <xf numFmtId="4" fontId="11" fillId="0" borderId="4" xfId="0" applyNumberFormat="1" applyFont="1" applyBorder="1" applyAlignment="1">
      <alignment horizontal="center" vertical="center" shrinkToFit="1"/>
    </xf>
    <xf numFmtId="4" fontId="11" fillId="0" borderId="5" xfId="0" applyNumberFormat="1" applyFont="1" applyBorder="1" applyAlignment="1">
      <alignment horizontal="center" vertical="center"/>
    </xf>
    <xf numFmtId="4" fontId="11" fillId="0" borderId="36" xfId="0" applyNumberFormat="1" applyFont="1" applyBorder="1" applyAlignment="1">
      <alignment horizontal="center" vertical="center"/>
    </xf>
    <xf numFmtId="4" fontId="21" fillId="0" borderId="4"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6" xfId="0" applyNumberFormat="1" applyFont="1" applyBorder="1" applyAlignment="1">
      <alignment horizontal="center" vertical="center"/>
    </xf>
    <xf numFmtId="4" fontId="21" fillId="0" borderId="5" xfId="0" applyNumberFormat="1" applyFont="1" applyBorder="1" applyAlignment="1">
      <alignment horizontal="center" vertical="center"/>
    </xf>
    <xf numFmtId="0" fontId="33" fillId="0" borderId="2" xfId="0" applyFont="1" applyBorder="1" applyAlignment="1">
      <alignment horizontal="center" vertical="center"/>
    </xf>
    <xf numFmtId="0" fontId="33" fillId="0" borderId="1" xfId="0" applyFont="1" applyBorder="1" applyAlignment="1">
      <alignment horizontal="center" vertical="center"/>
    </xf>
    <xf numFmtId="0" fontId="33" fillId="0" borderId="21" xfId="0" applyFont="1" applyBorder="1" applyAlignment="1">
      <alignment horizontal="center" vertical="center"/>
    </xf>
    <xf numFmtId="4" fontId="33" fillId="0" borderId="4" xfId="0" applyNumberFormat="1" applyFont="1" applyBorder="1" applyAlignment="1">
      <alignment horizontal="center" vertical="center"/>
    </xf>
    <xf numFmtId="4" fontId="33" fillId="0" borderId="1" xfId="0" applyNumberFormat="1" applyFont="1" applyBorder="1" applyAlignment="1">
      <alignment horizontal="center" vertical="center"/>
    </xf>
    <xf numFmtId="4" fontId="33" fillId="0" borderId="2" xfId="0" applyNumberFormat="1" applyFont="1" applyBorder="1" applyAlignment="1">
      <alignment horizontal="center" vertical="center"/>
    </xf>
    <xf numFmtId="4" fontId="21" fillId="0" borderId="1" xfId="0" applyNumberFormat="1" applyFont="1" applyBorder="1" applyAlignment="1">
      <alignment horizontal="center" vertical="center"/>
    </xf>
    <xf numFmtId="4" fontId="21" fillId="0" borderId="2" xfId="0" applyNumberFormat="1" applyFont="1" applyBorder="1" applyAlignment="1">
      <alignment horizontal="center" vertical="center"/>
    </xf>
    <xf numFmtId="4" fontId="33" fillId="0" borderId="11" xfId="0" applyNumberFormat="1" applyFont="1" applyBorder="1" applyAlignment="1">
      <alignment horizontal="center" vertical="center"/>
    </xf>
    <xf numFmtId="4" fontId="33" fillId="0" borderId="3" xfId="0" applyNumberFormat="1" applyFont="1" applyBorder="1" applyAlignment="1">
      <alignment horizontal="center" vertical="center"/>
    </xf>
    <xf numFmtId="0" fontId="33" fillId="0" borderId="3" xfId="0" applyFont="1" applyBorder="1" applyAlignment="1">
      <alignment horizontal="center" vertical="center"/>
    </xf>
    <xf numFmtId="0" fontId="33" fillId="0" borderId="11" xfId="0" applyFont="1" applyBorder="1" applyAlignment="1">
      <alignment horizontal="center" vertical="center"/>
    </xf>
    <xf numFmtId="0" fontId="33" fillId="0" borderId="31" xfId="0" applyFont="1" applyBorder="1" applyAlignment="1">
      <alignment horizontal="center" vertical="center"/>
    </xf>
    <xf numFmtId="4" fontId="33" fillId="0" borderId="39" xfId="0" applyNumberFormat="1" applyFont="1" applyBorder="1" applyAlignment="1">
      <alignment horizontal="center" vertical="center"/>
    </xf>
    <xf numFmtId="0" fontId="33" fillId="0" borderId="0" xfId="0" applyFont="1" applyAlignment="1">
      <alignment horizontal="left" vertical="center"/>
    </xf>
    <xf numFmtId="4" fontId="33" fillId="0" borderId="0" xfId="0" applyNumberFormat="1" applyFont="1" applyAlignment="1">
      <alignment horizontal="left" vertical="center"/>
    </xf>
    <xf numFmtId="164" fontId="11" fillId="0" borderId="0" xfId="0" applyNumberFormat="1" applyFont="1" applyAlignment="1">
      <alignment horizontal="left" vertical="center"/>
    </xf>
    <xf numFmtId="4" fontId="11" fillId="0" borderId="0" xfId="0" applyNumberFormat="1" applyFont="1" applyAlignment="1">
      <alignment horizontal="right" vertical="center"/>
    </xf>
    <xf numFmtId="166" fontId="11" fillId="0" borderId="0" xfId="0" applyNumberFormat="1" applyFont="1" applyAlignment="1">
      <alignment horizontal="left" vertical="center"/>
    </xf>
    <xf numFmtId="4" fontId="20" fillId="13" borderId="4" xfId="22" applyNumberFormat="1" applyFont="1" applyFill="1" applyBorder="1" applyAlignment="1">
      <alignment horizontal="center" vertical="center" wrapText="1"/>
    </xf>
    <xf numFmtId="2" fontId="16" fillId="0" borderId="4" xfId="0" applyNumberFormat="1" applyFont="1" applyBorder="1" applyAlignment="1">
      <alignment horizontal="center"/>
    </xf>
    <xf numFmtId="4" fontId="19" fillId="0" borderId="4" xfId="0" applyNumberFormat="1" applyFont="1" applyBorder="1" applyAlignment="1">
      <alignment horizontal="center" vertical="center" wrapText="1"/>
    </xf>
    <xf numFmtId="4" fontId="16" fillId="0" borderId="13" xfId="0" applyNumberFormat="1" applyFont="1" applyBorder="1" applyAlignment="1">
      <alignment horizontal="right" vertical="center"/>
    </xf>
    <xf numFmtId="166" fontId="16" fillId="0" borderId="4" xfId="0" applyNumberFormat="1" applyFont="1" applyBorder="1" applyAlignment="1">
      <alignment horizontal="left" vertical="center"/>
    </xf>
    <xf numFmtId="2" fontId="16" fillId="0" borderId="4" xfId="0" applyNumberFormat="1" applyFont="1" applyBorder="1" applyAlignment="1">
      <alignment horizontal="center" vertical="center"/>
    </xf>
    <xf numFmtId="0" fontId="31" fillId="0" borderId="4" xfId="28" applyNumberFormat="1" applyFont="1" applyFill="1" applyBorder="1" applyAlignment="1">
      <alignment horizontal="center" vertical="center"/>
    </xf>
    <xf numFmtId="164" fontId="30" fillId="0" borderId="0" xfId="27" applyNumberFormat="1" applyFont="1" applyAlignment="1">
      <alignment vertical="center"/>
    </xf>
    <xf numFmtId="164" fontId="69" fillId="0" borderId="0" xfId="27" applyNumberFormat="1" applyFont="1" applyAlignment="1">
      <alignment vertical="center"/>
    </xf>
    <xf numFmtId="164" fontId="31" fillId="0" borderId="0" xfId="27" applyNumberFormat="1" applyFont="1" applyAlignment="1">
      <alignment vertical="center"/>
    </xf>
    <xf numFmtId="0" fontId="41" fillId="0" borderId="0" xfId="0" applyFont="1" applyAlignment="1">
      <alignment vertical="top"/>
    </xf>
    <xf numFmtId="0" fontId="31" fillId="0" borderId="0" xfId="27" applyFont="1" applyAlignment="1">
      <alignment vertical="center" wrapText="1"/>
    </xf>
    <xf numFmtId="4" fontId="20" fillId="0" borderId="4" xfId="0" applyNumberFormat="1" applyFont="1" applyBorder="1" applyAlignment="1">
      <alignment horizontal="center" vertical="center" wrapText="1"/>
    </xf>
    <xf numFmtId="4" fontId="19" fillId="0" borderId="0" xfId="0" applyNumberFormat="1" applyFont="1" applyAlignment="1">
      <alignment horizontal="left" vertical="center"/>
    </xf>
    <xf numFmtId="0" fontId="59" fillId="0" borderId="4" xfId="22" applyBorder="1"/>
    <xf numFmtId="4" fontId="16" fillId="2" borderId="4" xfId="0" applyNumberFormat="1" applyFont="1" applyFill="1" applyBorder="1" applyAlignment="1">
      <alignment horizontal="center" vertical="center" wrapText="1"/>
    </xf>
    <xf numFmtId="49" fontId="16" fillId="0" borderId="4" xfId="0" applyNumberFormat="1" applyFont="1" applyBorder="1" applyAlignment="1">
      <alignment horizontal="right"/>
    </xf>
    <xf numFmtId="4" fontId="16" fillId="0" borderId="13" xfId="0" applyNumberFormat="1" applyFont="1" applyBorder="1" applyAlignment="1">
      <alignment horizontal="center"/>
    </xf>
    <xf numFmtId="4" fontId="16" fillId="0" borderId="4" xfId="0" applyNumberFormat="1" applyFont="1" applyBorder="1" applyAlignment="1">
      <alignment horizontal="center" wrapText="1"/>
    </xf>
    <xf numFmtId="4" fontId="19" fillId="0" borderId="4" xfId="0" applyNumberFormat="1" applyFont="1" applyBorder="1" applyAlignment="1">
      <alignment horizontal="center" wrapText="1"/>
    </xf>
    <xf numFmtId="49" fontId="16" fillId="0" borderId="13" xfId="0" applyNumberFormat="1" applyFont="1" applyBorder="1" applyAlignment="1">
      <alignment horizontal="center"/>
    </xf>
    <xf numFmtId="4" fontId="33" fillId="2" borderId="4" xfId="3" applyNumberFormat="1" applyFont="1" applyFill="1" applyBorder="1" applyAlignment="1">
      <alignment horizontal="center" vertical="center"/>
    </xf>
    <xf numFmtId="4" fontId="33" fillId="2" borderId="29" xfId="0" applyNumberFormat="1" applyFont="1" applyFill="1" applyBorder="1" applyAlignment="1">
      <alignment horizontal="center" vertical="center"/>
    </xf>
    <xf numFmtId="4" fontId="11" fillId="2" borderId="29" xfId="0" applyNumberFormat="1" applyFont="1" applyFill="1" applyBorder="1" applyAlignment="1">
      <alignment horizontal="center" vertical="center"/>
    </xf>
    <xf numFmtId="166" fontId="31" fillId="2" borderId="4" xfId="1" applyFont="1" applyFill="1" applyBorder="1" applyAlignment="1">
      <alignment vertical="center"/>
    </xf>
    <xf numFmtId="4" fontId="33" fillId="2" borderId="2" xfId="3" applyNumberFormat="1" applyFont="1" applyFill="1" applyBorder="1" applyAlignment="1">
      <alignment horizontal="center" vertical="center"/>
    </xf>
    <xf numFmtId="4" fontId="11" fillId="2" borderId="4" xfId="0" applyNumberFormat="1" applyFont="1" applyFill="1" applyBorder="1" applyAlignment="1">
      <alignment horizontal="center" vertical="center"/>
    </xf>
    <xf numFmtId="4" fontId="11" fillId="2" borderId="4" xfId="3" applyNumberFormat="1" applyFont="1" applyFill="1" applyBorder="1" applyAlignment="1">
      <alignment horizontal="center" vertical="center"/>
    </xf>
    <xf numFmtId="4" fontId="16" fillId="2" borderId="4" xfId="0" applyNumberFormat="1" applyFont="1" applyFill="1" applyBorder="1" applyAlignment="1">
      <alignment horizontal="center"/>
    </xf>
    <xf numFmtId="4" fontId="19" fillId="2" borderId="4" xfId="0" applyNumberFormat="1" applyFont="1" applyFill="1" applyBorder="1" applyAlignment="1">
      <alignment horizontal="center"/>
    </xf>
    <xf numFmtId="0" fontId="16" fillId="2" borderId="0" xfId="0" applyFont="1" applyFill="1" applyAlignment="1">
      <alignment horizontal="center" vertical="center" wrapText="1"/>
    </xf>
    <xf numFmtId="4" fontId="19" fillId="2" borderId="11" xfId="0" applyNumberFormat="1" applyFont="1" applyFill="1" applyBorder="1" applyAlignment="1">
      <alignment vertical="center" wrapText="1"/>
    </xf>
    <xf numFmtId="164" fontId="19" fillId="2" borderId="0" xfId="0" applyNumberFormat="1" applyFont="1" applyFill="1" applyAlignment="1">
      <alignment horizontal="center" vertical="center" wrapText="1"/>
    </xf>
    <xf numFmtId="164" fontId="16" fillId="0" borderId="0" xfId="26" applyNumberFormat="1" applyFont="1" applyAlignment="1">
      <alignment horizontal="left"/>
    </xf>
    <xf numFmtId="166" fontId="19" fillId="2" borderId="0" xfId="0" applyNumberFormat="1" applyFont="1" applyFill="1" applyAlignment="1">
      <alignment horizontal="center" vertical="center" wrapText="1"/>
    </xf>
    <xf numFmtId="0" fontId="42" fillId="15" borderId="0" xfId="0" applyFont="1" applyFill="1" applyAlignment="1">
      <alignment horizontal="center" vertical="center" wrapText="1"/>
    </xf>
    <xf numFmtId="0" fontId="41" fillId="15" borderId="0" xfId="0" applyFont="1" applyFill="1" applyAlignment="1">
      <alignment horizontal="center" vertical="center" wrapText="1"/>
    </xf>
    <xf numFmtId="2" fontId="11" fillId="15" borderId="0" xfId="0" applyNumberFormat="1" applyFont="1" applyFill="1" applyAlignment="1">
      <alignment horizontal="center" vertical="center" wrapText="1"/>
    </xf>
    <xf numFmtId="2" fontId="13" fillId="15" borderId="0" xfId="0" applyNumberFormat="1" applyFont="1" applyFill="1" applyAlignment="1">
      <alignment horizontal="center" vertical="center" wrapText="1"/>
    </xf>
    <xf numFmtId="4" fontId="42" fillId="15" borderId="0" xfId="0" applyNumberFormat="1" applyFont="1" applyFill="1" applyAlignment="1">
      <alignment vertical="center" wrapText="1"/>
    </xf>
    <xf numFmtId="0" fontId="42" fillId="15" borderId="0" xfId="0" applyFont="1" applyFill="1" applyAlignment="1">
      <alignment vertical="center" wrapText="1"/>
    </xf>
    <xf numFmtId="0" fontId="42" fillId="8" borderId="0" xfId="0" applyFont="1" applyFill="1" applyAlignment="1">
      <alignment vertical="center" wrapText="1"/>
    </xf>
    <xf numFmtId="0" fontId="11" fillId="15" borderId="0" xfId="0" applyFont="1" applyFill="1" applyAlignment="1">
      <alignment vertical="center" wrapText="1"/>
    </xf>
    <xf numFmtId="4" fontId="11" fillId="15" borderId="0" xfId="0" applyNumberFormat="1" applyFont="1" applyFill="1" applyAlignment="1">
      <alignment vertical="center" wrapText="1"/>
    </xf>
    <xf numFmtId="4" fontId="11" fillId="8" borderId="0" xfId="0" applyNumberFormat="1" applyFont="1" applyFill="1" applyAlignment="1">
      <alignment vertical="center" wrapText="1"/>
    </xf>
    <xf numFmtId="4" fontId="11" fillId="0" borderId="0" xfId="0" applyNumberFormat="1" applyFont="1" applyAlignment="1">
      <alignment vertical="center" wrapText="1"/>
    </xf>
    <xf numFmtId="4" fontId="54" fillId="0" borderId="0" xfId="0" applyNumberFormat="1" applyFont="1" applyAlignment="1">
      <alignment vertical="center" wrapText="1"/>
    </xf>
    <xf numFmtId="2" fontId="42" fillId="0" borderId="0" xfId="0" applyNumberFormat="1" applyFont="1" applyAlignment="1">
      <alignment vertical="center" wrapText="1"/>
    </xf>
    <xf numFmtId="0" fontId="42" fillId="16" borderId="0" xfId="0" applyFont="1" applyFill="1" applyAlignment="1">
      <alignment vertical="center" wrapText="1"/>
    </xf>
    <xf numFmtId="4" fontId="42" fillId="16" borderId="0" xfId="0" applyNumberFormat="1" applyFont="1" applyFill="1" applyAlignment="1">
      <alignment vertical="center" wrapText="1"/>
    </xf>
    <xf numFmtId="4" fontId="11" fillId="16" borderId="0" xfId="0" applyNumberFormat="1" applyFont="1" applyFill="1" applyAlignment="1">
      <alignment vertical="center" wrapText="1"/>
    </xf>
    <xf numFmtId="4" fontId="42" fillId="8" borderId="0" xfId="0" applyNumberFormat="1" applyFont="1" applyFill="1" applyAlignment="1">
      <alignment vertical="center" wrapText="1"/>
    </xf>
    <xf numFmtId="4" fontId="11" fillId="2" borderId="0" xfId="0" applyNumberFormat="1" applyFont="1" applyFill="1" applyAlignment="1">
      <alignment horizontal="left"/>
    </xf>
    <xf numFmtId="4" fontId="16" fillId="0" borderId="0" xfId="23" applyNumberFormat="1" applyFont="1" applyAlignment="1">
      <alignment horizontal="left"/>
    </xf>
    <xf numFmtId="4" fontId="11" fillId="0" borderId="0" xfId="23" applyNumberFormat="1" applyFont="1" applyAlignment="1">
      <alignment horizontal="left"/>
    </xf>
    <xf numFmtId="0" fontId="11" fillId="0" borderId="0" xfId="23" applyFont="1" applyAlignment="1">
      <alignment horizontal="left"/>
    </xf>
    <xf numFmtId="166" fontId="16" fillId="0" borderId="0" xfId="26" applyNumberFormat="1" applyFont="1" applyAlignment="1">
      <alignment horizontal="left"/>
    </xf>
    <xf numFmtId="4" fontId="16" fillId="0" borderId="0" xfId="26" applyNumberFormat="1" applyFont="1" applyAlignment="1">
      <alignment horizontal="left"/>
    </xf>
    <xf numFmtId="2" fontId="19" fillId="0" borderId="4" xfId="0" applyNumberFormat="1" applyFont="1" applyBorder="1" applyAlignment="1">
      <alignment horizontal="center" vertical="center"/>
    </xf>
    <xf numFmtId="4" fontId="42" fillId="0" borderId="0" xfId="0" applyNumberFormat="1" applyFont="1" applyAlignment="1">
      <alignment horizontal="center" vertical="center" wrapText="1"/>
    </xf>
    <xf numFmtId="166" fontId="11" fillId="2" borderId="0" xfId="0" applyNumberFormat="1" applyFont="1" applyFill="1" applyAlignment="1">
      <alignment horizontal="left"/>
    </xf>
    <xf numFmtId="2" fontId="11" fillId="0" borderId="0" xfId="0" applyNumberFormat="1" applyFont="1" applyAlignment="1">
      <alignment horizontal="left"/>
    </xf>
    <xf numFmtId="49" fontId="16" fillId="2" borderId="4" xfId="0" applyNumberFormat="1" applyFont="1" applyFill="1" applyBorder="1" applyAlignment="1">
      <alignment horizontal="center" vertical="center"/>
    </xf>
    <xf numFmtId="4" fontId="41" fillId="0" borderId="0" xfId="0" applyNumberFormat="1" applyFont="1" applyAlignment="1">
      <alignment vertical="center" wrapText="1"/>
    </xf>
    <xf numFmtId="166" fontId="11" fillId="2" borderId="4" xfId="1" applyFont="1" applyFill="1" applyBorder="1" applyAlignment="1">
      <alignment vertical="center"/>
    </xf>
    <xf numFmtId="166" fontId="13" fillId="2" borderId="4" xfId="1" applyFont="1" applyFill="1" applyBorder="1" applyAlignment="1">
      <alignment vertical="center"/>
    </xf>
    <xf numFmtId="49" fontId="11" fillId="2" borderId="4" xfId="28" applyNumberFormat="1" applyFont="1" applyFill="1" applyBorder="1" applyAlignment="1">
      <alignment vertical="center"/>
    </xf>
    <xf numFmtId="4" fontId="11" fillId="2" borderId="4" xfId="27" applyNumberFormat="1" applyFont="1" applyFill="1" applyBorder="1" applyAlignment="1">
      <alignment vertical="center" wrapText="1"/>
    </xf>
    <xf numFmtId="4" fontId="13" fillId="2" borderId="4" xfId="27" applyNumberFormat="1" applyFont="1" applyFill="1" applyBorder="1" applyAlignment="1">
      <alignment vertical="center" wrapText="1"/>
    </xf>
    <xf numFmtId="4" fontId="11" fillId="2" borderId="0" xfId="27" applyNumberFormat="1" applyFont="1" applyFill="1" applyAlignment="1">
      <alignment vertical="center" wrapText="1"/>
    </xf>
    <xf numFmtId="4" fontId="13" fillId="2" borderId="4" xfId="28" applyNumberFormat="1" applyFont="1" applyFill="1" applyBorder="1" applyAlignment="1">
      <alignment vertical="center"/>
    </xf>
    <xf numFmtId="4" fontId="11" fillId="2" borderId="4" xfId="28" applyNumberFormat="1" applyFont="1" applyFill="1" applyBorder="1" applyAlignment="1">
      <alignment vertical="center"/>
    </xf>
    <xf numFmtId="49" fontId="13" fillId="2" borderId="4" xfId="28" applyNumberFormat="1" applyFont="1" applyFill="1" applyBorder="1" applyAlignment="1">
      <alignment vertical="center"/>
    </xf>
    <xf numFmtId="166" fontId="57" fillId="2" borderId="4" xfId="1" applyFont="1" applyFill="1" applyBorder="1" applyAlignment="1">
      <alignment vertical="center"/>
    </xf>
    <xf numFmtId="4" fontId="57" fillId="2" borderId="4" xfId="28" applyNumberFormat="1" applyFont="1" applyFill="1" applyBorder="1" applyAlignment="1">
      <alignment vertical="center"/>
    </xf>
    <xf numFmtId="4" fontId="17" fillId="2" borderId="4" xfId="27" applyNumberFormat="1" applyFont="1" applyFill="1" applyBorder="1" applyAlignment="1">
      <alignment vertical="center" wrapText="1"/>
    </xf>
    <xf numFmtId="166" fontId="17" fillId="2" borderId="4" xfId="1" applyFont="1" applyFill="1" applyBorder="1" applyAlignment="1">
      <alignment vertical="center"/>
    </xf>
    <xf numFmtId="49" fontId="17" fillId="2" borderId="4" xfId="28" applyNumberFormat="1" applyFont="1" applyFill="1" applyBorder="1" applyAlignment="1">
      <alignment vertical="center"/>
    </xf>
    <xf numFmtId="49" fontId="57" fillId="2" borderId="4" xfId="28" applyNumberFormat="1" applyFont="1" applyFill="1" applyBorder="1" applyAlignment="1">
      <alignment vertical="center"/>
    </xf>
    <xf numFmtId="0" fontId="11" fillId="2" borderId="4" xfId="28" applyNumberFormat="1" applyFont="1" applyFill="1" applyBorder="1" applyAlignment="1">
      <alignment horizontal="center" vertical="center"/>
    </xf>
    <xf numFmtId="166" fontId="57" fillId="2" borderId="4" xfId="1" applyFont="1" applyFill="1" applyBorder="1" applyAlignment="1">
      <alignment horizontal="center" vertical="center"/>
    </xf>
    <xf numFmtId="181" fontId="57" fillId="2" borderId="4" xfId="1" applyNumberFormat="1" applyFont="1" applyFill="1" applyBorder="1" applyAlignment="1">
      <alignment horizontal="center" vertical="center"/>
    </xf>
    <xf numFmtId="4" fontId="17" fillId="2" borderId="4" xfId="28" applyNumberFormat="1" applyFont="1" applyFill="1" applyBorder="1" applyAlignment="1">
      <alignment vertical="center"/>
    </xf>
    <xf numFmtId="49" fontId="11" fillId="2" borderId="4" xfId="28" applyNumberFormat="1" applyFont="1" applyFill="1" applyBorder="1" applyAlignment="1">
      <alignment horizontal="center" vertical="center"/>
    </xf>
    <xf numFmtId="0" fontId="13" fillId="2" borderId="0" xfId="27" applyFont="1" applyFill="1" applyAlignment="1">
      <alignment vertical="center"/>
    </xf>
    <xf numFmtId="4" fontId="33" fillId="2" borderId="4" xfId="0" applyNumberFormat="1" applyFont="1" applyFill="1" applyBorder="1" applyAlignment="1">
      <alignment horizontal="center" vertical="center"/>
    </xf>
    <xf numFmtId="4" fontId="33" fillId="2" borderId="36" xfId="0" applyNumberFormat="1" applyFont="1" applyFill="1" applyBorder="1" applyAlignment="1">
      <alignment horizontal="center" vertical="center"/>
    </xf>
    <xf numFmtId="4" fontId="33" fillId="2" borderId="5" xfId="0" applyNumberFormat="1" applyFont="1" applyFill="1" applyBorder="1" applyAlignment="1">
      <alignment horizontal="center" vertical="center"/>
    </xf>
    <xf numFmtId="4" fontId="33" fillId="2" borderId="36" xfId="3" applyNumberFormat="1" applyFont="1" applyFill="1" applyBorder="1" applyAlignment="1">
      <alignment horizontal="center" vertical="center"/>
    </xf>
    <xf numFmtId="4" fontId="33" fillId="2" borderId="5" xfId="3" applyNumberFormat="1" applyFont="1" applyFill="1" applyBorder="1" applyAlignment="1">
      <alignment horizontal="center" vertical="center"/>
    </xf>
    <xf numFmtId="4" fontId="33" fillId="2" borderId="1" xfId="0" applyNumberFormat="1" applyFont="1" applyFill="1" applyBorder="1" applyAlignment="1">
      <alignment horizontal="center" vertical="center"/>
    </xf>
    <xf numFmtId="4" fontId="33" fillId="2" borderId="20" xfId="3" applyNumberFormat="1" applyFont="1" applyFill="1" applyBorder="1" applyAlignment="1">
      <alignment horizontal="center" vertical="center"/>
    </xf>
    <xf numFmtId="4" fontId="33" fillId="2" borderId="21" xfId="0" applyNumberFormat="1" applyFont="1" applyFill="1" applyBorder="1" applyAlignment="1">
      <alignment horizontal="center" vertical="center"/>
    </xf>
    <xf numFmtId="4" fontId="33" fillId="2" borderId="2" xfId="0" applyNumberFormat="1" applyFont="1" applyFill="1" applyBorder="1" applyAlignment="1">
      <alignment horizontal="center" vertical="center"/>
    </xf>
    <xf numFmtId="4" fontId="33" fillId="2" borderId="20" xfId="0" applyNumberFormat="1" applyFont="1" applyFill="1" applyBorder="1" applyAlignment="1">
      <alignment horizontal="center" vertical="center"/>
    </xf>
    <xf numFmtId="4" fontId="21" fillId="2" borderId="2" xfId="3" applyNumberFormat="1" applyFont="1" applyFill="1" applyBorder="1" applyAlignment="1">
      <alignment horizontal="center" vertical="center"/>
    </xf>
    <xf numFmtId="4" fontId="21" fillId="2" borderId="4" xfId="3" applyNumberFormat="1" applyFont="1" applyFill="1" applyBorder="1" applyAlignment="1">
      <alignment horizontal="center" vertical="center"/>
    </xf>
    <xf numFmtId="4" fontId="21" fillId="2" borderId="1" xfId="0" applyNumberFormat="1" applyFont="1" applyFill="1" applyBorder="1" applyAlignment="1">
      <alignment horizontal="center" vertical="center"/>
    </xf>
    <xf numFmtId="4" fontId="21" fillId="2" borderId="29" xfId="0" applyNumberFormat="1" applyFont="1" applyFill="1" applyBorder="1" applyAlignment="1">
      <alignment horizontal="center" vertical="center"/>
    </xf>
    <xf numFmtId="4" fontId="21" fillId="2" borderId="20" xfId="3" applyNumberFormat="1" applyFont="1" applyFill="1" applyBorder="1" applyAlignment="1">
      <alignment horizontal="center" vertical="center"/>
    </xf>
    <xf numFmtId="4" fontId="21" fillId="2" borderId="4" xfId="0" applyNumberFormat="1" applyFont="1" applyFill="1" applyBorder="1" applyAlignment="1">
      <alignment horizontal="center" vertical="center"/>
    </xf>
    <xf numFmtId="4" fontId="21" fillId="2" borderId="21" xfId="0" applyNumberFormat="1" applyFont="1" applyFill="1" applyBorder="1" applyAlignment="1">
      <alignment horizontal="center" vertical="center"/>
    </xf>
    <xf numFmtId="4" fontId="21" fillId="2" borderId="5" xfId="3" applyNumberFormat="1" applyFont="1" applyFill="1" applyBorder="1" applyAlignment="1">
      <alignment horizontal="center" vertical="center"/>
    </xf>
    <xf numFmtId="4" fontId="21" fillId="2" borderId="2" xfId="0" applyNumberFormat="1" applyFont="1" applyFill="1" applyBorder="1" applyAlignment="1">
      <alignment horizontal="center" vertical="center"/>
    </xf>
    <xf numFmtId="4" fontId="33" fillId="2" borderId="3" xfId="0" applyNumberFormat="1" applyFont="1" applyFill="1" applyBorder="1" applyAlignment="1">
      <alignment horizontal="center" vertical="center"/>
    </xf>
    <xf numFmtId="4" fontId="33" fillId="2" borderId="15" xfId="0" applyNumberFormat="1" applyFont="1" applyFill="1" applyBorder="1" applyAlignment="1">
      <alignment horizontal="center" vertical="center"/>
    </xf>
    <xf numFmtId="4" fontId="33" fillId="2" borderId="11" xfId="0" applyNumberFormat="1" applyFont="1" applyFill="1" applyBorder="1" applyAlignment="1">
      <alignment horizontal="center" vertical="center"/>
    </xf>
    <xf numFmtId="4" fontId="33" fillId="2" borderId="32" xfId="0" applyNumberFormat="1" applyFont="1" applyFill="1" applyBorder="1" applyAlignment="1">
      <alignment horizontal="center" vertical="center"/>
    </xf>
    <xf numFmtId="4" fontId="33" fillId="2" borderId="30" xfId="0" applyNumberFormat="1" applyFont="1" applyFill="1" applyBorder="1" applyAlignment="1">
      <alignment horizontal="center" vertical="center"/>
    </xf>
    <xf numFmtId="4" fontId="33" fillId="2" borderId="31" xfId="0" applyNumberFormat="1" applyFont="1" applyFill="1" applyBorder="1" applyAlignment="1">
      <alignment horizontal="center" vertical="center"/>
    </xf>
    <xf numFmtId="4" fontId="21" fillId="2" borderId="36" xfId="0" applyNumberFormat="1" applyFont="1" applyFill="1" applyBorder="1" applyAlignment="1">
      <alignment horizontal="center" vertical="center"/>
    </xf>
    <xf numFmtId="4" fontId="21" fillId="2" borderId="5" xfId="0" applyNumberFormat="1" applyFont="1" applyFill="1" applyBorder="1" applyAlignment="1">
      <alignment horizontal="center" vertical="center"/>
    </xf>
    <xf numFmtId="4" fontId="33" fillId="2" borderId="29" xfId="3" applyNumberFormat="1" applyFont="1" applyFill="1" applyBorder="1" applyAlignment="1">
      <alignment horizontal="center" vertical="center"/>
    </xf>
    <xf numFmtId="4" fontId="35" fillId="2" borderId="4" xfId="0" applyNumberFormat="1" applyFont="1" applyFill="1" applyBorder="1" applyAlignment="1">
      <alignment horizontal="center" vertical="center"/>
    </xf>
    <xf numFmtId="4" fontId="36" fillId="2" borderId="29" xfId="0" applyNumberFormat="1" applyFont="1" applyFill="1" applyBorder="1" applyAlignment="1">
      <alignment horizontal="center" vertical="center"/>
    </xf>
    <xf numFmtId="4" fontId="35" fillId="2" borderId="2" xfId="0" applyNumberFormat="1" applyFont="1" applyFill="1" applyBorder="1" applyAlignment="1">
      <alignment horizontal="center" vertical="center"/>
    </xf>
    <xf numFmtId="4" fontId="35" fillId="2" borderId="1" xfId="0" applyNumberFormat="1" applyFont="1" applyFill="1" applyBorder="1" applyAlignment="1">
      <alignment horizontal="center" vertical="center"/>
    </xf>
    <xf numFmtId="4" fontId="21" fillId="2" borderId="20" xfId="0" applyNumberFormat="1" applyFont="1" applyFill="1" applyBorder="1" applyAlignment="1">
      <alignment horizontal="center" vertical="center"/>
    </xf>
    <xf numFmtId="4" fontId="36" fillId="2" borderId="2" xfId="0" applyNumberFormat="1" applyFont="1" applyFill="1" applyBorder="1" applyAlignment="1">
      <alignment horizontal="center" vertical="center"/>
    </xf>
    <xf numFmtId="4" fontId="36" fillId="2" borderId="4" xfId="0" applyNumberFormat="1" applyFont="1" applyFill="1" applyBorder="1" applyAlignment="1">
      <alignment horizontal="center" vertical="center"/>
    </xf>
    <xf numFmtId="4" fontId="36" fillId="2" borderId="1" xfId="0" applyNumberFormat="1" applyFont="1" applyFill="1" applyBorder="1" applyAlignment="1">
      <alignment horizontal="center" vertical="center"/>
    </xf>
    <xf numFmtId="4" fontId="35" fillId="2" borderId="29" xfId="0" applyNumberFormat="1" applyFont="1" applyFill="1" applyBorder="1" applyAlignment="1">
      <alignment horizontal="center" vertical="center"/>
    </xf>
    <xf numFmtId="4" fontId="33" fillId="2" borderId="39" xfId="0" applyNumberFormat="1" applyFont="1" applyFill="1" applyBorder="1" applyAlignment="1">
      <alignment horizontal="center" vertical="center"/>
    </xf>
    <xf numFmtId="4" fontId="33" fillId="2" borderId="40" xfId="0" applyNumberFormat="1" applyFont="1" applyFill="1" applyBorder="1" applyAlignment="1">
      <alignment horizontal="center" vertical="center"/>
    </xf>
    <xf numFmtId="4" fontId="33" fillId="2" borderId="23" xfId="0" applyNumberFormat="1" applyFont="1" applyFill="1" applyBorder="1" applyAlignment="1">
      <alignment horizontal="center" vertical="center"/>
    </xf>
    <xf numFmtId="4" fontId="33" fillId="2" borderId="41" xfId="0" applyNumberFormat="1" applyFont="1" applyFill="1" applyBorder="1" applyAlignment="1">
      <alignment horizontal="center" vertical="center"/>
    </xf>
    <xf numFmtId="4" fontId="33" fillId="2" borderId="22" xfId="0" applyNumberFormat="1" applyFont="1" applyFill="1" applyBorder="1" applyAlignment="1">
      <alignment horizontal="center" vertical="center"/>
    </xf>
    <xf numFmtId="4" fontId="33" fillId="2" borderId="24" xfId="0" applyNumberFormat="1" applyFont="1" applyFill="1" applyBorder="1" applyAlignment="1">
      <alignment horizontal="center" vertical="center"/>
    </xf>
    <xf numFmtId="4" fontId="33" fillId="2" borderId="0" xfId="0" applyNumberFormat="1" applyFont="1" applyFill="1" applyAlignment="1">
      <alignment horizontal="left" vertical="center"/>
    </xf>
    <xf numFmtId="0" fontId="50" fillId="2" borderId="61" xfId="19" applyFont="1" applyFill="1" applyBorder="1" applyAlignment="1">
      <alignment horizontal="center" vertical="center" textRotation="90" wrapText="1"/>
    </xf>
    <xf numFmtId="0" fontId="51" fillId="2" borderId="14" xfId="19" applyFont="1" applyFill="1" applyBorder="1" applyAlignment="1">
      <alignment horizontal="center" vertical="center" textRotation="90" wrapText="1"/>
    </xf>
    <xf numFmtId="0" fontId="51" fillId="2" borderId="4" xfId="19" applyFont="1" applyFill="1" applyBorder="1" applyAlignment="1">
      <alignment horizontal="center" vertical="center" textRotation="90" wrapText="1"/>
    </xf>
    <xf numFmtId="0" fontId="50" fillId="2" borderId="15" xfId="19" applyFont="1" applyFill="1" applyBorder="1" applyAlignment="1">
      <alignment horizontal="center" vertical="top" textRotation="90" wrapText="1"/>
    </xf>
    <xf numFmtId="0" fontId="51" fillId="2" borderId="13" xfId="19" applyFont="1" applyFill="1" applyBorder="1" applyAlignment="1">
      <alignment horizontal="center" vertical="center" wrapText="1"/>
    </xf>
    <xf numFmtId="0" fontId="51" fillId="2" borderId="4" xfId="19" applyFont="1" applyFill="1" applyBorder="1" applyAlignment="1">
      <alignment horizontal="center" vertical="center" wrapText="1"/>
    </xf>
    <xf numFmtId="4" fontId="51" fillId="2" borderId="4" xfId="19" applyNumberFormat="1" applyFont="1" applyFill="1" applyBorder="1" applyAlignment="1">
      <alignment horizontal="right" vertical="center" wrapText="1"/>
    </xf>
    <xf numFmtId="4" fontId="51" fillId="2" borderId="4" xfId="19" applyNumberFormat="1" applyFont="1" applyFill="1" applyBorder="1" applyAlignment="1">
      <alignment horizontal="center" vertical="center" wrapText="1"/>
    </xf>
    <xf numFmtId="4" fontId="42" fillId="2" borderId="4" xfId="19" applyNumberFormat="1" applyFont="1" applyFill="1" applyBorder="1" applyAlignment="1">
      <alignment horizontal="right" vertical="center" wrapText="1"/>
    </xf>
    <xf numFmtId="4" fontId="54" fillId="2" borderId="4" xfId="19" applyNumberFormat="1" applyFont="1" applyFill="1" applyBorder="1" applyAlignment="1">
      <alignment horizontal="right" vertical="center" wrapText="1"/>
    </xf>
    <xf numFmtId="0" fontId="51" fillId="2" borderId="4" xfId="19" applyFont="1" applyFill="1" applyBorder="1" applyAlignment="1">
      <alignment vertical="center" wrapText="1"/>
    </xf>
    <xf numFmtId="0" fontId="50" fillId="2" borderId="4" xfId="19" applyFont="1" applyFill="1" applyBorder="1" applyAlignment="1">
      <alignment vertical="center" wrapText="1"/>
    </xf>
    <xf numFmtId="4" fontId="50" fillId="2" borderId="4" xfId="19" applyNumberFormat="1" applyFont="1" applyFill="1" applyBorder="1" applyAlignment="1">
      <alignment horizontal="right" vertical="center" wrapText="1"/>
    </xf>
    <xf numFmtId="166" fontId="19" fillId="0" borderId="4" xfId="0" applyNumberFormat="1" applyFont="1" applyBorder="1" applyAlignment="1">
      <alignment horizontal="left" vertical="center"/>
    </xf>
    <xf numFmtId="166" fontId="19" fillId="0" borderId="4" xfId="0" applyNumberFormat="1" applyFont="1" applyBorder="1" applyAlignment="1">
      <alignment horizontal="center" vertical="center"/>
    </xf>
    <xf numFmtId="166" fontId="20" fillId="0" borderId="4" xfId="3" applyFont="1" applyFill="1" applyBorder="1" applyAlignment="1">
      <alignment horizontal="center"/>
    </xf>
    <xf numFmtId="166" fontId="19" fillId="0" borderId="4" xfId="3" applyFont="1" applyFill="1" applyBorder="1" applyAlignment="1">
      <alignment horizontal="center"/>
    </xf>
    <xf numFmtId="166" fontId="13" fillId="2" borderId="2" xfId="3" applyFont="1" applyFill="1" applyBorder="1" applyAlignment="1">
      <alignment horizontal="right"/>
    </xf>
    <xf numFmtId="166" fontId="13" fillId="2" borderId="1" xfId="3" applyFont="1" applyFill="1" applyBorder="1" applyAlignment="1">
      <alignment horizontal="right"/>
    </xf>
    <xf numFmtId="166" fontId="13" fillId="2" borderId="5" xfId="3" applyFont="1" applyFill="1" applyBorder="1" applyAlignment="1">
      <alignment horizontal="right"/>
    </xf>
    <xf numFmtId="166" fontId="13" fillId="2" borderId="4" xfId="3" applyFont="1" applyFill="1" applyBorder="1" applyAlignment="1">
      <alignment horizontal="center"/>
    </xf>
    <xf numFmtId="166" fontId="13" fillId="2" borderId="1" xfId="3" applyFont="1" applyFill="1" applyBorder="1" applyAlignment="1"/>
    <xf numFmtId="166" fontId="13" fillId="2" borderId="5" xfId="3" applyFont="1" applyFill="1" applyBorder="1" applyAlignment="1"/>
    <xf numFmtId="166" fontId="13" fillId="2" borderId="4" xfId="3" applyFont="1" applyFill="1" applyBorder="1" applyAlignment="1"/>
    <xf numFmtId="164" fontId="16" fillId="0" borderId="0" xfId="23" applyNumberFormat="1" applyFont="1" applyAlignment="1">
      <alignment horizontal="left"/>
    </xf>
    <xf numFmtId="164" fontId="19" fillId="0" borderId="0" xfId="23" applyNumberFormat="1" applyFont="1" applyAlignment="1">
      <alignment horizontal="left"/>
    </xf>
    <xf numFmtId="0" fontId="31" fillId="0" borderId="0" xfId="23" applyFont="1"/>
    <xf numFmtId="0" fontId="75" fillId="0" borderId="0" xfId="23" applyFont="1" applyAlignment="1">
      <alignment horizontal="left"/>
    </xf>
    <xf numFmtId="4" fontId="74" fillId="2" borderId="4" xfId="19" applyNumberFormat="1" applyFont="1" applyFill="1" applyBorder="1" applyAlignment="1">
      <alignment horizontal="right" vertical="center" wrapText="1"/>
    </xf>
    <xf numFmtId="0" fontId="10" fillId="2" borderId="0" xfId="0" applyFont="1" applyFill="1"/>
    <xf numFmtId="0" fontId="41" fillId="2" borderId="61" xfId="19" applyFont="1" applyFill="1" applyBorder="1" applyAlignment="1">
      <alignment horizontal="center" vertical="center" textRotation="90" wrapText="1"/>
    </xf>
    <xf numFmtId="0" fontId="42" fillId="2" borderId="14" xfId="19" applyFont="1" applyFill="1" applyBorder="1" applyAlignment="1">
      <alignment horizontal="center" vertical="center" textRotation="90" wrapText="1"/>
    </xf>
    <xf numFmtId="0" fontId="42" fillId="2" borderId="4" xfId="19" applyFont="1" applyFill="1" applyBorder="1" applyAlignment="1">
      <alignment horizontal="center" vertical="center" textRotation="90" wrapText="1"/>
    </xf>
    <xf numFmtId="0" fontId="41" fillId="2" borderId="15" xfId="19" applyFont="1" applyFill="1" applyBorder="1" applyAlignment="1">
      <alignment horizontal="center" vertical="top" textRotation="90" wrapText="1"/>
    </xf>
    <xf numFmtId="0" fontId="42" fillId="2" borderId="13" xfId="19" applyFont="1" applyFill="1" applyBorder="1" applyAlignment="1">
      <alignment horizontal="center" vertical="center" wrapText="1"/>
    </xf>
    <xf numFmtId="0" fontId="42" fillId="2" borderId="4" xfId="19" applyFont="1" applyFill="1" applyBorder="1" applyAlignment="1">
      <alignment horizontal="center" vertical="center" wrapText="1"/>
    </xf>
    <xf numFmtId="4" fontId="42" fillId="2" borderId="4" xfId="19" applyNumberFormat="1" applyFont="1" applyFill="1" applyBorder="1" applyAlignment="1">
      <alignment horizontal="center" vertical="center" wrapText="1"/>
    </xf>
    <xf numFmtId="4" fontId="41" fillId="2" borderId="4" xfId="19" applyNumberFormat="1" applyFont="1" applyFill="1" applyBorder="1" applyAlignment="1">
      <alignment horizontal="right" vertical="center" wrapText="1"/>
    </xf>
    <xf numFmtId="0" fontId="42" fillId="2" borderId="4" xfId="19" applyFont="1" applyFill="1" applyBorder="1" applyAlignment="1">
      <alignment vertical="center" wrapText="1"/>
    </xf>
    <xf numFmtId="0" fontId="41" fillId="2" borderId="4" xfId="19" applyFont="1" applyFill="1" applyBorder="1" applyAlignment="1">
      <alignment vertical="center" wrapText="1"/>
    </xf>
    <xf numFmtId="0" fontId="42" fillId="2" borderId="0" xfId="0" applyFont="1" applyFill="1" applyAlignment="1">
      <alignment vertical="center" wrapText="1"/>
    </xf>
    <xf numFmtId="4" fontId="42" fillId="2" borderId="0" xfId="0" applyNumberFormat="1" applyFont="1" applyFill="1" applyAlignment="1">
      <alignment vertical="center" wrapText="1"/>
    </xf>
    <xf numFmtId="0" fontId="42" fillId="2" borderId="0" xfId="0" applyFont="1" applyFill="1" applyAlignment="1">
      <alignment horizontal="center" vertical="center" wrapText="1"/>
    </xf>
    <xf numFmtId="0" fontId="41" fillId="2" borderId="0" xfId="0" applyFont="1" applyFill="1" applyAlignment="1">
      <alignment vertical="center" wrapText="1"/>
    </xf>
    <xf numFmtId="2" fontId="16" fillId="0" borderId="4" xfId="0" applyNumberFormat="1" applyFont="1" applyBorder="1" applyAlignment="1">
      <alignment horizontal="center" wrapText="1"/>
    </xf>
    <xf numFmtId="0" fontId="62" fillId="0" borderId="4" xfId="0" applyFont="1" applyBorder="1" applyAlignment="1">
      <alignment horizontal="left"/>
    </xf>
    <xf numFmtId="0" fontId="77" fillId="0" borderId="4" xfId="0" applyFont="1" applyBorder="1" applyAlignment="1">
      <alignment horizontal="left"/>
    </xf>
    <xf numFmtId="4" fontId="20" fillId="0" borderId="4" xfId="0" applyNumberFormat="1" applyFont="1" applyBorder="1" applyAlignment="1">
      <alignment horizontal="center" vertical="center"/>
    </xf>
    <xf numFmtId="0" fontId="20" fillId="0" borderId="0" xfId="0" applyFont="1" applyAlignment="1">
      <alignment horizontal="left" vertical="center"/>
    </xf>
    <xf numFmtId="0" fontId="77" fillId="0" borderId="4" xfId="0" applyFont="1" applyBorder="1" applyAlignment="1">
      <alignment vertical="center"/>
    </xf>
    <xf numFmtId="49" fontId="11" fillId="2" borderId="4" xfId="0" applyNumberFormat="1" applyFont="1" applyFill="1" applyBorder="1" applyAlignment="1">
      <alignment horizontal="center" vertical="center"/>
    </xf>
    <xf numFmtId="166" fontId="78" fillId="0" borderId="4" xfId="1" applyFont="1" applyFill="1" applyBorder="1" applyAlignment="1">
      <alignment vertical="center"/>
    </xf>
    <xf numFmtId="166" fontId="26" fillId="0" borderId="4" xfId="1" applyFont="1" applyFill="1" applyBorder="1" applyAlignment="1">
      <alignment vertical="center"/>
    </xf>
    <xf numFmtId="49" fontId="26" fillId="0" borderId="4" xfId="28" applyNumberFormat="1" applyFont="1" applyFill="1" applyBorder="1" applyAlignment="1">
      <alignment vertical="center"/>
    </xf>
    <xf numFmtId="0" fontId="11" fillId="0" borderId="4" xfId="27" applyFont="1" applyBorder="1" applyAlignment="1">
      <alignment vertical="center" wrapText="1"/>
    </xf>
    <xf numFmtId="49" fontId="11" fillId="0" borderId="4" xfId="27" applyNumberFormat="1" applyFont="1" applyBorder="1" applyAlignment="1">
      <alignment vertical="center"/>
    </xf>
    <xf numFmtId="0" fontId="11" fillId="0" borderId="4" xfId="27" applyFont="1" applyBorder="1" applyAlignment="1">
      <alignment vertical="center"/>
    </xf>
    <xf numFmtId="166" fontId="13" fillId="0" borderId="4" xfId="1" applyFont="1" applyFill="1" applyBorder="1" applyAlignment="1">
      <alignment vertical="center"/>
    </xf>
    <xf numFmtId="166" fontId="11" fillId="0" borderId="4" xfId="1" applyFont="1" applyFill="1" applyBorder="1" applyAlignment="1">
      <alignment vertical="center"/>
    </xf>
    <xf numFmtId="166" fontId="30" fillId="2" borderId="4" xfId="1" applyFont="1" applyFill="1" applyBorder="1" applyAlignment="1">
      <alignment vertical="center"/>
    </xf>
    <xf numFmtId="49" fontId="31" fillId="2" borderId="4" xfId="28" applyNumberFormat="1" applyFont="1" applyFill="1" applyBorder="1" applyAlignment="1">
      <alignment vertical="center"/>
    </xf>
    <xf numFmtId="49" fontId="26" fillId="2" borderId="4" xfId="28" applyNumberFormat="1" applyFont="1" applyFill="1" applyBorder="1" applyAlignment="1">
      <alignment vertical="center"/>
    </xf>
    <xf numFmtId="4" fontId="31" fillId="2" borderId="0" xfId="27" applyNumberFormat="1" applyFont="1" applyFill="1" applyAlignment="1">
      <alignment vertical="center" wrapText="1"/>
    </xf>
    <xf numFmtId="4" fontId="31" fillId="2" borderId="4" xfId="27" applyNumberFormat="1" applyFont="1" applyFill="1" applyBorder="1" applyAlignment="1">
      <alignment vertical="center" wrapText="1"/>
    </xf>
    <xf numFmtId="0" fontId="69" fillId="2" borderId="0" xfId="27" applyFont="1" applyFill="1" applyAlignment="1">
      <alignment vertical="center"/>
    </xf>
    <xf numFmtId="166" fontId="30" fillId="2" borderId="0" xfId="1" applyFont="1" applyFill="1" applyBorder="1" applyAlignment="1">
      <alignment vertical="center"/>
    </xf>
    <xf numFmtId="49" fontId="33" fillId="2" borderId="6" xfId="0" applyNumberFormat="1" applyFont="1" applyFill="1" applyBorder="1" applyAlignment="1">
      <alignment horizontal="center" vertical="center"/>
    </xf>
    <xf numFmtId="49" fontId="33" fillId="2" borderId="7" xfId="0" applyNumberFormat="1" applyFont="1" applyFill="1" applyBorder="1" applyAlignment="1">
      <alignment horizontal="center" vertical="center"/>
    </xf>
    <xf numFmtId="49" fontId="33" fillId="2" borderId="8" xfId="0" applyNumberFormat="1" applyFont="1" applyFill="1" applyBorder="1" applyAlignment="1">
      <alignment horizontal="center" vertical="center"/>
    </xf>
    <xf numFmtId="49" fontId="33" fillId="2" borderId="3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49" fontId="33" fillId="2" borderId="12" xfId="0" applyNumberFormat="1" applyFont="1" applyFill="1" applyBorder="1" applyAlignment="1">
      <alignment horizontal="center" vertical="center"/>
    </xf>
    <xf numFmtId="49" fontId="33" fillId="2" borderId="2" xfId="0" applyNumberFormat="1" applyFont="1" applyFill="1" applyBorder="1" applyAlignment="1">
      <alignment horizontal="center" vertical="center"/>
    </xf>
    <xf numFmtId="49" fontId="33" fillId="2" borderId="1" xfId="0" applyNumberFormat="1" applyFont="1" applyFill="1" applyBorder="1" applyAlignment="1">
      <alignment horizontal="center" vertical="center"/>
    </xf>
    <xf numFmtId="49" fontId="33" fillId="2" borderId="5" xfId="0" applyNumberFormat="1" applyFont="1" applyFill="1" applyBorder="1" applyAlignment="1">
      <alignment horizontal="center" vertical="center"/>
    </xf>
    <xf numFmtId="0" fontId="33" fillId="2" borderId="0" xfId="0" applyFont="1" applyFill="1" applyAlignment="1">
      <alignment horizontal="left" vertical="center"/>
    </xf>
    <xf numFmtId="0" fontId="17" fillId="0" borderId="4" xfId="27" applyFont="1" applyBorder="1" applyAlignment="1">
      <alignment vertical="center" wrapText="1"/>
    </xf>
    <xf numFmtId="0" fontId="26" fillId="8" borderId="4" xfId="27" applyFont="1" applyFill="1" applyBorder="1" applyAlignment="1">
      <alignment vertical="center"/>
    </xf>
    <xf numFmtId="0" fontId="31" fillId="8" borderId="4" xfId="27" applyFont="1" applyFill="1" applyBorder="1" applyAlignment="1">
      <alignment vertical="center" wrapText="1"/>
    </xf>
    <xf numFmtId="49" fontId="31" fillId="8" borderId="4" xfId="27" applyNumberFormat="1" applyFont="1" applyFill="1" applyBorder="1" applyAlignment="1">
      <alignment vertical="center"/>
    </xf>
    <xf numFmtId="49" fontId="11" fillId="0" borderId="4" xfId="28" applyNumberFormat="1" applyFont="1" applyFill="1" applyBorder="1" applyAlignment="1">
      <alignment vertical="center"/>
    </xf>
    <xf numFmtId="2" fontId="16" fillId="0" borderId="4" xfId="26" applyNumberFormat="1" applyFont="1" applyBorder="1" applyAlignment="1">
      <alignment horizontal="center" vertical="center"/>
    </xf>
    <xf numFmtId="166" fontId="19" fillId="0" borderId="4" xfId="1" applyFont="1" applyBorder="1" applyAlignment="1">
      <alignment horizontal="center" vertical="center"/>
    </xf>
    <xf numFmtId="49" fontId="16" fillId="0" borderId="4" xfId="0" applyNumberFormat="1" applyFont="1" applyBorder="1" applyAlignment="1">
      <alignment horizontal="center"/>
    </xf>
    <xf numFmtId="4" fontId="20" fillId="0" borderId="4" xfId="0" applyNumberFormat="1" applyFont="1" applyBorder="1" applyAlignment="1">
      <alignment horizontal="center"/>
    </xf>
    <xf numFmtId="2" fontId="20" fillId="0" borderId="4" xfId="0" applyNumberFormat="1" applyFont="1" applyBorder="1" applyAlignment="1">
      <alignment horizontal="center"/>
    </xf>
    <xf numFmtId="0" fontId="31" fillId="2" borderId="4" xfId="27" applyFont="1" applyFill="1" applyBorder="1" applyAlignment="1">
      <alignment vertical="center" wrapText="1"/>
    </xf>
    <xf numFmtId="49" fontId="31" fillId="2" borderId="4" xfId="27" applyNumberFormat="1" applyFont="1" applyFill="1" applyBorder="1" applyAlignment="1">
      <alignment vertical="center"/>
    </xf>
    <xf numFmtId="0" fontId="26" fillId="2" borderId="4" xfId="27" applyFont="1" applyFill="1" applyBorder="1" applyAlignment="1">
      <alignment vertical="center"/>
    </xf>
    <xf numFmtId="49" fontId="20" fillId="0" borderId="4" xfId="0" applyNumberFormat="1" applyFont="1" applyBorder="1" applyAlignment="1">
      <alignment horizontal="center"/>
    </xf>
    <xf numFmtId="0" fontId="20" fillId="0" borderId="4" xfId="0" applyFont="1" applyBorder="1" applyAlignment="1">
      <alignment horizontal="center"/>
    </xf>
    <xf numFmtId="4" fontId="20" fillId="0" borderId="4" xfId="0" applyNumberFormat="1" applyFont="1" applyBorder="1" applyAlignment="1">
      <alignment horizontal="center" wrapText="1"/>
    </xf>
    <xf numFmtId="0" fontId="20" fillId="0" borderId="4" xfId="0" applyFont="1" applyBorder="1" applyAlignment="1">
      <alignment horizontal="left" wrapText="1"/>
    </xf>
    <xf numFmtId="4" fontId="79" fillId="0" borderId="4" xfId="0" applyNumberFormat="1" applyFont="1" applyBorder="1" applyAlignment="1">
      <alignment horizontal="center"/>
    </xf>
    <xf numFmtId="49" fontId="20" fillId="0" borderId="13" xfId="0" applyNumberFormat="1" applyFont="1" applyBorder="1" applyAlignment="1">
      <alignment horizontal="left"/>
    </xf>
    <xf numFmtId="2" fontId="20" fillId="0" borderId="4" xfId="0" applyNumberFormat="1" applyFont="1" applyBorder="1" applyAlignment="1">
      <alignment horizontal="left"/>
    </xf>
    <xf numFmtId="2" fontId="16" fillId="0" borderId="4" xfId="1" applyNumberFormat="1" applyFont="1" applyBorder="1" applyAlignment="1">
      <alignment horizontal="center"/>
    </xf>
    <xf numFmtId="0" fontId="81" fillId="0" borderId="0" xfId="0" applyFont="1" applyAlignment="1">
      <alignment horizontal="left"/>
    </xf>
    <xf numFmtId="0" fontId="83" fillId="0" borderId="0" xfId="0" applyFont="1" applyAlignment="1">
      <alignment horizontal="left" vertical="center"/>
    </xf>
    <xf numFmtId="0" fontId="81" fillId="0" borderId="0" xfId="0" applyFont="1" applyAlignment="1">
      <alignment horizontal="left" vertical="center"/>
    </xf>
    <xf numFmtId="0" fontId="84" fillId="0" borderId="0" xfId="0" applyFont="1" applyAlignment="1">
      <alignment horizontal="left"/>
    </xf>
    <xf numFmtId="0" fontId="81" fillId="0" borderId="0" xfId="0" applyFont="1" applyAlignment="1">
      <alignment horizontal="left" vertical="center" wrapText="1"/>
    </xf>
    <xf numFmtId="0" fontId="82" fillId="0" borderId="0" xfId="0" applyFont="1" applyAlignment="1">
      <alignment horizontal="left"/>
    </xf>
    <xf numFmtId="0" fontId="86" fillId="0" borderId="0" xfId="0" applyFont="1" applyAlignment="1">
      <alignment horizontal="left"/>
    </xf>
    <xf numFmtId="4" fontId="11" fillId="2" borderId="2" xfId="0" applyNumberFormat="1" applyFont="1" applyFill="1" applyBorder="1" applyAlignment="1">
      <alignment horizontal="center" vertical="center"/>
    </xf>
    <xf numFmtId="0" fontId="31" fillId="0" borderId="4" xfId="1" applyNumberFormat="1" applyFont="1" applyFill="1" applyBorder="1" applyAlignment="1">
      <alignment vertical="center"/>
    </xf>
    <xf numFmtId="0" fontId="70" fillId="0" borderId="4" xfId="27" applyFont="1" applyBorder="1" applyAlignment="1">
      <alignment vertical="center" wrapText="1"/>
    </xf>
    <xf numFmtId="49" fontId="70" fillId="0" borderId="4" xfId="27" applyNumberFormat="1" applyFont="1" applyBorder="1" applyAlignment="1">
      <alignment vertical="center"/>
    </xf>
    <xf numFmtId="0" fontId="70" fillId="0" borderId="4" xfId="27" applyFont="1" applyBorder="1" applyAlignment="1">
      <alignment vertical="center"/>
    </xf>
    <xf numFmtId="4" fontId="57" fillId="2" borderId="4" xfId="27" applyNumberFormat="1" applyFont="1" applyFill="1" applyBorder="1" applyAlignment="1">
      <alignment vertical="center" wrapText="1"/>
    </xf>
    <xf numFmtId="166" fontId="11" fillId="2" borderId="4" xfId="1" applyFont="1" applyFill="1" applyBorder="1" applyAlignment="1">
      <alignment horizontal="center" vertical="center"/>
    </xf>
    <xf numFmtId="0" fontId="31" fillId="0" borderId="4" xfId="1" applyNumberFormat="1" applyFont="1" applyFill="1" applyBorder="1" applyAlignment="1">
      <alignment horizontal="center" vertical="center"/>
    </xf>
    <xf numFmtId="0" fontId="13" fillId="0" borderId="4" xfId="27" applyFont="1" applyBorder="1" applyAlignment="1">
      <alignment vertical="center" wrapText="1"/>
    </xf>
    <xf numFmtId="166" fontId="13" fillId="2" borderId="4" xfId="1" applyFont="1" applyFill="1" applyBorder="1" applyAlignment="1">
      <alignment horizontal="center" vertical="center"/>
    </xf>
    <xf numFmtId="181" fontId="13" fillId="2" borderId="4" xfId="1" applyNumberFormat="1" applyFont="1" applyFill="1" applyBorder="1" applyAlignment="1">
      <alignment horizontal="center" vertical="center"/>
    </xf>
    <xf numFmtId="0" fontId="70" fillId="2" borderId="0" xfId="27" applyFont="1" applyFill="1" applyAlignment="1">
      <alignment vertical="center"/>
    </xf>
    <xf numFmtId="0" fontId="79" fillId="0" borderId="0" xfId="0" applyFont="1" applyAlignment="1">
      <alignment horizontal="left" vertical="center"/>
    </xf>
    <xf numFmtId="0" fontId="20" fillId="0" borderId="4" xfId="0" applyFont="1" applyBorder="1" applyAlignment="1">
      <alignment horizontal="left" vertical="center"/>
    </xf>
    <xf numFmtId="4" fontId="79" fillId="0" borderId="4" xfId="0" applyNumberFormat="1" applyFont="1" applyBorder="1" applyAlignment="1">
      <alignment horizontal="center" vertical="center"/>
    </xf>
    <xf numFmtId="4" fontId="16" fillId="0" borderId="0" xfId="0" applyNumberFormat="1" applyFont="1" applyAlignment="1">
      <alignment horizontal="left" vertical="center" wrapText="1"/>
    </xf>
    <xf numFmtId="4" fontId="42" fillId="0" borderId="0" xfId="0" applyNumberFormat="1" applyFont="1" applyAlignment="1">
      <alignment horizontal="left" vertical="center" wrapText="1"/>
    </xf>
    <xf numFmtId="2" fontId="16" fillId="0" borderId="0" xfId="0" applyNumberFormat="1" applyFont="1" applyAlignment="1">
      <alignment horizontal="left" vertical="center"/>
    </xf>
    <xf numFmtId="164" fontId="16" fillId="0" borderId="0" xfId="0" applyNumberFormat="1" applyFont="1" applyAlignment="1">
      <alignment horizontal="left" vertical="center" wrapText="1"/>
    </xf>
    <xf numFmtId="4" fontId="81" fillId="0" borderId="0" xfId="0" applyNumberFormat="1" applyFont="1" applyAlignment="1">
      <alignment horizontal="left" vertical="center"/>
    </xf>
    <xf numFmtId="165" fontId="16" fillId="0" borderId="0" xfId="0" applyNumberFormat="1" applyFont="1" applyAlignment="1">
      <alignment horizontal="left"/>
    </xf>
    <xf numFmtId="0" fontId="20" fillId="0" borderId="0" xfId="0" applyFont="1" applyAlignment="1">
      <alignment horizontal="left" vertical="center" wrapText="1"/>
    </xf>
    <xf numFmtId="4" fontId="20" fillId="2" borderId="4" xfId="0" applyNumberFormat="1" applyFont="1" applyFill="1" applyBorder="1" applyAlignment="1">
      <alignment horizontal="center" vertical="center" wrapText="1"/>
    </xf>
    <xf numFmtId="166" fontId="20" fillId="0" borderId="4" xfId="1" applyFont="1" applyFill="1" applyBorder="1" applyAlignment="1">
      <alignment vertical="center" wrapText="1"/>
    </xf>
    <xf numFmtId="0" fontId="87" fillId="0" borderId="0" xfId="0" applyFont="1" applyAlignment="1">
      <alignment horizontal="left"/>
    </xf>
    <xf numFmtId="0" fontId="88" fillId="0" borderId="0" xfId="0" applyFont="1" applyAlignment="1">
      <alignment horizontal="left"/>
    </xf>
    <xf numFmtId="0" fontId="89" fillId="0" borderId="0" xfId="0" applyFont="1" applyAlignment="1">
      <alignment horizontal="left"/>
    </xf>
    <xf numFmtId="0" fontId="89" fillId="8" borderId="0" xfId="0" applyFont="1" applyFill="1" applyAlignment="1">
      <alignment horizontal="left"/>
    </xf>
    <xf numFmtId="0" fontId="89" fillId="0" borderId="0" xfId="0" applyFont="1" applyAlignment="1">
      <alignment horizontal="left" vertical="center" wrapText="1"/>
    </xf>
    <xf numFmtId="0" fontId="89" fillId="0" borderId="0" xfId="0" applyFont="1" applyAlignment="1">
      <alignment horizontal="left" vertical="center"/>
    </xf>
    <xf numFmtId="4" fontId="19" fillId="0" borderId="0" xfId="0" applyNumberFormat="1" applyFont="1" applyAlignment="1">
      <alignment horizontal="left"/>
    </xf>
    <xf numFmtId="2" fontId="16" fillId="0" borderId="4" xfId="0" applyNumberFormat="1" applyFont="1" applyBorder="1" applyAlignment="1">
      <alignment horizontal="left" vertical="center"/>
    </xf>
    <xf numFmtId="0" fontId="81" fillId="0" borderId="62" xfId="0" applyFont="1" applyBorder="1" applyAlignment="1">
      <alignment horizontal="left" vertical="center"/>
    </xf>
    <xf numFmtId="164" fontId="89" fillId="0" borderId="4" xfId="0" applyNumberFormat="1" applyFont="1" applyBorder="1" applyAlignment="1">
      <alignment horizontal="left" vertical="center" wrapText="1"/>
    </xf>
    <xf numFmtId="166" fontId="80" fillId="0" borderId="0" xfId="1" applyFont="1" applyAlignment="1">
      <alignment horizontal="center" vertical="center"/>
    </xf>
    <xf numFmtId="0" fontId="12" fillId="0" borderId="0" xfId="0" applyFont="1" applyAlignment="1">
      <alignment horizontal="left" vertical="center" wrapText="1"/>
    </xf>
    <xf numFmtId="0" fontId="22" fillId="0" borderId="4" xfId="0" applyFont="1" applyBorder="1" applyAlignment="1">
      <alignment vertical="center" wrapText="1"/>
    </xf>
    <xf numFmtId="49" fontId="13" fillId="0" borderId="4" xfId="28" applyNumberFormat="1" applyFont="1" applyFill="1" applyBorder="1" applyAlignment="1">
      <alignment vertical="center"/>
    </xf>
    <xf numFmtId="0" fontId="13" fillId="0" borderId="4" xfId="27" applyFont="1" applyBorder="1" applyAlignment="1">
      <alignment vertical="center"/>
    </xf>
    <xf numFmtId="0" fontId="31" fillId="0" borderId="4" xfId="27" applyFont="1" applyBorder="1" applyAlignment="1">
      <alignment horizontal="left" vertical="center" wrapText="1"/>
    </xf>
    <xf numFmtId="0" fontId="13" fillId="2" borderId="4" xfId="27" applyFont="1" applyFill="1" applyBorder="1" applyAlignment="1">
      <alignment vertical="center"/>
    </xf>
    <xf numFmtId="4" fontId="11" fillId="2" borderId="4" xfId="27" applyNumberFormat="1" applyFont="1" applyFill="1" applyBorder="1" applyAlignment="1">
      <alignment horizontal="left" vertical="top" wrapText="1"/>
    </xf>
    <xf numFmtId="0" fontId="70" fillId="2" borderId="4" xfId="27" applyFont="1" applyFill="1" applyBorder="1" applyAlignment="1">
      <alignment vertical="center"/>
    </xf>
    <xf numFmtId="0" fontId="91" fillId="0" borderId="0" xfId="0" applyFont="1" applyAlignment="1">
      <alignment horizontal="left"/>
    </xf>
    <xf numFmtId="0" fontId="90" fillId="0" borderId="0" xfId="0" applyFont="1" applyAlignment="1">
      <alignment horizontal="left" vertical="center" wrapText="1"/>
    </xf>
    <xf numFmtId="4" fontId="20" fillId="0" borderId="0" xfId="0" applyNumberFormat="1" applyFont="1" applyAlignment="1">
      <alignment horizontal="left"/>
    </xf>
    <xf numFmtId="0" fontId="16" fillId="0" borderId="7" xfId="0" applyFont="1" applyBorder="1" applyAlignment="1">
      <alignment horizontal="left"/>
    </xf>
    <xf numFmtId="0" fontId="16" fillId="0" borderId="8" xfId="0" applyFont="1" applyBorder="1" applyAlignment="1">
      <alignment horizontal="left"/>
    </xf>
    <xf numFmtId="0" fontId="26" fillId="0" borderId="0" xfId="0" applyFont="1" applyAlignment="1">
      <alignment horizontal="left"/>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8" xfId="0" applyFont="1" applyBorder="1" applyAlignment="1">
      <alignment horizontal="left" vertical="center"/>
    </xf>
    <xf numFmtId="0" fontId="16" fillId="0" borderId="9" xfId="0" applyFont="1" applyBorder="1" applyAlignment="1">
      <alignment horizontal="left" vertical="center"/>
    </xf>
    <xf numFmtId="4" fontId="16" fillId="0" borderId="10" xfId="0" applyNumberFormat="1" applyFont="1" applyBorder="1" applyAlignment="1">
      <alignment horizontal="left" vertical="center"/>
    </xf>
    <xf numFmtId="0" fontId="16" fillId="0" borderId="10" xfId="0" applyFont="1" applyBorder="1" applyAlignment="1">
      <alignment horizontal="left" vertical="center"/>
    </xf>
    <xf numFmtId="0" fontId="20" fillId="0" borderId="10" xfId="0" applyFont="1" applyBorder="1" applyAlignment="1">
      <alignment horizontal="left" vertical="center"/>
    </xf>
    <xf numFmtId="0" fontId="16" fillId="0" borderId="3" xfId="0" applyFont="1" applyBorder="1" applyAlignment="1">
      <alignment horizontal="left" vertical="center"/>
    </xf>
    <xf numFmtId="0" fontId="16" fillId="0" borderId="11" xfId="0" applyFont="1" applyBorder="1" applyAlignment="1">
      <alignment horizontal="left" vertical="center"/>
    </xf>
    <xf numFmtId="0" fontId="16" fillId="0" borderId="12" xfId="0" applyFont="1" applyBorder="1" applyAlignment="1">
      <alignment horizontal="left" vertical="center"/>
    </xf>
    <xf numFmtId="166" fontId="16" fillId="0" borderId="6" xfId="0" applyNumberFormat="1" applyFont="1" applyBorder="1" applyAlignment="1">
      <alignment horizontal="center"/>
    </xf>
    <xf numFmtId="0" fontId="16" fillId="0" borderId="9" xfId="0" applyFont="1" applyBorder="1" applyAlignment="1">
      <alignment horizontal="center"/>
    </xf>
    <xf numFmtId="0" fontId="16" fillId="0" borderId="10" xfId="0" applyFont="1" applyBorder="1" applyAlignment="1">
      <alignment horizontal="left"/>
    </xf>
    <xf numFmtId="0" fontId="16" fillId="0" borderId="9" xfId="0" applyFont="1"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left"/>
    </xf>
    <xf numFmtId="0" fontId="20" fillId="0" borderId="3" xfId="0" applyFont="1" applyBorder="1" applyAlignment="1">
      <alignment horizontal="center"/>
    </xf>
    <xf numFmtId="0" fontId="19" fillId="8" borderId="0" xfId="0" applyFont="1" applyFill="1" applyAlignment="1">
      <alignment horizontal="left" vertical="center"/>
    </xf>
    <xf numFmtId="0" fontId="20" fillId="8" borderId="0" xfId="0" applyFont="1" applyFill="1" applyAlignment="1">
      <alignment horizontal="left" vertical="center"/>
    </xf>
    <xf numFmtId="0" fontId="80" fillId="0" borderId="0" xfId="0" applyFont="1" applyAlignment="1">
      <alignment horizontal="left"/>
    </xf>
    <xf numFmtId="0" fontId="80" fillId="8" borderId="0" xfId="0" applyFont="1" applyFill="1" applyAlignment="1">
      <alignment horizontal="left"/>
    </xf>
    <xf numFmtId="164" fontId="26" fillId="0" borderId="9" xfId="0" applyNumberFormat="1" applyFont="1" applyBorder="1" applyAlignment="1">
      <alignment horizontal="left"/>
    </xf>
    <xf numFmtId="164" fontId="20" fillId="0" borderId="0" xfId="0" applyNumberFormat="1" applyFont="1" applyAlignment="1">
      <alignment horizontal="left"/>
    </xf>
    <xf numFmtId="4" fontId="26" fillId="0" borderId="4" xfId="0" applyNumberFormat="1" applyFont="1" applyBorder="1" applyAlignment="1">
      <alignment horizontal="center" vertical="center" wrapText="1"/>
    </xf>
    <xf numFmtId="4" fontId="11" fillId="0" borderId="4" xfId="0" applyNumberFormat="1" applyFont="1" applyBorder="1" applyAlignment="1">
      <alignment horizontal="center" vertical="center" wrapText="1"/>
    </xf>
    <xf numFmtId="0" fontId="54" fillId="0" borderId="4" xfId="0" applyFont="1" applyBorder="1" applyAlignment="1">
      <alignment horizontal="left"/>
    </xf>
    <xf numFmtId="0" fontId="54" fillId="0" borderId="0" xfId="0" applyFont="1" applyAlignment="1">
      <alignment horizontal="left"/>
    </xf>
    <xf numFmtId="0" fontId="54" fillId="0" borderId="0" xfId="0" applyFont="1" applyAlignment="1">
      <alignment horizontal="left" vertical="center" wrapText="1"/>
    </xf>
    <xf numFmtId="0" fontId="26" fillId="0" borderId="0" xfId="0" applyFont="1" applyAlignment="1">
      <alignment horizontal="left" vertical="center" wrapText="1"/>
    </xf>
    <xf numFmtId="0" fontId="90" fillId="0" borderId="0" xfId="0" applyFont="1" applyAlignment="1">
      <alignment horizontal="left" wrapText="1"/>
    </xf>
    <xf numFmtId="4" fontId="26" fillId="2" borderId="4" xfId="27" applyNumberFormat="1" applyFont="1" applyFill="1" applyBorder="1" applyAlignment="1">
      <alignment vertical="center" wrapText="1"/>
    </xf>
    <xf numFmtId="0" fontId="79" fillId="0" borderId="0" xfId="0" applyFont="1" applyAlignment="1">
      <alignment horizontal="left"/>
    </xf>
    <xf numFmtId="0" fontId="74" fillId="0" borderId="0" xfId="0" applyFont="1" applyAlignment="1">
      <alignment horizontal="left" vertical="center" wrapText="1"/>
    </xf>
    <xf numFmtId="0" fontId="92" fillId="0" borderId="13" xfId="0" applyFont="1" applyBorder="1" applyAlignment="1">
      <alignment horizontal="left"/>
    </xf>
    <xf numFmtId="0" fontId="85" fillId="0" borderId="4" xfId="0" applyFont="1" applyBorder="1" applyAlignment="1">
      <alignment horizontal="left"/>
    </xf>
    <xf numFmtId="0" fontId="92" fillId="0" borderId="14" xfId="0" applyFont="1" applyBorder="1" applyAlignment="1">
      <alignment horizontal="left"/>
    </xf>
    <xf numFmtId="0" fontId="92" fillId="0" borderId="2" xfId="0" applyFont="1" applyBorder="1" applyAlignment="1">
      <alignment horizontal="right"/>
    </xf>
    <xf numFmtId="0" fontId="92" fillId="0" borderId="5" xfId="0" applyFont="1" applyBorder="1" applyAlignment="1">
      <alignment horizontal="left"/>
    </xf>
    <xf numFmtId="0" fontId="78" fillId="0" borderId="0" xfId="0" applyFont="1" applyAlignment="1">
      <alignment horizontal="left"/>
    </xf>
    <xf numFmtId="49" fontId="41" fillId="0" borderId="0" xfId="0" applyNumberFormat="1" applyFont="1" applyAlignment="1">
      <alignment horizontal="left" vertical="center" wrapText="1"/>
    </xf>
    <xf numFmtId="0" fontId="79" fillId="0" borderId="4" xfId="0" applyFont="1" applyBorder="1" applyAlignment="1">
      <alignment horizontal="left" vertical="center" wrapText="1"/>
    </xf>
    <xf numFmtId="166" fontId="95" fillId="0" borderId="4" xfId="0" applyNumberFormat="1" applyFont="1" applyBorder="1" applyAlignment="1">
      <alignment horizontal="left"/>
    </xf>
    <xf numFmtId="0" fontId="16" fillId="2" borderId="4" xfId="0" applyFont="1" applyFill="1" applyBorder="1" applyAlignment="1">
      <alignment horizontal="center"/>
    </xf>
    <xf numFmtId="2" fontId="16" fillId="2" borderId="4" xfId="0" applyNumberFormat="1" applyFont="1" applyFill="1" applyBorder="1" applyAlignment="1">
      <alignment horizontal="center"/>
    </xf>
    <xf numFmtId="4" fontId="26" fillId="0" borderId="4" xfId="0" applyNumberFormat="1" applyFont="1" applyBorder="1" applyAlignment="1">
      <alignment horizontal="center" wrapText="1"/>
    </xf>
    <xf numFmtId="0" fontId="96" fillId="0" borderId="0" xfId="0" applyFont="1" applyAlignment="1">
      <alignment horizontal="left" vertical="center" wrapText="1"/>
    </xf>
    <xf numFmtId="0" fontId="42" fillId="17" borderId="0" xfId="0" applyFont="1" applyFill="1" applyAlignment="1">
      <alignment horizontal="left"/>
    </xf>
    <xf numFmtId="0" fontId="85" fillId="17" borderId="0" xfId="0" applyFont="1" applyFill="1" applyAlignment="1">
      <alignment horizontal="left" vertical="center" wrapText="1"/>
    </xf>
    <xf numFmtId="4" fontId="85" fillId="17" borderId="0" xfId="0" applyNumberFormat="1" applyFont="1" applyFill="1" applyAlignment="1">
      <alignment horizontal="left" vertical="center" wrapText="1"/>
    </xf>
    <xf numFmtId="166" fontId="16" fillId="2" borderId="4" xfId="0" applyNumberFormat="1" applyFont="1" applyFill="1" applyBorder="1" applyAlignment="1">
      <alignment horizontal="center"/>
    </xf>
    <xf numFmtId="166" fontId="16" fillId="2" borderId="4" xfId="1" applyFont="1" applyFill="1" applyBorder="1" applyAlignment="1"/>
    <xf numFmtId="0" fontId="20" fillId="2" borderId="4" xfId="0" applyFont="1" applyFill="1" applyBorder="1" applyAlignment="1">
      <alignment horizontal="left"/>
    </xf>
    <xf numFmtId="166" fontId="16" fillId="2" borderId="4" xfId="1" applyFont="1" applyFill="1" applyBorder="1" applyAlignment="1">
      <alignment vertical="center" wrapText="1"/>
    </xf>
    <xf numFmtId="166" fontId="11" fillId="2" borderId="4" xfId="1" applyFont="1" applyFill="1" applyBorder="1" applyAlignment="1">
      <alignment vertical="center" wrapText="1"/>
    </xf>
    <xf numFmtId="4" fontId="26" fillId="2" borderId="4" xfId="0" applyNumberFormat="1" applyFont="1" applyFill="1" applyBorder="1" applyAlignment="1">
      <alignment horizontal="center" vertical="center" wrapText="1"/>
    </xf>
    <xf numFmtId="166" fontId="11" fillId="2" borderId="4" xfId="1" applyFont="1" applyFill="1" applyBorder="1" applyAlignment="1"/>
    <xf numFmtId="0" fontId="20" fillId="2" borderId="4" xfId="0" applyFont="1" applyFill="1" applyBorder="1" applyAlignment="1">
      <alignment horizontal="center" vertical="center"/>
    </xf>
    <xf numFmtId="4" fontId="20" fillId="2" borderId="4" xfId="0" applyNumberFormat="1" applyFont="1" applyFill="1" applyBorder="1" applyAlignment="1">
      <alignment horizontal="center" vertical="center"/>
    </xf>
    <xf numFmtId="2" fontId="26" fillId="2" borderId="4" xfId="0" applyNumberFormat="1" applyFont="1" applyFill="1" applyBorder="1" applyAlignment="1">
      <alignment horizontal="center" vertical="center"/>
    </xf>
    <xf numFmtId="49" fontId="16" fillId="2" borderId="4" xfId="0" applyNumberFormat="1" applyFont="1" applyFill="1" applyBorder="1" applyAlignment="1">
      <alignment horizontal="center"/>
    </xf>
    <xf numFmtId="49" fontId="20" fillId="2" borderId="4" xfId="0" applyNumberFormat="1" applyFont="1" applyFill="1" applyBorder="1" applyAlignment="1">
      <alignment horizontal="center"/>
    </xf>
    <xf numFmtId="2" fontId="20" fillId="2" borderId="4" xfId="1" applyNumberFormat="1" applyFont="1" applyFill="1" applyBorder="1" applyAlignment="1">
      <alignment horizontal="center"/>
    </xf>
    <xf numFmtId="0" fontId="31" fillId="0" borderId="0" xfId="27" applyFont="1" applyAlignment="1">
      <alignment horizontal="center"/>
    </xf>
    <xf numFmtId="0" fontId="31" fillId="0" borderId="0" xfId="27" applyFont="1"/>
    <xf numFmtId="0" fontId="97" fillId="0" borderId="0" xfId="27" applyFont="1"/>
    <xf numFmtId="0" fontId="11" fillId="0" borderId="0" xfId="27" applyFont="1"/>
    <xf numFmtId="0" fontId="11" fillId="0" borderId="0" xfId="27" applyFont="1" applyAlignment="1">
      <alignment horizontal="center"/>
    </xf>
    <xf numFmtId="0" fontId="11" fillId="0" borderId="4" xfId="27" applyFont="1" applyBorder="1" applyAlignment="1">
      <alignment horizontal="center" vertical="center"/>
    </xf>
    <xf numFmtId="0" fontId="11" fillId="0" borderId="4" xfId="27" applyFont="1" applyBorder="1" applyAlignment="1">
      <alignment horizontal="center" vertical="center" wrapText="1"/>
    </xf>
    <xf numFmtId="0" fontId="31" fillId="0" borderId="4" xfId="27" applyFont="1" applyBorder="1" applyAlignment="1">
      <alignment horizontal="center" vertical="center" wrapText="1"/>
    </xf>
    <xf numFmtId="0" fontId="11" fillId="0" borderId="2" xfId="27" applyFont="1" applyBorder="1" applyAlignment="1">
      <alignment horizontal="left" vertical="center" wrapText="1"/>
    </xf>
    <xf numFmtId="4" fontId="11" fillId="0" borderId="4" xfId="27" applyNumberFormat="1" applyFont="1" applyBorder="1" applyAlignment="1">
      <alignment horizontal="center" vertical="center" wrapText="1"/>
    </xf>
    <xf numFmtId="4" fontId="11" fillId="0" borderId="4" xfId="27" applyNumberFormat="1" applyFont="1" applyBorder="1" applyAlignment="1">
      <alignment horizontal="center" vertical="center"/>
    </xf>
    <xf numFmtId="4" fontId="13" fillId="0" borderId="4" xfId="27" applyNumberFormat="1" applyFont="1" applyBorder="1"/>
    <xf numFmtId="0" fontId="31" fillId="0" borderId="4" xfId="27" applyFont="1" applyBorder="1"/>
    <xf numFmtId="0" fontId="13" fillId="0" borderId="2" xfId="27" applyFont="1" applyBorder="1" applyAlignment="1">
      <alignment horizontal="center" vertical="center" wrapText="1"/>
    </xf>
    <xf numFmtId="0" fontId="13" fillId="0" borderId="4" xfId="27" applyFont="1" applyBorder="1" applyAlignment="1">
      <alignment horizontal="center" vertical="center" wrapText="1"/>
    </xf>
    <xf numFmtId="4" fontId="13" fillId="0" borderId="4" xfId="27" applyNumberFormat="1" applyFont="1" applyBorder="1" applyAlignment="1">
      <alignment horizontal="center" vertical="center"/>
    </xf>
    <xf numFmtId="4" fontId="30" fillId="0" borderId="4" xfId="27" applyNumberFormat="1" applyFont="1" applyBorder="1" applyAlignment="1">
      <alignment horizontal="center" vertical="center"/>
    </xf>
    <xf numFmtId="4" fontId="13" fillId="0" borderId="4" xfId="27" applyNumberFormat="1" applyFont="1" applyBorder="1" applyAlignment="1">
      <alignment horizontal="center" vertical="center" wrapText="1"/>
    </xf>
    <xf numFmtId="4" fontId="13" fillId="0" borderId="4" xfId="30" applyNumberFormat="1" applyFont="1" applyBorder="1" applyAlignment="1">
      <alignment horizontal="center" vertical="center" wrapText="1"/>
    </xf>
    <xf numFmtId="4" fontId="13" fillId="0" borderId="4" xfId="30" applyNumberFormat="1" applyFont="1" applyBorder="1" applyAlignment="1">
      <alignment horizontal="center" vertical="center"/>
    </xf>
    <xf numFmtId="2" fontId="97" fillId="0" borderId="0" xfId="27" applyNumberFormat="1" applyFont="1"/>
    <xf numFmtId="4" fontId="97" fillId="0" borderId="0" xfId="27" applyNumberFormat="1" applyFont="1"/>
    <xf numFmtId="0" fontId="13" fillId="0" borderId="0" xfId="27" applyFont="1" applyAlignment="1">
      <alignment horizontal="center" vertical="center" wrapText="1"/>
    </xf>
    <xf numFmtId="4" fontId="13" fillId="0" borderId="0" xfId="27" applyNumberFormat="1" applyFont="1" applyAlignment="1">
      <alignment horizontal="center" vertical="center"/>
    </xf>
    <xf numFmtId="4" fontId="98" fillId="0" borderId="0" xfId="27" applyNumberFormat="1" applyFont="1" applyAlignment="1">
      <alignment horizontal="center" vertical="center" wrapText="1"/>
    </xf>
    <xf numFmtId="4" fontId="13" fillId="0" borderId="0" xfId="27" applyNumberFormat="1" applyFont="1" applyAlignment="1">
      <alignment horizontal="center" vertical="center" wrapText="1"/>
    </xf>
    <xf numFmtId="4" fontId="13" fillId="0" borderId="0" xfId="30" applyNumberFormat="1" applyFont="1" applyBorder="1" applyAlignment="1">
      <alignment horizontal="center" vertical="center" wrapText="1"/>
    </xf>
    <xf numFmtId="4" fontId="98" fillId="2" borderId="0" xfId="30" applyNumberFormat="1" applyFont="1" applyFill="1" applyBorder="1" applyAlignment="1">
      <alignment horizontal="center" vertical="center"/>
    </xf>
    <xf numFmtId="4" fontId="30" fillId="0" borderId="0" xfId="30" applyNumberFormat="1" applyFont="1" applyBorder="1" applyAlignment="1">
      <alignment horizontal="center" vertical="center"/>
    </xf>
    <xf numFmtId="4" fontId="13" fillId="0" borderId="0" xfId="30" applyNumberFormat="1" applyFont="1" applyBorder="1" applyAlignment="1">
      <alignment horizontal="center" vertical="center"/>
    </xf>
    <xf numFmtId="4" fontId="30" fillId="2" borderId="0" xfId="30" applyNumberFormat="1" applyFont="1" applyFill="1" applyBorder="1" applyAlignment="1">
      <alignment horizontal="center" vertical="center"/>
    </xf>
    <xf numFmtId="4" fontId="30" fillId="0" borderId="0" xfId="27" applyNumberFormat="1" applyFont="1" applyAlignment="1">
      <alignment horizontal="center" vertical="center"/>
    </xf>
    <xf numFmtId="4" fontId="98" fillId="0" borderId="0" xfId="30" applyNumberFormat="1" applyFont="1" applyBorder="1" applyAlignment="1">
      <alignment horizontal="center" vertical="center"/>
    </xf>
    <xf numFmtId="4" fontId="98" fillId="0" borderId="0" xfId="27" applyNumberFormat="1" applyFont="1" applyAlignment="1">
      <alignment horizontal="center" vertical="center"/>
    </xf>
    <xf numFmtId="0" fontId="13" fillId="0" borderId="0" xfId="27" applyFont="1" applyAlignment="1">
      <alignment horizontal="center"/>
    </xf>
    <xf numFmtId="0" fontId="78" fillId="0" borderId="0" xfId="27" applyFont="1" applyAlignment="1">
      <alignment horizontal="left" wrapText="1"/>
    </xf>
    <xf numFmtId="1" fontId="13" fillId="0" borderId="0" xfId="27" applyNumberFormat="1" applyFont="1" applyAlignment="1">
      <alignment horizontal="center"/>
    </xf>
    <xf numFmtId="0" fontId="66" fillId="0" borderId="0" xfId="27" applyFont="1"/>
    <xf numFmtId="0" fontId="13" fillId="0" borderId="2" xfId="27" applyFont="1" applyBorder="1" applyAlignment="1">
      <alignment horizontal="left" vertical="center" wrapText="1"/>
    </xf>
    <xf numFmtId="0" fontId="13" fillId="0" borderId="9" xfId="27" applyFont="1" applyBorder="1" applyAlignment="1">
      <alignment horizontal="left" vertical="center" wrapText="1"/>
    </xf>
    <xf numFmtId="0" fontId="30" fillId="0" borderId="0" xfId="27" applyFont="1"/>
    <xf numFmtId="0" fontId="31" fillId="0" borderId="0" xfId="27" applyFont="1" applyAlignment="1">
      <alignment horizontal="left" wrapText="1"/>
    </xf>
    <xf numFmtId="4" fontId="66" fillId="0" borderId="0" xfId="27" applyNumberFormat="1" applyFont="1" applyAlignment="1">
      <alignment horizontal="center"/>
    </xf>
    <xf numFmtId="0" fontId="66" fillId="0" borderId="0" xfId="27" applyFont="1" applyAlignment="1">
      <alignment horizontal="center"/>
    </xf>
    <xf numFmtId="165" fontId="66" fillId="0" borderId="0" xfId="27" applyNumberFormat="1" applyFont="1"/>
    <xf numFmtId="0" fontId="13" fillId="0" borderId="0" xfId="27" applyFont="1" applyAlignment="1">
      <alignment horizontal="left" vertical="center" wrapText="1"/>
    </xf>
    <xf numFmtId="164" fontId="66" fillId="0" borderId="0" xfId="27" applyNumberFormat="1" applyFont="1"/>
    <xf numFmtId="0" fontId="66" fillId="0" borderId="0" xfId="27" applyFont="1" applyAlignment="1">
      <alignment horizontal="left"/>
    </xf>
    <xf numFmtId="164" fontId="11" fillId="0" borderId="0" xfId="27" applyNumberFormat="1" applyFont="1"/>
    <xf numFmtId="164" fontId="31" fillId="0" borderId="0" xfId="27" applyNumberFormat="1" applyFont="1"/>
    <xf numFmtId="0" fontId="97" fillId="0" borderId="0" xfId="27" applyFont="1" applyAlignment="1">
      <alignment horizontal="center"/>
    </xf>
    <xf numFmtId="0" fontId="54" fillId="0" borderId="0" xfId="0" applyFont="1" applyAlignment="1">
      <alignment horizontal="left" vertical="center"/>
    </xf>
    <xf numFmtId="165" fontId="19" fillId="0" borderId="4" xfId="0" applyNumberFormat="1" applyFont="1" applyBorder="1" applyAlignment="1">
      <alignment horizontal="center"/>
    </xf>
    <xf numFmtId="2" fontId="22" fillId="0" borderId="4" xfId="3" applyNumberFormat="1" applyFont="1" applyFill="1" applyBorder="1" applyAlignment="1">
      <alignment horizontal="right" vertical="center"/>
    </xf>
    <xf numFmtId="166" fontId="22" fillId="0" borderId="4" xfId="3" applyFont="1" applyFill="1" applyBorder="1" applyAlignment="1">
      <alignment horizontal="center"/>
    </xf>
    <xf numFmtId="165" fontId="16" fillId="0" borderId="4" xfId="0" applyNumberFormat="1" applyFont="1" applyBorder="1" applyAlignment="1">
      <alignment horizontal="center"/>
    </xf>
    <xf numFmtId="4" fontId="11" fillId="0" borderId="4" xfId="27" applyNumberFormat="1" applyFont="1" applyBorder="1" applyAlignment="1">
      <alignment horizontal="center"/>
    </xf>
    <xf numFmtId="4" fontId="11" fillId="0" borderId="4" xfId="27" applyNumberFormat="1" applyFont="1" applyBorder="1"/>
    <xf numFmtId="4" fontId="13" fillId="2" borderId="4" xfId="30" applyNumberFormat="1" applyFont="1" applyFill="1" applyBorder="1" applyAlignment="1">
      <alignment horizontal="center" vertical="center"/>
    </xf>
    <xf numFmtId="4" fontId="13" fillId="0" borderId="7" xfId="30" applyNumberFormat="1" applyFont="1" applyBorder="1" applyAlignment="1" applyProtection="1">
      <alignment vertical="center"/>
      <protection locked="0"/>
    </xf>
    <xf numFmtId="4" fontId="13" fillId="0" borderId="7" xfId="30" applyNumberFormat="1" applyFont="1" applyBorder="1" applyAlignment="1">
      <alignment vertical="center"/>
    </xf>
    <xf numFmtId="4" fontId="13" fillId="2" borderId="0" xfId="30" applyNumberFormat="1" applyFont="1" applyFill="1" applyBorder="1" applyAlignment="1">
      <alignment horizontal="center" vertical="center"/>
    </xf>
    <xf numFmtId="0" fontId="11" fillId="2" borderId="4" xfId="27" applyFont="1" applyFill="1" applyBorder="1" applyAlignment="1">
      <alignment horizontal="center" vertical="center"/>
    </xf>
    <xf numFmtId="0" fontId="11" fillId="2" borderId="4" xfId="27" applyFont="1" applyFill="1" applyBorder="1" applyAlignment="1">
      <alignment horizontal="center" vertical="center" wrapText="1"/>
    </xf>
    <xf numFmtId="4" fontId="11" fillId="2" borderId="4" xfId="27" applyNumberFormat="1" applyFont="1" applyFill="1" applyBorder="1" applyAlignment="1">
      <alignment horizontal="center" vertical="center" wrapText="1"/>
    </xf>
    <xf numFmtId="4" fontId="11" fillId="2" borderId="4" xfId="27" applyNumberFormat="1" applyFont="1" applyFill="1" applyBorder="1" applyAlignment="1">
      <alignment horizontal="center" vertical="center"/>
    </xf>
    <xf numFmtId="4" fontId="11" fillId="2" borderId="4" xfId="27" applyNumberFormat="1" applyFont="1" applyFill="1" applyBorder="1" applyAlignment="1">
      <alignment horizontal="center"/>
    </xf>
    <xf numFmtId="4" fontId="11" fillId="2" borderId="4" xfId="27" applyNumberFormat="1" applyFont="1" applyFill="1" applyBorder="1"/>
    <xf numFmtId="0" fontId="13" fillId="2" borderId="4" xfId="27" applyFont="1" applyFill="1" applyBorder="1" applyAlignment="1">
      <alignment horizontal="center" vertical="center" wrapText="1"/>
    </xf>
    <xf numFmtId="4" fontId="13" fillId="2" borderId="4" xfId="27" applyNumberFormat="1" applyFont="1" applyFill="1" applyBorder="1" applyAlignment="1">
      <alignment horizontal="center" vertical="center" wrapText="1"/>
    </xf>
    <xf numFmtId="4" fontId="13" fillId="2" borderId="4" xfId="27" applyNumberFormat="1" applyFont="1" applyFill="1" applyBorder="1" applyAlignment="1">
      <alignment horizontal="center" vertical="center"/>
    </xf>
    <xf numFmtId="4" fontId="13" fillId="2" borderId="4" xfId="30" applyNumberFormat="1" applyFont="1" applyFill="1" applyBorder="1" applyAlignment="1">
      <alignment horizontal="center" vertical="center" wrapText="1"/>
    </xf>
    <xf numFmtId="4" fontId="13" fillId="2" borderId="4" xfId="27" applyNumberFormat="1" applyFont="1" applyFill="1" applyBorder="1" applyAlignment="1">
      <alignment horizontal="center"/>
    </xf>
    <xf numFmtId="4" fontId="13" fillId="2" borderId="4" xfId="30" applyNumberFormat="1" applyFont="1" applyFill="1" applyBorder="1" applyAlignment="1">
      <alignment horizontal="center"/>
    </xf>
    <xf numFmtId="4" fontId="13" fillId="2" borderId="4" xfId="27" applyNumberFormat="1" applyFont="1" applyFill="1" applyBorder="1"/>
    <xf numFmtId="165" fontId="11" fillId="2" borderId="4" xfId="27" applyNumberFormat="1" applyFont="1" applyFill="1" applyBorder="1"/>
    <xf numFmtId="165" fontId="11" fillId="2" borderId="4" xfId="30" applyFont="1" applyFill="1" applyBorder="1"/>
    <xf numFmtId="0" fontId="11" fillId="2" borderId="14" xfId="27" applyFont="1" applyFill="1" applyBorder="1" applyAlignment="1">
      <alignment wrapText="1"/>
    </xf>
    <xf numFmtId="164" fontId="11" fillId="2" borderId="0" xfId="27" applyNumberFormat="1" applyFont="1" applyFill="1"/>
    <xf numFmtId="0" fontId="99" fillId="2" borderId="0" xfId="27" applyFont="1" applyFill="1"/>
    <xf numFmtId="0" fontId="11" fillId="2" borderId="0" xfId="27" applyFont="1" applyFill="1" applyAlignment="1">
      <alignment horizontal="left"/>
    </xf>
    <xf numFmtId="165" fontId="11" fillId="2" borderId="14" xfId="30" applyFont="1" applyFill="1" applyBorder="1" applyAlignment="1">
      <alignment wrapText="1"/>
    </xf>
    <xf numFmtId="0" fontId="11" fillId="2" borderId="0" xfId="27" applyFont="1" applyFill="1"/>
    <xf numFmtId="0" fontId="11" fillId="2" borderId="4" xfId="27" applyFont="1" applyFill="1" applyBorder="1"/>
    <xf numFmtId="9" fontId="11" fillId="2" borderId="4" xfId="27" applyNumberFormat="1" applyFont="1" applyFill="1" applyBorder="1"/>
    <xf numFmtId="0" fontId="11" fillId="2" borderId="0" xfId="27" applyFont="1" applyFill="1" applyAlignment="1">
      <alignment horizontal="center"/>
    </xf>
    <xf numFmtId="0" fontId="11" fillId="0" borderId="4" xfId="0" applyFont="1" applyBorder="1" applyAlignment="1">
      <alignment vertical="center" wrapText="1"/>
    </xf>
    <xf numFmtId="0" fontId="26" fillId="0" borderId="0" xfId="0" applyFont="1" applyAlignment="1">
      <alignment horizontal="center" wrapText="1"/>
    </xf>
    <xf numFmtId="4" fontId="13" fillId="2" borderId="29" xfId="0" applyNumberFormat="1" applyFont="1" applyFill="1" applyBorder="1" applyAlignment="1">
      <alignment horizontal="center" vertical="center"/>
    </xf>
    <xf numFmtId="0" fontId="33" fillId="0" borderId="2" xfId="0" applyFont="1" applyBorder="1" applyAlignment="1">
      <alignment horizontal="center" vertical="center"/>
    </xf>
    <xf numFmtId="0" fontId="33" fillId="0" borderId="1" xfId="0" applyFont="1" applyBorder="1" applyAlignment="1">
      <alignment horizontal="center" vertical="center"/>
    </xf>
    <xf numFmtId="0" fontId="33" fillId="0" borderId="21" xfId="0" applyFont="1" applyBorder="1" applyAlignment="1">
      <alignment horizontal="center" vertical="center"/>
    </xf>
    <xf numFmtId="0" fontId="11" fillId="0" borderId="30" xfId="0" applyFont="1" applyBorder="1" applyAlignment="1">
      <alignment horizontal="left" vertical="center" wrapText="1" shrinkToFit="1"/>
    </xf>
    <xf numFmtId="0" fontId="11" fillId="0" borderId="11" xfId="0" applyFont="1" applyBorder="1" applyAlignment="1">
      <alignment horizontal="left" vertical="center" wrapText="1" shrinkToFit="1"/>
    </xf>
    <xf numFmtId="0" fontId="11" fillId="0" borderId="31" xfId="0" applyFont="1" applyBorder="1" applyAlignment="1">
      <alignment horizontal="left" vertical="center" wrapText="1" shrinkToFit="1"/>
    </xf>
    <xf numFmtId="49" fontId="11" fillId="0" borderId="20"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5" xfId="0" applyFont="1" applyBorder="1" applyAlignment="1">
      <alignment horizontal="center" vertical="center"/>
    </xf>
    <xf numFmtId="49" fontId="11" fillId="0" borderId="2" xfId="0" applyNumberFormat="1" applyFont="1" applyBorder="1" applyAlignment="1">
      <alignment horizontal="center" vertical="center" shrinkToFit="1"/>
    </xf>
    <xf numFmtId="0" fontId="27" fillId="0" borderId="1" xfId="0" applyFont="1" applyBorder="1" applyAlignment="1">
      <alignment horizontal="center" vertical="center" shrinkToFit="1"/>
    </xf>
    <xf numFmtId="0" fontId="27" fillId="0" borderId="5" xfId="0" applyFont="1" applyBorder="1" applyAlignment="1">
      <alignment horizontal="center" vertical="center" shrinkToFit="1"/>
    </xf>
    <xf numFmtId="0" fontId="11" fillId="0" borderId="30" xfId="0" applyFont="1" applyBorder="1" applyAlignment="1">
      <alignment horizontal="left" vertical="center" wrapText="1"/>
    </xf>
    <xf numFmtId="0" fontId="11" fillId="0" borderId="11" xfId="0" applyFont="1" applyBorder="1" applyAlignment="1">
      <alignment horizontal="left" vertical="center"/>
    </xf>
    <xf numFmtId="0" fontId="11" fillId="0" borderId="31" xfId="0" applyFont="1" applyBorder="1" applyAlignment="1">
      <alignment horizontal="left" vertical="center"/>
    </xf>
    <xf numFmtId="49" fontId="11" fillId="0" borderId="1" xfId="0" applyNumberFormat="1" applyFont="1" applyBorder="1" applyAlignment="1">
      <alignment horizontal="center" vertical="center"/>
    </xf>
    <xf numFmtId="49" fontId="11" fillId="0" borderId="5" xfId="0" applyNumberFormat="1" applyFont="1" applyBorder="1" applyAlignment="1">
      <alignment horizontal="center" vertical="center"/>
    </xf>
    <xf numFmtId="49" fontId="11" fillId="0" borderId="2" xfId="0" applyNumberFormat="1" applyFont="1" applyBorder="1" applyAlignment="1">
      <alignment horizontal="center" vertical="center"/>
    </xf>
    <xf numFmtId="0" fontId="11" fillId="0" borderId="2" xfId="0" applyFont="1" applyBorder="1" applyAlignment="1">
      <alignment horizontal="center" vertical="center"/>
    </xf>
    <xf numFmtId="0" fontId="11" fillId="0" borderId="1" xfId="0" applyFont="1" applyBorder="1" applyAlignment="1">
      <alignment horizontal="center" vertical="center"/>
    </xf>
    <xf numFmtId="0" fontId="11" fillId="0" borderId="21" xfId="0" applyFont="1" applyBorder="1" applyAlignment="1">
      <alignment horizontal="center" vertical="center"/>
    </xf>
    <xf numFmtId="0" fontId="11" fillId="0" borderId="20" xfId="0" applyFont="1" applyBorder="1" applyAlignment="1">
      <alignment horizontal="left" vertical="center" wrapText="1"/>
    </xf>
    <xf numFmtId="0" fontId="0" fillId="0" borderId="1" xfId="0" applyBorder="1" applyAlignment="1">
      <alignment horizontal="left" vertical="center" wrapText="1"/>
    </xf>
    <xf numFmtId="0" fontId="0" fillId="0" borderId="21" xfId="0" applyBorder="1" applyAlignment="1">
      <alignment horizontal="left" vertical="center" wrapText="1"/>
    </xf>
    <xf numFmtId="49" fontId="11" fillId="0" borderId="20" xfId="0" applyNumberFormat="1" applyFont="1"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11" fillId="0" borderId="33" xfId="0" applyFont="1" applyBorder="1" applyAlignment="1">
      <alignment horizontal="left" vertical="center"/>
    </xf>
    <xf numFmtId="0" fontId="11" fillId="0" borderId="7" xfId="0" applyFont="1" applyBorder="1" applyAlignment="1">
      <alignment horizontal="left" vertical="center"/>
    </xf>
    <xf numFmtId="49" fontId="11" fillId="0" borderId="33" xfId="0" applyNumberFormat="1" applyFont="1" applyBorder="1" applyAlignment="1">
      <alignment horizontal="center" vertical="center"/>
    </xf>
    <xf numFmtId="49" fontId="11" fillId="0" borderId="7" xfId="0" applyNumberFormat="1" applyFont="1" applyBorder="1" applyAlignment="1">
      <alignment horizontal="center" vertical="center"/>
    </xf>
    <xf numFmtId="49" fontId="11" fillId="0" borderId="8" xfId="0" applyNumberFormat="1" applyFont="1" applyBorder="1" applyAlignment="1">
      <alignment horizontal="center" vertical="center"/>
    </xf>
    <xf numFmtId="0" fontId="33" fillId="2" borderId="20"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21" xfId="0" applyFont="1" applyFill="1" applyBorder="1" applyAlignment="1">
      <alignment horizontal="left" vertical="center" wrapText="1"/>
    </xf>
    <xf numFmtId="49" fontId="33" fillId="2" borderId="20" xfId="0" applyNumberFormat="1" applyFont="1" applyFill="1" applyBorder="1" applyAlignment="1">
      <alignment horizontal="center" vertical="center"/>
    </xf>
    <xf numFmtId="49" fontId="33" fillId="2" borderId="1" xfId="0" applyNumberFormat="1" applyFont="1" applyFill="1" applyBorder="1" applyAlignment="1">
      <alignment horizontal="center" vertical="center"/>
    </xf>
    <xf numFmtId="49" fontId="33" fillId="2" borderId="5" xfId="0" applyNumberFormat="1" applyFont="1" applyFill="1" applyBorder="1" applyAlignment="1">
      <alignment horizontal="center" vertical="center"/>
    </xf>
    <xf numFmtId="49" fontId="33" fillId="2" borderId="2" xfId="0" applyNumberFormat="1" applyFont="1" applyFill="1" applyBorder="1" applyAlignment="1">
      <alignment horizontal="center" vertical="center"/>
    </xf>
    <xf numFmtId="0" fontId="33" fillId="0" borderId="20" xfId="0" applyFont="1" applyBorder="1" applyAlignment="1">
      <alignment horizontal="left" vertical="center" wrapText="1"/>
    </xf>
    <xf numFmtId="0" fontId="33" fillId="0" borderId="1" xfId="0" applyFont="1" applyBorder="1" applyAlignment="1">
      <alignment horizontal="left" vertical="center"/>
    </xf>
    <xf numFmtId="49" fontId="33" fillId="0" borderId="2" xfId="0" applyNumberFormat="1" applyFont="1" applyBorder="1" applyAlignment="1">
      <alignment horizontal="center" vertical="center"/>
    </xf>
    <xf numFmtId="49" fontId="33" fillId="0" borderId="1" xfId="0" applyNumberFormat="1" applyFont="1" applyBorder="1" applyAlignment="1">
      <alignment horizontal="center" vertical="center"/>
    </xf>
    <xf numFmtId="49" fontId="33" fillId="0" borderId="5" xfId="0" applyNumberFormat="1" applyFont="1" applyBorder="1" applyAlignment="1">
      <alignment horizontal="center" vertical="center"/>
    </xf>
    <xf numFmtId="49" fontId="33" fillId="0" borderId="4" xfId="0" applyNumberFormat="1" applyFont="1" applyBorder="1" applyAlignment="1">
      <alignment horizontal="center" vertical="center"/>
    </xf>
    <xf numFmtId="0" fontId="33" fillId="2" borderId="20" xfId="0" applyFont="1" applyFill="1" applyBorder="1" applyAlignment="1">
      <alignment horizontal="left" vertical="center"/>
    </xf>
    <xf numFmtId="0" fontId="33" fillId="2" borderId="1" xfId="0" applyFont="1" applyFill="1" applyBorder="1" applyAlignment="1">
      <alignment horizontal="left" vertical="center"/>
    </xf>
    <xf numFmtId="0" fontId="33" fillId="2" borderId="21" xfId="0" applyFont="1" applyFill="1" applyBorder="1" applyAlignment="1">
      <alignment horizontal="left" vertical="center"/>
    </xf>
    <xf numFmtId="49" fontId="33" fillId="2" borderId="3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49" fontId="33" fillId="2" borderId="12" xfId="0" applyNumberFormat="1" applyFont="1" applyFill="1" applyBorder="1" applyAlignment="1">
      <alignment horizontal="center" vertical="center"/>
    </xf>
    <xf numFmtId="49" fontId="33" fillId="2" borderId="3" xfId="0" applyNumberFormat="1" applyFont="1" applyFill="1" applyBorder="1" applyAlignment="1">
      <alignment horizontal="center" vertical="center"/>
    </xf>
    <xf numFmtId="49" fontId="21" fillId="0" borderId="4" xfId="0" applyNumberFormat="1" applyFont="1" applyBorder="1" applyAlignment="1">
      <alignment horizontal="center" vertical="center"/>
    </xf>
    <xf numFmtId="49" fontId="33" fillId="0" borderId="20" xfId="0" applyNumberFormat="1" applyFont="1" applyBorder="1" applyAlignment="1">
      <alignment horizontal="center" vertical="center"/>
    </xf>
    <xf numFmtId="0" fontId="33" fillId="0" borderId="30" xfId="0" applyFont="1" applyBorder="1" applyAlignment="1">
      <alignment horizontal="left" vertical="center" wrapText="1"/>
    </xf>
    <xf numFmtId="0" fontId="33" fillId="0" borderId="11" xfId="0" applyFont="1" applyBorder="1" applyAlignment="1">
      <alignment horizontal="left" vertical="center"/>
    </xf>
    <xf numFmtId="0" fontId="33" fillId="0" borderId="31" xfId="0" applyFont="1" applyBorder="1" applyAlignment="1">
      <alignment horizontal="left" vertical="center"/>
    </xf>
    <xf numFmtId="0" fontId="33" fillId="0" borderId="5" xfId="0" applyFont="1" applyBorder="1" applyAlignment="1">
      <alignment horizontal="center" vertical="center"/>
    </xf>
    <xf numFmtId="0" fontId="21" fillId="0" borderId="37" xfId="0" applyFont="1" applyBorder="1" applyAlignment="1">
      <alignment horizontal="left" vertical="center" wrapText="1"/>
    </xf>
    <xf numFmtId="0" fontId="21" fillId="0" borderId="0" xfId="0" applyFont="1" applyAlignment="1">
      <alignment horizontal="left" vertical="center"/>
    </xf>
    <xf numFmtId="0" fontId="21" fillId="0" borderId="19" xfId="0" applyFont="1" applyBorder="1" applyAlignment="1">
      <alignment horizontal="left" vertical="center"/>
    </xf>
    <xf numFmtId="49" fontId="33" fillId="0" borderId="37" xfId="0" applyNumberFormat="1" applyFont="1" applyBorder="1" applyAlignment="1">
      <alignment horizontal="center" vertical="center"/>
    </xf>
    <xf numFmtId="49" fontId="33" fillId="0" borderId="0" xfId="0" applyNumberFormat="1" applyFont="1" applyAlignment="1">
      <alignment horizontal="center" vertical="center"/>
    </xf>
    <xf numFmtId="49" fontId="33" fillId="0" borderId="10" xfId="0" applyNumberFormat="1" applyFont="1" applyBorder="1" applyAlignment="1">
      <alignment horizontal="center" vertical="center"/>
    </xf>
    <xf numFmtId="49" fontId="33" fillId="0" borderId="9" xfId="0" applyNumberFormat="1" applyFont="1" applyBorder="1" applyAlignment="1">
      <alignment horizontal="center" vertical="center"/>
    </xf>
    <xf numFmtId="49" fontId="33" fillId="0" borderId="6" xfId="0" applyNumberFormat="1" applyFont="1" applyBorder="1" applyAlignment="1">
      <alignment horizontal="center" vertical="center"/>
    </xf>
    <xf numFmtId="49" fontId="33" fillId="0" borderId="7" xfId="0" applyNumberFormat="1" applyFont="1" applyBorder="1" applyAlignment="1">
      <alignment horizontal="center" vertical="center"/>
    </xf>
    <xf numFmtId="49" fontId="33" fillId="0" borderId="8" xfId="0" applyNumberFormat="1" applyFont="1" applyBorder="1" applyAlignment="1">
      <alignment horizontal="center" vertical="center"/>
    </xf>
    <xf numFmtId="0" fontId="33" fillId="0" borderId="9" xfId="0" applyFont="1" applyBorder="1" applyAlignment="1">
      <alignment horizontal="center" vertical="center"/>
    </xf>
    <xf numFmtId="0" fontId="33" fillId="0" borderId="0" xfId="0" applyFont="1" applyAlignment="1">
      <alignment horizontal="center" vertical="center"/>
    </xf>
    <xf numFmtId="0" fontId="33" fillId="0" borderId="19" xfId="0" applyFont="1" applyBorder="1" applyAlignment="1">
      <alignment horizontal="center" vertical="center"/>
    </xf>
    <xf numFmtId="0" fontId="33" fillId="2" borderId="33" xfId="0" applyFont="1" applyFill="1" applyBorder="1" applyAlignment="1">
      <alignment horizontal="left" vertical="center"/>
    </xf>
    <xf numFmtId="0" fontId="33" fillId="2" borderId="7" xfId="0" applyFont="1" applyFill="1" applyBorder="1" applyAlignment="1">
      <alignment horizontal="left" vertical="center"/>
    </xf>
    <xf numFmtId="0" fontId="33" fillId="2" borderId="36" xfId="0" applyFont="1" applyFill="1" applyBorder="1" applyAlignment="1">
      <alignment horizontal="left" vertical="center"/>
    </xf>
    <xf numFmtId="0" fontId="33" fillId="2" borderId="4" xfId="0" applyFont="1" applyFill="1" applyBorder="1" applyAlignment="1">
      <alignment horizontal="left" vertical="center"/>
    </xf>
    <xf numFmtId="0" fontId="33" fillId="2" borderId="2" xfId="0" applyFont="1" applyFill="1" applyBorder="1" applyAlignment="1">
      <alignment horizontal="left" vertical="center"/>
    </xf>
    <xf numFmtId="49" fontId="33" fillId="2" borderId="4" xfId="0" applyNumberFormat="1" applyFont="1" applyFill="1" applyBorder="1" applyAlignment="1">
      <alignment horizontal="center" vertical="center"/>
    </xf>
    <xf numFmtId="0" fontId="33" fillId="0" borderId="3" xfId="0" applyFont="1" applyBorder="1" applyAlignment="1">
      <alignment horizontal="center" vertical="center"/>
    </xf>
    <xf numFmtId="0" fontId="33" fillId="0" borderId="11" xfId="0" applyFont="1" applyBorder="1" applyAlignment="1">
      <alignment horizontal="center" vertical="center"/>
    </xf>
    <xf numFmtId="0" fontId="33" fillId="0" borderId="31" xfId="0" applyFont="1" applyBorder="1" applyAlignment="1">
      <alignment horizontal="center"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35" xfId="0" applyFont="1" applyBorder="1" applyAlignment="1">
      <alignment horizontal="center" vertical="center"/>
    </xf>
    <xf numFmtId="0" fontId="33" fillId="2" borderId="30" xfId="0" applyFont="1" applyFill="1" applyBorder="1" applyAlignment="1">
      <alignment horizontal="left" vertical="center"/>
    </xf>
    <xf numFmtId="0" fontId="33" fillId="2" borderId="11" xfId="0" applyFont="1" applyFill="1" applyBorder="1" applyAlignment="1">
      <alignment horizontal="left" vertical="center"/>
    </xf>
    <xf numFmtId="0" fontId="21" fillId="0" borderId="2" xfId="0" applyFont="1" applyBorder="1" applyAlignment="1">
      <alignment horizontal="center" vertical="center"/>
    </xf>
    <xf numFmtId="0" fontId="21" fillId="0" borderId="1" xfId="0" applyFont="1" applyBorder="1" applyAlignment="1">
      <alignment horizontal="center" vertical="center"/>
    </xf>
    <xf numFmtId="0" fontId="21" fillId="0" borderId="5" xfId="0" applyFont="1" applyBorder="1" applyAlignment="1">
      <alignment horizontal="center" vertical="center"/>
    </xf>
    <xf numFmtId="0" fontId="21" fillId="0" borderId="20" xfId="0" applyFont="1" applyBorder="1" applyAlignment="1">
      <alignment horizontal="left" vertical="center" wrapText="1"/>
    </xf>
    <xf numFmtId="0" fontId="21" fillId="0" borderId="1" xfId="0" applyFont="1" applyBorder="1" applyAlignment="1">
      <alignment horizontal="left" vertical="center"/>
    </xf>
    <xf numFmtId="49" fontId="21" fillId="0" borderId="2" xfId="0" applyNumberFormat="1" applyFont="1" applyBorder="1" applyAlignment="1">
      <alignment horizontal="center" vertical="center"/>
    </xf>
    <xf numFmtId="49" fontId="21" fillId="0" borderId="1" xfId="0" applyNumberFormat="1" applyFont="1" applyBorder="1" applyAlignment="1">
      <alignment horizontal="center" vertical="center"/>
    </xf>
    <xf numFmtId="49" fontId="21" fillId="0" borderId="5" xfId="0" applyNumberFormat="1" applyFont="1" applyBorder="1" applyAlignment="1">
      <alignment horizontal="center" vertical="center"/>
    </xf>
    <xf numFmtId="0" fontId="11" fillId="0" borderId="0" xfId="0" applyFont="1" applyAlignment="1">
      <alignment horizontal="right" vertical="center"/>
    </xf>
    <xf numFmtId="0" fontId="11" fillId="0" borderId="0" xfId="0" applyFont="1" applyAlignment="1">
      <alignment horizontal="center" vertical="center"/>
    </xf>
    <xf numFmtId="0" fontId="11" fillId="0" borderId="11" xfId="0" applyFont="1" applyBorder="1" applyAlignment="1">
      <alignment horizontal="center" vertical="center"/>
    </xf>
    <xf numFmtId="0" fontId="11" fillId="0" borderId="7" xfId="0" applyFont="1" applyBorder="1" applyAlignment="1">
      <alignment horizontal="center" vertical="center"/>
    </xf>
    <xf numFmtId="0" fontId="13" fillId="0" borderId="0" xfId="0" applyFont="1" applyAlignment="1">
      <alignment horizontal="right" vertical="center"/>
    </xf>
    <xf numFmtId="49" fontId="13" fillId="0" borderId="0" xfId="0" applyNumberFormat="1" applyFont="1" applyAlignment="1">
      <alignment horizontal="left" vertical="center"/>
    </xf>
    <xf numFmtId="49" fontId="13" fillId="0" borderId="11" xfId="0" applyNumberFormat="1" applyFont="1" applyBorder="1" applyAlignment="1">
      <alignment horizontal="left" vertical="center"/>
    </xf>
    <xf numFmtId="0" fontId="27" fillId="0" borderId="11" xfId="0" applyFont="1" applyBorder="1" applyAlignment="1">
      <alignment horizontal="center" vertical="center"/>
    </xf>
    <xf numFmtId="49" fontId="11" fillId="0" borderId="11" xfId="0" applyNumberFormat="1" applyFont="1" applyBorder="1" applyAlignment="1">
      <alignment horizontal="left" vertical="center"/>
    </xf>
    <xf numFmtId="49" fontId="11" fillId="0" borderId="11" xfId="0" applyNumberFormat="1" applyFont="1" applyBorder="1" applyAlignment="1">
      <alignment horizontal="center" vertical="center"/>
    </xf>
    <xf numFmtId="0" fontId="11" fillId="0" borderId="19" xfId="0" applyFont="1" applyBorder="1" applyAlignment="1">
      <alignment horizontal="right" vertical="center"/>
    </xf>
    <xf numFmtId="49" fontId="11" fillId="0" borderId="21" xfId="0" applyNumberFormat="1" applyFont="1" applyBorder="1" applyAlignment="1">
      <alignment horizontal="center" vertical="center"/>
    </xf>
    <xf numFmtId="0" fontId="13" fillId="0" borderId="0" xfId="0" applyFont="1" applyAlignment="1">
      <alignment horizontal="left" vertical="center"/>
    </xf>
    <xf numFmtId="0" fontId="11" fillId="0" borderId="6"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0" xfId="0" applyFont="1" applyAlignment="1">
      <alignment horizontal="left" vertical="center"/>
    </xf>
    <xf numFmtId="49" fontId="11" fillId="0" borderId="16" xfId="0" applyNumberFormat="1" applyFont="1" applyBorder="1" applyAlignment="1">
      <alignment horizontal="center" vertical="center"/>
    </xf>
    <xf numFmtId="49" fontId="11" fillId="0" borderId="17" xfId="0" applyNumberFormat="1" applyFont="1" applyBorder="1" applyAlignment="1">
      <alignment horizontal="center" vertical="center"/>
    </xf>
    <xf numFmtId="49" fontId="11" fillId="0" borderId="18" xfId="0" applyNumberFormat="1" applyFont="1" applyBorder="1" applyAlignment="1">
      <alignment horizontal="center" vertical="center"/>
    </xf>
    <xf numFmtId="49" fontId="11" fillId="0" borderId="22"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24" xfId="0" applyNumberFormat="1" applyFont="1" applyBorder="1" applyAlignment="1">
      <alignment horizontal="center" vertical="center"/>
    </xf>
    <xf numFmtId="0" fontId="13" fillId="0" borderId="0" xfId="0" applyFont="1" applyAlignment="1">
      <alignment horizontal="center" vertical="center"/>
    </xf>
    <xf numFmtId="0" fontId="11" fillId="0" borderId="12" xfId="0" applyFont="1" applyBorder="1" applyAlignment="1">
      <alignment horizontal="center" vertical="center"/>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0" xfId="0" applyFont="1" applyAlignment="1">
      <alignment horizontal="center" vertical="center" wrapText="1"/>
    </xf>
    <xf numFmtId="0" fontId="11" fillId="0" borderId="10"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5" xfId="0" applyFont="1" applyBorder="1" applyAlignment="1">
      <alignment horizontal="center" vertical="center"/>
    </xf>
    <xf numFmtId="49" fontId="11" fillId="0" borderId="6" xfId="0" applyNumberFormat="1" applyFont="1" applyBorder="1" applyAlignment="1">
      <alignment horizontal="center" vertical="center"/>
    </xf>
    <xf numFmtId="0" fontId="13" fillId="0" borderId="16" xfId="0" applyFont="1" applyBorder="1" applyAlignment="1">
      <alignment horizontal="left" vertical="center" wrapText="1"/>
    </xf>
    <xf numFmtId="0" fontId="13" fillId="0" borderId="17" xfId="0" applyFont="1" applyBorder="1" applyAlignment="1">
      <alignment horizontal="left" vertical="center" wrapText="1"/>
    </xf>
    <xf numFmtId="49" fontId="13" fillId="0" borderId="16" xfId="0" applyNumberFormat="1" applyFont="1" applyBorder="1" applyAlignment="1">
      <alignment horizontal="center" vertical="center"/>
    </xf>
    <xf numFmtId="49" fontId="13" fillId="0" borderId="17" xfId="0" applyNumberFormat="1" applyFont="1" applyBorder="1" applyAlignment="1">
      <alignment horizontal="center" vertical="center"/>
    </xf>
    <xf numFmtId="49" fontId="13" fillId="0" borderId="25" xfId="0" applyNumberFormat="1" applyFont="1" applyBorder="1" applyAlignment="1">
      <alignment horizontal="center" vertical="center"/>
    </xf>
    <xf numFmtId="49" fontId="13" fillId="0" borderId="26" xfId="0" applyNumberFormat="1" applyFont="1" applyBorder="1" applyAlignment="1">
      <alignment horizontal="center" vertical="center"/>
    </xf>
    <xf numFmtId="0" fontId="13" fillId="0" borderId="2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20" xfId="0" applyFont="1" applyBorder="1" applyAlignment="1">
      <alignment horizontal="left" vertical="center" wrapText="1"/>
    </xf>
    <xf numFmtId="0" fontId="13" fillId="0" borderId="1" xfId="0" applyFont="1" applyBorder="1" applyAlignment="1">
      <alignment horizontal="left" vertical="center" wrapText="1"/>
    </xf>
    <xf numFmtId="49" fontId="13" fillId="0" borderId="20" xfId="0" applyNumberFormat="1" applyFont="1" applyBorder="1" applyAlignment="1">
      <alignment horizontal="center" vertical="center"/>
    </xf>
    <xf numFmtId="49" fontId="13" fillId="0" borderId="1" xfId="0" applyNumberFormat="1" applyFont="1" applyBorder="1" applyAlignment="1">
      <alignment horizontal="center" vertical="center"/>
    </xf>
    <xf numFmtId="49" fontId="13" fillId="0" borderId="5" xfId="0" applyNumberFormat="1" applyFont="1" applyBorder="1" applyAlignment="1">
      <alignment horizontal="center" vertical="center"/>
    </xf>
    <xf numFmtId="49" fontId="13" fillId="0" borderId="2" xfId="0" applyNumberFormat="1" applyFont="1" applyBorder="1" applyAlignment="1">
      <alignment horizontal="center" vertical="center"/>
    </xf>
    <xf numFmtId="0" fontId="13" fillId="0" borderId="2" xfId="0" applyFont="1" applyBorder="1" applyAlignment="1">
      <alignment horizontal="center" vertical="center"/>
    </xf>
    <xf numFmtId="0" fontId="13" fillId="0" borderId="1" xfId="0" applyFont="1" applyBorder="1" applyAlignment="1">
      <alignment horizontal="center" vertical="center"/>
    </xf>
    <xf numFmtId="0" fontId="13" fillId="0" borderId="21" xfId="0" applyFont="1" applyBorder="1" applyAlignment="1">
      <alignment horizontal="center" vertical="center"/>
    </xf>
    <xf numFmtId="0" fontId="13" fillId="0" borderId="20" xfId="0" applyFont="1" applyBorder="1" applyAlignment="1">
      <alignment horizontal="left" vertical="center"/>
    </xf>
    <xf numFmtId="0" fontId="13" fillId="0" borderId="1" xfId="0" applyFont="1" applyBorder="1" applyAlignment="1">
      <alignment horizontal="left" vertical="center"/>
    </xf>
    <xf numFmtId="4" fontId="13" fillId="0" borderId="2" xfId="0" applyNumberFormat="1" applyFont="1" applyBorder="1" applyAlignment="1">
      <alignment horizontal="center" vertical="center"/>
    </xf>
    <xf numFmtId="0" fontId="11" fillId="0" borderId="1" xfId="0" applyFont="1" applyBorder="1" applyAlignment="1">
      <alignment horizontal="left" vertical="center"/>
    </xf>
    <xf numFmtId="0" fontId="11" fillId="0" borderId="30" xfId="0" applyFont="1" applyBorder="1" applyAlignment="1">
      <alignment horizontal="left" vertical="center"/>
    </xf>
    <xf numFmtId="49" fontId="11" fillId="0" borderId="30" xfId="0" applyNumberFormat="1" applyFont="1" applyBorder="1" applyAlignment="1">
      <alignment horizontal="center" vertical="center"/>
    </xf>
    <xf numFmtId="49" fontId="11" fillId="0" borderId="12" xfId="0" applyNumberFormat="1" applyFont="1" applyBorder="1" applyAlignment="1">
      <alignment horizontal="center" vertical="center"/>
    </xf>
    <xf numFmtId="49" fontId="11" fillId="0" borderId="3" xfId="0" applyNumberFormat="1" applyFont="1" applyBorder="1" applyAlignment="1">
      <alignment horizontal="center" vertical="center"/>
    </xf>
    <xf numFmtId="0" fontId="11" fillId="0" borderId="3" xfId="0" applyFont="1" applyBorder="1" applyAlignment="1">
      <alignment horizontal="center" vertical="center"/>
    </xf>
    <xf numFmtId="0" fontId="11" fillId="0" borderId="31" xfId="0" applyFont="1" applyBorder="1" applyAlignment="1">
      <alignment horizontal="center" vertical="center"/>
    </xf>
    <xf numFmtId="0" fontId="11" fillId="0" borderId="1" xfId="0" applyFont="1" applyBorder="1" applyAlignment="1">
      <alignment horizontal="left" vertical="center" wrapText="1"/>
    </xf>
    <xf numFmtId="0" fontId="11" fillId="0" borderId="21" xfId="0" applyFont="1" applyBorder="1" applyAlignment="1">
      <alignment horizontal="left" vertical="center" wrapText="1"/>
    </xf>
    <xf numFmtId="0" fontId="13" fillId="0" borderId="30" xfId="0" applyFont="1" applyBorder="1" applyAlignment="1">
      <alignment horizontal="left" vertical="center" wrapText="1"/>
    </xf>
    <xf numFmtId="0" fontId="13" fillId="0" borderId="11" xfId="0" applyFont="1" applyBorder="1" applyAlignment="1">
      <alignment horizontal="left" vertical="center"/>
    </xf>
    <xf numFmtId="0" fontId="13" fillId="0" borderId="31" xfId="0" applyFont="1" applyBorder="1" applyAlignment="1">
      <alignment horizontal="left" vertical="center"/>
    </xf>
    <xf numFmtId="4" fontId="11" fillId="0" borderId="7" xfId="0" applyNumberFormat="1" applyFont="1" applyBorder="1" applyAlignment="1">
      <alignment horizontal="center" vertical="center"/>
    </xf>
    <xf numFmtId="4" fontId="11" fillId="0" borderId="11" xfId="0" applyNumberFormat="1" applyFont="1" applyBorder="1" applyAlignment="1">
      <alignment horizontal="center" vertical="center"/>
    </xf>
    <xf numFmtId="0" fontId="11" fillId="0" borderId="35" xfId="0" applyFont="1" applyBorder="1" applyAlignment="1">
      <alignment horizontal="center" vertical="center"/>
    </xf>
    <xf numFmtId="4" fontId="11" fillId="0" borderId="6" xfId="0" applyNumberFormat="1" applyFont="1" applyBorder="1" applyAlignment="1">
      <alignment horizontal="center" vertical="center"/>
    </xf>
    <xf numFmtId="4" fontId="11" fillId="0" borderId="3" xfId="0" applyNumberFormat="1" applyFont="1" applyBorder="1" applyAlignment="1">
      <alignment horizontal="center" vertical="center"/>
    </xf>
    <xf numFmtId="4" fontId="11" fillId="0" borderId="13" xfId="0" applyNumberFormat="1" applyFont="1" applyBorder="1" applyAlignment="1">
      <alignment horizontal="center" vertical="center"/>
    </xf>
    <xf numFmtId="4" fontId="11" fillId="0" borderId="15" xfId="0" applyNumberFormat="1" applyFont="1" applyBorder="1" applyAlignment="1">
      <alignment horizontal="center" vertical="center"/>
    </xf>
    <xf numFmtId="4" fontId="13" fillId="0" borderId="4" xfId="3" applyNumberFormat="1" applyFont="1" applyFill="1" applyBorder="1" applyAlignment="1">
      <alignment horizontal="center" vertical="center"/>
    </xf>
    <xf numFmtId="4" fontId="13" fillId="0" borderId="36" xfId="3" applyNumberFormat="1" applyFont="1" applyFill="1" applyBorder="1" applyAlignment="1">
      <alignment horizontal="center" vertical="center"/>
    </xf>
    <xf numFmtId="4" fontId="13" fillId="0" borderId="4" xfId="0" applyNumberFormat="1" applyFont="1" applyBorder="1" applyAlignment="1">
      <alignment horizontal="center" vertical="center"/>
    </xf>
    <xf numFmtId="4" fontId="13" fillId="0" borderId="5" xfId="0" applyNumberFormat="1" applyFont="1" applyBorder="1" applyAlignment="1">
      <alignment horizontal="center" vertical="center"/>
    </xf>
    <xf numFmtId="4" fontId="32" fillId="0" borderId="4" xfId="0" applyNumberFormat="1" applyFont="1" applyBorder="1" applyAlignment="1">
      <alignment horizontal="center" vertical="center"/>
    </xf>
    <xf numFmtId="4" fontId="13" fillId="0" borderId="13" xfId="0" applyNumberFormat="1" applyFont="1" applyBorder="1" applyAlignment="1">
      <alignment horizontal="center" vertical="center"/>
    </xf>
    <xf numFmtId="4" fontId="13" fillId="0" borderId="15" xfId="0" applyNumberFormat="1" applyFont="1" applyBorder="1" applyAlignment="1">
      <alignment horizontal="center" vertical="center"/>
    </xf>
    <xf numFmtId="4" fontId="13" fillId="0" borderId="34" xfId="0" applyNumberFormat="1" applyFont="1" applyBorder="1" applyAlignment="1">
      <alignment horizontal="center" vertical="center"/>
    </xf>
    <xf numFmtId="4" fontId="13" fillId="0" borderId="32" xfId="0" applyNumberFormat="1" applyFont="1" applyBorder="1" applyAlignment="1">
      <alignment horizontal="center" vertical="center"/>
    </xf>
    <xf numFmtId="0" fontId="21" fillId="0" borderId="20" xfId="0" applyFont="1" applyBorder="1" applyAlignment="1">
      <alignment horizontal="left" vertical="center"/>
    </xf>
    <xf numFmtId="49" fontId="21" fillId="0" borderId="20" xfId="0" applyNumberFormat="1" applyFont="1" applyBorder="1" applyAlignment="1">
      <alignment horizontal="center" vertical="center"/>
    </xf>
    <xf numFmtId="49" fontId="33" fillId="0" borderId="30" xfId="0" applyNumberFormat="1" applyFont="1" applyBorder="1" applyAlignment="1">
      <alignment horizontal="center" vertical="center"/>
    </xf>
    <xf numFmtId="49" fontId="33" fillId="0" borderId="11" xfId="0" applyNumberFormat="1" applyFont="1" applyBorder="1" applyAlignment="1">
      <alignment horizontal="center" vertical="center"/>
    </xf>
    <xf numFmtId="49" fontId="33" fillId="0" borderId="12" xfId="0" applyNumberFormat="1" applyFont="1" applyBorder="1" applyAlignment="1">
      <alignment horizontal="center" vertical="center"/>
    </xf>
    <xf numFmtId="49" fontId="33" fillId="0" borderId="3" xfId="0" applyNumberFormat="1" applyFont="1" applyBorder="1" applyAlignment="1">
      <alignment horizontal="center" vertical="center"/>
    </xf>
    <xf numFmtId="0" fontId="33" fillId="2" borderId="31" xfId="0" applyFont="1" applyFill="1" applyBorder="1" applyAlignment="1">
      <alignment horizontal="left" vertical="center"/>
    </xf>
    <xf numFmtId="0" fontId="33" fillId="2" borderId="30"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31" xfId="0" applyFont="1" applyFill="1" applyBorder="1" applyAlignment="1">
      <alignment horizontal="left" vertical="center" wrapText="1"/>
    </xf>
    <xf numFmtId="0" fontId="21" fillId="2" borderId="20" xfId="0" applyFont="1" applyFill="1" applyBorder="1" applyAlignment="1">
      <alignment horizontal="left" vertical="center" wrapText="1"/>
    </xf>
    <xf numFmtId="0" fontId="21" fillId="2" borderId="1" xfId="0" applyFont="1" applyFill="1" applyBorder="1" applyAlignment="1">
      <alignment horizontal="left" vertical="center"/>
    </xf>
    <xf numFmtId="0" fontId="21" fillId="2" borderId="20" xfId="0" applyFont="1" applyFill="1" applyBorder="1" applyAlignment="1">
      <alignment horizontal="left" vertical="center"/>
    </xf>
    <xf numFmtId="49" fontId="21" fillId="2" borderId="20" xfId="0" applyNumberFormat="1" applyFont="1" applyFill="1" applyBorder="1" applyAlignment="1">
      <alignment horizontal="center" vertical="center"/>
    </xf>
    <xf numFmtId="49" fontId="21" fillId="2" borderId="1" xfId="0" applyNumberFormat="1" applyFont="1" applyFill="1" applyBorder="1" applyAlignment="1">
      <alignment horizontal="center" vertical="center"/>
    </xf>
    <xf numFmtId="49" fontId="21" fillId="2" borderId="5" xfId="0" applyNumberFormat="1" applyFont="1" applyFill="1" applyBorder="1" applyAlignment="1">
      <alignment horizontal="center" vertical="center"/>
    </xf>
    <xf numFmtId="49" fontId="21" fillId="2" borderId="2" xfId="0" applyNumberFormat="1" applyFont="1" applyFill="1" applyBorder="1" applyAlignment="1">
      <alignment horizontal="center" vertical="center"/>
    </xf>
    <xf numFmtId="0" fontId="11" fillId="0" borderId="20" xfId="0" applyFont="1" applyBorder="1" applyAlignment="1">
      <alignment horizontal="left" vertical="center"/>
    </xf>
    <xf numFmtId="0" fontId="11" fillId="0" borderId="21" xfId="0" applyFont="1" applyBorder="1" applyAlignment="1">
      <alignment horizontal="left" vertical="center"/>
    </xf>
    <xf numFmtId="0" fontId="11" fillId="0" borderId="0" xfId="0" applyFont="1" applyAlignment="1">
      <alignment horizontal="justify" vertical="center" wrapText="1"/>
    </xf>
    <xf numFmtId="0" fontId="33" fillId="2" borderId="22" xfId="0" applyFont="1" applyFill="1" applyBorder="1" applyAlignment="1">
      <alignment horizontal="left" vertical="center" wrapText="1"/>
    </xf>
    <xf numFmtId="0" fontId="33" fillId="2" borderId="23" xfId="0" applyFont="1" applyFill="1" applyBorder="1" applyAlignment="1">
      <alignment horizontal="left" vertical="center"/>
    </xf>
    <xf numFmtId="49" fontId="33" fillId="2" borderId="22" xfId="0" applyNumberFormat="1" applyFont="1" applyFill="1" applyBorder="1" applyAlignment="1">
      <alignment horizontal="center" vertical="center"/>
    </xf>
    <xf numFmtId="49" fontId="33" fillId="2" borderId="23" xfId="0" applyNumberFormat="1" applyFont="1" applyFill="1" applyBorder="1" applyAlignment="1">
      <alignment horizontal="center" vertical="center"/>
    </xf>
    <xf numFmtId="49" fontId="33" fillId="2" borderId="38" xfId="0" applyNumberFormat="1" applyFont="1" applyFill="1" applyBorder="1" applyAlignment="1">
      <alignment horizontal="center" vertical="center"/>
    </xf>
    <xf numFmtId="49" fontId="33" fillId="2" borderId="39" xfId="0" applyNumberFormat="1" applyFont="1" applyFill="1" applyBorder="1" applyAlignment="1">
      <alignment horizontal="center" vertical="center"/>
    </xf>
    <xf numFmtId="0" fontId="33" fillId="0" borderId="39"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21" fillId="0" borderId="21" xfId="0" applyFont="1" applyBorder="1" applyAlignment="1">
      <alignment horizontal="center" vertical="center"/>
    </xf>
    <xf numFmtId="49" fontId="16" fillId="2" borderId="2" xfId="0" applyNumberFormat="1" applyFont="1" applyFill="1" applyBorder="1" applyAlignment="1">
      <alignment horizontal="center" vertical="center"/>
    </xf>
    <xf numFmtId="49" fontId="16" fillId="2" borderId="1" xfId="0" applyNumberFormat="1" applyFont="1" applyFill="1" applyBorder="1" applyAlignment="1">
      <alignment horizontal="center" vertical="center"/>
    </xf>
    <xf numFmtId="49" fontId="16" fillId="2" borderId="5" xfId="0" applyNumberFormat="1" applyFont="1" applyFill="1" applyBorder="1" applyAlignment="1">
      <alignment horizontal="center" vertical="center"/>
    </xf>
    <xf numFmtId="4" fontId="16" fillId="2" borderId="2" xfId="0" applyNumberFormat="1" applyFont="1" applyFill="1" applyBorder="1" applyAlignment="1">
      <alignment horizontal="center" vertical="center"/>
    </xf>
    <xf numFmtId="4" fontId="16" fillId="2" borderId="1" xfId="0" applyNumberFormat="1" applyFont="1" applyFill="1" applyBorder="1" applyAlignment="1">
      <alignment horizontal="center" vertical="center"/>
    </xf>
    <xf numFmtId="4" fontId="16" fillId="2" borderId="5" xfId="0" applyNumberFormat="1" applyFont="1" applyFill="1" applyBorder="1" applyAlignment="1">
      <alignment horizontal="center" vertical="center"/>
    </xf>
    <xf numFmtId="0" fontId="16" fillId="2" borderId="2" xfId="0" applyFont="1" applyFill="1" applyBorder="1" applyAlignment="1">
      <alignment horizontal="left" vertical="center" wrapText="1"/>
    </xf>
    <xf numFmtId="0" fontId="16" fillId="2" borderId="1" xfId="0" applyFont="1" applyFill="1" applyBorder="1" applyAlignment="1">
      <alignment horizontal="left" vertical="center"/>
    </xf>
    <xf numFmtId="0" fontId="16" fillId="2" borderId="7" xfId="0" applyFont="1" applyFill="1" applyBorder="1" applyAlignment="1">
      <alignment horizontal="left"/>
    </xf>
    <xf numFmtId="0" fontId="16" fillId="2" borderId="8" xfId="0" applyFont="1" applyFill="1" applyBorder="1" applyAlignment="1">
      <alignment horizontal="left"/>
    </xf>
    <xf numFmtId="0" fontId="16" fillId="2" borderId="6" xfId="0" applyFont="1" applyFill="1" applyBorder="1" applyAlignment="1">
      <alignment horizontal="right"/>
    </xf>
    <xf numFmtId="0" fontId="16" fillId="2" borderId="7" xfId="0" applyFont="1" applyFill="1" applyBorder="1" applyAlignment="1">
      <alignment horizontal="right"/>
    </xf>
    <xf numFmtId="49" fontId="16" fillId="2" borderId="1" xfId="0" applyNumberFormat="1" applyFont="1" applyFill="1" applyBorder="1" applyAlignment="1">
      <alignment horizontal="left"/>
    </xf>
    <xf numFmtId="0" fontId="19" fillId="2" borderId="0" xfId="0" applyFont="1" applyFill="1" applyAlignment="1">
      <alignment horizontal="center"/>
    </xf>
    <xf numFmtId="0" fontId="16" fillId="2" borderId="7"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7" xfId="0" applyFont="1" applyFill="1" applyBorder="1" applyAlignment="1">
      <alignment horizontal="center" vertical="center"/>
    </xf>
    <xf numFmtId="0" fontId="16" fillId="2" borderId="8" xfId="0" applyFont="1" applyFill="1" applyBorder="1" applyAlignment="1">
      <alignment horizontal="center" vertical="center"/>
    </xf>
    <xf numFmtId="0" fontId="16" fillId="2" borderId="0" xfId="0" applyFont="1" applyFill="1" applyAlignment="1">
      <alignment horizontal="center" vertical="center"/>
    </xf>
    <xf numFmtId="0" fontId="16" fillId="2" borderId="10" xfId="0" applyFont="1" applyFill="1" applyBorder="1" applyAlignment="1">
      <alignment horizontal="center" vertical="center"/>
    </xf>
    <xf numFmtId="0" fontId="16" fillId="2" borderId="11" xfId="0" applyFont="1" applyFill="1" applyBorder="1" applyAlignment="1">
      <alignment horizontal="center" vertical="center"/>
    </xf>
    <xf numFmtId="0" fontId="16" fillId="2" borderId="12" xfId="0" applyFont="1" applyFill="1" applyBorder="1" applyAlignment="1">
      <alignment horizontal="center" vertical="center"/>
    </xf>
    <xf numFmtId="0" fontId="16" fillId="2" borderId="6"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3" xfId="0" applyFont="1" applyFill="1" applyBorder="1" applyAlignment="1">
      <alignment horizontal="center" vertical="top" wrapText="1"/>
    </xf>
    <xf numFmtId="0" fontId="16" fillId="2" borderId="11" xfId="0" applyFont="1" applyFill="1" applyBorder="1" applyAlignment="1">
      <alignment horizontal="center" vertical="top" wrapText="1"/>
    </xf>
    <xf numFmtId="0" fontId="16" fillId="2" borderId="12" xfId="0" applyFont="1" applyFill="1" applyBorder="1" applyAlignment="1">
      <alignment horizontal="center" vertical="top" wrapText="1"/>
    </xf>
    <xf numFmtId="49" fontId="16" fillId="2" borderId="6" xfId="0" applyNumberFormat="1" applyFont="1" applyFill="1" applyBorder="1" applyAlignment="1">
      <alignment horizontal="center" vertical="top"/>
    </xf>
    <xf numFmtId="49" fontId="16" fillId="2" borderId="7" xfId="0" applyNumberFormat="1" applyFont="1" applyFill="1" applyBorder="1" applyAlignment="1">
      <alignment horizontal="center" vertical="top"/>
    </xf>
    <xf numFmtId="49" fontId="16" fillId="2" borderId="8" xfId="0" applyNumberFormat="1" applyFont="1" applyFill="1" applyBorder="1" applyAlignment="1">
      <alignment horizontal="center" vertical="top"/>
    </xf>
    <xf numFmtId="49" fontId="19" fillId="2" borderId="1" xfId="0" applyNumberFormat="1" applyFont="1" applyFill="1" applyBorder="1" applyAlignment="1">
      <alignment horizontal="center" vertical="center"/>
    </xf>
    <xf numFmtId="49" fontId="19" fillId="2" borderId="5" xfId="0" applyNumberFormat="1" applyFont="1" applyFill="1" applyBorder="1" applyAlignment="1">
      <alignment horizontal="center" vertical="center"/>
    </xf>
    <xf numFmtId="0" fontId="19" fillId="2" borderId="2" xfId="0" applyFont="1" applyFill="1" applyBorder="1" applyAlignment="1">
      <alignment horizontal="left" vertical="center"/>
    </xf>
    <xf numFmtId="0" fontId="19" fillId="2" borderId="1" xfId="0" applyFont="1" applyFill="1" applyBorder="1" applyAlignment="1">
      <alignment horizontal="left" vertical="center"/>
    </xf>
    <xf numFmtId="49" fontId="19" fillId="2" borderId="2" xfId="0" applyNumberFormat="1" applyFont="1" applyFill="1" applyBorder="1" applyAlignment="1">
      <alignment horizontal="center" vertical="center"/>
    </xf>
    <xf numFmtId="49" fontId="16" fillId="2" borderId="1" xfId="0" applyNumberFormat="1" applyFont="1" applyFill="1" applyBorder="1" applyAlignment="1">
      <alignment horizontal="center" vertical="top"/>
    </xf>
    <xf numFmtId="49" fontId="16" fillId="2" borderId="5" xfId="0" applyNumberFormat="1" applyFont="1" applyFill="1" applyBorder="1" applyAlignment="1">
      <alignment horizontal="center" vertical="top"/>
    </xf>
    <xf numFmtId="4" fontId="19" fillId="2" borderId="2" xfId="0" applyNumberFormat="1" applyFont="1" applyFill="1" applyBorder="1" applyAlignment="1">
      <alignment horizontal="center" vertical="center"/>
    </xf>
    <xf numFmtId="4" fontId="19" fillId="2" borderId="1" xfId="0" applyNumberFormat="1" applyFont="1" applyFill="1" applyBorder="1" applyAlignment="1">
      <alignment horizontal="center" vertical="center"/>
    </xf>
    <xf numFmtId="4" fontId="19" fillId="2" borderId="5" xfId="0" applyNumberFormat="1" applyFont="1" applyFill="1" applyBorder="1" applyAlignment="1">
      <alignment horizontal="center" vertical="center"/>
    </xf>
    <xf numFmtId="4" fontId="16" fillId="2" borderId="4" xfId="0" applyNumberFormat="1" applyFont="1" applyFill="1" applyBorder="1" applyAlignment="1">
      <alignment horizontal="center" vertical="center"/>
    </xf>
    <xf numFmtId="49" fontId="16" fillId="2" borderId="3" xfId="0" applyNumberFormat="1" applyFont="1" applyFill="1" applyBorder="1" applyAlignment="1">
      <alignment horizontal="center" vertical="center"/>
    </xf>
    <xf numFmtId="49" fontId="16" fillId="2" borderId="11" xfId="0" applyNumberFormat="1" applyFont="1" applyFill="1" applyBorder="1" applyAlignment="1">
      <alignment horizontal="center" vertical="center"/>
    </xf>
    <xf numFmtId="49" fontId="16" fillId="2" borderId="12" xfId="0" applyNumberFormat="1" applyFont="1" applyFill="1" applyBorder="1" applyAlignment="1">
      <alignment horizontal="center" vertical="center"/>
    </xf>
    <xf numFmtId="4" fontId="16" fillId="2" borderId="3" xfId="0" applyNumberFormat="1" applyFont="1" applyFill="1" applyBorder="1" applyAlignment="1">
      <alignment horizontal="center" vertical="center"/>
    </xf>
    <xf numFmtId="4" fontId="16" fillId="2" borderId="11" xfId="0" applyNumberFormat="1" applyFont="1" applyFill="1" applyBorder="1" applyAlignment="1">
      <alignment horizontal="center" vertical="center"/>
    </xf>
    <xf numFmtId="4" fontId="16" fillId="2" borderId="12" xfId="0" applyNumberFormat="1" applyFont="1" applyFill="1" applyBorder="1" applyAlignment="1">
      <alignment horizontal="center" vertical="center"/>
    </xf>
    <xf numFmtId="49" fontId="16" fillId="2" borderId="4" xfId="0" applyNumberFormat="1" applyFont="1" applyFill="1" applyBorder="1" applyAlignment="1">
      <alignment horizontal="center" vertical="center"/>
    </xf>
    <xf numFmtId="49" fontId="16" fillId="2" borderId="7" xfId="0" applyNumberFormat="1" applyFont="1" applyFill="1" applyBorder="1" applyAlignment="1">
      <alignment horizontal="center" vertical="center"/>
    </xf>
    <xf numFmtId="49" fontId="16" fillId="2" borderId="8" xfId="0" applyNumberFormat="1" applyFont="1" applyFill="1" applyBorder="1" applyAlignment="1">
      <alignment horizontal="center" vertical="center"/>
    </xf>
    <xf numFmtId="0" fontId="16" fillId="2" borderId="6" xfId="0" applyFont="1" applyFill="1" applyBorder="1" applyAlignment="1">
      <alignment horizontal="left" vertical="center" wrapText="1"/>
    </xf>
    <xf numFmtId="0" fontId="16" fillId="2" borderId="7" xfId="0" applyFont="1" applyFill="1" applyBorder="1" applyAlignment="1">
      <alignment horizontal="left" vertical="center"/>
    </xf>
    <xf numFmtId="49" fontId="16" fillId="2" borderId="6" xfId="0" applyNumberFormat="1" applyFont="1" applyFill="1" applyBorder="1" applyAlignment="1">
      <alignment horizontal="center" vertical="center"/>
    </xf>
    <xf numFmtId="4" fontId="16" fillId="2" borderId="6" xfId="0" applyNumberFormat="1" applyFont="1" applyFill="1" applyBorder="1" applyAlignment="1">
      <alignment horizontal="center" vertical="center"/>
    </xf>
    <xf numFmtId="4" fontId="16" fillId="2" borderId="7" xfId="0" applyNumberFormat="1" applyFont="1" applyFill="1" applyBorder="1" applyAlignment="1">
      <alignment horizontal="center" vertical="center"/>
    </xf>
    <xf numFmtId="4" fontId="16" fillId="2" borderId="8" xfId="0" applyNumberFormat="1" applyFont="1" applyFill="1" applyBorder="1" applyAlignment="1">
      <alignment horizontal="center" vertical="center"/>
    </xf>
    <xf numFmtId="0" fontId="16" fillId="2" borderId="3" xfId="0" applyFont="1" applyFill="1" applyBorder="1" applyAlignment="1">
      <alignment horizontal="left" vertical="center" wrapText="1"/>
    </xf>
    <xf numFmtId="0" fontId="16" fillId="2" borderId="11" xfId="0" applyFont="1" applyFill="1" applyBorder="1" applyAlignment="1">
      <alignment horizontal="left" vertical="center"/>
    </xf>
    <xf numFmtId="0" fontId="16" fillId="2" borderId="11" xfId="0" applyFont="1" applyFill="1" applyBorder="1" applyAlignment="1">
      <alignment horizontal="center"/>
    </xf>
    <xf numFmtId="49" fontId="16" fillId="2" borderId="11" xfId="0" applyNumberFormat="1" applyFont="1" applyFill="1" applyBorder="1" applyAlignment="1">
      <alignment horizontal="center"/>
    </xf>
    <xf numFmtId="0" fontId="16" fillId="2" borderId="7" xfId="0" applyFont="1" applyFill="1" applyBorder="1" applyAlignment="1">
      <alignment horizontal="center" vertical="top"/>
    </xf>
    <xf numFmtId="0" fontId="62" fillId="2" borderId="7" xfId="0" applyFont="1" applyFill="1" applyBorder="1" applyAlignment="1">
      <alignment horizontal="center" vertical="top"/>
    </xf>
    <xf numFmtId="0" fontId="16" fillId="2" borderId="0" xfId="0" applyFont="1" applyFill="1" applyAlignment="1">
      <alignment horizontal="center" wrapText="1"/>
    </xf>
    <xf numFmtId="0" fontId="16" fillId="2" borderId="11" xfId="0" applyFont="1" applyFill="1" applyBorder="1" applyAlignment="1">
      <alignment horizontal="center" wrapText="1"/>
    </xf>
    <xf numFmtId="0" fontId="16" fillId="2" borderId="0" xfId="0" applyFont="1" applyFill="1" applyAlignment="1">
      <alignment horizontal="center" vertical="top"/>
    </xf>
    <xf numFmtId="0" fontId="16" fillId="2" borderId="46" xfId="0" applyFont="1" applyFill="1" applyBorder="1" applyAlignment="1">
      <alignment horizontal="center"/>
    </xf>
    <xf numFmtId="0" fontId="16" fillId="2" borderId="47" xfId="0" applyFont="1" applyFill="1" applyBorder="1" applyAlignment="1">
      <alignment horizontal="center"/>
    </xf>
    <xf numFmtId="0" fontId="16" fillId="2" borderId="48" xfId="0" applyFont="1" applyFill="1" applyBorder="1" applyAlignment="1">
      <alignment horizontal="center" vertical="top"/>
    </xf>
    <xf numFmtId="0" fontId="16" fillId="2" borderId="49" xfId="0" applyFont="1" applyFill="1" applyBorder="1" applyAlignment="1">
      <alignment horizontal="center" vertical="top"/>
    </xf>
    <xf numFmtId="0" fontId="16" fillId="2" borderId="0" xfId="0" applyFont="1" applyFill="1" applyAlignment="1">
      <alignment horizontal="right"/>
    </xf>
    <xf numFmtId="0" fontId="16" fillId="2" borderId="0" xfId="0" applyFont="1" applyFill="1" applyAlignment="1">
      <alignment horizontal="left"/>
    </xf>
    <xf numFmtId="49" fontId="16" fillId="2" borderId="11" xfId="0" applyNumberFormat="1" applyFont="1" applyFill="1" applyBorder="1" applyAlignment="1">
      <alignment horizontal="left"/>
    </xf>
    <xf numFmtId="0" fontId="39" fillId="2" borderId="0" xfId="0" applyFont="1" applyFill="1" applyAlignment="1">
      <alignment horizontal="justify" vertical="top"/>
    </xf>
    <xf numFmtId="0" fontId="16" fillId="2" borderId="0" xfId="0" applyFont="1" applyFill="1" applyAlignment="1">
      <alignment horizontal="justify" vertical="top"/>
    </xf>
    <xf numFmtId="0" fontId="39" fillId="2" borderId="0" xfId="0" applyFont="1" applyFill="1" applyAlignment="1">
      <alignment horizontal="justify" vertical="top" wrapText="1"/>
    </xf>
    <xf numFmtId="0" fontId="39" fillId="2" borderId="0" xfId="0" applyFont="1" applyFill="1" applyAlignment="1">
      <alignment horizontal="justify" wrapText="1"/>
    </xf>
    <xf numFmtId="0" fontId="39" fillId="2" borderId="0" xfId="0" applyFont="1" applyFill="1" applyAlignment="1">
      <alignment horizontal="justify"/>
    </xf>
    <xf numFmtId="0" fontId="16" fillId="2" borderId="0" xfId="0" applyFont="1" applyFill="1" applyAlignment="1">
      <alignment horizontal="justify"/>
    </xf>
    <xf numFmtId="0" fontId="16" fillId="2" borderId="44" xfId="0" applyFont="1" applyFill="1" applyBorder="1" applyAlignment="1">
      <alignment horizontal="right"/>
    </xf>
    <xf numFmtId="0" fontId="39" fillId="2" borderId="0" xfId="0" applyFont="1" applyFill="1" applyAlignment="1">
      <alignment horizontal="left" wrapText="1"/>
    </xf>
    <xf numFmtId="0" fontId="11" fillId="0" borderId="0" xfId="0" applyFont="1" applyAlignment="1">
      <alignment horizontal="left" vertical="top"/>
    </xf>
    <xf numFmtId="0" fontId="11" fillId="0" borderId="0" xfId="0" applyFont="1" applyAlignment="1">
      <alignment horizontal="right" vertical="top"/>
    </xf>
    <xf numFmtId="0" fontId="11" fillId="0" borderId="0" xfId="0" applyFont="1" applyAlignment="1">
      <alignment horizontal="center" vertical="top"/>
    </xf>
    <xf numFmtId="0" fontId="11" fillId="0" borderId="13" xfId="0" applyFont="1" applyBorder="1" applyAlignment="1">
      <alignment horizontal="center" vertical="center"/>
    </xf>
    <xf numFmtId="0" fontId="0" fillId="0" borderId="15" xfId="0" applyBorder="1"/>
    <xf numFmtId="0" fontId="11" fillId="0" borderId="13" xfId="0" applyFont="1" applyBorder="1" applyAlignment="1">
      <alignment horizontal="center" vertical="center" wrapText="1"/>
    </xf>
    <xf numFmtId="0" fontId="0" fillId="0" borderId="1" xfId="0" applyBorder="1"/>
    <xf numFmtId="0" fontId="0" fillId="0" borderId="5" xfId="0" applyBorder="1"/>
    <xf numFmtId="0" fontId="11" fillId="0" borderId="2" xfId="0" applyFont="1" applyBorder="1" applyAlignment="1">
      <alignment horizontal="center" vertical="center" wrapText="1"/>
    </xf>
    <xf numFmtId="0" fontId="11" fillId="0" borderId="0" xfId="0" applyFont="1" applyAlignment="1">
      <alignment horizontal="center" vertical="top" wrapText="1"/>
    </xf>
    <xf numFmtId="0" fontId="11" fillId="11" borderId="13" xfId="0" applyFont="1" applyFill="1" applyBorder="1" applyAlignment="1">
      <alignment horizontal="center" vertical="center"/>
    </xf>
    <xf numFmtId="0" fontId="0" fillId="11" borderId="15" xfId="0" applyFill="1" applyBorder="1"/>
    <xf numFmtId="0" fontId="11" fillId="11" borderId="13" xfId="0" applyFont="1" applyFill="1" applyBorder="1" applyAlignment="1">
      <alignment horizontal="center" vertical="center" wrapText="1"/>
    </xf>
    <xf numFmtId="0" fontId="11" fillId="11" borderId="2" xfId="0" applyFont="1" applyFill="1" applyBorder="1" applyAlignment="1">
      <alignment horizontal="center" vertical="center" wrapText="1"/>
    </xf>
    <xf numFmtId="0" fontId="0" fillId="11" borderId="1" xfId="0" applyFill="1" applyBorder="1"/>
    <xf numFmtId="0" fontId="0" fillId="11" borderId="5" xfId="0" applyFill="1" applyBorder="1"/>
    <xf numFmtId="4" fontId="26" fillId="8" borderId="4" xfId="0" applyNumberFormat="1" applyFont="1" applyFill="1" applyBorder="1" applyAlignment="1">
      <alignment horizontal="center" vertical="center"/>
    </xf>
    <xf numFmtId="4" fontId="26" fillId="11" borderId="4" xfId="0" applyNumberFormat="1" applyFont="1" applyFill="1" applyBorder="1" applyAlignment="1">
      <alignment horizontal="center" vertical="center"/>
    </xf>
    <xf numFmtId="0" fontId="11" fillId="11" borderId="0" xfId="0" applyFont="1" applyFill="1" applyAlignment="1">
      <alignment horizontal="left" vertical="top"/>
    </xf>
    <xf numFmtId="0" fontId="58" fillId="0" borderId="0" xfId="0" applyFont="1" applyAlignment="1">
      <alignment horizontal="center" vertical="center"/>
    </xf>
    <xf numFmtId="0" fontId="46" fillId="0" borderId="0" xfId="22" applyFont="1" applyAlignment="1">
      <alignment horizontal="left"/>
    </xf>
    <xf numFmtId="0" fontId="47" fillId="0" borderId="4" xfId="22" applyFont="1" applyBorder="1" applyAlignment="1">
      <alignment horizontal="center" vertical="center" wrapText="1"/>
    </xf>
    <xf numFmtId="0" fontId="47" fillId="0" borderId="13" xfId="22" applyFont="1" applyBorder="1" applyAlignment="1">
      <alignment horizontal="center" vertical="center" wrapText="1"/>
    </xf>
    <xf numFmtId="0" fontId="47" fillId="0" borderId="14" xfId="22" applyFont="1" applyBorder="1" applyAlignment="1">
      <alignment horizontal="center" vertical="center" wrapText="1"/>
    </xf>
    <xf numFmtId="0" fontId="47" fillId="0" borderId="15" xfId="22" applyFont="1" applyBorder="1" applyAlignment="1">
      <alignment horizontal="center" vertical="center" wrapText="1"/>
    </xf>
    <xf numFmtId="0" fontId="22" fillId="0" borderId="4" xfId="27" applyFont="1" applyBorder="1" applyAlignment="1">
      <alignment horizontal="center" vertical="center" wrapText="1"/>
    </xf>
    <xf numFmtId="0" fontId="22" fillId="0" borderId="4" xfId="27" applyFont="1" applyBorder="1" applyAlignment="1">
      <alignment horizontal="center" vertical="center"/>
    </xf>
    <xf numFmtId="0" fontId="30" fillId="0" borderId="4" xfId="27" applyFont="1" applyBorder="1" applyAlignment="1">
      <alignment horizontal="center" vertical="center"/>
    </xf>
    <xf numFmtId="166" fontId="30" fillId="0" borderId="4" xfId="1" applyFont="1" applyFill="1" applyBorder="1" applyAlignment="1">
      <alignment horizontal="center" vertical="center"/>
    </xf>
    <xf numFmtId="0" fontId="16" fillId="0" borderId="4" xfId="27" applyFont="1" applyBorder="1" applyAlignment="1">
      <alignment horizontal="center" vertical="center"/>
    </xf>
    <xf numFmtId="0" fontId="16" fillId="0" borderId="4" xfId="27" applyFont="1" applyBorder="1" applyAlignment="1">
      <alignment horizontal="center" vertical="center" wrapText="1"/>
    </xf>
    <xf numFmtId="166" fontId="16" fillId="0" borderId="4" xfId="1" applyFont="1" applyFill="1" applyBorder="1" applyAlignment="1">
      <alignment horizontal="center" vertical="center" wrapText="1"/>
    </xf>
    <xf numFmtId="166" fontId="31" fillId="0" borderId="0" xfId="1" applyFont="1" applyFill="1" applyBorder="1" applyAlignment="1">
      <alignment horizontal="right" vertical="center" wrapText="1"/>
    </xf>
    <xf numFmtId="166" fontId="31" fillId="0" borderId="0" xfId="1" applyFont="1" applyFill="1" applyBorder="1" applyAlignment="1">
      <alignment horizontal="right" vertical="center"/>
    </xf>
    <xf numFmtId="0" fontId="30" fillId="0" borderId="0" xfId="27" applyFont="1" applyAlignment="1">
      <alignment horizontal="center" vertical="center"/>
    </xf>
    <xf numFmtId="0" fontId="71" fillId="0" borderId="0" xfId="27" applyFont="1" applyAlignment="1">
      <alignment vertical="center"/>
    </xf>
    <xf numFmtId="0" fontId="72" fillId="0" borderId="0" xfId="27" applyFont="1" applyAlignment="1">
      <alignment vertical="center"/>
    </xf>
    <xf numFmtId="4" fontId="31" fillId="2" borderId="4" xfId="27" applyNumberFormat="1" applyFont="1" applyFill="1" applyBorder="1" applyAlignment="1">
      <alignment horizontal="center" vertical="center" wrapText="1"/>
    </xf>
    <xf numFmtId="166" fontId="13" fillId="0" borderId="4" xfId="1" applyFont="1" applyFill="1" applyBorder="1" applyAlignment="1">
      <alignment horizontal="center" vertical="center"/>
    </xf>
    <xf numFmtId="166" fontId="11" fillId="2" borderId="2" xfId="3" applyFont="1" applyFill="1" applyBorder="1" applyAlignment="1">
      <alignment horizontal="left" wrapText="1"/>
    </xf>
    <xf numFmtId="166" fontId="11" fillId="2" borderId="1" xfId="3" applyFont="1" applyFill="1" applyBorder="1" applyAlignment="1">
      <alignment horizontal="left" wrapText="1"/>
    </xf>
    <xf numFmtId="166" fontId="11" fillId="2" borderId="5" xfId="3" applyFont="1" applyFill="1" applyBorder="1" applyAlignment="1">
      <alignment horizontal="left" wrapText="1"/>
    </xf>
    <xf numFmtId="166" fontId="13" fillId="2" borderId="2" xfId="3" applyFont="1" applyFill="1" applyBorder="1" applyAlignment="1">
      <alignment horizontal="center"/>
    </xf>
    <xf numFmtId="166" fontId="13" fillId="2" borderId="1" xfId="3" applyFont="1" applyFill="1" applyBorder="1" applyAlignment="1">
      <alignment horizontal="center"/>
    </xf>
    <xf numFmtId="166" fontId="13" fillId="2" borderId="5" xfId="3" applyFont="1" applyFill="1" applyBorder="1" applyAlignment="1">
      <alignment horizontal="center"/>
    </xf>
    <xf numFmtId="166" fontId="13" fillId="2" borderId="2" xfId="3" applyFont="1" applyFill="1" applyBorder="1" applyAlignment="1">
      <alignment horizontal="right"/>
    </xf>
    <xf numFmtId="166" fontId="13" fillId="2" borderId="1" xfId="3" applyFont="1" applyFill="1" applyBorder="1" applyAlignment="1">
      <alignment horizontal="right"/>
    </xf>
    <xf numFmtId="166" fontId="13" fillId="2" borderId="5" xfId="3" applyFont="1" applyFill="1" applyBorder="1" applyAlignment="1">
      <alignment horizontal="right"/>
    </xf>
    <xf numFmtId="0" fontId="13" fillId="2" borderId="0" xfId="0" applyFont="1" applyFill="1" applyAlignment="1">
      <alignment horizontal="left" wrapText="1"/>
    </xf>
    <xf numFmtId="166" fontId="11" fillId="2" borderId="2" xfId="3" applyFont="1" applyFill="1" applyBorder="1" applyAlignment="1">
      <alignment horizontal="right"/>
    </xf>
    <xf numFmtId="166" fontId="11" fillId="2" borderId="1" xfId="3" applyFont="1" applyFill="1" applyBorder="1" applyAlignment="1">
      <alignment horizontal="right"/>
    </xf>
    <xf numFmtId="166" fontId="11" fillId="2" borderId="5" xfId="3" applyFont="1" applyFill="1" applyBorder="1" applyAlignment="1">
      <alignment horizontal="right"/>
    </xf>
    <xf numFmtId="0" fontId="11" fillId="2" borderId="2" xfId="3" applyNumberFormat="1" applyFont="1" applyFill="1" applyBorder="1" applyAlignment="1">
      <alignment horizontal="left"/>
    </xf>
    <xf numFmtId="0" fontId="11" fillId="2" borderId="1" xfId="3" applyNumberFormat="1" applyFont="1" applyFill="1" applyBorder="1" applyAlignment="1">
      <alignment horizontal="left"/>
    </xf>
    <xf numFmtId="0" fontId="11" fillId="2" borderId="5" xfId="3" applyNumberFormat="1" applyFont="1" applyFill="1" applyBorder="1" applyAlignment="1">
      <alignment horizontal="left"/>
    </xf>
    <xf numFmtId="166" fontId="11" fillId="0" borderId="2" xfId="3" applyFont="1" applyFill="1" applyBorder="1" applyAlignment="1">
      <alignment horizontal="left" wrapText="1"/>
    </xf>
    <xf numFmtId="166" fontId="11" fillId="0" borderId="1" xfId="3" applyFont="1" applyFill="1" applyBorder="1" applyAlignment="1">
      <alignment horizontal="left" wrapText="1"/>
    </xf>
    <xf numFmtId="166" fontId="11" fillId="0" borderId="5" xfId="3" applyFont="1" applyFill="1" applyBorder="1" applyAlignment="1">
      <alignment horizontal="left" wrapText="1"/>
    </xf>
    <xf numFmtId="177" fontId="11" fillId="0" borderId="2" xfId="3" applyNumberFormat="1" applyFont="1" applyFill="1" applyBorder="1" applyAlignment="1">
      <alignment horizontal="right"/>
    </xf>
    <xf numFmtId="177" fontId="11" fillId="0" borderId="1" xfId="3" applyNumberFormat="1" applyFont="1" applyFill="1" applyBorder="1" applyAlignment="1">
      <alignment horizontal="right"/>
    </xf>
    <xf numFmtId="177" fontId="11" fillId="0" borderId="5" xfId="3" applyNumberFormat="1" applyFont="1" applyFill="1" applyBorder="1" applyAlignment="1">
      <alignment horizontal="right"/>
    </xf>
    <xf numFmtId="166" fontId="11" fillId="0" borderId="2" xfId="3" applyFont="1" applyFill="1" applyBorder="1" applyAlignment="1">
      <alignment horizontal="right"/>
    </xf>
    <xf numFmtId="166" fontId="11" fillId="0" borderId="1" xfId="3" applyFont="1" applyFill="1" applyBorder="1" applyAlignment="1">
      <alignment horizontal="right"/>
    </xf>
    <xf numFmtId="166" fontId="11" fillId="0" borderId="5" xfId="3" applyFont="1" applyFill="1" applyBorder="1" applyAlignment="1">
      <alignment horizontal="right"/>
    </xf>
    <xf numFmtId="166" fontId="11" fillId="0" borderId="2" xfId="3" applyFont="1" applyFill="1" applyBorder="1" applyAlignment="1">
      <alignment wrapText="1"/>
    </xf>
    <xf numFmtId="166" fontId="11" fillId="0" borderId="1" xfId="3" applyFont="1" applyFill="1" applyBorder="1" applyAlignment="1">
      <alignment wrapText="1"/>
    </xf>
    <xf numFmtId="166" fontId="11" fillId="0" borderId="5" xfId="3" applyFont="1" applyFill="1" applyBorder="1" applyAlignment="1">
      <alignment wrapText="1"/>
    </xf>
    <xf numFmtId="0" fontId="11" fillId="2" borderId="2" xfId="0" applyFont="1" applyFill="1" applyBorder="1" applyAlignment="1">
      <alignment horizontal="center" vertical="center"/>
    </xf>
    <xf numFmtId="0" fontId="11" fillId="2" borderId="1"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13"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9" xfId="0" applyFont="1" applyFill="1" applyBorder="1" applyAlignment="1">
      <alignment horizontal="center" vertical="center"/>
    </xf>
    <xf numFmtId="0" fontId="11" fillId="2" borderId="0" xfId="0" applyFont="1" applyFill="1" applyAlignment="1">
      <alignment horizontal="center" vertical="center"/>
    </xf>
    <xf numFmtId="0" fontId="11" fillId="2" borderId="10"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2" xfId="0" applyFont="1" applyFill="1" applyBorder="1" applyAlignment="1">
      <alignment horizontal="center"/>
    </xf>
    <xf numFmtId="0" fontId="11" fillId="2" borderId="1" xfId="0" applyFont="1" applyFill="1" applyBorder="1" applyAlignment="1">
      <alignment horizontal="center"/>
    </xf>
    <xf numFmtId="0" fontId="11" fillId="2" borderId="5" xfId="0" applyFont="1" applyFill="1" applyBorder="1" applyAlignment="1">
      <alignment horizontal="center"/>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2"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13" xfId="0" applyFont="1" applyFill="1" applyBorder="1" applyAlignment="1">
      <alignment horizontal="center" wrapText="1"/>
    </xf>
    <xf numFmtId="0" fontId="11" fillId="2" borderId="14" xfId="0" applyFont="1" applyFill="1" applyBorder="1" applyAlignment="1">
      <alignment horizontal="center" wrapText="1"/>
    </xf>
    <xf numFmtId="0" fontId="11" fillId="2" borderId="15" xfId="0" applyFont="1" applyFill="1" applyBorder="1" applyAlignment="1">
      <alignment horizontal="center" wrapText="1"/>
    </xf>
    <xf numFmtId="166" fontId="13" fillId="2" borderId="0" xfId="3" applyFont="1" applyFill="1" applyAlignment="1">
      <alignment horizontal="center"/>
    </xf>
    <xf numFmtId="0" fontId="13" fillId="2" borderId="0" xfId="0" applyFont="1" applyFill="1" applyAlignment="1">
      <alignment horizontal="center" vertical="center" wrapText="1"/>
    </xf>
    <xf numFmtId="0" fontId="27" fillId="2" borderId="0" xfId="0" applyFont="1" applyFill="1" applyAlignment="1">
      <alignment vertical="center" wrapText="1"/>
    </xf>
    <xf numFmtId="0" fontId="13" fillId="2" borderId="0" xfId="0" applyFont="1" applyFill="1" applyAlignment="1">
      <alignment horizontal="center" vertical="center"/>
    </xf>
    <xf numFmtId="0" fontId="13" fillId="2" borderId="0" xfId="0" applyFont="1" applyFill="1" applyAlignment="1">
      <alignment horizontal="left"/>
    </xf>
    <xf numFmtId="0" fontId="27" fillId="2" borderId="0" xfId="0" applyFont="1" applyFill="1" applyAlignment="1">
      <alignment wrapText="1"/>
    </xf>
    <xf numFmtId="0" fontId="13" fillId="2" borderId="11" xfId="0" applyFont="1" applyFill="1" applyBorder="1" applyAlignment="1">
      <alignment horizontal="left"/>
    </xf>
    <xf numFmtId="0" fontId="11" fillId="2" borderId="4" xfId="0" applyFont="1" applyFill="1" applyBorder="1" applyAlignment="1">
      <alignment horizontal="center"/>
    </xf>
    <xf numFmtId="0" fontId="11" fillId="2" borderId="4" xfId="0" applyFont="1" applyFill="1" applyBorder="1" applyAlignment="1">
      <alignment horizontal="center" vertical="center" wrapText="1"/>
    </xf>
    <xf numFmtId="0" fontId="27" fillId="2" borderId="14" xfId="0" applyFont="1" applyFill="1" applyBorder="1"/>
    <xf numFmtId="0" fontId="27" fillId="2" borderId="15" xfId="0" applyFont="1" applyFill="1" applyBorder="1"/>
    <xf numFmtId="0" fontId="50" fillId="2" borderId="4" xfId="19" applyFont="1" applyFill="1" applyBorder="1" applyAlignment="1">
      <alignment horizontal="left" vertical="center" wrapText="1"/>
    </xf>
    <xf numFmtId="0" fontId="51" fillId="2" borderId="2" xfId="19" applyFont="1" applyFill="1" applyBorder="1" applyAlignment="1">
      <alignment horizontal="left" vertical="center" wrapText="1"/>
    </xf>
    <xf numFmtId="0" fontId="51" fillId="2" borderId="5" xfId="19" applyFont="1" applyFill="1" applyBorder="1" applyAlignment="1">
      <alignment horizontal="left" vertical="center" wrapText="1"/>
    </xf>
    <xf numFmtId="0" fontId="51" fillId="2" borderId="4" xfId="19" applyFont="1" applyFill="1" applyBorder="1" applyAlignment="1">
      <alignment horizontal="left" vertical="center" wrapText="1"/>
    </xf>
    <xf numFmtId="0" fontId="49" fillId="0" borderId="58" xfId="19" applyFont="1" applyBorder="1" applyAlignment="1">
      <alignment horizontal="center" vertical="center" wrapText="1"/>
    </xf>
    <xf numFmtId="0" fontId="49" fillId="0" borderId="0" xfId="19" applyFont="1" applyAlignment="1">
      <alignment horizontal="center" vertical="center" wrapText="1"/>
    </xf>
    <xf numFmtId="0" fontId="50" fillId="2" borderId="61" xfId="19" applyFont="1" applyFill="1" applyBorder="1" applyAlignment="1">
      <alignment horizontal="center" vertical="center" textRotation="90" wrapText="1"/>
    </xf>
    <xf numFmtId="0" fontId="51" fillId="2" borderId="14" xfId="19" applyFont="1" applyFill="1" applyBorder="1" applyAlignment="1">
      <alignment horizontal="center" vertical="center" textRotation="90" wrapText="1"/>
    </xf>
    <xf numFmtId="0" fontId="51" fillId="2" borderId="15" xfId="19" applyFont="1" applyFill="1" applyBorder="1" applyAlignment="1">
      <alignment horizontal="center" vertical="center" textRotation="90" wrapText="1"/>
    </xf>
    <xf numFmtId="0" fontId="50" fillId="2" borderId="61" xfId="19" applyFont="1" applyFill="1" applyBorder="1" applyAlignment="1">
      <alignment horizontal="center" vertical="center" wrapText="1"/>
    </xf>
    <xf numFmtId="0" fontId="51" fillId="2" borderId="14" xfId="19" applyFont="1" applyFill="1" applyBorder="1" applyAlignment="1">
      <alignment horizontal="center" vertical="center" wrapText="1"/>
    </xf>
    <xf numFmtId="0" fontId="51" fillId="2" borderId="15" xfId="19" applyFont="1" applyFill="1" applyBorder="1" applyAlignment="1">
      <alignment horizontal="center" vertical="center" wrapText="1"/>
    </xf>
    <xf numFmtId="0" fontId="50" fillId="2" borderId="2" xfId="19" applyFont="1" applyFill="1" applyBorder="1" applyAlignment="1">
      <alignment horizontal="center" vertical="center" wrapText="1"/>
    </xf>
    <xf numFmtId="0" fontId="51" fillId="2" borderId="5" xfId="19" applyFont="1" applyFill="1" applyBorder="1" applyAlignment="1">
      <alignment horizontal="center" vertical="center" wrapText="1"/>
    </xf>
    <xf numFmtId="0" fontId="50" fillId="2" borderId="13" xfId="19" applyFont="1" applyFill="1" applyBorder="1" applyAlignment="1">
      <alignment horizontal="center" vertical="center" textRotation="90" wrapText="1"/>
    </xf>
    <xf numFmtId="0" fontId="50" fillId="2" borderId="15" xfId="19" applyFont="1" applyFill="1" applyBorder="1" applyAlignment="1">
      <alignment horizontal="center" vertical="center" textRotation="90" wrapText="1"/>
    </xf>
    <xf numFmtId="0" fontId="50" fillId="2" borderId="4" xfId="19" applyFont="1" applyFill="1" applyBorder="1" applyAlignment="1">
      <alignment horizontal="center" vertical="center" textRotation="90" wrapText="1"/>
    </xf>
    <xf numFmtId="2" fontId="50" fillId="2" borderId="13" xfId="19" applyNumberFormat="1" applyFont="1" applyFill="1" applyBorder="1" applyAlignment="1">
      <alignment horizontal="center" vertical="center" textRotation="90" wrapText="1"/>
    </xf>
    <xf numFmtId="2" fontId="50" fillId="2" borderId="15" xfId="19" applyNumberFormat="1" applyFont="1" applyFill="1" applyBorder="1" applyAlignment="1">
      <alignment horizontal="center" vertical="center" textRotation="90" wrapText="1"/>
    </xf>
    <xf numFmtId="0" fontId="51" fillId="2" borderId="67" xfId="19" applyFont="1" applyFill="1" applyBorder="1" applyAlignment="1">
      <alignment horizontal="center" vertical="center" wrapText="1"/>
    </xf>
    <xf numFmtId="0" fontId="51" fillId="2" borderId="13" xfId="19" applyFont="1" applyFill="1" applyBorder="1" applyAlignment="1">
      <alignment horizontal="center" vertical="center" wrapText="1"/>
    </xf>
    <xf numFmtId="0" fontId="51" fillId="2" borderId="70" xfId="19" applyFont="1" applyFill="1" applyBorder="1" applyAlignment="1">
      <alignment horizontal="center" vertical="center" wrapText="1"/>
    </xf>
    <xf numFmtId="0" fontId="51" fillId="2" borderId="27" xfId="19" applyFont="1" applyFill="1" applyBorder="1" applyAlignment="1">
      <alignment horizontal="center" vertical="center" wrapText="1"/>
    </xf>
    <xf numFmtId="0" fontId="51" fillId="2" borderId="36" xfId="19" applyFont="1" applyFill="1" applyBorder="1" applyAlignment="1">
      <alignment horizontal="center" vertical="center" wrapText="1"/>
    </xf>
    <xf numFmtId="0" fontId="51" fillId="2" borderId="4" xfId="19" applyFont="1" applyFill="1" applyBorder="1" applyAlignment="1">
      <alignment horizontal="center" vertical="center" wrapText="1"/>
    </xf>
    <xf numFmtId="0" fontId="51" fillId="2" borderId="61" xfId="19" applyFont="1" applyFill="1" applyBorder="1" applyAlignment="1">
      <alignment horizontal="center" vertical="center" wrapText="1"/>
    </xf>
    <xf numFmtId="0" fontId="51" fillId="2" borderId="61" xfId="19" applyFont="1" applyFill="1" applyBorder="1" applyAlignment="1">
      <alignment horizontal="center" vertical="center" textRotation="90" wrapText="1"/>
    </xf>
    <xf numFmtId="0" fontId="51" fillId="2" borderId="26" xfId="19" applyFont="1" applyFill="1" applyBorder="1" applyAlignment="1">
      <alignment horizontal="center" vertical="center" wrapText="1"/>
    </xf>
    <xf numFmtId="0" fontId="51" fillId="2" borderId="17" xfId="19" applyFont="1" applyFill="1" applyBorder="1" applyAlignment="1">
      <alignment horizontal="center" vertical="center" wrapText="1"/>
    </xf>
    <xf numFmtId="0" fontId="51" fillId="2" borderId="25" xfId="19" applyFont="1" applyFill="1" applyBorder="1" applyAlignment="1">
      <alignment horizontal="center" vertical="center" wrapText="1"/>
    </xf>
    <xf numFmtId="0" fontId="50" fillId="2" borderId="14" xfId="19" applyFont="1" applyFill="1" applyBorder="1" applyAlignment="1">
      <alignment horizontal="center" vertical="center" wrapText="1"/>
    </xf>
    <xf numFmtId="0" fontId="50" fillId="2" borderId="15" xfId="19" applyFont="1" applyFill="1" applyBorder="1" applyAlignment="1">
      <alignment horizontal="center" vertical="center" wrapText="1"/>
    </xf>
    <xf numFmtId="0" fontId="50" fillId="2" borderId="4" xfId="19" applyFont="1" applyFill="1" applyBorder="1" applyAlignment="1">
      <alignment horizontal="center" vertical="center" wrapText="1"/>
    </xf>
    <xf numFmtId="0" fontId="50" fillId="2" borderId="71" xfId="19" applyFont="1" applyFill="1" applyBorder="1" applyAlignment="1">
      <alignment horizontal="center" vertical="center" textRotation="90" wrapText="1"/>
    </xf>
    <xf numFmtId="0" fontId="50" fillId="2" borderId="10" xfId="19" applyFont="1" applyFill="1" applyBorder="1" applyAlignment="1">
      <alignment horizontal="center" vertical="center" textRotation="90" wrapText="1"/>
    </xf>
    <xf numFmtId="0" fontId="50" fillId="2" borderId="12" xfId="19" applyFont="1" applyFill="1" applyBorder="1" applyAlignment="1">
      <alignment horizontal="center" vertical="center" textRotation="90" wrapText="1"/>
    </xf>
    <xf numFmtId="0" fontId="76" fillId="2" borderId="58" xfId="19" applyFont="1" applyFill="1" applyBorder="1" applyAlignment="1">
      <alignment horizontal="center" vertical="center" wrapText="1"/>
    </xf>
    <xf numFmtId="0" fontId="76" fillId="2" borderId="0" xfId="19" applyFont="1" applyFill="1" applyAlignment="1">
      <alignment horizontal="center" vertical="center" wrapText="1"/>
    </xf>
    <xf numFmtId="0" fontId="42" fillId="2" borderId="70" xfId="19" applyFont="1" applyFill="1" applyBorder="1" applyAlignment="1">
      <alignment horizontal="center" vertical="center" wrapText="1"/>
    </xf>
    <xf numFmtId="0" fontId="42" fillId="2" borderId="27" xfId="19" applyFont="1" applyFill="1" applyBorder="1" applyAlignment="1">
      <alignment horizontal="center" vertical="center" wrapText="1"/>
    </xf>
    <xf numFmtId="0" fontId="42" fillId="2" borderId="36" xfId="19" applyFont="1" applyFill="1" applyBorder="1" applyAlignment="1">
      <alignment horizontal="center" vertical="center" wrapText="1"/>
    </xf>
    <xf numFmtId="0" fontId="42" fillId="2" borderId="4" xfId="19" applyFont="1" applyFill="1" applyBorder="1" applyAlignment="1">
      <alignment horizontal="center" vertical="center" wrapText="1"/>
    </xf>
    <xf numFmtId="0" fontId="42" fillId="2" borderId="61" xfId="19" applyFont="1" applyFill="1" applyBorder="1" applyAlignment="1">
      <alignment horizontal="center" vertical="center" wrapText="1"/>
    </xf>
    <xf numFmtId="0" fontId="42" fillId="2" borderId="14" xfId="19" applyFont="1" applyFill="1" applyBorder="1" applyAlignment="1">
      <alignment horizontal="center" vertical="center" wrapText="1"/>
    </xf>
    <xf numFmtId="0" fontId="42" fillId="2" borderId="15" xfId="19" applyFont="1" applyFill="1" applyBorder="1" applyAlignment="1">
      <alignment horizontal="center" vertical="center" wrapText="1"/>
    </xf>
    <xf numFmtId="0" fontId="42" fillId="2" borderId="61" xfId="19" applyFont="1" applyFill="1" applyBorder="1" applyAlignment="1">
      <alignment horizontal="center" vertical="center" textRotation="90" wrapText="1"/>
    </xf>
    <xf numFmtId="0" fontId="42" fillId="2" borderId="14" xfId="19" applyFont="1" applyFill="1" applyBorder="1" applyAlignment="1">
      <alignment horizontal="center" vertical="center" textRotation="90" wrapText="1"/>
    </xf>
    <xf numFmtId="0" fontId="42" fillId="2" borderId="15" xfId="19" applyFont="1" applyFill="1" applyBorder="1" applyAlignment="1">
      <alignment horizontal="center" vertical="center" textRotation="90" wrapText="1"/>
    </xf>
    <xf numFmtId="0" fontId="42" fillId="2" borderId="26" xfId="19" applyFont="1" applyFill="1" applyBorder="1" applyAlignment="1">
      <alignment horizontal="center" vertical="center" wrapText="1"/>
    </xf>
    <xf numFmtId="0" fontId="42" fillId="2" borderId="17" xfId="19" applyFont="1" applyFill="1" applyBorder="1" applyAlignment="1">
      <alignment horizontal="center" vertical="center" wrapText="1"/>
    </xf>
    <xf numFmtId="0" fontId="42" fillId="2" borderId="25" xfId="19" applyFont="1" applyFill="1" applyBorder="1" applyAlignment="1">
      <alignment horizontal="center" vertical="center" wrapText="1"/>
    </xf>
    <xf numFmtId="0" fontId="41" fillId="2" borderId="61" xfId="19" applyFont="1" applyFill="1" applyBorder="1" applyAlignment="1">
      <alignment horizontal="center" vertical="center" wrapText="1"/>
    </xf>
    <xf numFmtId="0" fontId="41" fillId="2" borderId="14" xfId="19" applyFont="1" applyFill="1" applyBorder="1" applyAlignment="1">
      <alignment horizontal="center" vertical="center" wrapText="1"/>
    </xf>
    <xf numFmtId="0" fontId="41" fillId="2" borderId="15" xfId="19" applyFont="1" applyFill="1" applyBorder="1" applyAlignment="1">
      <alignment horizontal="center" vertical="center" wrapText="1"/>
    </xf>
    <xf numFmtId="0" fontId="41" fillId="2" borderId="4" xfId="19" applyFont="1" applyFill="1" applyBorder="1" applyAlignment="1">
      <alignment horizontal="center" vertical="center" wrapText="1"/>
    </xf>
    <xf numFmtId="0" fontId="41" fillId="2" borderId="71" xfId="19" applyFont="1" applyFill="1" applyBorder="1" applyAlignment="1">
      <alignment horizontal="center" vertical="center" textRotation="90" wrapText="1"/>
    </xf>
    <xf numFmtId="0" fontId="41" fillId="2" borderId="10" xfId="19" applyFont="1" applyFill="1" applyBorder="1" applyAlignment="1">
      <alignment horizontal="center" vertical="center" textRotation="90" wrapText="1"/>
    </xf>
    <xf numFmtId="0" fontId="41" fillId="2" borderId="12" xfId="19" applyFont="1" applyFill="1" applyBorder="1" applyAlignment="1">
      <alignment horizontal="center" vertical="center" textRotation="90" wrapText="1"/>
    </xf>
    <xf numFmtId="0" fontId="42" fillId="2" borderId="4" xfId="19" applyFont="1" applyFill="1" applyBorder="1" applyAlignment="1">
      <alignment horizontal="left" vertical="center" wrapText="1"/>
    </xf>
    <xf numFmtId="2" fontId="41" fillId="2" borderId="13" xfId="19" applyNumberFormat="1" applyFont="1" applyFill="1" applyBorder="1" applyAlignment="1">
      <alignment horizontal="center" vertical="center" textRotation="90" wrapText="1"/>
    </xf>
    <xf numFmtId="2" fontId="41" fillId="2" borderId="15" xfId="19" applyNumberFormat="1" applyFont="1" applyFill="1" applyBorder="1" applyAlignment="1">
      <alignment horizontal="center" vertical="center" textRotation="90" wrapText="1"/>
    </xf>
    <xf numFmtId="0" fontId="42" fillId="2" borderId="67" xfId="19" applyFont="1" applyFill="1" applyBorder="1" applyAlignment="1">
      <alignment horizontal="center" vertical="center" wrapText="1"/>
    </xf>
    <xf numFmtId="0" fontId="42" fillId="2" borderId="13" xfId="19" applyFont="1" applyFill="1" applyBorder="1" applyAlignment="1">
      <alignment horizontal="center" vertical="center" wrapText="1"/>
    </xf>
    <xf numFmtId="0" fontId="42" fillId="2" borderId="2" xfId="19" applyFont="1" applyFill="1" applyBorder="1" applyAlignment="1">
      <alignment horizontal="left" vertical="center" wrapText="1"/>
    </xf>
    <xf numFmtId="0" fontId="42" fillId="2" borderId="5" xfId="19" applyFont="1" applyFill="1" applyBorder="1" applyAlignment="1">
      <alignment horizontal="left" vertical="center" wrapText="1"/>
    </xf>
    <xf numFmtId="0" fontId="41" fillId="2" borderId="2" xfId="19" applyFont="1" applyFill="1" applyBorder="1" applyAlignment="1">
      <alignment horizontal="center" vertical="center" wrapText="1"/>
    </xf>
    <xf numFmtId="0" fontId="42" fillId="2" borderId="5" xfId="19" applyFont="1" applyFill="1" applyBorder="1" applyAlignment="1">
      <alignment horizontal="center" vertical="center" wrapText="1"/>
    </xf>
    <xf numFmtId="0" fontId="41" fillId="2" borderId="13" xfId="19" applyFont="1" applyFill="1" applyBorder="1" applyAlignment="1">
      <alignment horizontal="center" vertical="center" textRotation="90" wrapText="1"/>
    </xf>
    <xf numFmtId="0" fontId="41" fillId="2" borderId="15" xfId="19" applyFont="1" applyFill="1" applyBorder="1" applyAlignment="1">
      <alignment horizontal="center" vertical="center" textRotation="90" wrapText="1"/>
    </xf>
    <xf numFmtId="0" fontId="41" fillId="2" borderId="4" xfId="19" applyFont="1" applyFill="1" applyBorder="1" applyAlignment="1">
      <alignment horizontal="center" vertical="center" textRotation="90" wrapText="1"/>
    </xf>
    <xf numFmtId="0" fontId="41" fillId="2" borderId="61" xfId="19" applyFont="1" applyFill="1" applyBorder="1" applyAlignment="1">
      <alignment horizontal="center" vertical="center" textRotation="90" wrapText="1"/>
    </xf>
    <xf numFmtId="0" fontId="41" fillId="2" borderId="4" xfId="19" applyFont="1" applyFill="1" applyBorder="1" applyAlignment="1">
      <alignment horizontal="left" vertical="center" wrapText="1"/>
    </xf>
    <xf numFmtId="0" fontId="51" fillId="0" borderId="70" xfId="19" applyFont="1" applyBorder="1" applyAlignment="1">
      <alignment horizontal="center" vertical="center" wrapText="1"/>
    </xf>
    <xf numFmtId="0" fontId="51" fillId="0" borderId="27" xfId="19" applyFont="1" applyBorder="1" applyAlignment="1">
      <alignment horizontal="center" vertical="center" wrapText="1"/>
    </xf>
    <xf numFmtId="0" fontId="51" fillId="0" borderId="36" xfId="19" applyFont="1" applyBorder="1" applyAlignment="1">
      <alignment horizontal="center" vertical="center" wrapText="1"/>
    </xf>
    <xf numFmtId="0" fontId="51" fillId="0" borderId="4" xfId="19" applyFont="1" applyBorder="1" applyAlignment="1">
      <alignment horizontal="center" vertical="center" wrapText="1"/>
    </xf>
    <xf numFmtId="0" fontId="51" fillId="0" borderId="61" xfId="19" applyFont="1" applyBorder="1" applyAlignment="1">
      <alignment horizontal="center" vertical="center" wrapText="1"/>
    </xf>
    <xf numFmtId="0" fontId="51" fillId="0" borderId="14" xfId="19" applyFont="1" applyBorder="1" applyAlignment="1">
      <alignment horizontal="center" vertical="center" wrapText="1"/>
    </xf>
    <xf numFmtId="0" fontId="51" fillId="0" borderId="15" xfId="19" applyFont="1" applyBorder="1" applyAlignment="1">
      <alignment horizontal="center" vertical="center" wrapText="1"/>
    </xf>
    <xf numFmtId="0" fontId="51" fillId="0" borderId="61" xfId="19" applyFont="1" applyBorder="1" applyAlignment="1">
      <alignment horizontal="center" vertical="center" textRotation="90" wrapText="1"/>
    </xf>
    <xf numFmtId="0" fontId="51" fillId="0" borderId="14" xfId="19" applyFont="1" applyBorder="1" applyAlignment="1">
      <alignment horizontal="center" vertical="center" textRotation="90" wrapText="1"/>
    </xf>
    <xf numFmtId="0" fontId="51" fillId="0" borderId="15" xfId="19" applyFont="1" applyBorder="1" applyAlignment="1">
      <alignment horizontal="center" vertical="center" textRotation="90" wrapText="1"/>
    </xf>
    <xf numFmtId="0" fontId="51" fillId="0" borderId="26" xfId="19" applyFont="1" applyBorder="1" applyAlignment="1">
      <alignment horizontal="center" vertical="center" wrapText="1"/>
    </xf>
    <xf numFmtId="0" fontId="51" fillId="0" borderId="17" xfId="19" applyFont="1" applyBorder="1" applyAlignment="1">
      <alignment horizontal="center" vertical="center" wrapText="1"/>
    </xf>
    <xf numFmtId="0" fontId="51" fillId="0" borderId="25" xfId="19" applyFont="1" applyBorder="1" applyAlignment="1">
      <alignment horizontal="center" vertical="center" wrapText="1"/>
    </xf>
    <xf numFmtId="0" fontId="50" fillId="0" borderId="61" xfId="19" applyFont="1" applyBorder="1" applyAlignment="1">
      <alignment horizontal="center" vertical="center" wrapText="1"/>
    </xf>
    <xf numFmtId="0" fontId="50" fillId="0" borderId="14" xfId="19" applyFont="1" applyBorder="1" applyAlignment="1">
      <alignment horizontal="center" vertical="center" wrapText="1"/>
    </xf>
    <xf numFmtId="0" fontId="50" fillId="0" borderId="15" xfId="19" applyFont="1" applyBorder="1" applyAlignment="1">
      <alignment horizontal="center" vertical="center" wrapText="1"/>
    </xf>
    <xf numFmtId="0" fontId="50" fillId="0" borderId="4" xfId="19" applyFont="1" applyBorder="1" applyAlignment="1">
      <alignment horizontal="center" vertical="center" wrapText="1"/>
    </xf>
    <xf numFmtId="0" fontId="50" fillId="0" borderId="71" xfId="19" applyFont="1" applyBorder="1" applyAlignment="1">
      <alignment horizontal="center" vertical="center" textRotation="90" wrapText="1"/>
    </xf>
    <xf numFmtId="0" fontId="50" fillId="0" borderId="10" xfId="19" applyFont="1" applyBorder="1" applyAlignment="1">
      <alignment horizontal="center" vertical="center" textRotation="90" wrapText="1"/>
    </xf>
    <xf numFmtId="0" fontId="50" fillId="0" borderId="12" xfId="19" applyFont="1" applyBorder="1" applyAlignment="1">
      <alignment horizontal="center" vertical="center" textRotation="90" wrapText="1"/>
    </xf>
    <xf numFmtId="0" fontId="51" fillId="0" borderId="4" xfId="19" applyFont="1" applyBorder="1" applyAlignment="1">
      <alignment horizontal="left" vertical="center" wrapText="1"/>
    </xf>
    <xf numFmtId="0" fontId="50" fillId="0" borderId="61" xfId="19" applyFont="1" applyBorder="1" applyAlignment="1">
      <alignment horizontal="center" vertical="center" textRotation="90" wrapText="1"/>
    </xf>
    <xf numFmtId="0" fontId="50" fillId="0" borderId="2" xfId="19" applyFont="1" applyBorder="1" applyAlignment="1">
      <alignment horizontal="center" vertical="center" wrapText="1"/>
    </xf>
    <xf numFmtId="0" fontId="51" fillId="0" borderId="5" xfId="19" applyFont="1" applyBorder="1" applyAlignment="1">
      <alignment horizontal="center" vertical="center" wrapText="1"/>
    </xf>
    <xf numFmtId="0" fontId="50" fillId="0" borderId="13" xfId="19" applyFont="1" applyBorder="1" applyAlignment="1">
      <alignment horizontal="center" vertical="center" textRotation="90" wrapText="1"/>
    </xf>
    <xf numFmtId="0" fontId="50" fillId="0" borderId="15" xfId="19" applyFont="1" applyBorder="1" applyAlignment="1">
      <alignment horizontal="center" vertical="center" textRotation="90" wrapText="1"/>
    </xf>
    <xf numFmtId="0" fontId="50" fillId="0" borderId="4" xfId="19" applyFont="1" applyBorder="1" applyAlignment="1">
      <alignment horizontal="center" vertical="center" textRotation="90" wrapText="1"/>
    </xf>
    <xf numFmtId="2" fontId="50" fillId="0" borderId="13" xfId="19" applyNumberFormat="1" applyFont="1" applyBorder="1" applyAlignment="1">
      <alignment horizontal="center" vertical="center" textRotation="90" wrapText="1"/>
    </xf>
    <xf numFmtId="2" fontId="50" fillId="0" borderId="15" xfId="19" applyNumberFormat="1" applyFont="1" applyBorder="1" applyAlignment="1">
      <alignment horizontal="center" vertical="center" textRotation="90" wrapText="1"/>
    </xf>
    <xf numFmtId="0" fontId="51" fillId="0" borderId="67" xfId="19" applyFont="1" applyBorder="1" applyAlignment="1">
      <alignment horizontal="center" vertical="center" wrapText="1"/>
    </xf>
    <xf numFmtId="0" fontId="51" fillId="0" borderId="13" xfId="19" applyFont="1" applyBorder="1" applyAlignment="1">
      <alignment horizontal="center" vertical="center" wrapText="1"/>
    </xf>
    <xf numFmtId="0" fontId="42" fillId="0" borderId="0" xfId="0" applyFont="1" applyAlignment="1">
      <alignment horizontal="left" vertical="center" wrapText="1"/>
    </xf>
    <xf numFmtId="0" fontId="51" fillId="0" borderId="2" xfId="19" applyFont="1" applyBorder="1" applyAlignment="1">
      <alignment horizontal="left" vertical="center" wrapText="1"/>
    </xf>
    <xf numFmtId="0" fontId="51" fillId="0" borderId="5" xfId="19" applyFont="1" applyBorder="1" applyAlignment="1">
      <alignment horizontal="left" vertical="center" wrapText="1"/>
    </xf>
    <xf numFmtId="0" fontId="50" fillId="0" borderId="4" xfId="19" applyFont="1" applyBorder="1" applyAlignment="1">
      <alignment horizontal="left" vertical="center" wrapText="1"/>
    </xf>
    <xf numFmtId="0" fontId="43" fillId="0" borderId="0" xfId="23" applyFont="1" applyAlignment="1">
      <alignment horizontal="left" vertical="center" wrapText="1"/>
    </xf>
    <xf numFmtId="0" fontId="13" fillId="0" borderId="0" xfId="23" applyFont="1" applyAlignment="1">
      <alignment horizontal="left"/>
    </xf>
    <xf numFmtId="0" fontId="16" fillId="0" borderId="13" xfId="23" applyFont="1" applyBorder="1" applyAlignment="1">
      <alignment horizontal="center" vertical="center"/>
    </xf>
    <xf numFmtId="0" fontId="16" fillId="0" borderId="14" xfId="23" applyFont="1" applyBorder="1" applyAlignment="1">
      <alignment horizontal="center" vertical="center"/>
    </xf>
    <xf numFmtId="0" fontId="16" fillId="0" borderId="15" xfId="23" applyFont="1" applyBorder="1" applyAlignment="1">
      <alignment horizontal="center" vertical="center"/>
    </xf>
    <xf numFmtId="0" fontId="16" fillId="0" borderId="6" xfId="23" applyFont="1" applyBorder="1" applyAlignment="1">
      <alignment horizontal="center" vertical="center"/>
    </xf>
    <xf numFmtId="0" fontId="16" fillId="0" borderId="9" xfId="23" applyFont="1" applyBorder="1" applyAlignment="1">
      <alignment horizontal="center" vertical="center"/>
    </xf>
    <xf numFmtId="0" fontId="16" fillId="0" borderId="3" xfId="23" applyFont="1" applyBorder="1" applyAlignment="1">
      <alignment horizontal="center" vertical="center"/>
    </xf>
    <xf numFmtId="0" fontId="16" fillId="0" borderId="6" xfId="23" applyFont="1" applyBorder="1" applyAlignment="1">
      <alignment horizontal="center" vertical="center" wrapText="1"/>
    </xf>
    <xf numFmtId="0" fontId="16" fillId="0" borderId="9" xfId="23" applyFont="1" applyBorder="1" applyAlignment="1">
      <alignment horizontal="center" vertical="center" wrapText="1"/>
    </xf>
    <xf numFmtId="0" fontId="16" fillId="0" borderId="3" xfId="23" applyFont="1" applyBorder="1" applyAlignment="1">
      <alignment horizontal="center" vertical="center" wrapText="1"/>
    </xf>
    <xf numFmtId="0" fontId="16" fillId="0" borderId="2" xfId="23" applyFont="1" applyBorder="1" applyAlignment="1">
      <alignment horizontal="center" vertical="center"/>
    </xf>
    <xf numFmtId="0" fontId="16" fillId="0" borderId="1" xfId="23" applyFont="1" applyBorder="1" applyAlignment="1">
      <alignment horizontal="center" vertical="center"/>
    </xf>
    <xf numFmtId="0" fontId="16" fillId="0" borderId="5" xfId="23" applyFont="1" applyBorder="1" applyAlignment="1">
      <alignment horizontal="center" vertical="center"/>
    </xf>
    <xf numFmtId="0" fontId="16" fillId="0" borderId="2" xfId="23" applyFont="1" applyBorder="1" applyAlignment="1">
      <alignment horizontal="center" vertical="center" wrapText="1"/>
    </xf>
    <xf numFmtId="0" fontId="16" fillId="0" borderId="5" xfId="23" applyFont="1" applyBorder="1" applyAlignment="1">
      <alignment horizontal="center" vertical="center" wrapText="1"/>
    </xf>
    <xf numFmtId="0" fontId="16" fillId="0" borderId="1" xfId="23" applyFont="1" applyBorder="1" applyAlignment="1">
      <alignment horizontal="center" vertical="center" wrapText="1"/>
    </xf>
    <xf numFmtId="0" fontId="16" fillId="0" borderId="13" xfId="23" applyFont="1" applyBorder="1" applyAlignment="1">
      <alignment horizontal="center" vertical="center" wrapText="1"/>
    </xf>
    <xf numFmtId="0" fontId="16" fillId="0" borderId="14" xfId="23" applyFont="1" applyBorder="1" applyAlignment="1">
      <alignment horizontal="center" vertical="center" wrapText="1"/>
    </xf>
    <xf numFmtId="0" fontId="16" fillId="0" borderId="15" xfId="23" applyFont="1" applyBorder="1" applyAlignment="1">
      <alignment horizontal="center" vertical="center" wrapText="1"/>
    </xf>
    <xf numFmtId="0" fontId="43" fillId="0" borderId="0" xfId="23" applyFont="1" applyAlignment="1">
      <alignment horizontal="left" wrapText="1"/>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2" xfId="0" applyFont="1" applyBorder="1" applyAlignment="1">
      <alignment horizontal="left" vertical="center" wrapText="1"/>
    </xf>
    <xf numFmtId="0" fontId="16" fillId="0" borderId="5" xfId="0" applyFont="1" applyBorder="1" applyAlignment="1">
      <alignment horizontal="left" vertical="center" wrapText="1"/>
    </xf>
    <xf numFmtId="0" fontId="19" fillId="0" borderId="2" xfId="0" applyFont="1" applyBorder="1" applyAlignment="1">
      <alignment horizontal="right" vertical="center"/>
    </xf>
    <xf numFmtId="0" fontId="19" fillId="0" borderId="1" xfId="0" applyFont="1" applyBorder="1" applyAlignment="1">
      <alignment horizontal="right" vertical="center"/>
    </xf>
    <xf numFmtId="0" fontId="19" fillId="0" borderId="5" xfId="0" applyFont="1" applyBorder="1" applyAlignment="1">
      <alignment horizontal="right" vertical="center"/>
    </xf>
    <xf numFmtId="0" fontId="13" fillId="0" borderId="0" xfId="0" applyFont="1" applyAlignment="1">
      <alignment horizontal="left"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 xfId="0" applyFont="1" applyBorder="1" applyAlignment="1">
      <alignment horizontal="center" vertical="center"/>
    </xf>
    <xf numFmtId="0" fontId="16" fillId="0" borderId="2"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1" xfId="0" applyFont="1" applyBorder="1" applyAlignment="1">
      <alignment horizontal="center" vertical="center" wrapText="1"/>
    </xf>
    <xf numFmtId="166" fontId="16" fillId="0" borderId="3" xfId="3" applyFont="1" applyFill="1" applyBorder="1" applyAlignment="1">
      <alignment horizontal="right"/>
    </xf>
    <xf numFmtId="166" fontId="16" fillId="0" borderId="11" xfId="3" applyFont="1" applyFill="1" applyBorder="1" applyAlignment="1">
      <alignment horizontal="right"/>
    </xf>
    <xf numFmtId="166" fontId="16" fillId="0" borderId="12" xfId="3" applyFont="1" applyFill="1" applyBorder="1" applyAlignment="1">
      <alignment horizontal="right"/>
    </xf>
    <xf numFmtId="0" fontId="19" fillId="0" borderId="3" xfId="0" applyFont="1" applyBorder="1" applyAlignment="1">
      <alignment horizontal="left"/>
    </xf>
    <xf numFmtId="0" fontId="19" fillId="0" borderId="11" xfId="0" applyFont="1" applyBorder="1" applyAlignment="1">
      <alignment horizontal="left"/>
    </xf>
    <xf numFmtId="0" fontId="19" fillId="0" borderId="12" xfId="0" applyFont="1" applyBorder="1" applyAlignment="1">
      <alignment horizontal="left"/>
    </xf>
    <xf numFmtId="0" fontId="16" fillId="0" borderId="2" xfId="0" applyFont="1" applyBorder="1" applyAlignment="1">
      <alignment horizontal="center"/>
    </xf>
    <xf numFmtId="0" fontId="16" fillId="0" borderId="1" xfId="0" applyFont="1" applyBorder="1" applyAlignment="1">
      <alignment horizontal="center"/>
    </xf>
    <xf numFmtId="0" fontId="16" fillId="0" borderId="5" xfId="0" applyFont="1" applyBorder="1" applyAlignment="1">
      <alignment horizontal="center"/>
    </xf>
    <xf numFmtId="166" fontId="19" fillId="0" borderId="3" xfId="3" applyFont="1" applyFill="1" applyBorder="1" applyAlignment="1">
      <alignment horizontal="right"/>
    </xf>
    <xf numFmtId="166" fontId="19" fillId="0" borderId="11" xfId="3" applyFont="1" applyFill="1" applyBorder="1" applyAlignment="1">
      <alignment horizontal="right"/>
    </xf>
    <xf numFmtId="166" fontId="19" fillId="0" borderId="12" xfId="3" applyFont="1" applyFill="1" applyBorder="1" applyAlignment="1">
      <alignment horizontal="right"/>
    </xf>
    <xf numFmtId="0" fontId="16" fillId="0" borderId="3" xfId="0" applyFont="1" applyBorder="1" applyAlignment="1">
      <alignment horizontal="left"/>
    </xf>
    <xf numFmtId="0" fontId="16" fillId="0" borderId="11" xfId="0" applyFont="1" applyBorder="1" applyAlignment="1">
      <alignment horizontal="left"/>
    </xf>
    <xf numFmtId="0" fontId="16" fillId="0" borderId="12" xfId="0" applyFont="1" applyBorder="1" applyAlignment="1">
      <alignment horizontal="left"/>
    </xf>
    <xf numFmtId="0" fontId="16" fillId="0" borderId="4" xfId="0" applyFont="1" applyBorder="1" applyAlignment="1">
      <alignment horizontal="center"/>
    </xf>
    <xf numFmtId="0" fontId="16" fillId="0" borderId="9" xfId="0" applyFont="1" applyBorder="1" applyAlignment="1">
      <alignment horizontal="center" vertical="center"/>
    </xf>
    <xf numFmtId="0" fontId="16" fillId="0" borderId="0" xfId="0" applyFont="1" applyAlignment="1">
      <alignment horizontal="center" vertical="center"/>
    </xf>
    <xf numFmtId="0" fontId="16" fillId="0" borderId="10" xfId="0" applyFont="1" applyBorder="1" applyAlignment="1">
      <alignment horizontal="center" vertical="center"/>
    </xf>
    <xf numFmtId="0" fontId="16" fillId="0" borderId="4" xfId="0" applyFont="1" applyBorder="1" applyAlignment="1">
      <alignment horizontal="center" vertical="center" wrapText="1"/>
    </xf>
    <xf numFmtId="0" fontId="16" fillId="0" borderId="4" xfId="0" applyFont="1" applyBorder="1" applyAlignment="1">
      <alignment horizontal="center" wrapText="1"/>
    </xf>
    <xf numFmtId="0" fontId="16" fillId="0" borderId="13" xfId="0" applyFont="1" applyBorder="1" applyAlignment="1">
      <alignment horizontal="center" wrapText="1"/>
    </xf>
    <xf numFmtId="0" fontId="16" fillId="0" borderId="15" xfId="0" applyFont="1" applyBorder="1" applyAlignment="1">
      <alignment horizontal="center" wrapText="1"/>
    </xf>
    <xf numFmtId="0" fontId="16" fillId="0" borderId="3"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3" fillId="0" borderId="0" xfId="0" applyFont="1" applyAlignment="1">
      <alignment horizont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6" fillId="0" borderId="3" xfId="0" applyFont="1" applyBorder="1" applyAlignment="1">
      <alignment horizontal="left" wrapText="1"/>
    </xf>
    <xf numFmtId="0" fontId="16" fillId="0" borderId="11" xfId="0" applyFont="1" applyBorder="1" applyAlignment="1">
      <alignment horizontal="left" wrapText="1"/>
    </xf>
    <xf numFmtId="0" fontId="16" fillId="0" borderId="12" xfId="0" applyFont="1" applyBorder="1" applyAlignment="1">
      <alignment horizontal="left" wrapText="1"/>
    </xf>
    <xf numFmtId="0" fontId="16" fillId="0" borderId="3" xfId="0" applyFont="1" applyBorder="1" applyAlignment="1">
      <alignment horizontal="center"/>
    </xf>
    <xf numFmtId="0" fontId="16" fillId="0" borderId="11" xfId="0" applyFont="1" applyBorder="1" applyAlignment="1">
      <alignment horizontal="center"/>
    </xf>
    <xf numFmtId="0" fontId="16" fillId="0" borderId="12" xfId="0" applyFont="1" applyBorder="1" applyAlignment="1">
      <alignment horizontal="center"/>
    </xf>
    <xf numFmtId="166" fontId="16" fillId="0" borderId="3" xfId="1" applyFont="1" applyFill="1" applyBorder="1" applyAlignment="1">
      <alignment horizontal="center"/>
    </xf>
    <xf numFmtId="166" fontId="16" fillId="0" borderId="11" xfId="1" applyFont="1" applyFill="1" applyBorder="1" applyAlignment="1">
      <alignment horizontal="center"/>
    </xf>
    <xf numFmtId="166" fontId="16" fillId="0" borderId="12" xfId="1" applyFont="1" applyFill="1" applyBorder="1" applyAlignment="1">
      <alignment horizontal="center"/>
    </xf>
    <xf numFmtId="0" fontId="16" fillId="0" borderId="4" xfId="0" applyFont="1" applyBorder="1" applyAlignment="1">
      <alignment horizontal="center" vertical="center"/>
    </xf>
    <xf numFmtId="0" fontId="19" fillId="0" borderId="2" xfId="0" applyFont="1" applyBorder="1" applyAlignment="1">
      <alignment horizontal="right"/>
    </xf>
    <xf numFmtId="0" fontId="19" fillId="0" borderId="1" xfId="0" applyFont="1" applyBorder="1" applyAlignment="1">
      <alignment horizontal="right"/>
    </xf>
    <xf numFmtId="0" fontId="19" fillId="0" borderId="5" xfId="0" applyFont="1" applyBorder="1" applyAlignment="1">
      <alignment horizontal="right"/>
    </xf>
    <xf numFmtId="166" fontId="16" fillId="0" borderId="3" xfId="3" applyFont="1" applyFill="1" applyBorder="1" applyAlignment="1">
      <alignment horizontal="center"/>
    </xf>
    <xf numFmtId="166" fontId="16" fillId="0" borderId="11" xfId="3" applyFont="1" applyFill="1" applyBorder="1" applyAlignment="1">
      <alignment horizontal="center"/>
    </xf>
    <xf numFmtId="166" fontId="16" fillId="0" borderId="12" xfId="3" applyFont="1" applyFill="1" applyBorder="1" applyAlignment="1">
      <alignment horizontal="center"/>
    </xf>
    <xf numFmtId="0" fontId="16" fillId="0" borderId="4" xfId="0" applyFont="1" applyBorder="1" applyAlignment="1">
      <alignment horizontal="left" vertical="center"/>
    </xf>
    <xf numFmtId="3" fontId="16" fillId="0" borderId="4" xfId="0" applyNumberFormat="1" applyFont="1" applyBorder="1" applyAlignment="1">
      <alignment horizontal="center" vertical="center"/>
    </xf>
    <xf numFmtId="166" fontId="16" fillId="0" borderId="4" xfId="1" applyFont="1" applyFill="1" applyBorder="1" applyAlignment="1">
      <alignment horizontal="center" vertical="center"/>
    </xf>
    <xf numFmtId="167" fontId="16" fillId="0" borderId="3" xfId="3" applyNumberFormat="1" applyFont="1" applyFill="1" applyBorder="1" applyAlignment="1">
      <alignment horizontal="right"/>
    </xf>
    <xf numFmtId="167" fontId="16" fillId="0" borderId="11" xfId="3" applyNumberFormat="1" applyFont="1" applyFill="1" applyBorder="1" applyAlignment="1">
      <alignment horizontal="right"/>
    </xf>
    <xf numFmtId="167" fontId="16" fillId="0" borderId="12" xfId="3" applyNumberFormat="1" applyFont="1" applyFill="1" applyBorder="1" applyAlignment="1">
      <alignment horizontal="right"/>
    </xf>
    <xf numFmtId="0" fontId="16" fillId="0" borderId="2" xfId="0" applyFont="1" applyBorder="1" applyAlignment="1">
      <alignment horizontal="left"/>
    </xf>
    <xf numFmtId="0" fontId="16" fillId="0" borderId="1" xfId="0" applyFont="1" applyBorder="1" applyAlignment="1">
      <alignment horizontal="left"/>
    </xf>
    <xf numFmtId="0" fontId="16" fillId="0" borderId="5" xfId="0" applyFont="1" applyBorder="1" applyAlignment="1">
      <alignment horizontal="left"/>
    </xf>
    <xf numFmtId="0" fontId="19" fillId="0" borderId="2" xfId="0" applyFont="1" applyBorder="1" applyAlignment="1">
      <alignment horizontal="left" wrapText="1"/>
    </xf>
    <xf numFmtId="0" fontId="19" fillId="0" borderId="1" xfId="0" applyFont="1" applyBorder="1" applyAlignment="1">
      <alignment horizontal="left" wrapText="1"/>
    </xf>
    <xf numFmtId="0" fontId="19" fillId="0" borderId="5" xfId="0" applyFont="1" applyBorder="1" applyAlignment="1">
      <alignment horizontal="left" wrapText="1"/>
    </xf>
    <xf numFmtId="166" fontId="16" fillId="0" borderId="2" xfId="3" applyFont="1" applyFill="1" applyBorder="1" applyAlignment="1">
      <alignment horizontal="center"/>
    </xf>
    <xf numFmtId="166" fontId="16" fillId="0" borderId="1" xfId="3" applyFont="1" applyFill="1" applyBorder="1" applyAlignment="1">
      <alignment horizontal="center"/>
    </xf>
    <xf numFmtId="166" fontId="16" fillId="0" borderId="5" xfId="3" applyFont="1" applyFill="1" applyBorder="1" applyAlignment="1">
      <alignment horizontal="center"/>
    </xf>
    <xf numFmtId="166" fontId="16" fillId="0" borderId="2" xfId="3" applyFont="1" applyFill="1" applyBorder="1" applyAlignment="1">
      <alignment horizontal="right"/>
    </xf>
    <xf numFmtId="166" fontId="16" fillId="0" borderId="1" xfId="3" applyFont="1" applyFill="1" applyBorder="1" applyAlignment="1">
      <alignment horizontal="right"/>
    </xf>
    <xf numFmtId="166" fontId="16" fillId="0" borderId="5" xfId="3" applyFont="1" applyFill="1" applyBorder="1" applyAlignment="1">
      <alignment horizontal="right"/>
    </xf>
    <xf numFmtId="166" fontId="19" fillId="0" borderId="2" xfId="3" applyFont="1" applyFill="1" applyBorder="1" applyAlignment="1">
      <alignment horizontal="right"/>
    </xf>
    <xf numFmtId="166" fontId="19" fillId="0" borderId="1" xfId="3" applyFont="1" applyFill="1" applyBorder="1" applyAlignment="1">
      <alignment horizontal="right"/>
    </xf>
    <xf numFmtId="166" fontId="19" fillId="0" borderId="5" xfId="3" applyFont="1" applyFill="1" applyBorder="1" applyAlignment="1">
      <alignment horizontal="right"/>
    </xf>
    <xf numFmtId="0" fontId="16" fillId="0" borderId="2" xfId="3" applyNumberFormat="1" applyFont="1" applyFill="1" applyBorder="1" applyAlignment="1">
      <alignment horizontal="center"/>
    </xf>
    <xf numFmtId="0" fontId="16" fillId="0" borderId="1" xfId="3" applyNumberFormat="1" applyFont="1" applyFill="1" applyBorder="1" applyAlignment="1">
      <alignment horizontal="center"/>
    </xf>
    <xf numFmtId="0" fontId="16" fillId="0" borderId="5" xfId="3" applyNumberFormat="1" applyFont="1" applyFill="1" applyBorder="1" applyAlignment="1">
      <alignment horizontal="center"/>
    </xf>
    <xf numFmtId="166" fontId="16" fillId="0" borderId="3" xfId="3" applyFont="1" applyFill="1" applyBorder="1" applyAlignment="1">
      <alignment horizontal="center" vertical="center"/>
    </xf>
    <xf numFmtId="166" fontId="16" fillId="0" borderId="11" xfId="3" applyFont="1" applyFill="1" applyBorder="1" applyAlignment="1">
      <alignment horizontal="center" vertical="center"/>
    </xf>
    <xf numFmtId="166" fontId="16" fillId="0" borderId="12" xfId="3" applyFont="1" applyFill="1" applyBorder="1" applyAlignment="1">
      <alignment horizontal="center" vertical="center"/>
    </xf>
    <xf numFmtId="166" fontId="19" fillId="0" borderId="3" xfId="3" applyFont="1" applyFill="1" applyBorder="1" applyAlignment="1">
      <alignment horizontal="center" vertical="center"/>
    </xf>
    <xf numFmtId="166" fontId="19" fillId="0" borderId="11" xfId="3" applyFont="1" applyFill="1" applyBorder="1" applyAlignment="1">
      <alignment horizontal="center" vertical="center"/>
    </xf>
    <xf numFmtId="166" fontId="19" fillId="0" borderId="12" xfId="3" applyFont="1" applyFill="1" applyBorder="1" applyAlignment="1">
      <alignment horizontal="center" vertical="center"/>
    </xf>
    <xf numFmtId="166" fontId="20" fillId="0" borderId="3" xfId="3" applyFont="1" applyFill="1" applyBorder="1" applyAlignment="1">
      <alignment horizontal="right"/>
    </xf>
    <xf numFmtId="166" fontId="20" fillId="0" borderId="11" xfId="3" applyFont="1" applyFill="1" applyBorder="1" applyAlignment="1">
      <alignment horizontal="right"/>
    </xf>
    <xf numFmtId="166" fontId="20" fillId="0" borderId="12" xfId="3" applyFont="1" applyFill="1" applyBorder="1" applyAlignment="1">
      <alignment horizontal="right"/>
    </xf>
    <xf numFmtId="182" fontId="16" fillId="0" borderId="2" xfId="3" applyNumberFormat="1" applyFont="1" applyFill="1" applyBorder="1" applyAlignment="1">
      <alignment horizontal="center"/>
    </xf>
    <xf numFmtId="182" fontId="16" fillId="0" borderId="1" xfId="3" applyNumberFormat="1" applyFont="1" applyFill="1" applyBorder="1" applyAlignment="1">
      <alignment horizontal="center"/>
    </xf>
    <xf numFmtId="182" fontId="16" fillId="0" borderId="5" xfId="3" applyNumberFormat="1" applyFont="1" applyFill="1" applyBorder="1" applyAlignment="1">
      <alignment horizontal="center"/>
    </xf>
    <xf numFmtId="0" fontId="20" fillId="0" borderId="13" xfId="0" applyFont="1" applyBorder="1" applyAlignment="1">
      <alignment horizontal="left" vertical="center"/>
    </xf>
    <xf numFmtId="0" fontId="20" fillId="0" borderId="15" xfId="0" applyFont="1" applyBorder="1" applyAlignment="1">
      <alignment horizontal="left" vertical="center"/>
    </xf>
    <xf numFmtId="166" fontId="19" fillId="0" borderId="0" xfId="3" applyFont="1" applyFill="1" applyBorder="1" applyAlignment="1">
      <alignment horizontal="right"/>
    </xf>
    <xf numFmtId="166" fontId="19" fillId="0" borderId="3" xfId="3" applyFont="1" applyFill="1" applyBorder="1" applyAlignment="1">
      <alignment horizontal="right" vertical="center"/>
    </xf>
    <xf numFmtId="166" fontId="19" fillId="0" borderId="11" xfId="3" applyFont="1" applyFill="1" applyBorder="1" applyAlignment="1">
      <alignment horizontal="right" vertical="center"/>
    </xf>
    <xf numFmtId="166" fontId="19" fillId="0" borderId="4" xfId="3" applyFont="1" applyFill="1" applyBorder="1" applyAlignment="1">
      <alignment horizontal="right" vertical="center"/>
    </xf>
    <xf numFmtId="0" fontId="19" fillId="0" borderId="2" xfId="0" applyFont="1" applyBorder="1" applyAlignment="1">
      <alignment horizontal="left"/>
    </xf>
    <xf numFmtId="0" fontId="19" fillId="0" borderId="1" xfId="0" applyFont="1" applyBorder="1" applyAlignment="1">
      <alignment horizontal="left"/>
    </xf>
    <xf numFmtId="0" fontId="19" fillId="0" borderId="5" xfId="0" applyFont="1" applyBorder="1" applyAlignment="1">
      <alignment horizontal="left"/>
    </xf>
    <xf numFmtId="0" fontId="16" fillId="0" borderId="1" xfId="0" applyFont="1" applyBorder="1" applyAlignment="1">
      <alignment horizontal="left" vertical="center" wrapText="1"/>
    </xf>
    <xf numFmtId="0" fontId="20" fillId="0" borderId="2" xfId="0" applyFont="1" applyBorder="1" applyAlignment="1">
      <alignment horizontal="right" vertical="top"/>
    </xf>
    <xf numFmtId="0" fontId="20" fillId="0" borderId="1" xfId="0" applyFont="1" applyBorder="1" applyAlignment="1">
      <alignment horizontal="right" vertical="top"/>
    </xf>
    <xf numFmtId="0" fontId="20" fillId="0" borderId="5" xfId="0" applyFont="1" applyBorder="1" applyAlignment="1">
      <alignment horizontal="right" vertical="top"/>
    </xf>
    <xf numFmtId="0" fontId="16" fillId="0" borderId="13" xfId="0" applyFont="1" applyBorder="1" applyAlignment="1">
      <alignment horizontal="center"/>
    </xf>
    <xf numFmtId="0" fontId="16" fillId="0" borderId="6" xfId="0" applyFont="1" applyBorder="1" applyAlignment="1">
      <alignment horizontal="left" wrapText="1"/>
    </xf>
    <xf numFmtId="0" fontId="16" fillId="0" borderId="7" xfId="0" applyFont="1" applyBorder="1" applyAlignment="1">
      <alignment horizontal="left" wrapText="1"/>
    </xf>
    <xf numFmtId="0" fontId="16" fillId="0" borderId="8" xfId="0" applyFont="1" applyBorder="1" applyAlignment="1">
      <alignment horizontal="left" wrapText="1"/>
    </xf>
    <xf numFmtId="0" fontId="16" fillId="0" borderId="13" xfId="0" applyFont="1" applyBorder="1" applyAlignment="1">
      <alignment horizontal="right"/>
    </xf>
    <xf numFmtId="4" fontId="16" fillId="0" borderId="13" xfId="0" applyNumberFormat="1" applyFont="1" applyBorder="1" applyAlignment="1">
      <alignment horizontal="right"/>
    </xf>
    <xf numFmtId="0" fontId="19" fillId="0" borderId="2" xfId="0" applyFont="1" applyBorder="1" applyAlignment="1">
      <alignment horizontal="right" vertical="top" wrapText="1"/>
    </xf>
    <xf numFmtId="0" fontId="19" fillId="0" borderId="1" xfId="0" applyFont="1" applyBorder="1" applyAlignment="1">
      <alignment horizontal="right" vertical="top" wrapText="1"/>
    </xf>
    <xf numFmtId="0" fontId="19" fillId="0" borderId="5" xfId="0" applyFont="1" applyBorder="1" applyAlignment="1">
      <alignment horizontal="right" vertical="top" wrapText="1"/>
    </xf>
    <xf numFmtId="0" fontId="16" fillId="0" borderId="2" xfId="0" applyFont="1" applyBorder="1" applyAlignment="1">
      <alignment horizontal="right" vertical="top"/>
    </xf>
    <xf numFmtId="0" fontId="16" fillId="0" borderId="1" xfId="0" applyFont="1" applyBorder="1" applyAlignment="1">
      <alignment horizontal="right" vertical="top"/>
    </xf>
    <xf numFmtId="0" fontId="16" fillId="0" borderId="5" xfId="0" applyFont="1" applyBorder="1" applyAlignment="1">
      <alignment horizontal="right" vertical="top"/>
    </xf>
    <xf numFmtId="3" fontId="16" fillId="0" borderId="2" xfId="0" applyNumberFormat="1" applyFont="1" applyBorder="1" applyAlignment="1">
      <alignment horizontal="right" vertical="top"/>
    </xf>
    <xf numFmtId="3" fontId="16" fillId="0" borderId="1" xfId="0" applyNumberFormat="1" applyFont="1" applyBorder="1" applyAlignment="1">
      <alignment horizontal="right" vertical="top"/>
    </xf>
    <xf numFmtId="3" fontId="16" fillId="0" borderId="5" xfId="0" applyNumberFormat="1" applyFont="1" applyBorder="1" applyAlignment="1">
      <alignment horizontal="right" vertical="top"/>
    </xf>
    <xf numFmtId="0" fontId="16" fillId="0" borderId="2" xfId="0" applyFont="1" applyBorder="1" applyAlignment="1">
      <alignment horizontal="right"/>
    </xf>
    <xf numFmtId="0" fontId="16" fillId="0" borderId="1" xfId="0" applyFont="1" applyBorder="1" applyAlignment="1">
      <alignment horizontal="right"/>
    </xf>
    <xf numFmtId="0" fontId="16" fillId="0" borderId="5" xfId="0" applyFont="1" applyBorder="1" applyAlignment="1">
      <alignment horizontal="right"/>
    </xf>
    <xf numFmtId="0" fontId="16" fillId="0" borderId="2" xfId="0" applyFont="1" applyBorder="1" applyAlignment="1">
      <alignment horizontal="left" wrapText="1"/>
    </xf>
    <xf numFmtId="0" fontId="16" fillId="0" borderId="1" xfId="0" applyFont="1" applyBorder="1" applyAlignment="1">
      <alignment horizontal="left" wrapText="1"/>
    </xf>
    <xf numFmtId="0" fontId="16" fillId="0" borderId="5" xfId="0" applyFont="1" applyBorder="1" applyAlignment="1">
      <alignment horizontal="left" wrapText="1"/>
    </xf>
    <xf numFmtId="3" fontId="16" fillId="0" borderId="2" xfId="0" applyNumberFormat="1" applyFont="1" applyBorder="1" applyAlignment="1">
      <alignment horizontal="right"/>
    </xf>
    <xf numFmtId="3" fontId="16" fillId="0" borderId="1" xfId="0" applyNumberFormat="1" applyFont="1" applyBorder="1" applyAlignment="1">
      <alignment horizontal="right"/>
    </xf>
    <xf numFmtId="3" fontId="16" fillId="0" borderId="5" xfId="0" applyNumberFormat="1" applyFont="1" applyBorder="1" applyAlignment="1">
      <alignment horizontal="right"/>
    </xf>
    <xf numFmtId="166" fontId="16" fillId="0" borderId="2" xfId="3" applyFont="1" applyFill="1" applyBorder="1" applyAlignment="1">
      <alignment vertical="center"/>
    </xf>
    <xf numFmtId="166" fontId="16" fillId="0" borderId="1" xfId="3" applyFont="1" applyFill="1" applyBorder="1" applyAlignment="1">
      <alignment vertical="center"/>
    </xf>
    <xf numFmtId="166" fontId="16" fillId="0" borderId="5" xfId="3" applyFont="1" applyFill="1" applyBorder="1" applyAlignment="1">
      <alignment vertical="center"/>
    </xf>
    <xf numFmtId="0" fontId="19" fillId="0" borderId="4" xfId="0" applyFont="1" applyBorder="1" applyAlignment="1">
      <alignment horizontal="center"/>
    </xf>
    <xf numFmtId="166" fontId="16" fillId="0" borderId="3" xfId="1" applyFont="1" applyFill="1" applyBorder="1" applyAlignment="1">
      <alignment horizontal="right"/>
    </xf>
    <xf numFmtId="166" fontId="16" fillId="0" borderId="11" xfId="1" applyFont="1" applyFill="1" applyBorder="1" applyAlignment="1">
      <alignment horizontal="right"/>
    </xf>
    <xf numFmtId="166" fontId="16" fillId="0" borderId="12" xfId="1" applyFont="1" applyFill="1" applyBorder="1" applyAlignment="1">
      <alignment horizontal="right"/>
    </xf>
    <xf numFmtId="0" fontId="0" fillId="0" borderId="1" xfId="0" applyBorder="1" applyAlignment="1">
      <alignment horizontal="left" wrapText="1"/>
    </xf>
    <xf numFmtId="0" fontId="0" fillId="0" borderId="5" xfId="0" applyBorder="1" applyAlignment="1">
      <alignment horizontal="left" wrapText="1"/>
    </xf>
    <xf numFmtId="166" fontId="16" fillId="0" borderId="2" xfId="1" applyFont="1" applyFill="1" applyBorder="1" applyAlignment="1">
      <alignment horizontal="center"/>
    </xf>
    <xf numFmtId="166" fontId="0" fillId="0" borderId="1" xfId="1" applyFont="1" applyFill="1" applyBorder="1" applyAlignment="1">
      <alignment horizontal="center"/>
    </xf>
    <xf numFmtId="166" fontId="0" fillId="0" borderId="5" xfId="1" applyFont="1" applyFill="1" applyBorder="1" applyAlignment="1">
      <alignment horizontal="center"/>
    </xf>
    <xf numFmtId="166" fontId="16" fillId="0" borderId="2" xfId="1" applyFont="1" applyFill="1" applyBorder="1" applyAlignment="1">
      <alignment horizontal="right"/>
    </xf>
    <xf numFmtId="166" fontId="16" fillId="0" borderId="1" xfId="1" applyFont="1" applyFill="1" applyBorder="1" applyAlignment="1">
      <alignment horizontal="right"/>
    </xf>
    <xf numFmtId="166" fontId="16" fillId="0" borderId="5" xfId="1" applyFont="1" applyFill="1" applyBorder="1" applyAlignment="1">
      <alignment horizontal="right"/>
    </xf>
    <xf numFmtId="0" fontId="16" fillId="0" borderId="7" xfId="0" applyFont="1" applyBorder="1" applyAlignment="1">
      <alignment horizontal="center" vertical="center" wrapText="1"/>
    </xf>
    <xf numFmtId="0" fontId="16" fillId="0" borderId="0" xfId="0" applyFont="1" applyAlignment="1">
      <alignment horizontal="center" vertical="center" wrapText="1"/>
    </xf>
    <xf numFmtId="0" fontId="16" fillId="0" borderId="11" xfId="0" applyFont="1" applyBorder="1" applyAlignment="1">
      <alignment horizontal="center" vertical="center" wrapText="1"/>
    </xf>
    <xf numFmtId="0" fontId="0" fillId="0" borderId="0" xfId="0"/>
    <xf numFmtId="0" fontId="0" fillId="0" borderId="10" xfId="0" applyBorder="1"/>
    <xf numFmtId="0" fontId="16" fillId="0" borderId="5" xfId="0" applyFont="1" applyBorder="1" applyAlignment="1">
      <alignment horizontal="center" wrapText="1"/>
    </xf>
    <xf numFmtId="0" fontId="0" fillId="0" borderId="11" xfId="0" applyBorder="1"/>
    <xf numFmtId="0" fontId="0" fillId="0" borderId="12" xfId="0" applyBorder="1"/>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64" fontId="16" fillId="0" borderId="2" xfId="0" applyNumberFormat="1" applyFont="1" applyBorder="1" applyAlignment="1">
      <alignment horizontal="center"/>
    </xf>
    <xf numFmtId="0" fontId="0" fillId="0" borderId="1" xfId="0" applyBorder="1" applyAlignment="1">
      <alignment horizontal="center"/>
    </xf>
    <xf numFmtId="0" fontId="0" fillId="0" borderId="5" xfId="0" applyBorder="1" applyAlignment="1">
      <alignment horizontal="center"/>
    </xf>
    <xf numFmtId="0" fontId="0" fillId="0" borderId="1"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left"/>
    </xf>
    <xf numFmtId="0" fontId="0" fillId="0" borderId="5" xfId="0" applyBorder="1" applyAlignment="1">
      <alignment horizontal="left"/>
    </xf>
    <xf numFmtId="166" fontId="16" fillId="0" borderId="2" xfId="0" applyNumberFormat="1" applyFont="1" applyBorder="1" applyAlignment="1">
      <alignment horizontal="center"/>
    </xf>
    <xf numFmtId="166" fontId="16" fillId="0" borderId="2" xfId="3" applyFont="1" applyFill="1" applyBorder="1" applyAlignment="1">
      <alignment horizontal="right" vertical="top"/>
    </xf>
    <xf numFmtId="166" fontId="16" fillId="0" borderId="1" xfId="3" applyFont="1" applyFill="1" applyBorder="1" applyAlignment="1">
      <alignment horizontal="right" vertical="top"/>
    </xf>
    <xf numFmtId="166" fontId="16" fillId="0" borderId="5" xfId="3" applyFont="1" applyFill="1" applyBorder="1" applyAlignment="1">
      <alignment horizontal="right" vertical="top"/>
    </xf>
    <xf numFmtId="166" fontId="16" fillId="0" borderId="2" xfId="3" applyFont="1" applyFill="1" applyBorder="1" applyAlignment="1">
      <alignment horizontal="right" vertical="center"/>
    </xf>
    <xf numFmtId="166" fontId="16" fillId="0" borderId="1" xfId="3" applyFont="1" applyFill="1" applyBorder="1" applyAlignment="1">
      <alignment horizontal="right" vertical="center"/>
    </xf>
    <xf numFmtId="166" fontId="16" fillId="0" borderId="5" xfId="3" applyFont="1" applyFill="1" applyBorder="1" applyAlignment="1">
      <alignment horizontal="right" vertical="center"/>
    </xf>
    <xf numFmtId="0" fontId="13" fillId="0" borderId="0" xfId="0" applyFont="1" applyAlignment="1">
      <alignment horizontal="left"/>
    </xf>
    <xf numFmtId="0" fontId="22" fillId="0" borderId="2" xfId="0" applyFont="1" applyBorder="1" applyAlignment="1">
      <alignment horizontal="left" vertical="center" wrapText="1"/>
    </xf>
    <xf numFmtId="0" fontId="22" fillId="0" borderId="1" xfId="0" applyFont="1" applyBorder="1" applyAlignment="1">
      <alignment horizontal="left" vertical="center" wrapText="1"/>
    </xf>
    <xf numFmtId="0" fontId="22" fillId="0" borderId="5" xfId="0" applyFont="1" applyBorder="1" applyAlignment="1">
      <alignment horizontal="left" vertical="center" wrapText="1"/>
    </xf>
    <xf numFmtId="166" fontId="19" fillId="0" borderId="2" xfId="3" applyFont="1" applyFill="1" applyBorder="1" applyAlignment="1">
      <alignment horizontal="right" vertical="top"/>
    </xf>
    <xf numFmtId="166" fontId="19" fillId="0" borderId="1" xfId="3" applyFont="1" applyFill="1" applyBorder="1" applyAlignment="1">
      <alignment horizontal="right" vertical="top"/>
    </xf>
    <xf numFmtId="166" fontId="19" fillId="0" borderId="5" xfId="3" applyFont="1" applyFill="1" applyBorder="1" applyAlignment="1">
      <alignment horizontal="right" vertical="top"/>
    </xf>
    <xf numFmtId="166" fontId="16" fillId="0" borderId="2" xfId="1" applyFont="1" applyFill="1" applyBorder="1" applyAlignment="1">
      <alignment horizontal="center" vertical="center"/>
    </xf>
    <xf numFmtId="166" fontId="0" fillId="0" borderId="1" xfId="1" applyFont="1" applyFill="1" applyBorder="1" applyAlignment="1">
      <alignment horizontal="center" vertical="center"/>
    </xf>
    <xf numFmtId="166" fontId="0" fillId="0" borderId="5" xfId="1" applyFont="1" applyFill="1" applyBorder="1" applyAlignment="1">
      <alignment horizontal="center" vertical="center"/>
    </xf>
    <xf numFmtId="0" fontId="16" fillId="0" borderId="2" xfId="0" applyFont="1" applyBorder="1" applyAlignment="1">
      <alignment horizontal="right" vertical="center"/>
    </xf>
    <xf numFmtId="0" fontId="0" fillId="0" borderId="1" xfId="0" applyBorder="1" applyAlignment="1">
      <alignment vertical="center"/>
    </xf>
    <xf numFmtId="0" fontId="0" fillId="0" borderId="5" xfId="0" applyBorder="1" applyAlignment="1">
      <alignment vertical="center"/>
    </xf>
    <xf numFmtId="166" fontId="19" fillId="0" borderId="2" xfId="3" applyFont="1" applyFill="1" applyBorder="1" applyAlignment="1">
      <alignment horizontal="center"/>
    </xf>
    <xf numFmtId="166" fontId="19" fillId="0" borderId="1" xfId="3" applyFont="1" applyFill="1" applyBorder="1" applyAlignment="1">
      <alignment horizontal="center"/>
    </xf>
    <xf numFmtId="166" fontId="19" fillId="0" borderId="5" xfId="3" applyFont="1" applyFill="1" applyBorder="1" applyAlignment="1">
      <alignment horizontal="center"/>
    </xf>
    <xf numFmtId="4" fontId="19" fillId="0" borderId="4" xfId="0" applyNumberFormat="1" applyFont="1" applyBorder="1" applyAlignment="1">
      <alignment horizontal="center"/>
    </xf>
    <xf numFmtId="4" fontId="19" fillId="0" borderId="4" xfId="0" applyNumberFormat="1" applyFont="1" applyBorder="1" applyAlignment="1">
      <alignment horizontal="right"/>
    </xf>
    <xf numFmtId="0" fontId="16" fillId="0" borderId="4" xfId="0" applyFont="1" applyBorder="1" applyAlignment="1">
      <alignment horizontal="left"/>
    </xf>
    <xf numFmtId="171" fontId="16" fillId="0" borderId="4" xfId="0" applyNumberFormat="1" applyFont="1" applyBorder="1" applyAlignment="1">
      <alignment horizontal="center"/>
    </xf>
    <xf numFmtId="0" fontId="0" fillId="0" borderId="7" xfId="0" applyBorder="1"/>
    <xf numFmtId="0" fontId="0" fillId="0" borderId="8" xfId="0" applyBorder="1"/>
    <xf numFmtId="4" fontId="16" fillId="0" borderId="4" xfId="0" applyNumberFormat="1" applyFont="1" applyBorder="1" applyAlignment="1">
      <alignment horizontal="center"/>
    </xf>
    <xf numFmtId="3" fontId="20" fillId="0" borderId="2" xfId="0" applyNumberFormat="1" applyFont="1" applyBorder="1" applyAlignment="1">
      <alignment horizontal="right" vertical="top"/>
    </xf>
    <xf numFmtId="3" fontId="20" fillId="0" borderId="1" xfId="0" applyNumberFormat="1" applyFont="1" applyBorder="1" applyAlignment="1">
      <alignment horizontal="right" vertical="top"/>
    </xf>
    <xf numFmtId="3" fontId="20" fillId="0" borderId="5" xfId="0" applyNumberFormat="1" applyFont="1" applyBorder="1" applyAlignment="1">
      <alignment horizontal="right" vertical="top"/>
    </xf>
    <xf numFmtId="0" fontId="20" fillId="0" borderId="3" xfId="0" applyFont="1" applyBorder="1" applyAlignment="1">
      <alignment horizontal="right" vertical="top"/>
    </xf>
    <xf numFmtId="0" fontId="20" fillId="0" borderId="11" xfId="0" applyFont="1" applyBorder="1" applyAlignment="1">
      <alignment horizontal="right" vertical="top"/>
    </xf>
    <xf numFmtId="0" fontId="20" fillId="0" borderId="12" xfId="0" applyFont="1" applyBorder="1" applyAlignment="1">
      <alignment horizontal="right" vertical="top"/>
    </xf>
    <xf numFmtId="166" fontId="19" fillId="0" borderId="2" xfId="3" applyFont="1" applyFill="1" applyBorder="1" applyAlignment="1">
      <alignment vertical="center"/>
    </xf>
    <xf numFmtId="166" fontId="19" fillId="0" borderId="1" xfId="3" applyFont="1" applyFill="1" applyBorder="1" applyAlignment="1">
      <alignment vertical="center"/>
    </xf>
    <xf numFmtId="166" fontId="19" fillId="0" borderId="5" xfId="3" applyFont="1" applyFill="1" applyBorder="1" applyAlignment="1">
      <alignment vertical="center"/>
    </xf>
    <xf numFmtId="0" fontId="11" fillId="2" borderId="13" xfId="27" applyFont="1" applyFill="1" applyBorder="1" applyAlignment="1">
      <alignment horizontal="center" vertical="center"/>
    </xf>
    <xf numFmtId="0" fontId="11" fillId="2" borderId="15" xfId="27" applyFont="1" applyFill="1" applyBorder="1" applyAlignment="1">
      <alignment horizontal="center" vertical="center"/>
    </xf>
    <xf numFmtId="0" fontId="13" fillId="2" borderId="13" xfId="27" applyFont="1" applyFill="1" applyBorder="1" applyAlignment="1">
      <alignment horizontal="center" vertical="center" wrapText="1"/>
    </xf>
    <xf numFmtId="0" fontId="13" fillId="2" borderId="14" xfId="27" applyFont="1" applyFill="1" applyBorder="1" applyAlignment="1">
      <alignment horizontal="center" vertical="center" wrapText="1"/>
    </xf>
    <xf numFmtId="0" fontId="13" fillId="2" borderId="15" xfId="27" applyFont="1" applyFill="1" applyBorder="1" applyAlignment="1">
      <alignment horizontal="center" vertical="center" wrapText="1"/>
    </xf>
    <xf numFmtId="0" fontId="66" fillId="0" borderId="0" xfId="27" applyFont="1" applyAlignment="1">
      <alignment horizontal="left"/>
    </xf>
    <xf numFmtId="0" fontId="11" fillId="2" borderId="13" xfId="27" applyFont="1" applyFill="1" applyBorder="1" applyAlignment="1">
      <alignment horizontal="center" vertical="center" wrapText="1"/>
    </xf>
    <xf numFmtId="0" fontId="11" fillId="2" borderId="15" xfId="27" applyFont="1" applyFill="1" applyBorder="1" applyAlignment="1">
      <alignment horizontal="center" vertical="center" wrapText="1"/>
    </xf>
    <xf numFmtId="0" fontId="13" fillId="0" borderId="13" xfId="27" applyFont="1" applyBorder="1" applyAlignment="1">
      <alignment horizontal="center" vertical="center" wrapText="1"/>
    </xf>
    <xf numFmtId="0" fontId="13" fillId="0" borderId="15" xfId="27" applyFont="1" applyBorder="1" applyAlignment="1">
      <alignment horizontal="center" vertical="center" wrapText="1"/>
    </xf>
    <xf numFmtId="0" fontId="31" fillId="0" borderId="13" xfId="27" applyFont="1" applyBorder="1" applyAlignment="1">
      <alignment horizontal="center" vertical="center" wrapText="1"/>
    </xf>
    <xf numFmtId="0" fontId="31" fillId="0" borderId="15" xfId="27" applyFont="1" applyBorder="1" applyAlignment="1">
      <alignment horizontal="center" vertical="center" wrapText="1"/>
    </xf>
    <xf numFmtId="0" fontId="31" fillId="0" borderId="13" xfId="27" applyFont="1" applyBorder="1" applyAlignment="1">
      <alignment horizontal="center" vertical="center"/>
    </xf>
    <xf numFmtId="0" fontId="31" fillId="0" borderId="15" xfId="27" applyFont="1" applyBorder="1" applyAlignment="1">
      <alignment horizontal="center" vertical="center"/>
    </xf>
    <xf numFmtId="0" fontId="13" fillId="2" borderId="0" xfId="27" applyFont="1" applyFill="1" applyAlignment="1">
      <alignment horizontal="left"/>
    </xf>
    <xf numFmtId="0" fontId="11" fillId="0" borderId="2" xfId="27" applyFont="1" applyBorder="1" applyAlignment="1">
      <alignment horizontal="center"/>
    </xf>
    <xf numFmtId="0" fontId="11" fillId="2" borderId="4" xfId="27" applyFont="1" applyFill="1" applyBorder="1" applyAlignment="1">
      <alignment horizontal="center" vertical="center" wrapText="1"/>
    </xf>
    <xf numFmtId="0" fontId="13" fillId="0" borderId="0" xfId="27" applyFont="1" applyAlignment="1">
      <alignment horizontal="center"/>
    </xf>
    <xf numFmtId="0" fontId="11" fillId="0" borderId="13" xfId="27" applyFont="1" applyBorder="1" applyAlignment="1">
      <alignment horizontal="center" vertical="center" wrapText="1"/>
    </xf>
    <xf numFmtId="0" fontId="11" fillId="0" borderId="15" xfId="27" applyFont="1" applyBorder="1" applyAlignment="1">
      <alignment horizontal="center" vertical="center" wrapText="1"/>
    </xf>
    <xf numFmtId="0" fontId="11" fillId="0" borderId="4" xfId="27" applyFont="1" applyBorder="1" applyAlignment="1">
      <alignment horizontal="center" vertical="center" wrapText="1"/>
    </xf>
    <xf numFmtId="0" fontId="19" fillId="0" borderId="0" xfId="4" applyFont="1" applyAlignment="1">
      <alignment horizontal="left"/>
    </xf>
    <xf numFmtId="0" fontId="19" fillId="0" borderId="0" xfId="4" applyFont="1" applyAlignment="1">
      <alignment horizontal="center"/>
    </xf>
    <xf numFmtId="0" fontId="16" fillId="0" borderId="2" xfId="4" applyFont="1" applyBorder="1" applyAlignment="1">
      <alignment horizontal="center"/>
    </xf>
    <xf numFmtId="0" fontId="16" fillId="0" borderId="4" xfId="4" applyFont="1" applyBorder="1" applyAlignment="1">
      <alignment horizontal="center" vertical="center" wrapText="1"/>
    </xf>
    <xf numFmtId="0" fontId="19" fillId="0" borderId="4" xfId="4" applyFont="1" applyBorder="1" applyAlignment="1">
      <alignment horizontal="left" vertical="center" wrapText="1"/>
    </xf>
    <xf numFmtId="0" fontId="22" fillId="0" borderId="4" xfId="4" applyFont="1" applyBorder="1" applyAlignment="1">
      <alignment horizontal="center" vertical="center" wrapText="1"/>
    </xf>
    <xf numFmtId="0" fontId="22" fillId="0" borderId="13" xfId="4" applyFont="1" applyBorder="1" applyAlignment="1">
      <alignment horizontal="center" vertical="center" wrapText="1"/>
    </xf>
    <xf numFmtId="0" fontId="22" fillId="0" borderId="15" xfId="4" applyFont="1" applyBorder="1" applyAlignment="1">
      <alignment horizontal="center" vertical="center" wrapText="1"/>
    </xf>
    <xf numFmtId="0" fontId="19" fillId="2" borderId="4" xfId="0" applyFont="1" applyFill="1" applyBorder="1" applyAlignment="1">
      <alignment horizontal="center" vertical="center" wrapText="1"/>
    </xf>
    <xf numFmtId="0" fontId="16" fillId="2" borderId="4" xfId="0" applyFont="1" applyFill="1" applyBorder="1" applyAlignment="1">
      <alignment horizontal="left" vertical="center" wrapText="1"/>
    </xf>
    <xf numFmtId="0" fontId="16" fillId="2" borderId="4"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9" fillId="2" borderId="0" xfId="0" applyFont="1" applyFill="1" applyAlignment="1">
      <alignment horizontal="center" vertical="center" wrapText="1"/>
    </xf>
    <xf numFmtId="4" fontId="19" fillId="2" borderId="11" xfId="0" applyNumberFormat="1" applyFont="1" applyFill="1" applyBorder="1" applyAlignment="1">
      <alignment horizontal="center" vertical="center" wrapText="1"/>
    </xf>
    <xf numFmtId="164" fontId="16" fillId="2" borderId="4" xfId="0" applyNumberFormat="1" applyFont="1" applyFill="1" applyBorder="1" applyAlignment="1">
      <alignment horizontal="center" vertical="center" wrapText="1"/>
    </xf>
    <xf numFmtId="0" fontId="13" fillId="2" borderId="0" xfId="0" applyFont="1" applyFill="1" applyAlignment="1">
      <alignment horizontal="left" vertical="center" wrapText="1"/>
    </xf>
    <xf numFmtId="0" fontId="16" fillId="2" borderId="13"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5" xfId="0" applyFont="1" applyFill="1" applyBorder="1" applyAlignment="1">
      <alignment horizontal="center" vertical="center"/>
    </xf>
    <xf numFmtId="0" fontId="16" fillId="2" borderId="5" xfId="0" applyFont="1" applyFill="1" applyBorder="1" applyAlignment="1">
      <alignment horizontal="left" vertical="center" wrapText="1"/>
    </xf>
    <xf numFmtId="0" fontId="19" fillId="2" borderId="2" xfId="0" applyFont="1" applyFill="1" applyBorder="1" applyAlignment="1">
      <alignment horizontal="right" vertical="center"/>
    </xf>
    <xf numFmtId="0" fontId="19" fillId="2" borderId="1" xfId="0" applyFont="1" applyFill="1" applyBorder="1" applyAlignment="1">
      <alignment horizontal="right" vertical="center"/>
    </xf>
    <xf numFmtId="0" fontId="19" fillId="2" borderId="5" xfId="0" applyFont="1" applyFill="1" applyBorder="1" applyAlignment="1">
      <alignment horizontal="right" vertical="center"/>
    </xf>
    <xf numFmtId="0" fontId="43" fillId="0" borderId="0" xfId="26" applyFont="1" applyAlignment="1">
      <alignment horizontal="left" vertical="center" wrapText="1"/>
    </xf>
    <xf numFmtId="0" fontId="16" fillId="0" borderId="13" xfId="26" applyFont="1" applyBorder="1" applyAlignment="1">
      <alignment horizontal="center" vertical="center" wrapText="1"/>
    </xf>
    <xf numFmtId="0" fontId="16" fillId="0" borderId="15" xfId="26" applyFont="1" applyBorder="1" applyAlignment="1">
      <alignment horizontal="center" vertical="center" wrapText="1"/>
    </xf>
    <xf numFmtId="0" fontId="43" fillId="0" borderId="0" xfId="26" applyFont="1" applyAlignment="1">
      <alignment horizontal="left" wrapText="1"/>
    </xf>
    <xf numFmtId="0" fontId="13" fillId="0" borderId="0" xfId="26" applyFont="1" applyAlignment="1">
      <alignment horizontal="left"/>
    </xf>
    <xf numFmtId="0" fontId="16" fillId="0" borderId="13" xfId="26" applyFont="1" applyBorder="1" applyAlignment="1">
      <alignment horizontal="center" vertical="center"/>
    </xf>
    <xf numFmtId="0" fontId="16" fillId="0" borderId="14" xfId="26" applyFont="1" applyBorder="1" applyAlignment="1">
      <alignment horizontal="center" vertical="center"/>
    </xf>
    <xf numFmtId="0" fontId="16" fillId="0" borderId="15" xfId="26" applyFont="1" applyBorder="1" applyAlignment="1">
      <alignment horizontal="center" vertical="center"/>
    </xf>
    <xf numFmtId="0" fontId="16" fillId="0" borderId="6" xfId="26" applyFont="1" applyBorder="1" applyAlignment="1">
      <alignment horizontal="center" vertical="center"/>
    </xf>
    <xf numFmtId="0" fontId="16" fillId="0" borderId="9" xfId="26" applyFont="1" applyBorder="1" applyAlignment="1">
      <alignment horizontal="center" vertical="center"/>
    </xf>
    <xf numFmtId="0" fontId="16" fillId="0" borderId="3" xfId="26" applyFont="1" applyBorder="1" applyAlignment="1">
      <alignment horizontal="center" vertical="center"/>
    </xf>
    <xf numFmtId="0" fontId="16" fillId="0" borderId="6" xfId="26" applyFont="1" applyBorder="1" applyAlignment="1">
      <alignment horizontal="center" vertical="center" wrapText="1"/>
    </xf>
    <xf numFmtId="0" fontId="16" fillId="0" borderId="9" xfId="26" applyFont="1" applyBorder="1" applyAlignment="1">
      <alignment horizontal="center" vertical="center" wrapText="1"/>
    </xf>
    <xf numFmtId="0" fontId="16" fillId="0" borderId="3" xfId="26" applyFont="1" applyBorder="1" applyAlignment="1">
      <alignment horizontal="center" vertical="center" wrapText="1"/>
    </xf>
    <xf numFmtId="0" fontId="16" fillId="0" borderId="2" xfId="26" applyFont="1" applyBorder="1" applyAlignment="1">
      <alignment horizontal="center" vertical="center"/>
    </xf>
    <xf numFmtId="0" fontId="16" fillId="0" borderId="1" xfId="26" applyFont="1" applyBorder="1" applyAlignment="1">
      <alignment horizontal="center" vertical="center"/>
    </xf>
    <xf numFmtId="0" fontId="16" fillId="0" borderId="5" xfId="26" applyFont="1" applyBorder="1" applyAlignment="1">
      <alignment horizontal="center" vertical="center"/>
    </xf>
    <xf numFmtId="0" fontId="16" fillId="0" borderId="2" xfId="26" applyFont="1" applyBorder="1" applyAlignment="1">
      <alignment horizontal="center" vertical="center" wrapText="1"/>
    </xf>
    <xf numFmtId="0" fontId="16" fillId="0" borderId="1" xfId="26" applyFont="1" applyBorder="1" applyAlignment="1">
      <alignment horizontal="center" vertical="center" wrapText="1"/>
    </xf>
    <xf numFmtId="0" fontId="16" fillId="0" borderId="5" xfId="26" applyFont="1" applyBorder="1" applyAlignment="1">
      <alignment horizontal="center" vertical="center" wrapText="1"/>
    </xf>
    <xf numFmtId="0" fontId="16" fillId="0" borderId="14" xfId="26" applyFont="1" applyBorder="1" applyAlignment="1">
      <alignment horizontal="center" vertical="center" wrapText="1"/>
    </xf>
    <xf numFmtId="0" fontId="51" fillId="0" borderId="0" xfId="19" applyFont="1" applyAlignment="1">
      <alignment horizontal="left" vertical="center" wrapText="1"/>
    </xf>
    <xf numFmtId="0" fontId="11" fillId="8" borderId="0" xfId="0" applyFont="1" applyFill="1" applyAlignment="1">
      <alignment vertical="center" wrapText="1"/>
    </xf>
    <xf numFmtId="0" fontId="0" fillId="8" borderId="0" xfId="0" applyFill="1" applyAlignment="1">
      <alignment vertical="center" wrapText="1"/>
    </xf>
    <xf numFmtId="0" fontId="19" fillId="2" borderId="11" xfId="0" applyFont="1" applyFill="1" applyBorder="1" applyAlignment="1">
      <alignment horizontal="center" vertical="center" wrapText="1"/>
    </xf>
    <xf numFmtId="4" fontId="16" fillId="0" borderId="7" xfId="0" applyNumberFormat="1" applyFont="1" applyBorder="1" applyAlignment="1">
      <alignment horizontal="center" vertical="center"/>
    </xf>
    <xf numFmtId="4" fontId="16" fillId="0" borderId="2" xfId="0" applyNumberFormat="1" applyFont="1" applyBorder="1" applyAlignment="1">
      <alignment horizontal="center" vertical="center"/>
    </xf>
    <xf numFmtId="4" fontId="16" fillId="0" borderId="1" xfId="0" applyNumberFormat="1" applyFont="1" applyBorder="1" applyAlignment="1">
      <alignment horizontal="center" vertical="center"/>
    </xf>
    <xf numFmtId="4" fontId="16" fillId="0" borderId="5" xfId="0" applyNumberFormat="1" applyFont="1" applyBorder="1" applyAlignment="1">
      <alignment horizontal="center" vertical="center"/>
    </xf>
    <xf numFmtId="0" fontId="19" fillId="0" borderId="2" xfId="0" applyFont="1" applyBorder="1" applyAlignment="1">
      <alignment horizontal="center" vertical="center"/>
    </xf>
    <xf numFmtId="0" fontId="19" fillId="0" borderId="1" xfId="0" applyFont="1" applyBorder="1" applyAlignment="1">
      <alignment horizontal="center" vertical="center"/>
    </xf>
    <xf numFmtId="0" fontId="19" fillId="0" borderId="5" xfId="0" applyFont="1" applyBorder="1" applyAlignment="1">
      <alignment horizontal="center" vertical="center"/>
    </xf>
    <xf numFmtId="0" fontId="19" fillId="0" borderId="2" xfId="0" applyFont="1" applyBorder="1" applyAlignment="1">
      <alignment horizontal="left" vertical="center"/>
    </xf>
    <xf numFmtId="0" fontId="19" fillId="0" borderId="1" xfId="0" applyFont="1" applyBorder="1" applyAlignment="1">
      <alignment horizontal="left" vertical="center"/>
    </xf>
    <xf numFmtId="0" fontId="19" fillId="0" borderId="5" xfId="0" applyFont="1" applyBorder="1" applyAlignment="1">
      <alignment horizontal="left" vertical="center"/>
    </xf>
    <xf numFmtId="4" fontId="19" fillId="0" borderId="2" xfId="0" applyNumberFormat="1" applyFont="1" applyBorder="1" applyAlignment="1">
      <alignment horizontal="center" vertical="center"/>
    </xf>
    <xf numFmtId="4" fontId="19" fillId="0" borderId="1" xfId="0" applyNumberFormat="1" applyFont="1" applyBorder="1" applyAlignment="1">
      <alignment horizontal="center" vertical="center"/>
    </xf>
    <xf numFmtId="4" fontId="19" fillId="0" borderId="5" xfId="0" applyNumberFormat="1" applyFont="1" applyBorder="1" applyAlignment="1">
      <alignment horizontal="center" vertical="center"/>
    </xf>
    <xf numFmtId="4" fontId="16" fillId="0" borderId="4" xfId="0" applyNumberFormat="1" applyFont="1" applyBorder="1" applyAlignment="1">
      <alignment horizontal="center" vertical="center"/>
    </xf>
    <xf numFmtId="4" fontId="19" fillId="0" borderId="4" xfId="0" applyNumberFormat="1" applyFont="1" applyBorder="1" applyAlignment="1">
      <alignment horizontal="center" vertical="center"/>
    </xf>
    <xf numFmtId="0" fontId="19" fillId="0" borderId="4" xfId="0" applyFont="1" applyBorder="1" applyAlignment="1">
      <alignment horizontal="center" vertical="center"/>
    </xf>
    <xf numFmtId="0" fontId="19" fillId="0" borderId="4" xfId="0" applyFont="1" applyBorder="1" applyAlignment="1">
      <alignment horizontal="left" vertical="center"/>
    </xf>
    <xf numFmtId="0" fontId="16" fillId="0" borderId="2" xfId="0" applyFont="1" applyBorder="1" applyAlignment="1">
      <alignment horizontal="left" vertical="center"/>
    </xf>
    <xf numFmtId="0" fontId="16" fillId="0" borderId="1" xfId="0" applyFont="1" applyBorder="1" applyAlignment="1">
      <alignment horizontal="left" vertical="center"/>
    </xf>
    <xf numFmtId="0" fontId="16" fillId="0" borderId="5" xfId="0" applyFont="1" applyBorder="1" applyAlignment="1">
      <alignment horizontal="left" vertical="center"/>
    </xf>
    <xf numFmtId="3" fontId="16" fillId="0" borderId="2" xfId="0" applyNumberFormat="1" applyFont="1" applyBorder="1" applyAlignment="1">
      <alignment horizontal="center" vertical="center"/>
    </xf>
    <xf numFmtId="3" fontId="16" fillId="0" borderId="1" xfId="0" applyNumberFormat="1" applyFont="1" applyBorder="1" applyAlignment="1">
      <alignment horizontal="center" vertical="center"/>
    </xf>
    <xf numFmtId="3" fontId="16" fillId="0" borderId="5" xfId="0" applyNumberFormat="1" applyFont="1" applyBorder="1" applyAlignment="1">
      <alignment horizontal="center" vertical="center"/>
    </xf>
    <xf numFmtId="0" fontId="16" fillId="0" borderId="4" xfId="0" applyFont="1" applyBorder="1" applyAlignment="1">
      <alignment horizontal="left" vertical="center" wrapText="1"/>
    </xf>
    <xf numFmtId="170" fontId="16" fillId="0" borderId="4" xfId="0" applyNumberFormat="1" applyFont="1" applyBorder="1" applyAlignment="1">
      <alignment horizontal="center" vertical="center"/>
    </xf>
    <xf numFmtId="170" fontId="19" fillId="0" borderId="4" xfId="0" applyNumberFormat="1" applyFont="1" applyBorder="1" applyAlignment="1">
      <alignment horizontal="center" vertical="center"/>
    </xf>
    <xf numFmtId="0" fontId="20" fillId="0" borderId="9" xfId="0" applyFont="1" applyBorder="1" applyAlignment="1">
      <alignment horizontal="center" vertical="center"/>
    </xf>
    <xf numFmtId="0" fontId="20" fillId="0" borderId="0" xfId="0" applyFont="1" applyAlignment="1">
      <alignment horizontal="center" vertical="center"/>
    </xf>
    <xf numFmtId="4" fontId="16" fillId="0" borderId="7" xfId="0" applyNumberFormat="1" applyFont="1" applyBorder="1" applyAlignment="1">
      <alignment horizontal="center"/>
    </xf>
    <xf numFmtId="0" fontId="16" fillId="0" borderId="7" xfId="0" applyFont="1" applyBorder="1" applyAlignment="1">
      <alignment horizontal="center"/>
    </xf>
    <xf numFmtId="4" fontId="16" fillId="0" borderId="13" xfId="0" applyNumberFormat="1" applyFont="1" applyBorder="1" applyAlignment="1">
      <alignment horizontal="center" vertical="center"/>
    </xf>
    <xf numFmtId="3" fontId="16" fillId="0" borderId="4" xfId="0" applyNumberFormat="1" applyFont="1" applyBorder="1" applyAlignment="1">
      <alignment horizontal="center" vertical="center" wrapText="1"/>
    </xf>
    <xf numFmtId="4" fontId="16" fillId="0" borderId="4" xfId="0" applyNumberFormat="1" applyFont="1" applyBorder="1" applyAlignment="1">
      <alignment horizontal="center" vertical="center" wrapText="1"/>
    </xf>
    <xf numFmtId="4" fontId="16" fillId="0" borderId="2" xfId="0" applyNumberFormat="1" applyFont="1" applyBorder="1" applyAlignment="1">
      <alignment horizontal="center" vertical="center" wrapText="1"/>
    </xf>
    <xf numFmtId="4" fontId="16" fillId="0" borderId="1" xfId="0" applyNumberFormat="1" applyFont="1" applyBorder="1" applyAlignment="1">
      <alignment horizontal="center" vertical="center" wrapText="1"/>
    </xf>
    <xf numFmtId="4" fontId="16" fillId="0" borderId="5" xfId="0" applyNumberFormat="1" applyFont="1" applyBorder="1" applyAlignment="1">
      <alignment horizontal="center" vertical="center" wrapText="1"/>
    </xf>
    <xf numFmtId="3" fontId="16" fillId="0" borderId="2" xfId="0" applyNumberFormat="1" applyFont="1" applyBorder="1" applyAlignment="1">
      <alignment horizontal="center" vertical="center" wrapText="1"/>
    </xf>
    <xf numFmtId="3" fontId="16" fillId="0" borderId="1" xfId="0" applyNumberFormat="1" applyFont="1" applyBorder="1" applyAlignment="1">
      <alignment horizontal="center" vertical="center" wrapText="1"/>
    </xf>
    <xf numFmtId="3" fontId="16" fillId="0" borderId="5" xfId="0" applyNumberFormat="1" applyFont="1" applyBorder="1" applyAlignment="1">
      <alignment horizontal="center" vertical="center" wrapText="1"/>
    </xf>
    <xf numFmtId="0" fontId="16" fillId="0" borderId="4" xfId="0" applyFont="1" applyBorder="1" applyAlignment="1">
      <alignment horizontal="right"/>
    </xf>
    <xf numFmtId="3" fontId="16" fillId="0" borderId="4" xfId="0" applyNumberFormat="1" applyFont="1" applyBorder="1" applyAlignment="1">
      <alignment horizontal="right"/>
    </xf>
    <xf numFmtId="4" fontId="19" fillId="0" borderId="4" xfId="0" applyNumberFormat="1" applyFont="1" applyBorder="1" applyAlignment="1">
      <alignment horizontal="center" vertical="center" wrapText="1"/>
    </xf>
    <xf numFmtId="0" fontId="19" fillId="0" borderId="2" xfId="0" applyFont="1" applyBorder="1" applyAlignment="1">
      <alignment horizontal="right" vertical="center" wrapText="1"/>
    </xf>
    <xf numFmtId="0" fontId="19" fillId="0" borderId="1" xfId="0" applyFont="1" applyBorder="1" applyAlignment="1">
      <alignment horizontal="right" vertical="center" wrapText="1"/>
    </xf>
    <xf numFmtId="0" fontId="19" fillId="0" borderId="5" xfId="0" applyFont="1" applyBorder="1" applyAlignment="1">
      <alignment horizontal="right" vertical="center" wrapText="1"/>
    </xf>
    <xf numFmtId="0" fontId="19" fillId="0" borderId="4" xfId="0" applyFont="1" applyBorder="1" applyAlignment="1">
      <alignment horizontal="center" vertical="center" wrapText="1"/>
    </xf>
    <xf numFmtId="166" fontId="16" fillId="0" borderId="3" xfId="1" applyFont="1" applyFill="1" applyBorder="1" applyAlignment="1"/>
    <xf numFmtId="166" fontId="16" fillId="0" borderId="11" xfId="1" applyFont="1" applyFill="1" applyBorder="1" applyAlignment="1"/>
    <xf numFmtId="166" fontId="16" fillId="0" borderId="12" xfId="1" applyFont="1" applyFill="1" applyBorder="1" applyAlignment="1"/>
    <xf numFmtId="174" fontId="16" fillId="0" borderId="4" xfId="1" applyNumberFormat="1" applyFont="1" applyFill="1" applyBorder="1" applyAlignment="1">
      <alignment horizontal="center" vertical="center"/>
    </xf>
    <xf numFmtId="0" fontId="41" fillId="0" borderId="2" xfId="0" applyFont="1" applyBorder="1" applyAlignment="1">
      <alignment horizontal="right"/>
    </xf>
    <xf numFmtId="0" fontId="41" fillId="0" borderId="1" xfId="0" applyFont="1" applyBorder="1" applyAlignment="1">
      <alignment horizontal="right"/>
    </xf>
    <xf numFmtId="0" fontId="41" fillId="0" borderId="5" xfId="0" applyFont="1" applyBorder="1" applyAlignment="1">
      <alignment horizontal="right"/>
    </xf>
    <xf numFmtId="0" fontId="41" fillId="0" borderId="4" xfId="0" applyFont="1" applyBorder="1" applyAlignment="1">
      <alignment horizontal="center"/>
    </xf>
    <xf numFmtId="166" fontId="41" fillId="0" borderId="4" xfId="0" applyNumberFormat="1" applyFont="1" applyBorder="1" applyAlignment="1">
      <alignment horizontal="right"/>
    </xf>
    <xf numFmtId="0" fontId="41" fillId="0" borderId="4" xfId="0" applyFont="1" applyBorder="1" applyAlignment="1">
      <alignment horizontal="right"/>
    </xf>
    <xf numFmtId="0" fontId="42" fillId="0" borderId="4" xfId="0" applyFont="1" applyBorder="1" applyAlignment="1">
      <alignment horizontal="left"/>
    </xf>
    <xf numFmtId="2" fontId="16" fillId="0" borderId="2" xfId="1" applyNumberFormat="1" applyFont="1" applyFill="1" applyBorder="1" applyAlignment="1">
      <alignment horizontal="center"/>
    </xf>
    <xf numFmtId="2" fontId="16" fillId="0" borderId="1" xfId="1" applyNumberFormat="1" applyFont="1" applyFill="1" applyBorder="1" applyAlignment="1">
      <alignment horizontal="center"/>
    </xf>
    <xf numFmtId="2" fontId="16" fillId="0" borderId="5" xfId="1" applyNumberFormat="1" applyFont="1" applyFill="1" applyBorder="1" applyAlignment="1">
      <alignment horizontal="center"/>
    </xf>
    <xf numFmtId="174" fontId="16" fillId="0" borderId="2" xfId="1" applyNumberFormat="1" applyFont="1" applyFill="1" applyBorder="1" applyAlignment="1">
      <alignment horizontal="center" vertical="center"/>
    </xf>
    <xf numFmtId="174" fontId="16" fillId="0" borderId="1" xfId="1" applyNumberFormat="1" applyFont="1" applyFill="1" applyBorder="1" applyAlignment="1">
      <alignment horizontal="center" vertical="center"/>
    </xf>
    <xf numFmtId="3" fontId="16" fillId="0" borderId="2" xfId="0" applyNumberFormat="1" applyFont="1" applyBorder="1" applyAlignment="1">
      <alignment horizontal="center"/>
    </xf>
    <xf numFmtId="3" fontId="16" fillId="0" borderId="1" xfId="0" applyNumberFormat="1" applyFont="1" applyBorder="1" applyAlignment="1">
      <alignment horizontal="center"/>
    </xf>
    <xf numFmtId="3" fontId="16" fillId="0" borderId="5" xfId="0" applyNumberFormat="1" applyFont="1" applyBorder="1" applyAlignment="1">
      <alignment horizontal="center"/>
    </xf>
    <xf numFmtId="4" fontId="16" fillId="0" borderId="2" xfId="0" applyNumberFormat="1" applyFont="1" applyBorder="1" applyAlignment="1">
      <alignment horizontal="center"/>
    </xf>
    <xf numFmtId="4" fontId="16" fillId="0" borderId="1" xfId="0" applyNumberFormat="1" applyFont="1" applyBorder="1" applyAlignment="1">
      <alignment horizontal="center"/>
    </xf>
    <xf numFmtId="4" fontId="16" fillId="0" borderId="5" xfId="0" applyNumberFormat="1" applyFont="1" applyBorder="1" applyAlignment="1">
      <alignment horizontal="center"/>
    </xf>
    <xf numFmtId="166" fontId="16" fillId="0" borderId="1" xfId="1" applyFont="1" applyFill="1" applyBorder="1" applyAlignment="1">
      <alignment horizontal="center"/>
    </xf>
    <xf numFmtId="166" fontId="16" fillId="0" borderId="5" xfId="1" applyFont="1" applyFill="1" applyBorder="1" applyAlignment="1">
      <alignment horizontal="center"/>
    </xf>
    <xf numFmtId="174" fontId="16" fillId="0" borderId="2" xfId="1" applyNumberFormat="1" applyFont="1" applyFill="1" applyBorder="1" applyAlignment="1"/>
    <xf numFmtId="174" fontId="16" fillId="0" borderId="1" xfId="1" applyNumberFormat="1" applyFont="1" applyFill="1" applyBorder="1" applyAlignment="1"/>
    <xf numFmtId="174" fontId="16" fillId="0" borderId="5" xfId="1" applyNumberFormat="1" applyFont="1" applyFill="1" applyBorder="1" applyAlignment="1"/>
    <xf numFmtId="2" fontId="16" fillId="0" borderId="2" xfId="3" applyNumberFormat="1" applyFont="1" applyFill="1" applyBorder="1" applyAlignment="1">
      <alignment horizontal="center"/>
    </xf>
    <xf numFmtId="2" fontId="16" fillId="0" borderId="1" xfId="3" applyNumberFormat="1" applyFont="1" applyFill="1" applyBorder="1" applyAlignment="1">
      <alignment horizontal="center"/>
    </xf>
    <xf numFmtId="2" fontId="16" fillId="0" borderId="5" xfId="3" applyNumberFormat="1" applyFont="1" applyFill="1" applyBorder="1" applyAlignment="1">
      <alignment horizontal="center"/>
    </xf>
    <xf numFmtId="166" fontId="16" fillId="0" borderId="4" xfId="1" applyFont="1" applyFill="1" applyBorder="1" applyAlignment="1">
      <alignment vertical="center" wrapText="1"/>
    </xf>
    <xf numFmtId="0" fontId="42" fillId="0" borderId="4" xfId="0" applyFont="1" applyBorder="1" applyAlignment="1">
      <alignment horizontal="center"/>
    </xf>
    <xf numFmtId="0" fontId="42" fillId="0" borderId="4" xfId="0" applyFont="1" applyBorder="1" applyAlignment="1">
      <alignment horizontal="center" vertical="center" wrapText="1"/>
    </xf>
    <xf numFmtId="0" fontId="42" fillId="0" borderId="2"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5"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4" xfId="0" applyFont="1" applyBorder="1" applyAlignment="1">
      <alignment horizontal="center" wrapText="1"/>
    </xf>
    <xf numFmtId="0" fontId="42" fillId="0" borderId="13" xfId="0" applyFont="1" applyBorder="1" applyAlignment="1">
      <alignment horizontal="center" wrapText="1"/>
    </xf>
    <xf numFmtId="0" fontId="42" fillId="0" borderId="15" xfId="0" applyFont="1" applyBorder="1" applyAlignment="1">
      <alignment horizontal="center" wrapText="1"/>
    </xf>
    <xf numFmtId="3" fontId="16" fillId="0" borderId="4" xfId="0" applyNumberFormat="1" applyFont="1" applyBorder="1" applyAlignment="1">
      <alignment horizontal="center"/>
    </xf>
    <xf numFmtId="181" fontId="16" fillId="0" borderId="2" xfId="1" applyNumberFormat="1" applyFont="1" applyFill="1" applyBorder="1" applyAlignment="1"/>
    <xf numFmtId="181" fontId="16" fillId="0" borderId="1" xfId="1" applyNumberFormat="1" applyFont="1" applyFill="1" applyBorder="1" applyAlignment="1"/>
    <xf numFmtId="181" fontId="16" fillId="0" borderId="5" xfId="1" applyNumberFormat="1" applyFont="1" applyFill="1" applyBorder="1" applyAlignment="1"/>
    <xf numFmtId="166" fontId="16" fillId="0" borderId="2" xfId="1" applyFont="1" applyFill="1" applyBorder="1" applyAlignment="1"/>
    <xf numFmtId="166" fontId="16" fillId="0" borderId="1" xfId="1" applyFont="1" applyFill="1" applyBorder="1" applyAlignment="1"/>
    <xf numFmtId="166" fontId="16" fillId="0" borderId="5" xfId="1" applyFont="1" applyFill="1" applyBorder="1" applyAlignment="1"/>
    <xf numFmtId="0" fontId="16" fillId="0" borderId="4" xfId="0" applyFont="1" applyBorder="1" applyAlignment="1">
      <alignment horizontal="left" wrapText="1"/>
    </xf>
    <xf numFmtId="174" fontId="16" fillId="0" borderId="2" xfId="1" applyNumberFormat="1" applyFont="1" applyFill="1" applyBorder="1" applyAlignment="1">
      <alignment horizontal="left"/>
    </xf>
    <xf numFmtId="174" fontId="16" fillId="0" borderId="1" xfId="1" applyNumberFormat="1" applyFont="1" applyFill="1" applyBorder="1" applyAlignment="1">
      <alignment horizontal="left"/>
    </xf>
    <xf numFmtId="174" fontId="16" fillId="0" borderId="5" xfId="1" applyNumberFormat="1" applyFont="1" applyFill="1" applyBorder="1" applyAlignment="1">
      <alignment horizontal="left"/>
    </xf>
    <xf numFmtId="181" fontId="16" fillId="0" borderId="2" xfId="1" applyNumberFormat="1" applyFont="1" applyFill="1" applyBorder="1" applyAlignment="1">
      <alignment horizontal="center"/>
    </xf>
    <xf numFmtId="181" fontId="16" fillId="0" borderId="1" xfId="1" applyNumberFormat="1" applyFont="1" applyFill="1" applyBorder="1" applyAlignment="1">
      <alignment horizontal="center"/>
    </xf>
    <xf numFmtId="181" fontId="16" fillId="0" borderId="5" xfId="1" applyNumberFormat="1" applyFont="1" applyFill="1" applyBorder="1" applyAlignment="1">
      <alignment horizontal="center"/>
    </xf>
    <xf numFmtId="166" fontId="16" fillId="0" borderId="2" xfId="1" applyFont="1" applyBorder="1" applyAlignment="1">
      <alignment horizontal="center"/>
    </xf>
    <xf numFmtId="166" fontId="16" fillId="0" borderId="1" xfId="1" applyFont="1" applyBorder="1" applyAlignment="1">
      <alignment horizontal="center"/>
    </xf>
    <xf numFmtId="166" fontId="16" fillId="0" borderId="5" xfId="1" applyFont="1" applyBorder="1" applyAlignment="1">
      <alignment horizontal="center"/>
    </xf>
    <xf numFmtId="174" fontId="16" fillId="0" borderId="5" xfId="1" applyNumberFormat="1" applyFont="1" applyFill="1" applyBorder="1" applyAlignment="1">
      <alignment horizontal="center" vertical="center"/>
    </xf>
    <xf numFmtId="4" fontId="16" fillId="0" borderId="13" xfId="0" applyNumberFormat="1" applyFont="1" applyBorder="1" applyAlignment="1">
      <alignment horizontal="center"/>
    </xf>
    <xf numFmtId="2" fontId="16" fillId="0" borderId="4" xfId="0" applyNumberFormat="1" applyFont="1" applyBorder="1" applyAlignment="1">
      <alignment horizontal="center" vertical="center" wrapText="1"/>
    </xf>
    <xf numFmtId="2" fontId="16" fillId="0" borderId="4" xfId="1" applyNumberFormat="1" applyFont="1" applyBorder="1" applyAlignment="1">
      <alignment horizontal="center"/>
    </xf>
    <xf numFmtId="0" fontId="42" fillId="0" borderId="4" xfId="0" applyFont="1" applyBorder="1" applyAlignment="1">
      <alignment horizontal="center" vertical="center"/>
    </xf>
    <xf numFmtId="0" fontId="16" fillId="0" borderId="2" xfId="0" applyFont="1" applyBorder="1" applyAlignment="1">
      <alignment vertical="center" wrapText="1"/>
    </xf>
    <xf numFmtId="0" fontId="16" fillId="0" borderId="1" xfId="0" applyFont="1" applyBorder="1" applyAlignment="1">
      <alignment vertical="center" wrapText="1"/>
    </xf>
    <xf numFmtId="0" fontId="42" fillId="0" borderId="6" xfId="0" applyFont="1" applyBorder="1" applyAlignment="1">
      <alignment horizontal="center" vertical="center" wrapText="1"/>
    </xf>
    <xf numFmtId="0" fontId="42" fillId="0" borderId="7"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9" xfId="0" applyFont="1" applyBorder="1" applyAlignment="1">
      <alignment horizontal="center" vertical="center" wrapText="1"/>
    </xf>
    <xf numFmtId="0" fontId="42" fillId="0" borderId="0" xfId="0" applyFont="1" applyAlignment="1">
      <alignment horizontal="center" vertical="center" wrapText="1"/>
    </xf>
    <xf numFmtId="0" fontId="42" fillId="0" borderId="10"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12" xfId="0" applyFont="1" applyBorder="1" applyAlignment="1">
      <alignment horizontal="center" vertical="center" wrapText="1"/>
    </xf>
    <xf numFmtId="166" fontId="42" fillId="0" borderId="4" xfId="1" applyFont="1" applyFill="1" applyBorder="1" applyAlignment="1">
      <alignment horizontal="right"/>
    </xf>
    <xf numFmtId="0" fontId="16" fillId="0" borderId="0" xfId="0" applyFont="1" applyAlignment="1">
      <alignment horizontal="center"/>
    </xf>
    <xf numFmtId="166" fontId="42" fillId="0" borderId="4" xfId="1" applyFont="1" applyFill="1" applyBorder="1" applyAlignment="1">
      <alignment horizontal="center"/>
    </xf>
    <xf numFmtId="0" fontId="42" fillId="0" borderId="2" xfId="0" applyFont="1" applyBorder="1" applyAlignment="1">
      <alignment horizontal="center"/>
    </xf>
    <xf numFmtId="0" fontId="42" fillId="0" borderId="1" xfId="0" applyFont="1" applyBorder="1" applyAlignment="1">
      <alignment horizontal="center"/>
    </xf>
    <xf numFmtId="0" fontId="42" fillId="0" borderId="5" xfId="0" applyFont="1" applyBorder="1" applyAlignment="1">
      <alignment horizontal="center"/>
    </xf>
    <xf numFmtId="0" fontId="41" fillId="0" borderId="2" xfId="0" applyFont="1" applyBorder="1" applyAlignment="1">
      <alignment horizontal="right" vertical="center" wrapText="1"/>
    </xf>
    <xf numFmtId="0" fontId="41" fillId="0" borderId="1" xfId="0" applyFont="1" applyBorder="1" applyAlignment="1">
      <alignment horizontal="right" vertical="center" wrapText="1"/>
    </xf>
    <xf numFmtId="0" fontId="41" fillId="0" borderId="5" xfId="0" applyFont="1" applyBorder="1" applyAlignment="1">
      <alignment horizontal="right" vertical="center" wrapText="1"/>
    </xf>
    <xf numFmtId="0" fontId="41" fillId="0" borderId="4" xfId="0" applyFont="1" applyBorder="1" applyAlignment="1">
      <alignment horizontal="center" vertical="center" wrapText="1"/>
    </xf>
    <xf numFmtId="4" fontId="41" fillId="0" borderId="4" xfId="0" applyNumberFormat="1" applyFont="1" applyBorder="1" applyAlignment="1">
      <alignment horizontal="center" vertical="center" wrapText="1"/>
    </xf>
    <xf numFmtId="0" fontId="42" fillId="0" borderId="4" xfId="0" applyFont="1" applyBorder="1" applyAlignment="1">
      <alignment horizontal="left" vertical="center" wrapText="1"/>
    </xf>
    <xf numFmtId="2" fontId="42" fillId="0" borderId="4" xfId="0" applyNumberFormat="1" applyFont="1" applyBorder="1" applyAlignment="1">
      <alignment horizontal="center" vertical="center" wrapText="1"/>
    </xf>
    <xf numFmtId="4" fontId="42" fillId="0" borderId="4" xfId="0" applyNumberFormat="1" applyFont="1" applyBorder="1" applyAlignment="1">
      <alignment horizontal="center" vertical="center" wrapText="1"/>
    </xf>
    <xf numFmtId="0" fontId="42" fillId="0" borderId="4" xfId="0" applyFont="1" applyBorder="1" applyAlignment="1">
      <alignment horizontal="right"/>
    </xf>
    <xf numFmtId="166" fontId="16" fillId="0" borderId="2" xfId="3" applyFont="1" applyFill="1" applyBorder="1" applyAlignment="1">
      <alignment horizontal="center" vertical="center"/>
    </xf>
    <xf numFmtId="166" fontId="16" fillId="0" borderId="1" xfId="3" applyFont="1" applyFill="1" applyBorder="1" applyAlignment="1">
      <alignment horizontal="center" vertical="center"/>
    </xf>
    <xf numFmtId="166" fontId="16" fillId="0" borderId="5" xfId="3" applyFont="1" applyFill="1" applyBorder="1" applyAlignment="1">
      <alignment horizontal="center" vertical="center"/>
    </xf>
    <xf numFmtId="0" fontId="13" fillId="0" borderId="11" xfId="0" applyFont="1" applyBorder="1" applyAlignment="1">
      <alignment horizontal="left"/>
    </xf>
    <xf numFmtId="0" fontId="19" fillId="0" borderId="4" xfId="0" applyFont="1" applyBorder="1" applyAlignment="1">
      <alignment horizontal="right"/>
    </xf>
    <xf numFmtId="164" fontId="16" fillId="0" borderId="4" xfId="0" applyNumberFormat="1" applyFont="1" applyBorder="1" applyAlignment="1">
      <alignment horizontal="center" vertical="center" wrapText="1"/>
    </xf>
    <xf numFmtId="4" fontId="20" fillId="0" borderId="0" xfId="0" applyNumberFormat="1" applyFont="1" applyAlignment="1">
      <alignment horizontal="center" vertical="center" wrapText="1"/>
    </xf>
    <xf numFmtId="0" fontId="20" fillId="0" borderId="0" xfId="0" applyFont="1" applyAlignment="1">
      <alignment horizontal="center" vertical="center" wrapText="1"/>
    </xf>
    <xf numFmtId="4" fontId="23" fillId="0" borderId="4" xfId="0" applyNumberFormat="1" applyFont="1" applyBorder="1" applyAlignment="1">
      <alignment horizontal="center"/>
    </xf>
    <xf numFmtId="4" fontId="19" fillId="0" borderId="2" xfId="0" applyNumberFormat="1" applyFont="1" applyBorder="1" applyAlignment="1">
      <alignment horizontal="center"/>
    </xf>
    <xf numFmtId="4" fontId="19" fillId="0" borderId="1" xfId="0" applyNumberFormat="1" applyFont="1" applyBorder="1" applyAlignment="1">
      <alignment horizontal="center"/>
    </xf>
    <xf numFmtId="4" fontId="19" fillId="0" borderId="5" xfId="0" applyNumberFormat="1" applyFont="1" applyBorder="1" applyAlignment="1">
      <alignment horizontal="center"/>
    </xf>
    <xf numFmtId="0" fontId="44" fillId="0" borderId="2" xfId="29" applyFont="1" applyBorder="1" applyAlignment="1">
      <alignment horizontal="center"/>
    </xf>
    <xf numFmtId="0" fontId="44" fillId="0" borderId="1" xfId="29" applyFont="1" applyBorder="1" applyAlignment="1">
      <alignment horizontal="center"/>
    </xf>
    <xf numFmtId="0" fontId="44" fillId="0" borderId="5" xfId="29" applyFont="1" applyBorder="1" applyAlignment="1">
      <alignment horizontal="center"/>
    </xf>
    <xf numFmtId="0" fontId="42" fillId="0" borderId="4" xfId="29" applyFont="1" applyBorder="1" applyAlignment="1">
      <alignment horizontal="center"/>
    </xf>
    <xf numFmtId="0" fontId="43" fillId="0" borderId="4" xfId="29" applyFont="1" applyBorder="1" applyAlignment="1">
      <alignment horizontal="center" vertical="center" wrapText="1"/>
    </xf>
    <xf numFmtId="0" fontId="42" fillId="0" borderId="13" xfId="29" applyFont="1" applyBorder="1" applyAlignment="1">
      <alignment horizontal="center" vertical="center" wrapText="1"/>
    </xf>
    <xf numFmtId="0" fontId="42" fillId="0" borderId="15" xfId="29" applyFont="1" applyBorder="1" applyAlignment="1">
      <alignment horizontal="center" vertical="center" wrapText="1"/>
    </xf>
    <xf numFmtId="0" fontId="41" fillId="0" borderId="13" xfId="29" applyFont="1" applyBorder="1" applyAlignment="1">
      <alignment horizontal="center" vertical="center" wrapText="1"/>
    </xf>
    <xf numFmtId="0" fontId="41" fillId="0" borderId="15" xfId="29" applyFont="1" applyBorder="1" applyAlignment="1">
      <alignment horizontal="center" vertical="center" wrapText="1"/>
    </xf>
    <xf numFmtId="166" fontId="16" fillId="0" borderId="3" xfId="3" applyFont="1" applyFill="1" applyBorder="1" applyAlignment="1">
      <alignment vertical="center"/>
    </xf>
    <xf numFmtId="166" fontId="16" fillId="0" borderId="11" xfId="3" applyFont="1" applyFill="1" applyBorder="1" applyAlignment="1">
      <alignment vertical="center"/>
    </xf>
    <xf numFmtId="166" fontId="16" fillId="0" borderId="12" xfId="3" applyFont="1" applyFill="1" applyBorder="1" applyAlignment="1">
      <alignment vertical="center"/>
    </xf>
    <xf numFmtId="0" fontId="16" fillId="0" borderId="13" xfId="0" applyFont="1" applyBorder="1" applyAlignment="1">
      <alignment horizontal="left"/>
    </xf>
    <xf numFmtId="0" fontId="43" fillId="0" borderId="0" xfId="25" applyFont="1" applyAlignment="1">
      <alignment horizontal="left" vertical="center" wrapText="1"/>
    </xf>
    <xf numFmtId="0" fontId="16" fillId="0" borderId="13" xfId="25" applyFont="1" applyBorder="1" applyAlignment="1">
      <alignment horizontal="center" vertical="center" wrapText="1"/>
    </xf>
    <xf numFmtId="0" fontId="16" fillId="0" borderId="15" xfId="25" applyFont="1" applyBorder="1" applyAlignment="1">
      <alignment horizontal="center" vertical="center" wrapText="1"/>
    </xf>
    <xf numFmtId="0" fontId="43" fillId="0" borderId="0" xfId="25" applyFont="1" applyAlignment="1">
      <alignment horizontal="left" wrapText="1"/>
    </xf>
    <xf numFmtId="0" fontId="13" fillId="0" borderId="0" xfId="25" applyFont="1" applyAlignment="1">
      <alignment horizontal="left"/>
    </xf>
    <xf numFmtId="0" fontId="16" fillId="0" borderId="13" xfId="25" applyFont="1" applyBorder="1" applyAlignment="1">
      <alignment horizontal="center" vertical="center"/>
    </xf>
    <xf numFmtId="0" fontId="16" fillId="0" borderId="14" xfId="25" applyFont="1" applyBorder="1" applyAlignment="1">
      <alignment horizontal="center" vertical="center"/>
    </xf>
    <xf numFmtId="0" fontId="16" fillId="0" borderId="15" xfId="25" applyFont="1" applyBorder="1" applyAlignment="1">
      <alignment horizontal="center" vertical="center"/>
    </xf>
    <xf numFmtId="0" fontId="16" fillId="0" borderId="6" xfId="25" applyFont="1" applyBorder="1" applyAlignment="1">
      <alignment horizontal="center" vertical="center"/>
    </xf>
    <xf numFmtId="0" fontId="16" fillId="0" borderId="9" xfId="25" applyFont="1" applyBorder="1" applyAlignment="1">
      <alignment horizontal="center" vertical="center"/>
    </xf>
    <xf numFmtId="0" fontId="16" fillId="0" borderId="3" xfId="25" applyFont="1" applyBorder="1" applyAlignment="1">
      <alignment horizontal="center" vertical="center"/>
    </xf>
    <xf numFmtId="0" fontId="16" fillId="0" borderId="6" xfId="25" applyFont="1" applyBorder="1" applyAlignment="1">
      <alignment horizontal="center" vertical="center" wrapText="1"/>
    </xf>
    <xf numFmtId="0" fontId="16" fillId="0" borderId="9" xfId="25" applyFont="1" applyBorder="1" applyAlignment="1">
      <alignment horizontal="center" vertical="center" wrapText="1"/>
    </xf>
    <xf numFmtId="0" fontId="16" fillId="0" borderId="3" xfId="25" applyFont="1" applyBorder="1" applyAlignment="1">
      <alignment horizontal="center" vertical="center" wrapText="1"/>
    </xf>
    <xf numFmtId="0" fontId="16" fillId="0" borderId="2" xfId="25" applyFont="1" applyBorder="1" applyAlignment="1">
      <alignment horizontal="center" vertical="center"/>
    </xf>
    <xf numFmtId="0" fontId="16" fillId="0" borderId="1" xfId="25" applyFont="1" applyBorder="1" applyAlignment="1">
      <alignment horizontal="center" vertical="center"/>
    </xf>
    <xf numFmtId="0" fontId="16" fillId="0" borderId="5" xfId="25" applyFont="1" applyBorder="1" applyAlignment="1">
      <alignment horizontal="center" vertical="center"/>
    </xf>
    <xf numFmtId="0" fontId="16" fillId="0" borderId="2" xfId="25" applyFont="1" applyBorder="1" applyAlignment="1">
      <alignment horizontal="center" vertical="center" wrapText="1"/>
    </xf>
    <xf numFmtId="0" fontId="16" fillId="0" borderId="1" xfId="25" applyFont="1" applyBorder="1" applyAlignment="1">
      <alignment horizontal="center" vertical="center" wrapText="1"/>
    </xf>
    <xf numFmtId="0" fontId="16" fillId="0" borderId="5" xfId="25" applyFont="1" applyBorder="1" applyAlignment="1">
      <alignment horizontal="center" vertical="center" wrapText="1"/>
    </xf>
    <xf numFmtId="0" fontId="16" fillId="0" borderId="14" xfId="25" applyFont="1" applyBorder="1" applyAlignment="1">
      <alignment horizontal="center" vertical="center" wrapText="1"/>
    </xf>
    <xf numFmtId="0" fontId="41" fillId="0" borderId="0" xfId="0" applyFont="1" applyAlignment="1">
      <alignment horizontal="left" vertical="center" wrapText="1"/>
    </xf>
    <xf numFmtId="0" fontId="19" fillId="0" borderId="0" xfId="0" applyFont="1" applyAlignment="1">
      <alignment horizontal="left"/>
    </xf>
    <xf numFmtId="0" fontId="41" fillId="0" borderId="0" xfId="0" applyFont="1" applyAlignment="1">
      <alignment horizontal="center"/>
    </xf>
    <xf numFmtId="0" fontId="19" fillId="0" borderId="0" xfId="0" applyFont="1" applyAlignment="1">
      <alignment horizontal="center"/>
    </xf>
    <xf numFmtId="0" fontId="41" fillId="0" borderId="2" xfId="0" applyFont="1" applyBorder="1" applyAlignment="1">
      <alignment horizontal="center"/>
    </xf>
    <xf numFmtId="0" fontId="41" fillId="0" borderId="13" xfId="0" applyFont="1" applyBorder="1" applyAlignment="1">
      <alignment horizontal="center" vertical="center" wrapText="1"/>
    </xf>
    <xf numFmtId="0" fontId="41" fillId="0" borderId="15" xfId="0" applyFont="1" applyBorder="1" applyAlignment="1">
      <alignment horizontal="center" vertical="center" wrapText="1"/>
    </xf>
    <xf numFmtId="0" fontId="11" fillId="0" borderId="0" xfId="0" applyFont="1" applyAlignment="1">
      <alignment horizontal="left" wrapText="1"/>
    </xf>
    <xf numFmtId="0" fontId="64" fillId="2" borderId="13" xfId="0" applyFont="1" applyFill="1" applyBorder="1" applyAlignment="1">
      <alignment horizontal="center" vertical="center" wrapText="1"/>
    </xf>
    <xf numFmtId="0" fontId="64" fillId="2" borderId="15" xfId="0" applyFont="1" applyFill="1" applyBorder="1" applyAlignment="1">
      <alignment horizontal="center" vertical="center" wrapText="1"/>
    </xf>
    <xf numFmtId="0" fontId="16" fillId="0" borderId="13" xfId="0" applyFont="1" applyBorder="1" applyAlignment="1">
      <alignment horizontal="center" vertical="center"/>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16" fillId="0" borderId="3" xfId="0" applyFont="1" applyBorder="1" applyAlignment="1">
      <alignment horizontal="left" indent="1"/>
    </xf>
    <xf numFmtId="0" fontId="16" fillId="0" borderId="11" xfId="0" applyFont="1" applyBorder="1" applyAlignment="1">
      <alignment horizontal="left" indent="1"/>
    </xf>
    <xf numFmtId="0" fontId="16" fillId="0" borderId="12" xfId="0" applyFont="1" applyBorder="1" applyAlignment="1">
      <alignment horizontal="left" indent="1"/>
    </xf>
    <xf numFmtId="0" fontId="16" fillId="0" borderId="6" xfId="0" applyFont="1" applyBorder="1" applyAlignment="1">
      <alignment horizontal="left" indent="1"/>
    </xf>
    <xf numFmtId="0" fontId="16" fillId="0" borderId="7" xfId="0" applyFont="1" applyBorder="1" applyAlignment="1">
      <alignment horizontal="left" indent="1"/>
    </xf>
    <xf numFmtId="0" fontId="16" fillId="0" borderId="8" xfId="0" applyFont="1" applyBorder="1" applyAlignment="1">
      <alignment horizontal="left" indent="1"/>
    </xf>
    <xf numFmtId="43" fontId="16" fillId="0" borderId="4" xfId="7" applyFont="1" applyBorder="1" applyAlignment="1">
      <alignment horizontal="right"/>
    </xf>
    <xf numFmtId="43" fontId="16" fillId="0" borderId="4" xfId="0" applyNumberFormat="1" applyFont="1" applyBorder="1" applyAlignment="1">
      <alignment horizontal="right"/>
    </xf>
    <xf numFmtId="166" fontId="16" fillId="0" borderId="4" xfId="1" applyFont="1" applyBorder="1" applyAlignment="1">
      <alignment horizontal="center"/>
    </xf>
    <xf numFmtId="43" fontId="16" fillId="0" borderId="4" xfId="7" applyFont="1" applyBorder="1" applyAlignment="1">
      <alignment horizontal="center"/>
    </xf>
    <xf numFmtId="0" fontId="16" fillId="0" borderId="2" xfId="0" applyFont="1" applyBorder="1" applyAlignment="1">
      <alignment horizontal="left" indent="1"/>
    </xf>
    <xf numFmtId="0" fontId="16" fillId="0" borderId="1" xfId="0" applyFont="1" applyBorder="1" applyAlignment="1">
      <alignment horizontal="left" indent="1"/>
    </xf>
    <xf numFmtId="0" fontId="16" fillId="0" borderId="5" xfId="0" applyFont="1" applyBorder="1" applyAlignment="1">
      <alignment horizontal="left" indent="1"/>
    </xf>
    <xf numFmtId="0" fontId="16" fillId="0" borderId="15" xfId="0" applyFont="1" applyBorder="1" applyAlignment="1">
      <alignment horizontal="center"/>
    </xf>
    <xf numFmtId="0" fontId="16" fillId="0" borderId="6" xfId="0" applyFont="1" applyBorder="1" applyAlignment="1">
      <alignment horizontal="left"/>
    </xf>
    <xf numFmtId="0" fontId="16" fillId="0" borderId="7" xfId="0" applyFont="1" applyBorder="1" applyAlignment="1">
      <alignment horizontal="left"/>
    </xf>
    <xf numFmtId="0" fontId="16" fillId="0" borderId="8" xfId="0" applyFont="1" applyBorder="1" applyAlignment="1">
      <alignment horizontal="left"/>
    </xf>
    <xf numFmtId="0" fontId="16" fillId="0" borderId="14" xfId="0" applyFont="1" applyBorder="1" applyAlignment="1">
      <alignment horizontal="center"/>
    </xf>
    <xf numFmtId="0" fontId="16" fillId="0" borderId="9" xfId="0" applyFont="1" applyBorder="1" applyAlignment="1">
      <alignment horizontal="left" indent="1"/>
    </xf>
    <xf numFmtId="0" fontId="16" fillId="0" borderId="0" xfId="0" applyFont="1" applyAlignment="1">
      <alignment horizontal="left" indent="1"/>
    </xf>
    <xf numFmtId="0" fontId="16" fillId="0" borderId="10" xfId="0" applyFont="1" applyBorder="1" applyAlignment="1">
      <alignment horizontal="left" indent="1"/>
    </xf>
    <xf numFmtId="43" fontId="19" fillId="0" borderId="4" xfId="0" applyNumberFormat="1" applyFont="1" applyBorder="1" applyAlignment="1">
      <alignment horizontal="right"/>
    </xf>
    <xf numFmtId="0" fontId="12" fillId="0" borderId="0" xfId="0" applyFont="1" applyAlignment="1">
      <alignment horizontal="left" vertical="top" wrapText="1"/>
    </xf>
    <xf numFmtId="0" fontId="44" fillId="0" borderId="2" xfId="6" applyFont="1" applyBorder="1" applyAlignment="1">
      <alignment horizontal="center"/>
    </xf>
    <xf numFmtId="0" fontId="44" fillId="0" borderId="1" xfId="6" applyFont="1" applyBorder="1" applyAlignment="1">
      <alignment horizontal="center"/>
    </xf>
    <xf numFmtId="0" fontId="44" fillId="0" borderId="5" xfId="6" applyFont="1" applyBorder="1" applyAlignment="1">
      <alignment horizontal="center"/>
    </xf>
    <xf numFmtId="0" fontId="42" fillId="0" borderId="4" xfId="6" applyFont="1" applyBorder="1" applyAlignment="1">
      <alignment horizontal="center"/>
    </xf>
    <xf numFmtId="0" fontId="43" fillId="0" borderId="4" xfId="6" applyFont="1" applyBorder="1" applyAlignment="1">
      <alignment horizontal="center" vertical="center" wrapText="1"/>
    </xf>
    <xf numFmtId="0" fontId="42" fillId="0" borderId="13" xfId="6" applyFont="1" applyBorder="1" applyAlignment="1">
      <alignment horizontal="center" vertical="center" wrapText="1"/>
    </xf>
    <xf numFmtId="0" fontId="42" fillId="0" borderId="15" xfId="6" applyFont="1" applyBorder="1" applyAlignment="1">
      <alignment horizontal="center" vertical="center" wrapText="1"/>
    </xf>
    <xf numFmtId="0" fontId="41" fillId="0" borderId="13" xfId="6" applyFont="1" applyBorder="1" applyAlignment="1">
      <alignment horizontal="center" vertical="center" wrapText="1"/>
    </xf>
    <xf numFmtId="0" fontId="41" fillId="0" borderId="15" xfId="6" applyFont="1" applyBorder="1" applyAlignment="1">
      <alignment horizontal="center" vertical="center" wrapText="1"/>
    </xf>
    <xf numFmtId="0" fontId="16" fillId="0" borderId="2" xfId="0" applyFont="1" applyBorder="1" applyAlignment="1">
      <alignment horizontal="left" vertical="top" wrapText="1"/>
    </xf>
    <xf numFmtId="0" fontId="16" fillId="0" borderId="1" xfId="0" applyFont="1" applyBorder="1" applyAlignment="1">
      <alignment horizontal="left" vertical="top" wrapText="1"/>
    </xf>
    <xf numFmtId="0" fontId="16" fillId="0" borderId="5" xfId="0" applyFont="1" applyBorder="1" applyAlignment="1">
      <alignment horizontal="left" vertical="top" wrapText="1"/>
    </xf>
    <xf numFmtId="0" fontId="16" fillId="0" borderId="3" xfId="0" applyFont="1" applyBorder="1" applyAlignment="1">
      <alignment horizontal="right"/>
    </xf>
    <xf numFmtId="0" fontId="16" fillId="0" borderId="11" xfId="0" applyFont="1" applyBorder="1" applyAlignment="1">
      <alignment horizontal="right"/>
    </xf>
    <xf numFmtId="0" fontId="16" fillId="0" borderId="12" xfId="0" applyFont="1" applyBorder="1" applyAlignment="1">
      <alignment horizontal="right"/>
    </xf>
    <xf numFmtId="0" fontId="0" fillId="0" borderId="5" xfId="0" applyBorder="1" applyAlignment="1">
      <alignment horizontal="right"/>
    </xf>
    <xf numFmtId="166" fontId="16" fillId="0" borderId="3" xfId="3" applyFont="1" applyFill="1" applyBorder="1" applyAlignment="1">
      <alignment horizontal="right" vertical="top"/>
    </xf>
    <xf numFmtId="166" fontId="16" fillId="0" borderId="11" xfId="3" applyFont="1" applyFill="1" applyBorder="1" applyAlignment="1">
      <alignment horizontal="right" vertical="top"/>
    </xf>
    <xf numFmtId="166" fontId="16" fillId="0" borderId="12" xfId="3" applyFont="1" applyFill="1" applyBorder="1" applyAlignment="1">
      <alignment horizontal="right" vertical="top"/>
    </xf>
    <xf numFmtId="166" fontId="19" fillId="0" borderId="2" xfId="3" applyFont="1" applyFill="1" applyBorder="1" applyAlignment="1">
      <alignment horizontal="center" vertical="center"/>
    </xf>
    <xf numFmtId="166" fontId="19" fillId="0" borderId="1" xfId="3" applyFont="1" applyFill="1" applyBorder="1" applyAlignment="1">
      <alignment horizontal="center" vertical="center"/>
    </xf>
    <xf numFmtId="166" fontId="19" fillId="0" borderId="5" xfId="3" applyFont="1" applyFill="1" applyBorder="1" applyAlignment="1">
      <alignment horizontal="center" vertical="center"/>
    </xf>
    <xf numFmtId="4" fontId="31" fillId="0" borderId="4" xfId="27" applyNumberFormat="1" applyFont="1" applyBorder="1" applyAlignment="1">
      <alignment horizontal="center" vertical="center" wrapText="1"/>
    </xf>
    <xf numFmtId="166" fontId="16" fillId="0" borderId="4" xfId="1" applyFont="1" applyBorder="1" applyAlignment="1">
      <alignment horizontal="center" vertical="center" wrapText="1"/>
    </xf>
    <xf numFmtId="166" fontId="13" fillId="0" borderId="4" xfId="1" applyFont="1" applyBorder="1" applyAlignment="1">
      <alignment horizontal="center" vertical="center"/>
    </xf>
    <xf numFmtId="166" fontId="31" fillId="0" borderId="0" xfId="1" applyFont="1" applyAlignment="1">
      <alignment horizontal="right" vertical="center" wrapText="1"/>
    </xf>
    <xf numFmtId="166" fontId="31" fillId="0" borderId="0" xfId="1" applyFont="1" applyAlignment="1">
      <alignment horizontal="right" vertical="center"/>
    </xf>
    <xf numFmtId="0" fontId="31" fillId="0" borderId="11" xfId="27" applyFont="1" applyBorder="1" applyAlignment="1">
      <alignment vertical="center"/>
    </xf>
    <xf numFmtId="0" fontId="1" fillId="0" borderId="11" xfId="27" applyBorder="1" applyAlignment="1">
      <alignment vertical="center"/>
    </xf>
    <xf numFmtId="166" fontId="30" fillId="0" borderId="4" xfId="1" applyFont="1" applyBorder="1" applyAlignment="1">
      <alignment horizontal="center" vertical="center"/>
    </xf>
  </cellXfs>
  <cellStyles count="31">
    <cellStyle name="Обычный" xfId="0" builtinId="0"/>
    <cellStyle name="Обычный 2" xfId="6" xr:uid="{00000000-0005-0000-0000-000001000000}"/>
    <cellStyle name="Обычный 2 2" xfId="8" xr:uid="{00000000-0005-0000-0000-000002000000}"/>
    <cellStyle name="Обычный 3" xfId="10" xr:uid="{00000000-0005-0000-0000-000003000000}"/>
    <cellStyle name="Обычный 3 2" xfId="15" xr:uid="{00000000-0005-0000-0000-000004000000}"/>
    <cellStyle name="Обычный 3 3" xfId="17" xr:uid="{00000000-0005-0000-0000-000005000000}"/>
    <cellStyle name="Обычный 3 4" xfId="27" xr:uid="{00000000-0005-0000-0000-000006000000}"/>
    <cellStyle name="Обычный 4" xfId="22" xr:uid="{00000000-0005-0000-0000-000007000000}"/>
    <cellStyle name="Обычный 5" xfId="21" xr:uid="{00000000-0005-0000-0000-000008000000}"/>
    <cellStyle name="Обычный 5 2" xfId="4" xr:uid="{00000000-0005-0000-0000-000009000000}"/>
    <cellStyle name="Обычный 5 2 2" xfId="12" xr:uid="{00000000-0005-0000-0000-00000A000000}"/>
    <cellStyle name="Обычный 6" xfId="23" xr:uid="{00000000-0005-0000-0000-00000B000000}"/>
    <cellStyle name="Обычный 6 2" xfId="25" xr:uid="{00000000-0005-0000-0000-00000C000000}"/>
    <cellStyle name="Обычный 6 3" xfId="26" xr:uid="{00000000-0005-0000-0000-00000D000000}"/>
    <cellStyle name="Обычный 7" xfId="29" xr:uid="{00000000-0005-0000-0000-00000E000000}"/>
    <cellStyle name="Обычный_Лист1" xfId="19" xr:uid="{00000000-0005-0000-0000-00000F000000}"/>
    <cellStyle name="Процентный" xfId="2" builtinId="5"/>
    <cellStyle name="Финансовый" xfId="1" builtinId="3"/>
    <cellStyle name="Финансовый 2" xfId="3" xr:uid="{00000000-0005-0000-0000-000012000000}"/>
    <cellStyle name="Финансовый 2 2" xfId="24" xr:uid="{00000000-0005-0000-0000-000013000000}"/>
    <cellStyle name="Финансовый 3" xfId="7" xr:uid="{00000000-0005-0000-0000-000014000000}"/>
    <cellStyle name="Финансовый 3 2" xfId="13" xr:uid="{00000000-0005-0000-0000-000015000000}"/>
    <cellStyle name="Финансовый 4" xfId="9" xr:uid="{00000000-0005-0000-0000-000016000000}"/>
    <cellStyle name="Финансовый 4 2" xfId="14" xr:uid="{00000000-0005-0000-0000-000017000000}"/>
    <cellStyle name="Финансовый 5" xfId="11" xr:uid="{00000000-0005-0000-0000-000018000000}"/>
    <cellStyle name="Финансовый 5 2" xfId="5" xr:uid="{00000000-0005-0000-0000-000019000000}"/>
    <cellStyle name="Финансовый 5 3" xfId="16" xr:uid="{00000000-0005-0000-0000-00001A000000}"/>
    <cellStyle name="Финансовый 5 4" xfId="18" xr:uid="{00000000-0005-0000-0000-00001B000000}"/>
    <cellStyle name="Финансовый 5 5" xfId="28" xr:uid="{00000000-0005-0000-0000-00001C000000}"/>
    <cellStyle name="Финансовый 6" xfId="20" xr:uid="{00000000-0005-0000-0000-00001D000000}"/>
    <cellStyle name="Финансовый 7" xfId="30" xr:uid="{00000000-0005-0000-0000-00001E000000}"/>
  </cellStyles>
  <dxfs count="0"/>
  <tableStyles count="0" defaultTableStyle="TableStyleMedium2" defaultPivotStyle="PivotStyleLight16"/>
  <colors>
    <mruColors>
      <color rgb="FF00FF00"/>
      <color rgb="FFFFE5FF"/>
      <color rgb="FFCCFFCC"/>
      <color rgb="FFE1E1FF"/>
      <color rgb="FFFFCCFF"/>
      <color rgb="FF3B1D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s\User\Desktop\&#1042;&#1040;&#1046;&#1053;&#1054;&#1045;\&#1055;&#1088;&#1086;&#1077;&#1082;&#1090;%2520&#1087;&#1083;&#1072;&#1085;&#1072;%2520&#1060;&#1061;&#1044;\&#1087;&#1088;&#1086;&#1077;&#1082;&#1090;%2520&#1087;&#1083;&#1072;&#1085;&#1072;%2520&#1085;&#1072;%252023-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052;&#1080;&#1093;&#1072;&#1083;&#1077;&#1085;&#1082;&#1086;/Desktop/&#1055;&#1060;&#1061;&#1044;%20&#1091;&#1095;&#1088;&#1077;&#1078;&#1076;&#1077;&#1085;&#1080;&#1081;/&#1055;&#1060;&#1061;&#1044;%20&#1044;&#1057;27%20&#1082;&#1072;&#1082;%20&#1086;&#1073;&#1088;&#1072;&#1079;&#1077;&#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esktop/&#1042;&#1040;&#1046;&#1053;&#1054;&#1045;/&#1055;&#1083;&#1072;&#1085;&#1099;%20&#1060;&#1061;&#1044;/&#1056;&#1072;&#1089;&#1095;&#1077;&#1090;%20&#1060;&#1054;&#1058;%202024%20&#1086;&#1073;&#1083;.&#1089;&#1072;&#1076;%20&#1085;&#1072;%2021.05!!%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esktop/&#1042;&#1040;&#1046;&#1053;&#1054;&#1045;/&#1055;&#1083;&#1072;&#1085;&#1099;%20&#1060;&#1061;&#1044;/&#1056;&#1072;&#1089;&#1095;&#1077;&#1090;%20&#1060;&#1054;&#1058;%20&#1096;&#1082;&#1086;&#1083;&#1072;%202024%20&#1075;&#1086;&#1076;%20&#1086;&#1073;&#1083;%20&#1085;&#1072;%2021.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1041;&#1070;&#1044;&#1046;&#1045;&#1058;%20&#1055;&#1054;%20&#1043;&#1054;&#1044;&#1040;&#1052;/&#1041;&#1102;&#1076;&#1078;&#1077;&#1090;%20&#1085;&#1072;%202024&#1075;&#1086;&#1076;/&#1054;&#1079;&#1076;&#1086;&#1088;&#1086;&#1074;&#1080;&#1083;&#1086;&#1074;&#1082;&#1072;_&#1076;&#1077;&#1090;&#1077;&#1081;%2025.12.2023_&#1085;&#1072;_2024_&#1075;&#1086;&#1076;_&#1089;&#1086;&#1092;&#1080;&#1085;_10%25_%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1041;&#1070;&#1044;&#1046;&#1045;&#1058;%20&#1055;&#1054;%20&#1043;&#1054;&#1044;&#1040;&#1052;/&#1041;&#1102;&#1076;&#1078;&#1077;&#1090;%20&#1085;&#1072;%202023&#1075;&#1086;&#1076;/&#1054;&#1079;&#1076;&#1086;&#1088;&#1086;&#1074;&#1080;&#1090;.&#1083;&#1072;&#1075;&#1077;&#1088;&#1103;%20&#1085;&#1072;%202023&#1075;/&#1054;&#1079;&#1076;&#1086;&#1088;&#1086;&#1074;&#1080;&#1090;&#1077;&#1083;&#1100;&#1085;&#1072;&#1103;%20&#1082;&#1072;&#1084;&#1087;&#1072;&#1085;&#1080;&#1103;%20&#1076;&#1077;&#1090;&#1077;&#1081;%20&#1085;&#1072;%202023%20&#1075;&#1086;&#1076;%20&#1089;&#1086;&#1092;&#1080;&#1085;.%20%2011%2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43;&#1083;&#1072;&#1078;&#1077;&#1074;&#1086;%20&#1087;&#1083;&#1072;&#1085;%20&#8470;1%20&#1085;&#1072;%202024%20&#1075;&#1086;&#1076;%20&#1091;&#1090;&#107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43;&#1083;&#1072;&#1078;&#1077;&#1074;&#1086;%20&#1087;&#1083;&#1072;&#1085;%20&#8470;2%20&#1085;&#1072;%202024%20&#1075;&#1086;&#107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ожение1"/>
      <sheetName val="приложение2"/>
      <sheetName val="0702 211, 266"/>
      <sheetName val="0702 213"/>
      <sheetName val="0702 221, 223"/>
      <sheetName val="0702 225, 226, 310,340"/>
      <sheetName val="0701 211"/>
      <sheetName val="0701 213"/>
      <sheetName val="0701 221,223"/>
      <sheetName val="0701 225,226,310,340"/>
      <sheetName val="расчет по питанию"/>
      <sheetName val="Комп.части род.плат"/>
      <sheetName val="0707 калькуляция лагерь"/>
      <sheetName val="0707 211 лагерь и тр бр"/>
      <sheetName val="0707 213"/>
      <sheetName val="0707 225 226"/>
    </sheetNames>
    <sheetDataSet>
      <sheetData sheetId="0">
        <row r="113">
          <cell r="BY113">
            <v>6857479.9986545593</v>
          </cell>
        </row>
      </sheetData>
      <sheetData sheetId="1"/>
      <sheetData sheetId="2"/>
      <sheetData sheetId="3"/>
      <sheetData sheetId="4">
        <row r="42">
          <cell r="CH42">
            <v>0</v>
          </cell>
        </row>
      </sheetData>
      <sheetData sheetId="5">
        <row r="19">
          <cell r="CG19">
            <v>0</v>
          </cell>
        </row>
      </sheetData>
      <sheetData sheetId="6"/>
      <sheetData sheetId="7"/>
      <sheetData sheetId="8"/>
      <sheetData sheetId="9">
        <row r="23">
          <cell r="CG23">
            <v>0</v>
          </cell>
        </row>
      </sheetData>
      <sheetData sheetId="10"/>
      <sheetData sheetId="11"/>
      <sheetData sheetId="12"/>
      <sheetData sheetId="13"/>
      <sheetData sheetId="14">
        <row r="9">
          <cell r="BZ9">
            <v>0</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1разд1 Пост и выпл"/>
      <sheetName val="Прил1разд2 Закупка тов"/>
      <sheetName val="Прил2 Доходы"/>
      <sheetName val="Платные услуги"/>
      <sheetName val="Разд1 КВР111 ст211,266 указ"/>
      <sheetName val="Разд1 КВР112,113 ст213,266,267"/>
      <sheetName val="Разд2,3,4 КВР321,850 ст260,290"/>
      <sheetName val="Разд6 КВР244 ст221,222,223"/>
      <sheetName val="Разд6 КВР244 ст225,226,310,340"/>
      <sheetName val="Свод по расходам"/>
      <sheetName val="ОС"/>
      <sheetName val="Пит-е для КФ"/>
      <sheetName val="Остаток ср-в на начало года"/>
      <sheetName val="расчет ставок"/>
      <sheetName val="тепло"/>
      <sheetName val="Свет,вода,стоки"/>
      <sheetName val="Мусор"/>
      <sheetName val="бюдж дети"/>
      <sheetName val="Родит плата"/>
      <sheetName val="Родит плата пит-е"/>
      <sheetName val="Свод зпл"/>
      <sheetName val="ФОТуказ"/>
      <sheetName val="Лист1"/>
      <sheetName val="ночн и празд"/>
      <sheetName val="Заявка на фин обеспеч"/>
      <sheetName val="Расчет норматива"/>
      <sheetName val="Разд5 ст225,226кап рем"/>
      <sheetName val="Разд7 Кап влож"/>
    </sheetNames>
    <sheetDataSet>
      <sheetData sheetId="0"/>
      <sheetData sheetId="1"/>
      <sheetData sheetId="2"/>
      <sheetData sheetId="3">
        <row r="7">
          <cell r="C7" t="str">
            <v>Английский язык для дошколят</v>
          </cell>
        </row>
        <row r="8">
          <cell r="C8" t="str">
            <v>Английский язык для дошколят</v>
          </cell>
        </row>
        <row r="9">
          <cell r="C9" t="str">
            <v>Обучение дошкольников игре в шахматы</v>
          </cell>
        </row>
        <row r="10">
          <cell r="C10" t="str">
            <v>Обучение дошкольников игре в шахматы</v>
          </cell>
        </row>
        <row r="11">
          <cell r="C11" t="str">
            <v>Обучение детей чтению - Читайка</v>
          </cell>
        </row>
        <row r="12">
          <cell r="C12" t="str">
            <v>Обучение детей счету - ментальная арифметика</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Расчёт фот первый план"/>
      <sheetName val="с 01.01.2024-30.06.2024"/>
      <sheetName val="01.07-31.08.2024"/>
      <sheetName val="01.09-31.12.24  (2)"/>
    </sheetNames>
    <sheetDataSet>
      <sheetData sheetId="0">
        <row r="19">
          <cell r="V19">
            <v>12199601.691600004</v>
          </cell>
          <cell r="W19">
            <v>3684279.7108632</v>
          </cell>
        </row>
        <row r="22">
          <cell r="W22">
            <v>16891100</v>
          </cell>
        </row>
      </sheetData>
      <sheetData sheetId="1">
        <row r="19">
          <cell r="W19">
            <v>6032640.1524</v>
          </cell>
        </row>
      </sheetData>
      <sheetData sheetId="2">
        <row r="19">
          <cell r="W19">
            <v>1908312.243</v>
          </cell>
        </row>
      </sheetData>
      <sheetData sheetId="3">
        <row r="19">
          <cell r="W19">
            <v>3816926.9964000001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ёт фот обл 1 план"/>
      <sheetName val="с 01.01.2024-30.06.2024"/>
      <sheetName val="с 01.07.2024-31.08.2024"/>
      <sheetName val="с 01.09.2024-31.12.2024"/>
    </sheetNames>
    <sheetDataSet>
      <sheetData sheetId="0">
        <row r="28">
          <cell r="V28">
            <v>16943153.7696</v>
          </cell>
          <cell r="W28">
            <v>5116832.4384192005</v>
          </cell>
        </row>
      </sheetData>
      <sheetData sheetId="1">
        <row r="12">
          <cell r="V12">
            <v>1019545.8516000002</v>
          </cell>
        </row>
        <row r="13">
          <cell r="V13">
            <v>4286411.1696000006</v>
          </cell>
        </row>
        <row r="14">
          <cell r="V14">
            <v>56291.9712</v>
          </cell>
        </row>
        <row r="15">
          <cell r="V15">
            <v>53329.201199999996</v>
          </cell>
        </row>
        <row r="16">
          <cell r="V16">
            <v>51847.852800000008</v>
          </cell>
        </row>
        <row r="17">
          <cell r="V17">
            <v>187190.91959999996</v>
          </cell>
        </row>
        <row r="18">
          <cell r="V18">
            <v>421785.50040000002</v>
          </cell>
        </row>
        <row r="28">
          <cell r="V28">
            <v>8736438.200726971</v>
          </cell>
          <cell r="W28">
            <v>2638404.3366195457</v>
          </cell>
        </row>
      </sheetData>
      <sheetData sheetId="2">
        <row r="12">
          <cell r="V12">
            <v>338938.86840000004</v>
          </cell>
        </row>
        <row r="13">
          <cell r="V13">
            <v>1433917.1680000001</v>
          </cell>
        </row>
        <row r="14">
          <cell r="V14">
            <v>18763.990399999999</v>
          </cell>
        </row>
        <row r="15">
          <cell r="V15">
            <v>17776.400399999999</v>
          </cell>
        </row>
        <row r="16">
          <cell r="V16">
            <v>17282.617600000001</v>
          </cell>
        </row>
        <row r="17">
          <cell r="V17">
            <v>62396.973199999993</v>
          </cell>
        </row>
        <row r="18">
          <cell r="V18">
            <v>140595.16680000001</v>
          </cell>
        </row>
        <row r="29">
          <cell r="V29">
            <v>2963856.8565243334</v>
          </cell>
          <cell r="W29">
            <v>895084.77067034901</v>
          </cell>
        </row>
      </sheetData>
      <sheetData sheetId="3">
        <row r="12">
          <cell r="V12">
            <v>714034.84639999992</v>
          </cell>
        </row>
        <row r="13">
          <cell r="V13">
            <v>3050985.1279999996</v>
          </cell>
        </row>
        <row r="14">
          <cell r="V14">
            <v>37527.980799999998</v>
          </cell>
        </row>
        <row r="15">
          <cell r="V15">
            <v>35552.800799999997</v>
          </cell>
        </row>
        <row r="16">
          <cell r="V16">
            <v>34565.235200000003</v>
          </cell>
        </row>
        <row r="17">
          <cell r="V17">
            <v>114918.144</v>
          </cell>
        </row>
        <row r="18">
          <cell r="V18">
            <v>329671.42559999996</v>
          </cell>
        </row>
        <row r="29">
          <cell r="V29">
            <v>6187726.7446325962</v>
          </cell>
          <cell r="W29">
            <v>1868693.4768790449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ет зарплаты нач.дн. лагеря"/>
      <sheetName val="расчет нормат дн лагеря "/>
      <sheetName val="затрат дн лагеря расчет  "/>
      <sheetName val="Дневной шк.2"/>
      <sheetName val="Расчет ТСЖ перв."/>
      <sheetName val="Анализ по плате род за путевку "/>
      <sheetName val="ОРЛЕНОК"/>
      <sheetName val="Орленок Осень"/>
      <sheetName val="Анализ ст-ти путевки"/>
      <sheetName val="Орленок Весна"/>
      <sheetName val="ФОТ осень-весна"/>
      <sheetName val="Ст-ть путевки 25700 (2)"/>
      <sheetName val="Ст-ть путевки 25700"/>
      <sheetName val="шк.2"/>
      <sheetName val="Гимназия"/>
      <sheetName val="шк.8"/>
      <sheetName val="Будогощ.шк."/>
      <sheetName val="Глажевс.шк. "/>
      <sheetName val="Пчевжин.шк.  "/>
      <sheetName val="Пчевск.шк.  "/>
      <sheetName val="Кусинск.шк. "/>
      <sheetName val="Лето"/>
      <sheetName val="Лето 10 дней"/>
      <sheetName val="Лето измен. "/>
      <sheetName val="ЛЕТО 25.12.23 (2)"/>
      <sheetName val="шк.2 (2)"/>
      <sheetName val="Гимназия (2)"/>
      <sheetName val="шк.8 (2)"/>
      <sheetName val="Будогощ.шк. (2)"/>
      <sheetName val="Глажевс.шк.  (2)"/>
      <sheetName val="Пчевжин.шк.   (2)"/>
      <sheetName val="Пчевск.шк.   (2)"/>
      <sheetName val="Кусинск.шк.  (2)"/>
    </sheetNames>
    <sheetDataSet>
      <sheetData sheetId="0"/>
      <sheetData sheetId="1"/>
      <sheetData sheetId="2">
        <row r="20">
          <cell r="I20">
            <v>3080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8">
          <cell r="I18">
            <v>14414.19</v>
          </cell>
        </row>
      </sheetData>
      <sheetData sheetId="25"/>
      <sheetData sheetId="26"/>
      <sheetData sheetId="27"/>
      <sheetData sheetId="28"/>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ет зарплаты нач.дн. лагеря"/>
      <sheetName val="расчет нормат дн лагеря "/>
      <sheetName val="затрат дн лагеря расчет  "/>
      <sheetName val="Дневной Гимназия"/>
      <sheetName val="Расчет ТСЖ перв."/>
      <sheetName val="Анализ по плате род за путевку "/>
      <sheetName val="Проверка"/>
      <sheetName val="ОРЛЕНОК"/>
      <sheetName val="Орленок Осень"/>
      <sheetName val="Анализ ст-ти путевки"/>
      <sheetName val="Орленок Весна"/>
      <sheetName val="ФОТ осень-весна"/>
      <sheetName val="Ст-ть путевки 24570"/>
      <sheetName val="шк.2"/>
      <sheetName val="Гимназия"/>
      <sheetName val="шк.8"/>
      <sheetName val="Будогощ.шк."/>
      <sheetName val="Глажевс.шк. "/>
      <sheetName val="Пчевжин.шк.  "/>
      <sheetName val="Пчевск.шк.  "/>
      <sheetName val="Кусинск.шк. "/>
    </sheetNames>
    <sheetDataSet>
      <sheetData sheetId="0"/>
      <sheetData sheetId="1"/>
      <sheetData sheetId="2">
        <row r="18">
          <cell r="I18">
            <v>13673.1</v>
          </cell>
        </row>
        <row r="20">
          <cell r="I20">
            <v>2950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ожение 1"/>
      <sheetName val="раздел 2 прил. 1"/>
      <sheetName val="Прил2 Доходы"/>
      <sheetName val="Прилож 4 24 "/>
      <sheetName val="0701 211"/>
      <sheetName val="Расчет ФОТ дотд"/>
      <sheetName val="0701 213 нов"/>
      <sheetName val="0701 266"/>
      <sheetName val="0701 221,223"/>
      <sheetName val="0701 225,226,310,341-346"/>
      <sheetName val="расчет по питанию (3)"/>
      <sheetName val="0702 211 (3)"/>
      <sheetName val="расчет ФОТ шк"/>
      <sheetName val="0702 213 (2)"/>
      <sheetName val="0702 221, 223"/>
      <sheetName val="0702 225,226,227,310,346"/>
      <sheetName val="0707 211"/>
      <sheetName val="0707 213 нов"/>
      <sheetName val="0707 346"/>
      <sheetName val="0709 211 (2)"/>
      <sheetName val="0709 213 нов "/>
      <sheetName val="0709 222 225 226 227 346 (2)"/>
      <sheetName val="0702 211,266"/>
      <sheetName val="расчет ФОТ шк обл"/>
      <sheetName val="расчет ФОТ обл"/>
      <sheetName val="расчет по питанию"/>
      <sheetName val="советник"/>
      <sheetName val="советник 213 нов"/>
      <sheetName val="0702 213 нов (2)"/>
      <sheetName val="0702 213 нов"/>
      <sheetName val="Прилож 4 23 (5)"/>
      <sheetName val="Прилож 4 23 (6)"/>
      <sheetName val="Прилож 4 23 (7)"/>
      <sheetName val="Бюджет"/>
      <sheetName val="питание "/>
      <sheetName val="Прилож 4 23 (2)"/>
      <sheetName val="Прилож 4 23 (3)"/>
      <sheetName val="0702 211,266 (24,25)"/>
      <sheetName val="0702 213 (24,25)"/>
      <sheetName val=" советник 213 (24,25)"/>
      <sheetName val="советник (24,25)"/>
      <sheetName val="Прилож 4 23"/>
      <sheetName val="Прил 2"/>
      <sheetName val="0702 213"/>
      <sheetName val="0707 213"/>
      <sheetName val="0709 213 (2)"/>
      <sheetName val="Приложение 2"/>
      <sheetName val="Прил 4 (24,25)"/>
      <sheetName val="Прил 4 (23)"/>
      <sheetName val="Прилож 4 23 (4)"/>
      <sheetName val="0701 213"/>
      <sheetName val="Приложение 4 (2)"/>
      <sheetName val="Планирование расходов"/>
      <sheetName val="0702 211"/>
      <sheetName val="0701 211 (2)"/>
      <sheetName val="0701 211 (3)"/>
      <sheetName val="0702 211 (2)"/>
      <sheetName val="Глажевс.шк.  (2)"/>
      <sheetName val="Глажевс.шк. "/>
      <sheetName val="0707 211 (2)"/>
      <sheetName val="0709 211"/>
      <sheetName val="0709 213"/>
      <sheetName val="0709 222 225 226 227 346"/>
      <sheetName val="0701 211 (4)"/>
      <sheetName val="0701 225,226,310,341-346 (2)"/>
      <sheetName val="расчет по питанию (2)"/>
      <sheetName val="0702 225,226,227,310,346 (2)"/>
      <sheetName val="0709 211 (3)"/>
      <sheetName val="0701 225,226,310,341-346 (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5">
          <cell r="X15">
            <v>0</v>
          </cell>
        </row>
        <row r="29">
          <cell r="W29">
            <v>0</v>
          </cell>
          <cell r="Z29">
            <v>0</v>
          </cell>
          <cell r="AA29">
            <v>0</v>
          </cell>
          <cell r="AB29">
            <v>0</v>
          </cell>
        </row>
        <row r="30">
          <cell r="Z30">
            <v>0</v>
          </cell>
          <cell r="AA30">
            <v>0</v>
          </cell>
          <cell r="AB30">
            <v>0</v>
          </cell>
        </row>
        <row r="31">
          <cell r="X31">
            <v>0</v>
          </cell>
          <cell r="Z31">
            <v>0</v>
          </cell>
          <cell r="AA31">
            <v>0</v>
          </cell>
          <cell r="AB31">
            <v>0</v>
          </cell>
        </row>
        <row r="32">
          <cell r="V32">
            <v>0</v>
          </cell>
          <cell r="W32">
            <v>0</v>
          </cell>
          <cell r="X32">
            <v>0</v>
          </cell>
          <cell r="Z32">
            <v>0</v>
          </cell>
          <cell r="AB32">
            <v>0</v>
          </cell>
        </row>
        <row r="33">
          <cell r="W33">
            <v>0</v>
          </cell>
          <cell r="Z33">
            <v>0</v>
          </cell>
          <cell r="AA33">
            <v>0</v>
          </cell>
        </row>
        <row r="37">
          <cell r="V37">
            <v>0</v>
          </cell>
          <cell r="W37">
            <v>0</v>
          </cell>
          <cell r="X37">
            <v>0</v>
          </cell>
          <cell r="Z37">
            <v>0</v>
          </cell>
          <cell r="AA37">
            <v>0</v>
          </cell>
          <cell r="AB37">
            <v>0</v>
          </cell>
        </row>
        <row r="38">
          <cell r="W38">
            <v>0</v>
          </cell>
          <cell r="Z38">
            <v>0</v>
          </cell>
          <cell r="AA38">
            <v>0</v>
          </cell>
        </row>
        <row r="40">
          <cell r="X40">
            <v>0</v>
          </cell>
        </row>
        <row r="41">
          <cell r="X41">
            <v>0</v>
          </cell>
        </row>
        <row r="44">
          <cell r="V44">
            <v>0</v>
          </cell>
          <cell r="W44">
            <v>0</v>
          </cell>
          <cell r="Z44">
            <v>0</v>
          </cell>
          <cell r="AA44">
            <v>0</v>
          </cell>
          <cell r="AB44">
            <v>0</v>
          </cell>
        </row>
        <row r="45">
          <cell r="V45">
            <v>0</v>
          </cell>
          <cell r="W45">
            <v>0</v>
          </cell>
          <cell r="Z45">
            <v>0</v>
          </cell>
          <cell r="AA45">
            <v>0</v>
          </cell>
          <cell r="AB45">
            <v>0</v>
          </cell>
        </row>
        <row r="47">
          <cell r="V47">
            <v>0</v>
          </cell>
          <cell r="W47">
            <v>0</v>
          </cell>
          <cell r="X47">
            <v>6600</v>
          </cell>
          <cell r="Z47">
            <v>0</v>
          </cell>
          <cell r="AA47">
            <v>0</v>
          </cell>
          <cell r="AB47">
            <v>0</v>
          </cell>
        </row>
        <row r="48">
          <cell r="V48">
            <v>0</v>
          </cell>
          <cell r="W48">
            <v>0</v>
          </cell>
          <cell r="Z48">
            <v>0</v>
          </cell>
          <cell r="AA48">
            <v>0</v>
          </cell>
          <cell r="AB48">
            <v>0</v>
          </cell>
        </row>
        <row r="50">
          <cell r="V50">
            <v>0</v>
          </cell>
          <cell r="W50">
            <v>0</v>
          </cell>
          <cell r="Z50">
            <v>0</v>
          </cell>
          <cell r="AA50">
            <v>0</v>
          </cell>
          <cell r="AB50">
            <v>0</v>
          </cell>
        </row>
        <row r="51">
          <cell r="V51">
            <v>0</v>
          </cell>
          <cell r="W51">
            <v>0</v>
          </cell>
          <cell r="X51">
            <v>6600</v>
          </cell>
          <cell r="Z51">
            <v>0</v>
          </cell>
          <cell r="AA51">
            <v>0</v>
          </cell>
          <cell r="AB51">
            <v>0</v>
          </cell>
        </row>
        <row r="55">
          <cell r="V55">
            <v>0</v>
          </cell>
          <cell r="W55">
            <v>0</v>
          </cell>
          <cell r="Z55">
            <v>0</v>
          </cell>
          <cell r="AA55">
            <v>0</v>
          </cell>
          <cell r="AB55">
            <v>0</v>
          </cell>
        </row>
        <row r="56">
          <cell r="V56">
            <v>0</v>
          </cell>
          <cell r="W56">
            <v>0</v>
          </cell>
          <cell r="Z56">
            <v>0</v>
          </cell>
          <cell r="AA56">
            <v>0</v>
          </cell>
          <cell r="AB56">
            <v>0</v>
          </cell>
        </row>
        <row r="57">
          <cell r="V57">
            <v>0</v>
          </cell>
          <cell r="W57">
            <v>0</v>
          </cell>
          <cell r="Z57">
            <v>0</v>
          </cell>
          <cell r="AA57">
            <v>0</v>
          </cell>
          <cell r="AB57">
            <v>0</v>
          </cell>
        </row>
        <row r="58">
          <cell r="V58">
            <v>0</v>
          </cell>
          <cell r="W58">
            <v>0</v>
          </cell>
          <cell r="Z58">
            <v>0</v>
          </cell>
          <cell r="AA58">
            <v>0</v>
          </cell>
          <cell r="AB58">
            <v>0</v>
          </cell>
        </row>
        <row r="59">
          <cell r="V59">
            <v>0</v>
          </cell>
          <cell r="W59">
            <v>0</v>
          </cell>
          <cell r="Z59">
            <v>0</v>
          </cell>
          <cell r="AA59">
            <v>0</v>
          </cell>
          <cell r="AB59">
            <v>0</v>
          </cell>
        </row>
        <row r="60">
          <cell r="V60">
            <v>0</v>
          </cell>
          <cell r="W60">
            <v>0</v>
          </cell>
          <cell r="Z60">
            <v>0</v>
          </cell>
          <cell r="AA60">
            <v>0</v>
          </cell>
        </row>
        <row r="61">
          <cell r="V61">
            <v>0</v>
          </cell>
          <cell r="W61">
            <v>0</v>
          </cell>
          <cell r="Z61">
            <v>0</v>
          </cell>
          <cell r="AA61">
            <v>0</v>
          </cell>
        </row>
        <row r="62">
          <cell r="V62">
            <v>0</v>
          </cell>
          <cell r="W62">
            <v>0</v>
          </cell>
          <cell r="Z62">
            <v>0</v>
          </cell>
          <cell r="AA62">
            <v>0</v>
          </cell>
        </row>
        <row r="63">
          <cell r="V63">
            <v>0</v>
          </cell>
          <cell r="W63">
            <v>0</v>
          </cell>
          <cell r="Z63">
            <v>0</v>
          </cell>
          <cell r="AA63">
            <v>0</v>
          </cell>
          <cell r="AB63">
            <v>0</v>
          </cell>
        </row>
        <row r="64">
          <cell r="V64">
            <v>0</v>
          </cell>
          <cell r="W64">
            <v>0</v>
          </cell>
          <cell r="Z64">
            <v>0</v>
          </cell>
          <cell r="AA64">
            <v>0</v>
          </cell>
          <cell r="AB64">
            <v>0</v>
          </cell>
        </row>
        <row r="66">
          <cell r="V66">
            <v>0</v>
          </cell>
          <cell r="W66">
            <v>0</v>
          </cell>
          <cell r="Z66">
            <v>0</v>
          </cell>
          <cell r="AA66">
            <v>0</v>
          </cell>
          <cell r="AB66">
            <v>0</v>
          </cell>
        </row>
        <row r="67">
          <cell r="V67">
            <v>0</v>
          </cell>
          <cell r="W67">
            <v>0</v>
          </cell>
          <cell r="Z67">
            <v>0</v>
          </cell>
          <cell r="AA67">
            <v>0</v>
          </cell>
          <cell r="AB67">
            <v>0</v>
          </cell>
        </row>
        <row r="68">
          <cell r="V68">
            <v>0</v>
          </cell>
          <cell r="W68">
            <v>0</v>
          </cell>
          <cell r="Z68">
            <v>0</v>
          </cell>
          <cell r="AA68">
            <v>0</v>
          </cell>
          <cell r="AB68">
            <v>0</v>
          </cell>
        </row>
        <row r="69">
          <cell r="V69">
            <v>0</v>
          </cell>
          <cell r="W69">
            <v>0</v>
          </cell>
          <cell r="Z69">
            <v>0</v>
          </cell>
          <cell r="AA69">
            <v>0</v>
          </cell>
          <cell r="AB69">
            <v>0</v>
          </cell>
        </row>
        <row r="74">
          <cell r="V74">
            <v>0</v>
          </cell>
          <cell r="W74">
            <v>0</v>
          </cell>
          <cell r="Z74">
            <v>0</v>
          </cell>
          <cell r="AA74">
            <v>0</v>
          </cell>
        </row>
        <row r="75">
          <cell r="V75">
            <v>0</v>
          </cell>
          <cell r="W75">
            <v>0</v>
          </cell>
          <cell r="Z75">
            <v>0</v>
          </cell>
          <cell r="AA75">
            <v>0</v>
          </cell>
        </row>
        <row r="76">
          <cell r="V76">
            <v>0</v>
          </cell>
          <cell r="W76">
            <v>0</v>
          </cell>
          <cell r="Z76">
            <v>0</v>
          </cell>
          <cell r="AA76">
            <v>0</v>
          </cell>
          <cell r="AB76">
            <v>0</v>
          </cell>
        </row>
        <row r="77">
          <cell r="V77">
            <v>0</v>
          </cell>
          <cell r="W77">
            <v>0</v>
          </cell>
          <cell r="Z77">
            <v>0</v>
          </cell>
          <cell r="AA77">
            <v>0</v>
          </cell>
          <cell r="AB77">
            <v>0</v>
          </cell>
        </row>
        <row r="78">
          <cell r="V78">
            <v>0</v>
          </cell>
          <cell r="W78">
            <v>0</v>
          </cell>
          <cell r="Z78">
            <v>0</v>
          </cell>
          <cell r="AA78">
            <v>0</v>
          </cell>
          <cell r="AB78">
            <v>0</v>
          </cell>
        </row>
        <row r="79">
          <cell r="V79">
            <v>0</v>
          </cell>
          <cell r="W79">
            <v>0</v>
          </cell>
          <cell r="Z79">
            <v>0</v>
          </cell>
          <cell r="AA79">
            <v>0</v>
          </cell>
          <cell r="AB79">
            <v>0</v>
          </cell>
        </row>
        <row r="80">
          <cell r="V80">
            <v>0</v>
          </cell>
          <cell r="W80">
            <v>0</v>
          </cell>
          <cell r="Z80">
            <v>0</v>
          </cell>
          <cell r="AA80">
            <v>0</v>
          </cell>
          <cell r="AB80">
            <v>0</v>
          </cell>
        </row>
        <row r="81">
          <cell r="V81">
            <v>0</v>
          </cell>
          <cell r="W81">
            <v>0</v>
          </cell>
          <cell r="Z81">
            <v>0</v>
          </cell>
          <cell r="AA81">
            <v>0</v>
          </cell>
          <cell r="AB81">
            <v>0</v>
          </cell>
        </row>
        <row r="82">
          <cell r="V82">
            <v>0</v>
          </cell>
          <cell r="W82">
            <v>0</v>
          </cell>
          <cell r="Z82">
            <v>0</v>
          </cell>
          <cell r="AA82">
            <v>0</v>
          </cell>
          <cell r="AB82">
            <v>0</v>
          </cell>
        </row>
        <row r="83">
          <cell r="V83">
            <v>0</v>
          </cell>
          <cell r="W83">
            <v>0</v>
          </cell>
          <cell r="Z83">
            <v>0</v>
          </cell>
          <cell r="AA83">
            <v>0</v>
          </cell>
          <cell r="AB83">
            <v>0</v>
          </cell>
        </row>
        <row r="84">
          <cell r="V84">
            <v>0</v>
          </cell>
          <cell r="W84">
            <v>0</v>
          </cell>
          <cell r="Z84">
            <v>0</v>
          </cell>
          <cell r="AA84">
            <v>0</v>
          </cell>
          <cell r="AB84">
            <v>0</v>
          </cell>
        </row>
        <row r="85">
          <cell r="V85">
            <v>0</v>
          </cell>
          <cell r="W85">
            <v>0</v>
          </cell>
          <cell r="Z85">
            <v>0</v>
          </cell>
          <cell r="AA85">
            <v>0</v>
          </cell>
          <cell r="AB85">
            <v>0</v>
          </cell>
        </row>
        <row r="86">
          <cell r="V86">
            <v>0</v>
          </cell>
          <cell r="W86">
            <v>0</v>
          </cell>
          <cell r="Z86">
            <v>0</v>
          </cell>
          <cell r="AA86">
            <v>0</v>
          </cell>
          <cell r="AB86">
            <v>0</v>
          </cell>
        </row>
        <row r="87">
          <cell r="V87">
            <v>0</v>
          </cell>
          <cell r="W87">
            <v>0</v>
          </cell>
          <cell r="Z87">
            <v>0</v>
          </cell>
          <cell r="AA87">
            <v>0</v>
          </cell>
          <cell r="AB87">
            <v>0</v>
          </cell>
        </row>
        <row r="88">
          <cell r="V88">
            <v>0</v>
          </cell>
          <cell r="W88">
            <v>0</v>
          </cell>
          <cell r="X88">
            <v>12000</v>
          </cell>
          <cell r="Z88">
            <v>0</v>
          </cell>
          <cell r="AA88">
            <v>0</v>
          </cell>
          <cell r="AB88">
            <v>0</v>
          </cell>
        </row>
        <row r="89">
          <cell r="V89">
            <v>0</v>
          </cell>
          <cell r="W89">
            <v>0</v>
          </cell>
          <cell r="Z89">
            <v>0</v>
          </cell>
          <cell r="AA89">
            <v>0</v>
          </cell>
          <cell r="AB89">
            <v>0</v>
          </cell>
        </row>
        <row r="90">
          <cell r="V90">
            <v>0</v>
          </cell>
          <cell r="W90">
            <v>0</v>
          </cell>
          <cell r="Z90">
            <v>0</v>
          </cell>
          <cell r="AA90">
            <v>0</v>
          </cell>
          <cell r="AB90">
            <v>0</v>
          </cell>
        </row>
        <row r="91">
          <cell r="V91">
            <v>0</v>
          </cell>
          <cell r="W91">
            <v>0</v>
          </cell>
          <cell r="Z91">
            <v>0</v>
          </cell>
          <cell r="AA91">
            <v>0</v>
          </cell>
          <cell r="AB91">
            <v>0</v>
          </cell>
        </row>
        <row r="92">
          <cell r="V92">
            <v>0</v>
          </cell>
          <cell r="W92">
            <v>0</v>
          </cell>
          <cell r="Z92">
            <v>0</v>
          </cell>
          <cell r="AA92">
            <v>0</v>
          </cell>
          <cell r="AB92">
            <v>0</v>
          </cell>
        </row>
        <row r="93">
          <cell r="V93">
            <v>0</v>
          </cell>
          <cell r="W93">
            <v>0</v>
          </cell>
          <cell r="Z93">
            <v>0</v>
          </cell>
          <cell r="AA93">
            <v>0</v>
          </cell>
          <cell r="AB93">
            <v>0</v>
          </cell>
        </row>
        <row r="95">
          <cell r="AA95">
            <v>0</v>
          </cell>
        </row>
        <row r="97">
          <cell r="V97">
            <v>0</v>
          </cell>
          <cell r="W97">
            <v>0</v>
          </cell>
          <cell r="Z97">
            <v>0</v>
          </cell>
          <cell r="AA97">
            <v>0</v>
          </cell>
          <cell r="AB97">
            <v>0</v>
          </cell>
        </row>
        <row r="98">
          <cell r="V98">
            <v>0</v>
          </cell>
          <cell r="W98">
            <v>0</v>
          </cell>
          <cell r="Z98">
            <v>0</v>
          </cell>
          <cell r="AB98">
            <v>0</v>
          </cell>
        </row>
        <row r="100">
          <cell r="V100">
            <v>0</v>
          </cell>
          <cell r="W100">
            <v>0</v>
          </cell>
          <cell r="Z100">
            <v>0</v>
          </cell>
          <cell r="AA100">
            <v>0</v>
          </cell>
          <cell r="AB100">
            <v>0</v>
          </cell>
        </row>
        <row r="101">
          <cell r="V101">
            <v>0</v>
          </cell>
          <cell r="W101">
            <v>0</v>
          </cell>
          <cell r="Z101">
            <v>0</v>
          </cell>
          <cell r="AA101">
            <v>0</v>
          </cell>
          <cell r="AB101">
            <v>0</v>
          </cell>
        </row>
        <row r="102">
          <cell r="V102">
            <v>0</v>
          </cell>
          <cell r="W102">
            <v>0</v>
          </cell>
          <cell r="Z102">
            <v>0</v>
          </cell>
          <cell r="AA102">
            <v>0</v>
          </cell>
          <cell r="AB102">
            <v>0</v>
          </cell>
        </row>
        <row r="103">
          <cell r="V103">
            <v>0</v>
          </cell>
          <cell r="W103">
            <v>0</v>
          </cell>
          <cell r="Z103">
            <v>0</v>
          </cell>
          <cell r="AA103">
            <v>0</v>
          </cell>
          <cell r="AB103">
            <v>0</v>
          </cell>
        </row>
        <row r="104">
          <cell r="V104">
            <v>0</v>
          </cell>
          <cell r="W104">
            <v>0</v>
          </cell>
          <cell r="Z104">
            <v>0</v>
          </cell>
          <cell r="AA104">
            <v>0</v>
          </cell>
          <cell r="AB104">
            <v>0</v>
          </cell>
        </row>
        <row r="105">
          <cell r="V105">
            <v>0</v>
          </cell>
          <cell r="W105">
            <v>0</v>
          </cell>
          <cell r="Z105">
            <v>0</v>
          </cell>
          <cell r="AA105">
            <v>0</v>
          </cell>
          <cell r="AB105">
            <v>0</v>
          </cell>
        </row>
        <row r="106">
          <cell r="V106">
            <v>0</v>
          </cell>
          <cell r="W106">
            <v>0</v>
          </cell>
          <cell r="Z106">
            <v>0</v>
          </cell>
          <cell r="AA106">
            <v>0</v>
          </cell>
          <cell r="AB106">
            <v>0</v>
          </cell>
        </row>
        <row r="107">
          <cell r="V107">
            <v>0</v>
          </cell>
          <cell r="W107">
            <v>0</v>
          </cell>
          <cell r="Z107">
            <v>0</v>
          </cell>
          <cell r="AA107">
            <v>0</v>
          </cell>
          <cell r="AB107">
            <v>0</v>
          </cell>
        </row>
        <row r="108">
          <cell r="V108">
            <v>0</v>
          </cell>
          <cell r="W108">
            <v>0</v>
          </cell>
          <cell r="Z108">
            <v>0</v>
          </cell>
          <cell r="AA108">
            <v>0</v>
          </cell>
          <cell r="AB108">
            <v>0</v>
          </cell>
        </row>
        <row r="109">
          <cell r="V109">
            <v>0</v>
          </cell>
          <cell r="W109">
            <v>0</v>
          </cell>
          <cell r="X109">
            <v>4500</v>
          </cell>
          <cell r="Z109">
            <v>0</v>
          </cell>
          <cell r="AA109">
            <v>0</v>
          </cell>
          <cell r="AB109">
            <v>0</v>
          </cell>
        </row>
        <row r="111">
          <cell r="V111">
            <v>0</v>
          </cell>
          <cell r="W111">
            <v>0</v>
          </cell>
          <cell r="Z111">
            <v>0</v>
          </cell>
          <cell r="AA111">
            <v>0</v>
          </cell>
          <cell r="AB111">
            <v>0</v>
          </cell>
        </row>
        <row r="112">
          <cell r="V112">
            <v>0</v>
          </cell>
          <cell r="W112">
            <v>0</v>
          </cell>
          <cell r="Z112">
            <v>0</v>
          </cell>
          <cell r="AA112">
            <v>0</v>
          </cell>
          <cell r="AB112">
            <v>0</v>
          </cell>
        </row>
        <row r="113">
          <cell r="V113">
            <v>0</v>
          </cell>
          <cell r="W113">
            <v>0</v>
          </cell>
          <cell r="Z113">
            <v>0</v>
          </cell>
          <cell r="AA113">
            <v>0</v>
          </cell>
          <cell r="AB113">
            <v>0</v>
          </cell>
        </row>
        <row r="114">
          <cell r="V114">
            <v>0</v>
          </cell>
          <cell r="W114">
            <v>0</v>
          </cell>
          <cell r="Z114">
            <v>0</v>
          </cell>
          <cell r="AA114">
            <v>0</v>
          </cell>
          <cell r="AB114">
            <v>0</v>
          </cell>
        </row>
        <row r="116">
          <cell r="X116">
            <v>17500</v>
          </cell>
        </row>
        <row r="117">
          <cell r="V117">
            <v>0</v>
          </cell>
          <cell r="W117">
            <v>0</v>
          </cell>
          <cell r="Z117">
            <v>0</v>
          </cell>
          <cell r="AA117">
            <v>0</v>
          </cell>
          <cell r="AB117">
            <v>0</v>
          </cell>
        </row>
        <row r="118">
          <cell r="V118">
            <v>0</v>
          </cell>
          <cell r="W118">
            <v>0</v>
          </cell>
          <cell r="Z118">
            <v>0</v>
          </cell>
          <cell r="AA118">
            <v>0</v>
          </cell>
          <cell r="AB118">
            <v>0</v>
          </cell>
        </row>
        <row r="120">
          <cell r="W120">
            <v>0</v>
          </cell>
          <cell r="Z120">
            <v>0</v>
          </cell>
          <cell r="AA120">
            <v>0</v>
          </cell>
        </row>
        <row r="123">
          <cell r="V123">
            <v>0</v>
          </cell>
          <cell r="W123">
            <v>0</v>
          </cell>
          <cell r="Z123">
            <v>0</v>
          </cell>
          <cell r="AA123">
            <v>0</v>
          </cell>
          <cell r="AB123">
            <v>0</v>
          </cell>
        </row>
        <row r="125">
          <cell r="V125">
            <v>0</v>
          </cell>
          <cell r="W125">
            <v>0</v>
          </cell>
          <cell r="Z125">
            <v>0</v>
          </cell>
          <cell r="AA125">
            <v>0</v>
          </cell>
          <cell r="AB125">
            <v>0</v>
          </cell>
        </row>
        <row r="126">
          <cell r="V126">
            <v>0</v>
          </cell>
          <cell r="W126">
            <v>0</v>
          </cell>
          <cell r="Z126">
            <v>0</v>
          </cell>
          <cell r="AA126">
            <v>0</v>
          </cell>
          <cell r="AB126">
            <v>0</v>
          </cell>
        </row>
        <row r="129">
          <cell r="V129">
            <v>0</v>
          </cell>
          <cell r="W129">
            <v>0</v>
          </cell>
          <cell r="Z129">
            <v>0</v>
          </cell>
          <cell r="AA129">
            <v>0</v>
          </cell>
          <cell r="AB129">
            <v>0</v>
          </cell>
        </row>
        <row r="131">
          <cell r="V131">
            <v>0</v>
          </cell>
          <cell r="W131">
            <v>0</v>
          </cell>
          <cell r="Z131">
            <v>0</v>
          </cell>
          <cell r="AA131">
            <v>0</v>
          </cell>
          <cell r="AB131">
            <v>0</v>
          </cell>
        </row>
        <row r="133">
          <cell r="V133">
            <v>0</v>
          </cell>
          <cell r="W133">
            <v>0</v>
          </cell>
          <cell r="Z133">
            <v>0</v>
          </cell>
          <cell r="AA133">
            <v>0</v>
          </cell>
          <cell r="AB133">
            <v>0</v>
          </cell>
        </row>
        <row r="135">
          <cell r="V135">
            <v>0</v>
          </cell>
          <cell r="W135">
            <v>0</v>
          </cell>
          <cell r="Z135">
            <v>0</v>
          </cell>
          <cell r="AA135">
            <v>0</v>
          </cell>
          <cell r="AB135">
            <v>0</v>
          </cell>
        </row>
        <row r="137">
          <cell r="V137">
            <v>0</v>
          </cell>
          <cell r="W137">
            <v>0</v>
          </cell>
          <cell r="Z137">
            <v>0</v>
          </cell>
          <cell r="AA137">
            <v>0</v>
          </cell>
          <cell r="AB137">
            <v>0</v>
          </cell>
        </row>
        <row r="138">
          <cell r="V138">
            <v>0</v>
          </cell>
          <cell r="W138">
            <v>0</v>
          </cell>
          <cell r="Z138">
            <v>0</v>
          </cell>
          <cell r="AA138">
            <v>0</v>
          </cell>
          <cell r="AB138">
            <v>0</v>
          </cell>
        </row>
        <row r="139">
          <cell r="V139">
            <v>0</v>
          </cell>
          <cell r="W139">
            <v>0</v>
          </cell>
          <cell r="Z139">
            <v>0</v>
          </cell>
          <cell r="AA139">
            <v>0</v>
          </cell>
          <cell r="AB139">
            <v>0</v>
          </cell>
        </row>
        <row r="140">
          <cell r="V140">
            <v>0</v>
          </cell>
          <cell r="W140">
            <v>0</v>
          </cell>
          <cell r="Z140">
            <v>0</v>
          </cell>
          <cell r="AA140">
            <v>0</v>
          </cell>
          <cell r="AB140">
            <v>0</v>
          </cell>
        </row>
        <row r="142">
          <cell r="V142">
            <v>0</v>
          </cell>
          <cell r="W142">
            <v>0</v>
          </cell>
          <cell r="Z142">
            <v>0</v>
          </cell>
          <cell r="AA142">
            <v>0</v>
          </cell>
          <cell r="AB142">
            <v>0</v>
          </cell>
        </row>
        <row r="143">
          <cell r="V143">
            <v>0</v>
          </cell>
          <cell r="W143">
            <v>0</v>
          </cell>
          <cell r="Z143">
            <v>0</v>
          </cell>
          <cell r="AA143">
            <v>0</v>
          </cell>
          <cell r="AB143">
            <v>0</v>
          </cell>
        </row>
        <row r="144">
          <cell r="V144">
            <v>0</v>
          </cell>
          <cell r="W144">
            <v>0</v>
          </cell>
          <cell r="Z144">
            <v>0</v>
          </cell>
          <cell r="AA144">
            <v>0</v>
          </cell>
          <cell r="AB144">
            <v>0</v>
          </cell>
        </row>
        <row r="145">
          <cell r="W145">
            <v>0</v>
          </cell>
          <cell r="Z145">
            <v>0</v>
          </cell>
          <cell r="AA145">
            <v>0</v>
          </cell>
          <cell r="AB145">
            <v>0</v>
          </cell>
        </row>
        <row r="149">
          <cell r="V149">
            <v>0</v>
          </cell>
          <cell r="W149">
            <v>0</v>
          </cell>
          <cell r="Z149">
            <v>0</v>
          </cell>
          <cell r="AB149">
            <v>0</v>
          </cell>
        </row>
        <row r="150">
          <cell r="W150">
            <v>0</v>
          </cell>
          <cell r="Z150">
            <v>0</v>
          </cell>
          <cell r="AA150">
            <v>0</v>
          </cell>
        </row>
        <row r="151">
          <cell r="W151">
            <v>0</v>
          </cell>
          <cell r="Z151">
            <v>0</v>
          </cell>
          <cell r="AA151">
            <v>0</v>
          </cell>
        </row>
        <row r="152">
          <cell r="W152">
            <v>0</v>
          </cell>
          <cell r="Z152">
            <v>0</v>
          </cell>
          <cell r="AA152">
            <v>0</v>
          </cell>
        </row>
        <row r="153">
          <cell r="W153">
            <v>0</v>
          </cell>
          <cell r="Z153">
            <v>0</v>
          </cell>
          <cell r="AA153">
            <v>0</v>
          </cell>
        </row>
        <row r="154">
          <cell r="W154">
            <v>0</v>
          </cell>
          <cell r="Z154">
            <v>0</v>
          </cell>
          <cell r="AA154">
            <v>0</v>
          </cell>
        </row>
        <row r="155">
          <cell r="V155">
            <v>0</v>
          </cell>
          <cell r="W155">
            <v>0</v>
          </cell>
          <cell r="Z155">
            <v>0</v>
          </cell>
          <cell r="AA155">
            <v>0</v>
          </cell>
        </row>
        <row r="157">
          <cell r="V157">
            <v>0</v>
          </cell>
          <cell r="W157">
            <v>0</v>
          </cell>
          <cell r="Z157">
            <v>0</v>
          </cell>
          <cell r="AA157">
            <v>0</v>
          </cell>
          <cell r="AB157">
            <v>0</v>
          </cell>
        </row>
        <row r="158">
          <cell r="W158">
            <v>0</v>
          </cell>
          <cell r="Z158">
            <v>0</v>
          </cell>
          <cell r="AA158">
            <v>0</v>
          </cell>
        </row>
        <row r="160">
          <cell r="V160">
            <v>0</v>
          </cell>
          <cell r="W160">
            <v>0</v>
          </cell>
          <cell r="X160">
            <v>0</v>
          </cell>
          <cell r="Z160">
            <v>0</v>
          </cell>
          <cell r="AB160">
            <v>0</v>
          </cell>
        </row>
        <row r="161">
          <cell r="V161">
            <v>0</v>
          </cell>
          <cell r="W161">
            <v>0</v>
          </cell>
          <cell r="X161">
            <v>0</v>
          </cell>
          <cell r="Z161">
            <v>0</v>
          </cell>
          <cell r="AB161">
            <v>0</v>
          </cell>
        </row>
        <row r="177">
          <cell r="V177">
            <v>0</v>
          </cell>
          <cell r="W177">
            <v>0</v>
          </cell>
          <cell r="Z177">
            <v>0</v>
          </cell>
          <cell r="AB177">
            <v>0</v>
          </cell>
        </row>
        <row r="178">
          <cell r="V178">
            <v>0</v>
          </cell>
          <cell r="W178">
            <v>0</v>
          </cell>
          <cell r="Z178">
            <v>0</v>
          </cell>
          <cell r="AA178">
            <v>0</v>
          </cell>
          <cell r="AB178">
            <v>0</v>
          </cell>
        </row>
        <row r="180">
          <cell r="V180">
            <v>0</v>
          </cell>
          <cell r="W180">
            <v>0</v>
          </cell>
          <cell r="Z180">
            <v>0</v>
          </cell>
          <cell r="AA180">
            <v>0</v>
          </cell>
        </row>
        <row r="182">
          <cell r="V182">
            <v>0</v>
          </cell>
          <cell r="W182">
            <v>0</v>
          </cell>
          <cell r="X182">
            <v>0</v>
          </cell>
          <cell r="Z182">
            <v>0</v>
          </cell>
          <cell r="AA182">
            <v>0</v>
          </cell>
          <cell r="AB182">
            <v>0</v>
          </cell>
        </row>
        <row r="183">
          <cell r="V183">
            <v>0</v>
          </cell>
          <cell r="W183">
            <v>0</v>
          </cell>
          <cell r="X183">
            <v>0</v>
          </cell>
          <cell r="Z183">
            <v>0</v>
          </cell>
          <cell r="AA183">
            <v>0</v>
          </cell>
          <cell r="AB183">
            <v>0</v>
          </cell>
        </row>
        <row r="184">
          <cell r="V184">
            <v>0</v>
          </cell>
          <cell r="W184">
            <v>0</v>
          </cell>
          <cell r="Z184">
            <v>0</v>
          </cell>
          <cell r="AA184">
            <v>0</v>
          </cell>
          <cell r="AB184">
            <v>0</v>
          </cell>
        </row>
        <row r="185">
          <cell r="Z185">
            <v>0</v>
          </cell>
          <cell r="AA185">
            <v>0</v>
          </cell>
          <cell r="AB185">
            <v>0</v>
          </cell>
        </row>
        <row r="187">
          <cell r="V187">
            <v>0</v>
          </cell>
          <cell r="W187">
            <v>0</v>
          </cell>
          <cell r="X187">
            <v>20000</v>
          </cell>
          <cell r="Z187">
            <v>0</v>
          </cell>
          <cell r="AA187">
            <v>0</v>
          </cell>
        </row>
        <row r="189">
          <cell r="V189">
            <v>0</v>
          </cell>
          <cell r="W189">
            <v>0</v>
          </cell>
          <cell r="Z189">
            <v>0</v>
          </cell>
          <cell r="AA189">
            <v>0</v>
          </cell>
          <cell r="AB189">
            <v>0</v>
          </cell>
        </row>
        <row r="191">
          <cell r="V191">
            <v>0</v>
          </cell>
          <cell r="W191">
            <v>0</v>
          </cell>
          <cell r="Z191">
            <v>0</v>
          </cell>
          <cell r="AA191">
            <v>0</v>
          </cell>
          <cell r="AB191">
            <v>0</v>
          </cell>
        </row>
        <row r="201">
          <cell r="V201">
            <v>0</v>
          </cell>
          <cell r="W201">
            <v>0</v>
          </cell>
          <cell r="Z201">
            <v>0</v>
          </cell>
          <cell r="AA201">
            <v>0</v>
          </cell>
          <cell r="AB201">
            <v>0</v>
          </cell>
        </row>
        <row r="202">
          <cell r="V202">
            <v>0</v>
          </cell>
          <cell r="W202">
            <v>0</v>
          </cell>
          <cell r="X202">
            <v>10000</v>
          </cell>
          <cell r="Z202">
            <v>0</v>
          </cell>
          <cell r="AA202">
            <v>0</v>
          </cell>
          <cell r="AB202">
            <v>0</v>
          </cell>
        </row>
        <row r="205">
          <cell r="V205">
            <v>0</v>
          </cell>
          <cell r="X205">
            <v>0</v>
          </cell>
          <cell r="Z205">
            <v>0</v>
          </cell>
          <cell r="AA205">
            <v>3200</v>
          </cell>
          <cell r="AB205">
            <v>0</v>
          </cell>
        </row>
        <row r="206">
          <cell r="W206">
            <v>0</v>
          </cell>
          <cell r="Z206">
            <v>0</v>
          </cell>
          <cell r="AA206">
            <v>0</v>
          </cell>
        </row>
        <row r="207">
          <cell r="V207">
            <v>0</v>
          </cell>
          <cell r="W207">
            <v>0</v>
          </cell>
          <cell r="Z207">
            <v>0</v>
          </cell>
          <cell r="AA207">
            <v>0</v>
          </cell>
        </row>
        <row r="209">
          <cell r="W209">
            <v>0</v>
          </cell>
          <cell r="X209">
            <v>0</v>
          </cell>
          <cell r="Z209">
            <v>0</v>
          </cell>
          <cell r="AA209">
            <v>0</v>
          </cell>
          <cell r="AB209">
            <v>0</v>
          </cell>
        </row>
        <row r="210">
          <cell r="W210">
            <v>0</v>
          </cell>
          <cell r="X210">
            <v>0</v>
          </cell>
          <cell r="Z210">
            <v>0</v>
          </cell>
          <cell r="AA210">
            <v>0</v>
          </cell>
          <cell r="AB210">
            <v>0</v>
          </cell>
        </row>
        <row r="212">
          <cell r="V212">
            <v>0</v>
          </cell>
          <cell r="W212">
            <v>0</v>
          </cell>
          <cell r="X212">
            <v>0</v>
          </cell>
          <cell r="Z212">
            <v>0</v>
          </cell>
          <cell r="AA212">
            <v>0</v>
          </cell>
        </row>
        <row r="213">
          <cell r="V213">
            <v>0</v>
          </cell>
          <cell r="W213">
            <v>0</v>
          </cell>
          <cell r="X213">
            <v>0</v>
          </cell>
          <cell r="Z213">
            <v>0</v>
          </cell>
          <cell r="AA213">
            <v>0</v>
          </cell>
        </row>
        <row r="214">
          <cell r="V214">
            <v>0</v>
          </cell>
          <cell r="W214">
            <v>0</v>
          </cell>
          <cell r="Z214">
            <v>0</v>
          </cell>
          <cell r="AA214">
            <v>0</v>
          </cell>
          <cell r="AB214">
            <v>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ожение 1"/>
      <sheetName val="раздел 2 прил. 1"/>
      <sheetName val="Прил2 Доходы"/>
      <sheetName val="Прилож 4 24 (2)"/>
      <sheetName val="0701 211"/>
      <sheetName val="расчет ФОТ обл дотд"/>
      <sheetName val="Расчет ФОТ мест дотд"/>
      <sheetName val="0701 213 нов"/>
      <sheetName val="0701 266"/>
      <sheetName val="0701 221,223"/>
      <sheetName val="0701 225,226,310,341-346"/>
      <sheetName val="расчет по питанию (3)"/>
      <sheetName val="0702 211,266"/>
      <sheetName val="расчет ФОТ шк обл"/>
      <sheetName val="0702 213 (2)"/>
      <sheetName val="советник"/>
      <sheetName val="советник 213 нов"/>
      <sheetName val="0702 221, 223"/>
      <sheetName val="0702 225,226,227,310,346"/>
      <sheetName val="0702 225,226,227,310,346 (25г)"/>
      <sheetName val="0707 211"/>
      <sheetName val="0707 213 нов"/>
      <sheetName val="0707 346"/>
      <sheetName val="0709 211 (2)"/>
      <sheetName val="0709 213 нов "/>
      <sheetName val="0709 222 225 226 227 346 (2)"/>
      <sheetName val="Глажевс.шк.  (3)"/>
      <sheetName val="0701 225,226,310,341-346 (2 (4)"/>
      <sheetName val="расчет ФОТ шк"/>
      <sheetName val="0702 213 нов (2)"/>
      <sheetName val="0702 213 нов"/>
      <sheetName val="0702 211 (3)"/>
      <sheetName val="питание "/>
      <sheetName val="0702 213 (24,25)"/>
      <sheetName val="советник (2)"/>
      <sheetName val="советник 213 нов (2)"/>
      <sheetName val="Глажевс.шк.  (2)"/>
      <sheetName val="Глажевс.шк. "/>
      <sheetName val="0709 222 225 226 227 346"/>
      <sheetName val="0701 225,226,310,341-346 (2)"/>
      <sheetName val="0709 211 (3)"/>
      <sheetName val="0701 225,226,310,341-346 (2 (3)"/>
      <sheetName val="Прилож 4 24"/>
    </sheetNames>
    <sheetDataSet>
      <sheetData sheetId="0" refreshError="1"/>
      <sheetData sheetId="1" refreshError="1"/>
      <sheetData sheetId="2" refreshError="1"/>
      <sheetData sheetId="3">
        <row r="11">
          <cell r="V11">
            <v>0</v>
          </cell>
        </row>
        <row r="12">
          <cell r="V12">
            <v>16891100</v>
          </cell>
        </row>
        <row r="13">
          <cell r="V13">
            <v>0</v>
          </cell>
        </row>
        <row r="14">
          <cell r="V14">
            <v>23071130</v>
          </cell>
          <cell r="W14">
            <v>1093680</v>
          </cell>
        </row>
        <row r="15">
          <cell r="V15">
            <v>116903.03999999999</v>
          </cell>
          <cell r="W15">
            <v>237348.09</v>
          </cell>
        </row>
        <row r="16">
          <cell r="V16">
            <v>32288.77</v>
          </cell>
        </row>
        <row r="20">
          <cell r="AB20">
            <v>1170130</v>
          </cell>
        </row>
        <row r="23">
          <cell r="V23">
            <v>600000</v>
          </cell>
        </row>
        <row r="26">
          <cell r="V26">
            <v>40711421.810000002</v>
          </cell>
        </row>
        <row r="27">
          <cell r="V27">
            <v>12099601.689999999</v>
          </cell>
          <cell r="W27">
            <v>0</v>
          </cell>
        </row>
        <row r="28">
          <cell r="V28">
            <v>16863153.77</v>
          </cell>
          <cell r="W28">
            <v>840000</v>
          </cell>
        </row>
        <row r="29">
          <cell r="V29">
            <v>89787.28</v>
          </cell>
          <cell r="W29">
            <v>182295</v>
          </cell>
        </row>
        <row r="30">
          <cell r="V30">
            <v>0</v>
          </cell>
          <cell r="W30">
            <v>0</v>
          </cell>
        </row>
        <row r="31">
          <cell r="V31">
            <v>0</v>
          </cell>
          <cell r="W31">
            <v>0</v>
          </cell>
        </row>
        <row r="32">
          <cell r="V32">
            <v>29052542.740000002</v>
          </cell>
          <cell r="W32">
            <v>1022295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F185"/>
  <sheetViews>
    <sheetView view="pageBreakPreview" topLeftCell="A66" zoomScale="59" zoomScaleNormal="75" zoomScaleSheetLayoutView="59" workbookViewId="0">
      <selection activeCell="CB76" sqref="CB76"/>
    </sheetView>
  </sheetViews>
  <sheetFormatPr defaultColWidth="0.85546875" defaultRowHeight="26.25" customHeight="1" x14ac:dyDescent="0.2"/>
  <cols>
    <col min="1" max="10" width="0.85546875" style="92"/>
    <col min="11" max="11" width="2.140625" style="92" customWidth="1"/>
    <col min="12" max="15" width="0.85546875" style="92"/>
    <col min="16" max="16" width="1.5703125" style="92" customWidth="1"/>
    <col min="17" max="24" width="0.85546875" style="92"/>
    <col min="25" max="25" width="3.140625" style="92" customWidth="1"/>
    <col min="26" max="26" width="0.85546875" style="92"/>
    <col min="27" max="27" width="2.140625" style="92" customWidth="1"/>
    <col min="28" max="28" width="0.85546875" style="92"/>
    <col min="29" max="29" width="2.7109375" style="92" customWidth="1"/>
    <col min="30" max="40" width="0.85546875" style="92"/>
    <col min="41" max="41" width="32.85546875" style="92" customWidth="1"/>
    <col min="42" max="42" width="0.85546875" style="92" customWidth="1"/>
    <col min="43" max="48" width="0.85546875" style="92"/>
    <col min="49" max="49" width="1.7109375" style="92" customWidth="1"/>
    <col min="50" max="51" width="0.85546875" style="92"/>
    <col min="52" max="52" width="4" style="92" customWidth="1"/>
    <col min="53" max="53" width="3.28515625" style="92" customWidth="1"/>
    <col min="54" max="58" width="0.85546875" style="92"/>
    <col min="59" max="59" width="3.28515625" style="92" customWidth="1"/>
    <col min="60" max="64" width="0.85546875" style="92"/>
    <col min="65" max="65" width="4.140625" style="92" customWidth="1"/>
    <col min="66" max="74" width="0.85546875" style="92"/>
    <col min="75" max="75" width="2.5703125" style="92" customWidth="1"/>
    <col min="76" max="76" width="20.85546875" style="92" customWidth="1"/>
    <col min="77" max="77" width="22.7109375" style="92" customWidth="1"/>
    <col min="78" max="78" width="23.5703125" style="92" customWidth="1"/>
    <col min="79" max="79" width="22.140625" style="92" customWidth="1"/>
    <col min="80" max="80" width="21.42578125" style="92" customWidth="1"/>
    <col min="81" max="81" width="18.42578125" style="92" customWidth="1"/>
    <col min="82" max="82" width="23.7109375" style="92" customWidth="1"/>
    <col min="83" max="83" width="20.42578125" style="92" customWidth="1"/>
    <col min="84" max="84" width="10.5703125" style="92" customWidth="1"/>
    <col min="85" max="85" width="17.28515625" style="92" customWidth="1"/>
    <col min="86" max="86" width="19.7109375" style="92" customWidth="1"/>
    <col min="87" max="87" width="18.5703125" style="92" customWidth="1"/>
    <col min="88" max="88" width="18.42578125" style="92" customWidth="1"/>
    <col min="89" max="89" width="11.42578125" style="92" customWidth="1"/>
    <col min="90" max="90" width="22.5703125" style="92" customWidth="1"/>
    <col min="91" max="92" width="0.85546875" style="92"/>
    <col min="93" max="93" width="3" style="92" customWidth="1"/>
    <col min="94" max="94" width="2.140625" style="92" customWidth="1"/>
    <col min="95" max="96" width="0.85546875" style="92"/>
    <col min="97" max="97" width="1.42578125" style="92" customWidth="1"/>
    <col min="98" max="101" width="0.85546875" style="92"/>
    <col min="102" max="102" width="12.28515625" style="92" customWidth="1"/>
    <col min="103" max="127" width="0.85546875" style="92"/>
    <col min="128" max="128" width="13.140625" style="92" bestFit="1" customWidth="1"/>
    <col min="129" max="135" width="0.85546875" style="92"/>
    <col min="136" max="136" width="16.5703125" style="92" bestFit="1" customWidth="1"/>
    <col min="137" max="16384" width="0.85546875" style="92"/>
  </cols>
  <sheetData>
    <row r="1" spans="1:103" ht="15.75" x14ac:dyDescent="0.2">
      <c r="BT1" s="356"/>
      <c r="BU1" s="356"/>
      <c r="BV1" s="356"/>
      <c r="BW1" s="356"/>
      <c r="BX1" s="356"/>
      <c r="BY1" s="356"/>
      <c r="BZ1" s="356"/>
      <c r="CA1" s="356"/>
      <c r="CB1" s="356"/>
      <c r="CC1" s="356"/>
      <c r="CD1" s="356"/>
      <c r="CE1" s="356"/>
      <c r="CF1" s="356"/>
      <c r="CG1" s="356"/>
      <c r="CH1" s="356"/>
      <c r="CI1" s="356"/>
      <c r="CJ1" s="356"/>
      <c r="CK1" s="356"/>
      <c r="CL1" s="1337" t="s">
        <v>200</v>
      </c>
      <c r="CM1" s="1337"/>
      <c r="CN1" s="1337"/>
      <c r="CO1" s="1337"/>
      <c r="CP1" s="1337"/>
      <c r="CQ1" s="1337"/>
      <c r="CR1" s="1337"/>
      <c r="CS1" s="1337"/>
      <c r="CT1" s="1337"/>
      <c r="CU1" s="1337"/>
      <c r="CV1" s="1337"/>
      <c r="CW1" s="1337"/>
      <c r="CX1" s="1337"/>
      <c r="CY1" s="1337"/>
    </row>
    <row r="2" spans="1:103" ht="15.75" x14ac:dyDescent="0.2"/>
    <row r="3" spans="1:103" ht="15.75" x14ac:dyDescent="0.2">
      <c r="AO3" s="724"/>
      <c r="AP3" s="724"/>
      <c r="AQ3" s="724"/>
      <c r="AR3" s="724"/>
      <c r="AS3" s="724"/>
      <c r="AT3" s="724"/>
      <c r="AU3" s="724"/>
      <c r="AV3" s="724"/>
      <c r="AW3" s="724"/>
      <c r="AX3" s="724"/>
      <c r="AY3" s="724"/>
      <c r="AZ3" s="724"/>
      <c r="BA3" s="724"/>
      <c r="BB3" s="724"/>
      <c r="BC3" s="724"/>
      <c r="BD3" s="724"/>
      <c r="BE3" s="724"/>
      <c r="BF3" s="724"/>
      <c r="BG3" s="724"/>
      <c r="BH3" s="724"/>
      <c r="BI3" s="724"/>
      <c r="BJ3" s="724"/>
      <c r="BK3" s="724"/>
      <c r="BL3" s="724"/>
      <c r="BM3" s="724"/>
      <c r="BN3" s="724"/>
      <c r="BO3" s="724"/>
      <c r="BP3" s="724"/>
      <c r="BQ3" s="724"/>
      <c r="BR3" s="724"/>
      <c r="BS3" s="724"/>
      <c r="BT3" s="724"/>
      <c r="BU3" s="724"/>
      <c r="BV3" s="724"/>
      <c r="BW3" s="724"/>
      <c r="BX3" s="724"/>
      <c r="CE3" s="356"/>
      <c r="CF3" s="356"/>
      <c r="CG3" s="356"/>
      <c r="CH3" s="356"/>
      <c r="CI3" s="1338" t="s">
        <v>201</v>
      </c>
      <c r="CJ3" s="1338"/>
      <c r="CK3" s="1338"/>
      <c r="CL3" s="1338"/>
      <c r="CM3" s="1338"/>
      <c r="CN3" s="1338"/>
      <c r="CO3" s="1338"/>
      <c r="CP3" s="1338"/>
      <c r="CQ3" s="1338"/>
      <c r="CR3" s="1338"/>
      <c r="CS3" s="1338"/>
      <c r="CT3" s="1338"/>
      <c r="CU3" s="1338"/>
      <c r="CV3" s="1338"/>
      <c r="CW3" s="1338"/>
      <c r="CX3" s="1338"/>
      <c r="CY3" s="1338"/>
    </row>
    <row r="4" spans="1:103" ht="15.75" x14ac:dyDescent="0.2">
      <c r="CE4" s="356"/>
      <c r="CF4" s="356"/>
      <c r="CG4" s="356"/>
      <c r="CH4" s="356"/>
      <c r="CI4" s="1339" t="s">
        <v>202</v>
      </c>
      <c r="CJ4" s="1339"/>
      <c r="CK4" s="1339"/>
      <c r="CL4" s="1339"/>
      <c r="CM4" s="1339"/>
      <c r="CN4" s="1339"/>
      <c r="CO4" s="1339"/>
      <c r="CP4" s="1339"/>
      <c r="CQ4" s="1339"/>
      <c r="CR4" s="1339"/>
      <c r="CS4" s="1339"/>
      <c r="CT4" s="1339"/>
      <c r="CU4" s="1339"/>
      <c r="CV4" s="1339"/>
      <c r="CW4" s="1339"/>
      <c r="CX4" s="1339"/>
      <c r="CY4" s="1339"/>
    </row>
    <row r="5" spans="1:103" ht="15.75" x14ac:dyDescent="0.2">
      <c r="CE5" s="356"/>
      <c r="CF5" s="356"/>
      <c r="CG5" s="356"/>
      <c r="CH5" s="356"/>
      <c r="CI5" s="1340" t="s">
        <v>203</v>
      </c>
      <c r="CJ5" s="1340"/>
      <c r="CK5" s="1340"/>
      <c r="CL5" s="1340"/>
      <c r="CM5" s="1340"/>
      <c r="CN5" s="1340"/>
      <c r="CO5" s="1340"/>
      <c r="CP5" s="1340"/>
      <c r="CQ5" s="1340"/>
      <c r="CR5" s="1340"/>
      <c r="CS5" s="1340"/>
      <c r="CT5" s="1340"/>
      <c r="CU5" s="1340"/>
      <c r="CV5" s="1340"/>
      <c r="CW5" s="1340"/>
      <c r="CX5" s="1340"/>
      <c r="CY5" s="1340"/>
    </row>
    <row r="6" spans="1:103" ht="15.75" x14ac:dyDescent="0.2">
      <c r="CE6" s="356"/>
      <c r="CF6" s="356"/>
      <c r="CG6" s="356"/>
      <c r="CH6" s="356"/>
      <c r="CI6" s="1339" t="s">
        <v>204</v>
      </c>
      <c r="CJ6" s="1339"/>
      <c r="CK6" s="1339"/>
      <c r="CL6" s="1339"/>
      <c r="CM6" s="1339"/>
      <c r="CN6" s="1339"/>
      <c r="CO6" s="1339"/>
      <c r="CP6" s="1339"/>
      <c r="CQ6" s="1339"/>
      <c r="CR6" s="1339"/>
      <c r="CS6" s="1339"/>
      <c r="CT6" s="1339"/>
      <c r="CU6" s="1339"/>
      <c r="CV6" s="1339"/>
      <c r="CW6" s="1339"/>
      <c r="CX6" s="1339"/>
      <c r="CY6" s="1339"/>
    </row>
    <row r="7" spans="1:103" ht="15.75" x14ac:dyDescent="0.2">
      <c r="CE7" s="356"/>
      <c r="CF7" s="356"/>
      <c r="CG7" s="356"/>
      <c r="CH7" s="356"/>
      <c r="CI7" s="1340" t="s">
        <v>205</v>
      </c>
      <c r="CJ7" s="1340"/>
      <c r="CK7" s="1340"/>
      <c r="CL7" s="1340"/>
      <c r="CM7" s="1340"/>
      <c r="CN7" s="1340"/>
      <c r="CO7" s="1340"/>
      <c r="CP7" s="1340"/>
      <c r="CQ7" s="1340"/>
      <c r="CR7" s="1340"/>
      <c r="CS7" s="1340"/>
      <c r="CT7" s="1340"/>
      <c r="CU7" s="1340"/>
      <c r="CV7" s="1340"/>
      <c r="CW7" s="1340"/>
      <c r="CX7" s="1340"/>
      <c r="CY7" s="1340"/>
    </row>
    <row r="8" spans="1:103" ht="15.75" x14ac:dyDescent="0.2">
      <c r="CE8" s="356"/>
      <c r="CF8" s="356"/>
      <c r="CG8" s="356"/>
      <c r="CH8" s="356"/>
      <c r="CI8" s="725"/>
      <c r="CJ8" s="725"/>
      <c r="CK8" s="353"/>
      <c r="CL8" s="1339" t="s">
        <v>1472</v>
      </c>
      <c r="CM8" s="1344"/>
      <c r="CN8" s="1344"/>
      <c r="CO8" s="1344"/>
      <c r="CP8" s="1344"/>
      <c r="CQ8" s="1344"/>
      <c r="CR8" s="1344"/>
      <c r="CS8" s="1344"/>
      <c r="CT8" s="1344"/>
      <c r="CU8" s="1344"/>
      <c r="CV8" s="1344"/>
      <c r="CW8" s="1344"/>
      <c r="CX8" s="1344"/>
      <c r="CY8" s="1344"/>
    </row>
    <row r="9" spans="1:103" ht="15.75" x14ac:dyDescent="0.2">
      <c r="CE9" s="356"/>
      <c r="CF9" s="356"/>
      <c r="CG9" s="356"/>
      <c r="CH9" s="356"/>
      <c r="CI9" s="1340" t="s">
        <v>206</v>
      </c>
      <c r="CJ9" s="1340"/>
      <c r="CK9" s="353"/>
      <c r="CL9" s="1340" t="s">
        <v>207</v>
      </c>
      <c r="CM9" s="1340"/>
      <c r="CN9" s="1340"/>
      <c r="CO9" s="1340"/>
      <c r="CP9" s="1340"/>
      <c r="CQ9" s="1340"/>
      <c r="CR9" s="1340"/>
      <c r="CS9" s="1340"/>
      <c r="CT9" s="1340"/>
      <c r="CU9" s="1340"/>
      <c r="CV9" s="1340"/>
      <c r="CW9" s="1340"/>
      <c r="CX9" s="1340"/>
      <c r="CY9" s="1340"/>
    </row>
    <row r="10" spans="1:103" ht="15.75" x14ac:dyDescent="0.2">
      <c r="CE10" s="726"/>
      <c r="CF10" s="726"/>
      <c r="CG10" s="726"/>
      <c r="CH10" s="726"/>
      <c r="CI10" s="726"/>
      <c r="CJ10" s="726"/>
      <c r="CK10" s="1346" t="s">
        <v>1739</v>
      </c>
      <c r="CL10" s="1346"/>
      <c r="CM10" s="727"/>
      <c r="CN10" s="1337">
        <v>20</v>
      </c>
      <c r="CO10" s="1337"/>
      <c r="CP10" s="1337"/>
      <c r="CQ10" s="1345" t="s">
        <v>210</v>
      </c>
      <c r="CR10" s="1345"/>
      <c r="CS10" s="1345"/>
      <c r="CT10" s="92" t="s">
        <v>208</v>
      </c>
    </row>
    <row r="11" spans="1:103" ht="15.75" x14ac:dyDescent="0.2"/>
    <row r="12" spans="1:103" ht="15.75" x14ac:dyDescent="0.2">
      <c r="B12" s="1341" t="s">
        <v>1181</v>
      </c>
      <c r="C12" s="1341"/>
      <c r="D12" s="1341"/>
      <c r="E12" s="1341"/>
      <c r="F12" s="1341"/>
      <c r="G12" s="1341"/>
      <c r="H12" s="1341"/>
      <c r="I12" s="1341"/>
      <c r="J12" s="1341"/>
      <c r="K12" s="1341"/>
      <c r="L12" s="1341"/>
      <c r="M12" s="1341"/>
      <c r="N12" s="1341"/>
      <c r="O12" s="1341"/>
      <c r="P12" s="1341"/>
      <c r="Q12" s="1341"/>
      <c r="R12" s="1341"/>
      <c r="S12" s="1341"/>
      <c r="T12" s="1341"/>
      <c r="U12" s="1341"/>
      <c r="V12" s="1341"/>
      <c r="W12" s="1341"/>
      <c r="X12" s="1341"/>
      <c r="Y12" s="1341"/>
      <c r="Z12" s="1341"/>
      <c r="AA12" s="1341"/>
      <c r="AB12" s="1341"/>
      <c r="AC12" s="1341"/>
      <c r="AD12" s="1341"/>
      <c r="AE12" s="1341"/>
      <c r="AF12" s="1341"/>
      <c r="AG12" s="1341"/>
      <c r="AH12" s="1341"/>
      <c r="AI12" s="1341"/>
      <c r="AJ12" s="1341"/>
      <c r="AK12" s="1341"/>
      <c r="AL12" s="1341"/>
      <c r="AM12" s="1341"/>
      <c r="AN12" s="1341"/>
      <c r="AO12" s="1341"/>
      <c r="AP12" s="1341"/>
      <c r="AQ12" s="1341"/>
      <c r="AR12" s="1341"/>
      <c r="AS12" s="1341"/>
      <c r="AT12" s="1341"/>
      <c r="AU12" s="1341"/>
      <c r="AV12" s="1341"/>
      <c r="AW12" s="1341"/>
      <c r="AX12" s="1341"/>
      <c r="AY12" s="1341"/>
      <c r="AZ12" s="1341"/>
      <c r="BA12" s="1341"/>
      <c r="BB12" s="1341"/>
      <c r="BC12" s="1341"/>
      <c r="BD12" s="1341"/>
      <c r="BE12" s="1341"/>
      <c r="BF12" s="1341"/>
      <c r="BG12" s="1341"/>
      <c r="BH12" s="1341"/>
      <c r="BI12" s="1341"/>
      <c r="BJ12" s="1341"/>
      <c r="BK12" s="1341"/>
      <c r="BL12" s="1341"/>
      <c r="BM12" s="1341"/>
      <c r="BN12" s="1341"/>
      <c r="BO12" s="1341"/>
      <c r="BP12" s="1341"/>
      <c r="BQ12" s="1341"/>
      <c r="BR12" s="1341"/>
      <c r="BS12" s="1341"/>
      <c r="BT12" s="1341"/>
      <c r="BU12" s="1341"/>
      <c r="BV12" s="1341"/>
      <c r="BW12" s="1341"/>
    </row>
    <row r="13" spans="1:103" s="93" customFormat="1" ht="18.75" x14ac:dyDescent="0.2">
      <c r="Q13" s="1341"/>
      <c r="R13" s="1341"/>
      <c r="S13" s="1341"/>
      <c r="T13" s="1341"/>
      <c r="U13" s="1341"/>
      <c r="V13" s="1341"/>
      <c r="W13" s="1341"/>
      <c r="X13" s="1342"/>
      <c r="Y13" s="1342"/>
      <c r="Z13" s="1342"/>
      <c r="AA13" s="1341" t="s">
        <v>209</v>
      </c>
      <c r="AB13" s="1341"/>
      <c r="AC13" s="1341"/>
      <c r="AD13" s="1341"/>
      <c r="AE13" s="1341"/>
      <c r="AF13" s="1341"/>
      <c r="AG13" s="1341"/>
      <c r="AH13" s="1341"/>
      <c r="AI13" s="1341"/>
      <c r="AJ13" s="1341"/>
      <c r="AK13" s="1341"/>
      <c r="AL13" s="1341"/>
      <c r="AM13" s="1341"/>
      <c r="AN13" s="1341"/>
      <c r="AO13" s="1341"/>
      <c r="AP13" s="1341"/>
      <c r="AQ13" s="1341"/>
      <c r="AR13" s="1341"/>
      <c r="AS13" s="1341"/>
      <c r="AT13" s="1341"/>
      <c r="AU13" s="1341"/>
      <c r="AV13" s="1341"/>
      <c r="AW13" s="1343" t="s">
        <v>212</v>
      </c>
      <c r="AX13" s="1343"/>
      <c r="AY13" s="1343"/>
      <c r="AZ13" s="1341" t="s">
        <v>211</v>
      </c>
      <c r="BA13" s="1341"/>
      <c r="BB13" s="1341"/>
      <c r="BC13" s="1341"/>
      <c r="BD13" s="1341"/>
      <c r="BE13" s="1343" t="s">
        <v>1182</v>
      </c>
      <c r="BF13" s="1343"/>
      <c r="BG13" s="1343"/>
      <c r="BH13" s="1349" t="s">
        <v>213</v>
      </c>
      <c r="BI13" s="1349"/>
      <c r="BJ13" s="1349"/>
      <c r="BK13" s="1349"/>
      <c r="BL13" s="1349"/>
      <c r="BM13" s="1349"/>
      <c r="BN13" s="1349"/>
      <c r="BO13" s="1349"/>
      <c r="BP13" s="1349"/>
      <c r="CM13" s="1350" t="s">
        <v>214</v>
      </c>
      <c r="CN13" s="1340"/>
      <c r="CO13" s="1340"/>
      <c r="CP13" s="1340"/>
      <c r="CQ13" s="1340"/>
      <c r="CR13" s="1340"/>
      <c r="CS13" s="1340"/>
      <c r="CT13" s="1340"/>
      <c r="CU13" s="1340"/>
      <c r="CV13" s="1340"/>
      <c r="CW13" s="1340"/>
      <c r="CX13" s="1340"/>
      <c r="CY13" s="1351"/>
    </row>
    <row r="14" spans="1:103" ht="16.5" thickBot="1" x14ac:dyDescent="0.25">
      <c r="CM14" s="1352"/>
      <c r="CN14" s="1338"/>
      <c r="CO14" s="1338"/>
      <c r="CP14" s="1338"/>
      <c r="CQ14" s="1338"/>
      <c r="CR14" s="1338"/>
      <c r="CS14" s="1338"/>
      <c r="CT14" s="1338"/>
      <c r="CU14" s="1338"/>
      <c r="CV14" s="1338"/>
      <c r="CW14" s="1338"/>
      <c r="CX14" s="1338"/>
      <c r="CY14" s="1353"/>
    </row>
    <row r="15" spans="1:103" ht="18.75" x14ac:dyDescent="0.2">
      <c r="Y15" s="1337" t="s">
        <v>215</v>
      </c>
      <c r="Z15" s="1337"/>
      <c r="AA15" s="1337"/>
      <c r="AB15" s="1337"/>
      <c r="AC15" s="1346" t="s">
        <v>259</v>
      </c>
      <c r="AD15" s="1346"/>
      <c r="AE15" s="1346"/>
      <c r="AF15" s="1354" t="s">
        <v>216</v>
      </c>
      <c r="AG15" s="1354"/>
      <c r="AI15" s="1346" t="s">
        <v>1663</v>
      </c>
      <c r="AJ15" s="1346"/>
      <c r="AK15" s="1346"/>
      <c r="AL15" s="1346"/>
      <c r="AM15" s="1346"/>
      <c r="AN15" s="1346"/>
      <c r="AO15" s="1346"/>
      <c r="AP15" s="1346"/>
      <c r="AQ15" s="1346"/>
      <c r="AR15" s="1346"/>
      <c r="AS15" s="1346"/>
      <c r="AT15" s="1346"/>
      <c r="AU15" s="1346"/>
      <c r="AV15" s="1346"/>
      <c r="AW15" s="1346"/>
      <c r="AX15" s="1337">
        <v>20</v>
      </c>
      <c r="AY15" s="1337"/>
      <c r="AZ15" s="1337"/>
      <c r="BA15" s="1345" t="s">
        <v>210</v>
      </c>
      <c r="BB15" s="1345"/>
      <c r="BC15" s="1345"/>
      <c r="BD15" s="92" t="s">
        <v>217</v>
      </c>
      <c r="CL15" s="20" t="s">
        <v>218</v>
      </c>
      <c r="CM15" s="1355" t="s">
        <v>1740</v>
      </c>
      <c r="CN15" s="1356"/>
      <c r="CO15" s="1356"/>
      <c r="CP15" s="1356"/>
      <c r="CQ15" s="1356"/>
      <c r="CR15" s="1356"/>
      <c r="CS15" s="1356"/>
      <c r="CT15" s="1356"/>
      <c r="CU15" s="1356"/>
      <c r="CV15" s="1356"/>
      <c r="CW15" s="1356"/>
      <c r="CX15" s="1356"/>
      <c r="CY15" s="1357"/>
    </row>
    <row r="16" spans="1:103" ht="15.75" x14ac:dyDescent="0.2">
      <c r="A16" s="356" t="s">
        <v>219</v>
      </c>
      <c r="B16" s="356"/>
      <c r="C16" s="356"/>
      <c r="D16" s="356"/>
      <c r="E16" s="356"/>
      <c r="F16" s="356"/>
      <c r="G16" s="356"/>
      <c r="H16" s="356"/>
      <c r="I16" s="356"/>
      <c r="J16" s="356"/>
      <c r="K16" s="356"/>
      <c r="L16" s="356"/>
      <c r="M16" s="356"/>
      <c r="N16" s="356"/>
      <c r="O16" s="356"/>
      <c r="P16" s="356"/>
      <c r="CK16" s="1337" t="s">
        <v>220</v>
      </c>
      <c r="CL16" s="1347"/>
      <c r="CM16" s="1250"/>
      <c r="CN16" s="1259"/>
      <c r="CO16" s="1259"/>
      <c r="CP16" s="1259"/>
      <c r="CQ16" s="1259"/>
      <c r="CR16" s="1259"/>
      <c r="CS16" s="1259"/>
      <c r="CT16" s="1259"/>
      <c r="CU16" s="1259"/>
      <c r="CV16" s="1259"/>
      <c r="CW16" s="1259"/>
      <c r="CX16" s="1259"/>
      <c r="CY16" s="1348"/>
    </row>
    <row r="17" spans="1:103" ht="15.75" x14ac:dyDescent="0.2">
      <c r="A17" s="92" t="s">
        <v>221</v>
      </c>
      <c r="Q17" s="356"/>
      <c r="R17" s="356"/>
      <c r="S17" s="356"/>
      <c r="T17" s="356"/>
      <c r="U17" s="356"/>
      <c r="V17" s="356"/>
      <c r="W17" s="356"/>
      <c r="X17" s="356"/>
      <c r="Y17" s="356"/>
      <c r="Z17" s="356"/>
      <c r="AA17" s="356"/>
      <c r="AB17" s="1339" t="s">
        <v>222</v>
      </c>
      <c r="AC17" s="1339"/>
      <c r="AD17" s="1339"/>
      <c r="AE17" s="1339"/>
      <c r="AF17" s="1339"/>
      <c r="AG17" s="1339"/>
      <c r="AH17" s="1339"/>
      <c r="AI17" s="1339"/>
      <c r="AJ17" s="1339"/>
      <c r="AK17" s="1339"/>
      <c r="AL17" s="1339"/>
      <c r="AM17" s="1339"/>
      <c r="AN17" s="1339"/>
      <c r="AO17" s="1339"/>
      <c r="AP17" s="1339"/>
      <c r="AQ17" s="1339"/>
      <c r="AR17" s="1339"/>
      <c r="AS17" s="1339"/>
      <c r="AT17" s="1339"/>
      <c r="AU17" s="1339"/>
      <c r="AV17" s="1339"/>
      <c r="AW17" s="1339"/>
      <c r="AX17" s="1339"/>
      <c r="AY17" s="1339"/>
      <c r="AZ17" s="1339"/>
      <c r="BA17" s="1339"/>
      <c r="BB17" s="1339"/>
      <c r="BC17" s="1339"/>
      <c r="BD17" s="1339"/>
      <c r="BE17" s="1339"/>
      <c r="BF17" s="1339"/>
      <c r="BG17" s="1339"/>
      <c r="BH17" s="1339"/>
      <c r="BI17" s="1339"/>
      <c r="BJ17" s="1339"/>
      <c r="BK17" s="1339"/>
      <c r="BL17" s="1339"/>
      <c r="BM17" s="1339"/>
      <c r="BN17" s="1339"/>
      <c r="BO17" s="1339"/>
      <c r="BP17" s="1339"/>
      <c r="BQ17" s="1339"/>
      <c r="BR17" s="1339"/>
      <c r="BS17" s="1339"/>
      <c r="BT17" s="1339"/>
      <c r="BU17" s="1339"/>
      <c r="BV17" s="1339"/>
      <c r="BW17" s="1339"/>
      <c r="BX17" s="1339"/>
      <c r="BY17" s="1339"/>
      <c r="BZ17" s="1339"/>
      <c r="CA17" s="1339"/>
      <c r="CB17" s="1339"/>
      <c r="CC17" s="1339"/>
      <c r="CD17" s="1339"/>
      <c r="CE17" s="1339"/>
      <c r="CF17" s="1339"/>
      <c r="CG17" s="1339"/>
      <c r="CH17" s="1339"/>
      <c r="CI17" s="1339"/>
      <c r="CJ17" s="1339"/>
      <c r="CK17" s="1337" t="s">
        <v>223</v>
      </c>
      <c r="CL17" s="1347"/>
      <c r="CM17" s="1250" t="s">
        <v>224</v>
      </c>
      <c r="CN17" s="1259"/>
      <c r="CO17" s="1259"/>
      <c r="CP17" s="1259"/>
      <c r="CQ17" s="1259"/>
      <c r="CR17" s="1259"/>
      <c r="CS17" s="1259"/>
      <c r="CT17" s="1259"/>
      <c r="CU17" s="1259"/>
      <c r="CV17" s="1259"/>
      <c r="CW17" s="1259"/>
      <c r="CX17" s="1259"/>
      <c r="CY17" s="1348"/>
    </row>
    <row r="18" spans="1:103" ht="15.75" x14ac:dyDescent="0.2">
      <c r="CK18" s="1337" t="s">
        <v>220</v>
      </c>
      <c r="CL18" s="1347"/>
      <c r="CM18" s="1250"/>
      <c r="CN18" s="1259"/>
      <c r="CO18" s="1259"/>
      <c r="CP18" s="1259"/>
      <c r="CQ18" s="1259"/>
      <c r="CR18" s="1259"/>
      <c r="CS18" s="1259"/>
      <c r="CT18" s="1259"/>
      <c r="CU18" s="1259"/>
      <c r="CV18" s="1259"/>
      <c r="CW18" s="1259"/>
      <c r="CX18" s="1259"/>
      <c r="CY18" s="1348"/>
    </row>
    <row r="19" spans="1:103" ht="15.75" x14ac:dyDescent="0.2">
      <c r="CL19" s="20" t="s">
        <v>225</v>
      </c>
      <c r="CM19" s="1250" t="s">
        <v>226</v>
      </c>
      <c r="CN19" s="1259"/>
      <c r="CO19" s="1259"/>
      <c r="CP19" s="1259"/>
      <c r="CQ19" s="1259"/>
      <c r="CR19" s="1259"/>
      <c r="CS19" s="1259"/>
      <c r="CT19" s="1259"/>
      <c r="CU19" s="1259"/>
      <c r="CV19" s="1259"/>
      <c r="CW19" s="1259"/>
      <c r="CX19" s="1259"/>
      <c r="CY19" s="1348"/>
    </row>
    <row r="20" spans="1:103" ht="15.75" x14ac:dyDescent="0.2">
      <c r="A20" s="92" t="s">
        <v>227</v>
      </c>
      <c r="K20" s="356"/>
      <c r="L20" s="356"/>
      <c r="M20" s="356"/>
      <c r="N20" s="356"/>
      <c r="O20" s="356"/>
      <c r="P20" s="356"/>
      <c r="Q20" s="356"/>
      <c r="R20" s="356"/>
      <c r="S20" s="356"/>
      <c r="T20" s="356"/>
      <c r="U20" s="356"/>
      <c r="V20" s="356"/>
      <c r="W20" s="356"/>
      <c r="X20" s="356"/>
      <c r="Y20" s="356"/>
      <c r="Z20" s="356"/>
      <c r="AA20" s="356"/>
      <c r="AB20" s="1339" t="s">
        <v>204</v>
      </c>
      <c r="AC20" s="1339"/>
      <c r="AD20" s="1339"/>
      <c r="AE20" s="1339"/>
      <c r="AF20" s="1339"/>
      <c r="AG20" s="1339"/>
      <c r="AH20" s="1339"/>
      <c r="AI20" s="1339"/>
      <c r="AJ20" s="1339"/>
      <c r="AK20" s="1339"/>
      <c r="AL20" s="1339"/>
      <c r="AM20" s="1339"/>
      <c r="AN20" s="1339"/>
      <c r="AO20" s="1339"/>
      <c r="AP20" s="1339"/>
      <c r="AQ20" s="1339"/>
      <c r="AR20" s="1339"/>
      <c r="AS20" s="1339"/>
      <c r="AT20" s="1339"/>
      <c r="AU20" s="1339"/>
      <c r="AV20" s="1339"/>
      <c r="AW20" s="1339"/>
      <c r="AX20" s="1339"/>
      <c r="AY20" s="1339"/>
      <c r="AZ20" s="1339"/>
      <c r="BA20" s="1339"/>
      <c r="BB20" s="1339"/>
      <c r="BC20" s="1339"/>
      <c r="BD20" s="1339"/>
      <c r="BE20" s="1339"/>
      <c r="BF20" s="1339"/>
      <c r="BG20" s="1339"/>
      <c r="BH20" s="1339"/>
      <c r="BI20" s="1339"/>
      <c r="BJ20" s="1339"/>
      <c r="BK20" s="1339"/>
      <c r="BL20" s="1339"/>
      <c r="BM20" s="1339"/>
      <c r="BN20" s="1339"/>
      <c r="BO20" s="1339"/>
      <c r="BP20" s="1339"/>
      <c r="BQ20" s="1339"/>
      <c r="BR20" s="1339"/>
      <c r="BS20" s="1339"/>
      <c r="BT20" s="1339"/>
      <c r="BU20" s="1339"/>
      <c r="BV20" s="1339"/>
      <c r="BW20" s="1339"/>
      <c r="BX20" s="1339"/>
      <c r="BY20" s="1339"/>
      <c r="BZ20" s="1339"/>
      <c r="CA20" s="1339"/>
      <c r="CB20" s="1339"/>
      <c r="CC20" s="1339"/>
      <c r="CD20" s="1339"/>
      <c r="CE20" s="1339"/>
      <c r="CF20" s="1339"/>
      <c r="CG20" s="1339"/>
      <c r="CH20" s="1339"/>
      <c r="CI20" s="1339"/>
      <c r="CJ20" s="1339"/>
      <c r="CL20" s="20" t="s">
        <v>228</v>
      </c>
      <c r="CM20" s="1250" t="s">
        <v>229</v>
      </c>
      <c r="CN20" s="1259"/>
      <c r="CO20" s="1259"/>
      <c r="CP20" s="1259"/>
      <c r="CQ20" s="1259"/>
      <c r="CR20" s="1259"/>
      <c r="CS20" s="1259"/>
      <c r="CT20" s="1259"/>
      <c r="CU20" s="1259"/>
      <c r="CV20" s="1259"/>
      <c r="CW20" s="1259"/>
      <c r="CX20" s="1259"/>
      <c r="CY20" s="1348"/>
    </row>
    <row r="21" spans="1:103" ht="16.5" thickBot="1" x14ac:dyDescent="0.25">
      <c r="A21" s="92" t="s">
        <v>230</v>
      </c>
      <c r="CM21" s="1358" t="s">
        <v>231</v>
      </c>
      <c r="CN21" s="1359"/>
      <c r="CO21" s="1359"/>
      <c r="CP21" s="1359"/>
      <c r="CQ21" s="1359"/>
      <c r="CR21" s="1359"/>
      <c r="CS21" s="1359"/>
      <c r="CT21" s="1359"/>
      <c r="CU21" s="1359"/>
      <c r="CV21" s="1359"/>
      <c r="CW21" s="1359"/>
      <c r="CX21" s="1359"/>
      <c r="CY21" s="1360"/>
    </row>
    <row r="22" spans="1:103" ht="15.75" x14ac:dyDescent="0.2"/>
    <row r="23" spans="1:103" s="93" customFormat="1" ht="15.75" x14ac:dyDescent="0.2">
      <c r="A23" s="1361" t="s">
        <v>232</v>
      </c>
      <c r="B23" s="1361"/>
      <c r="C23" s="1361"/>
      <c r="D23" s="1361"/>
      <c r="E23" s="1361"/>
      <c r="F23" s="1361"/>
      <c r="G23" s="1361"/>
      <c r="H23" s="1361"/>
      <c r="I23" s="1361"/>
      <c r="J23" s="1361"/>
      <c r="K23" s="1361"/>
      <c r="L23" s="1361"/>
      <c r="M23" s="1361"/>
      <c r="N23" s="1361"/>
      <c r="O23" s="1361"/>
      <c r="P23" s="1361"/>
      <c r="Q23" s="1361"/>
      <c r="R23" s="1361"/>
      <c r="S23" s="1361"/>
      <c r="T23" s="1361"/>
      <c r="U23" s="1361"/>
      <c r="V23" s="1361"/>
      <c r="W23" s="1361"/>
      <c r="X23" s="1361"/>
      <c r="Y23" s="1361"/>
      <c r="Z23" s="1361"/>
      <c r="AA23" s="1361"/>
      <c r="AB23" s="1361"/>
      <c r="AC23" s="1361"/>
      <c r="AD23" s="1361"/>
      <c r="AE23" s="1361"/>
      <c r="AF23" s="1361"/>
      <c r="AG23" s="1361"/>
      <c r="AH23" s="1361"/>
      <c r="AI23" s="1361"/>
      <c r="AJ23" s="1361"/>
      <c r="AK23" s="1361"/>
      <c r="AL23" s="1361"/>
      <c r="AM23" s="1361"/>
      <c r="AN23" s="1361"/>
      <c r="AO23" s="1361"/>
      <c r="AP23" s="1361"/>
      <c r="AQ23" s="1361"/>
      <c r="AR23" s="1361"/>
      <c r="AS23" s="1361"/>
      <c r="AT23" s="1361"/>
      <c r="AU23" s="1361"/>
      <c r="AV23" s="1361"/>
      <c r="AW23" s="1361"/>
      <c r="AX23" s="1361"/>
      <c r="AY23" s="1361"/>
      <c r="AZ23" s="1361"/>
      <c r="BA23" s="1361"/>
      <c r="BB23" s="1361"/>
      <c r="BC23" s="1361"/>
      <c r="BD23" s="1361"/>
      <c r="BE23" s="1361"/>
      <c r="BF23" s="1361"/>
      <c r="BG23" s="1361"/>
      <c r="BH23" s="1361"/>
      <c r="BI23" s="1361"/>
      <c r="BJ23" s="1361"/>
      <c r="BK23" s="1361"/>
      <c r="BL23" s="1361"/>
      <c r="BM23" s="1361"/>
      <c r="BN23" s="1361"/>
      <c r="BO23" s="1361"/>
      <c r="BP23" s="1361"/>
      <c r="BQ23" s="1361"/>
      <c r="BR23" s="1361"/>
      <c r="BS23" s="1361"/>
      <c r="BT23" s="1361"/>
      <c r="BU23" s="1361"/>
      <c r="BV23" s="1361"/>
      <c r="BW23" s="1361"/>
      <c r="BX23" s="1361"/>
      <c r="BY23" s="1361"/>
      <c r="BZ23" s="1361"/>
      <c r="CA23" s="1361"/>
      <c r="CB23" s="1361"/>
      <c r="CC23" s="1361"/>
      <c r="CD23" s="1361"/>
      <c r="CE23" s="1361"/>
      <c r="CF23" s="1361"/>
      <c r="CG23" s="1361"/>
      <c r="CH23" s="1361"/>
      <c r="CI23" s="1361"/>
      <c r="CJ23" s="1361"/>
      <c r="CK23" s="1361"/>
      <c r="CL23" s="1361"/>
      <c r="CM23" s="1361"/>
      <c r="CN23" s="1361"/>
      <c r="CO23" s="1361"/>
      <c r="CP23" s="1361"/>
      <c r="CQ23" s="1361"/>
      <c r="CR23" s="1361"/>
      <c r="CS23" s="1361"/>
      <c r="CT23" s="1361"/>
      <c r="CU23" s="1361"/>
      <c r="CV23" s="1361"/>
      <c r="CW23" s="1361"/>
      <c r="CX23" s="1361"/>
      <c r="CY23" s="1361"/>
    </row>
    <row r="24" spans="1:103" ht="15.75" x14ac:dyDescent="0.2"/>
    <row r="25" spans="1:103" ht="15.75" x14ac:dyDescent="0.2">
      <c r="A25" s="1340" t="s">
        <v>114</v>
      </c>
      <c r="B25" s="1340"/>
      <c r="C25" s="1340"/>
      <c r="D25" s="1340"/>
      <c r="E25" s="1340"/>
      <c r="F25" s="1340"/>
      <c r="G25" s="1340"/>
      <c r="H25" s="1340"/>
      <c r="I25" s="1340"/>
      <c r="J25" s="1340"/>
      <c r="K25" s="1340"/>
      <c r="L25" s="1340"/>
      <c r="M25" s="1340"/>
      <c r="N25" s="1340"/>
      <c r="O25" s="1340"/>
      <c r="P25" s="1340"/>
      <c r="Q25" s="1340"/>
      <c r="R25" s="1340"/>
      <c r="S25" s="1340"/>
      <c r="T25" s="1340"/>
      <c r="U25" s="1340"/>
      <c r="V25" s="1340"/>
      <c r="W25" s="1340"/>
      <c r="X25" s="1340"/>
      <c r="Y25" s="1340"/>
      <c r="Z25" s="1340"/>
      <c r="AA25" s="1340"/>
      <c r="AB25" s="1340"/>
      <c r="AC25" s="1340"/>
      <c r="AD25" s="1340"/>
      <c r="AE25" s="1340"/>
      <c r="AF25" s="1340"/>
      <c r="AG25" s="1340"/>
      <c r="AH25" s="1340"/>
      <c r="AI25" s="1340"/>
      <c r="AJ25" s="1340"/>
      <c r="AK25" s="1340"/>
      <c r="AL25" s="1340"/>
      <c r="AM25" s="1340"/>
      <c r="AN25" s="1340"/>
      <c r="AO25" s="1351"/>
      <c r="AP25" s="1363" t="s">
        <v>233</v>
      </c>
      <c r="AQ25" s="1364"/>
      <c r="AR25" s="1364"/>
      <c r="AS25" s="1364"/>
      <c r="AT25" s="1364"/>
      <c r="AU25" s="1364"/>
      <c r="AV25" s="1364"/>
      <c r="AW25" s="1365"/>
      <c r="AX25" s="1363" t="s">
        <v>234</v>
      </c>
      <c r="AY25" s="1364"/>
      <c r="AZ25" s="1364"/>
      <c r="BA25" s="1364"/>
      <c r="BB25" s="1364"/>
      <c r="BC25" s="1364"/>
      <c r="BD25" s="1364"/>
      <c r="BE25" s="1364"/>
      <c r="BF25" s="1364"/>
      <c r="BG25" s="1364"/>
      <c r="BH25" s="1364"/>
      <c r="BI25" s="1364"/>
      <c r="BJ25" s="1365"/>
      <c r="BK25" s="1363" t="s">
        <v>235</v>
      </c>
      <c r="BL25" s="1364"/>
      <c r="BM25" s="1364"/>
      <c r="BN25" s="1364"/>
      <c r="BO25" s="1364"/>
      <c r="BP25" s="1364"/>
      <c r="BQ25" s="1364"/>
      <c r="BR25" s="1364"/>
      <c r="BS25" s="1364"/>
      <c r="BT25" s="1364"/>
      <c r="BU25" s="1364"/>
      <c r="BV25" s="1364"/>
      <c r="BW25" s="1365"/>
      <c r="BX25" s="730"/>
      <c r="BY25" s="1263"/>
      <c r="BZ25" s="1263"/>
      <c r="CA25" s="1263"/>
      <c r="CB25" s="1263"/>
      <c r="CC25" s="1263"/>
      <c r="CD25" s="1263"/>
      <c r="CE25" s="1263"/>
      <c r="CF25" s="1263"/>
      <c r="CG25" s="1263"/>
      <c r="CH25" s="1340"/>
      <c r="CI25" s="1340"/>
      <c r="CJ25" s="1340"/>
      <c r="CK25" s="1340"/>
      <c r="CL25" s="1340"/>
      <c r="CM25" s="1263"/>
      <c r="CN25" s="1263"/>
      <c r="CO25" s="1263"/>
      <c r="CP25" s="1263"/>
      <c r="CQ25" s="1263"/>
      <c r="CR25" s="1263"/>
      <c r="CS25" s="1263"/>
      <c r="CT25" s="1263"/>
      <c r="CU25" s="1263"/>
      <c r="CV25" s="1263"/>
      <c r="CW25" s="1263"/>
      <c r="CX25" s="1263"/>
      <c r="CY25" s="1372"/>
    </row>
    <row r="26" spans="1:103" ht="15.75" x14ac:dyDescent="0.2">
      <c r="A26" s="1338"/>
      <c r="B26" s="1338"/>
      <c r="C26" s="1338"/>
      <c r="D26" s="1338"/>
      <c r="E26" s="1338"/>
      <c r="F26" s="1338"/>
      <c r="G26" s="1338"/>
      <c r="H26" s="1338"/>
      <c r="I26" s="1338"/>
      <c r="J26" s="1338"/>
      <c r="K26" s="1338"/>
      <c r="L26" s="1338"/>
      <c r="M26" s="1338"/>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8"/>
      <c r="AL26" s="1338"/>
      <c r="AM26" s="1338"/>
      <c r="AN26" s="1338"/>
      <c r="AO26" s="1353"/>
      <c r="AP26" s="1366"/>
      <c r="AQ26" s="1367"/>
      <c r="AR26" s="1367"/>
      <c r="AS26" s="1367"/>
      <c r="AT26" s="1367"/>
      <c r="AU26" s="1367"/>
      <c r="AV26" s="1367"/>
      <c r="AW26" s="1368"/>
      <c r="AX26" s="1366"/>
      <c r="AY26" s="1367"/>
      <c r="AZ26" s="1367"/>
      <c r="BA26" s="1367"/>
      <c r="BB26" s="1367"/>
      <c r="BC26" s="1367"/>
      <c r="BD26" s="1367"/>
      <c r="BE26" s="1367"/>
      <c r="BF26" s="1367"/>
      <c r="BG26" s="1367"/>
      <c r="BH26" s="1367"/>
      <c r="BI26" s="1367"/>
      <c r="BJ26" s="1368"/>
      <c r="BK26" s="1366"/>
      <c r="BL26" s="1367"/>
      <c r="BM26" s="1367"/>
      <c r="BN26" s="1367"/>
      <c r="BO26" s="1367"/>
      <c r="BP26" s="1367"/>
      <c r="BQ26" s="1367"/>
      <c r="BR26" s="1367"/>
      <c r="BS26" s="1367"/>
      <c r="BT26" s="1367"/>
      <c r="BU26" s="1367"/>
      <c r="BV26" s="1367"/>
      <c r="BW26" s="1368"/>
      <c r="BX26" s="732"/>
      <c r="BY26" s="20" t="s">
        <v>236</v>
      </c>
      <c r="BZ26" s="733">
        <v>24</v>
      </c>
      <c r="CA26" s="92" t="s">
        <v>237</v>
      </c>
      <c r="CB26" s="734"/>
      <c r="CD26" s="20" t="s">
        <v>236</v>
      </c>
      <c r="CE26" s="735">
        <v>25</v>
      </c>
      <c r="CF26" s="92" t="s">
        <v>237</v>
      </c>
      <c r="CH26" s="736"/>
      <c r="CI26" s="737" t="s">
        <v>236</v>
      </c>
      <c r="CJ26" s="733">
        <v>26</v>
      </c>
      <c r="CK26" s="738" t="s">
        <v>237</v>
      </c>
      <c r="CL26" s="739"/>
      <c r="CM26" s="1363" t="s">
        <v>238</v>
      </c>
      <c r="CN26" s="1364"/>
      <c r="CO26" s="1364"/>
      <c r="CP26" s="1364"/>
      <c r="CQ26" s="1364"/>
      <c r="CR26" s="1364"/>
      <c r="CS26" s="1364"/>
      <c r="CT26" s="1364"/>
      <c r="CU26" s="1364"/>
      <c r="CV26" s="1364"/>
      <c r="CW26" s="1364"/>
      <c r="CX26" s="1364"/>
      <c r="CY26" s="1365"/>
    </row>
    <row r="27" spans="1:103" ht="15.75" x14ac:dyDescent="0.2">
      <c r="A27" s="1338"/>
      <c r="B27" s="1338"/>
      <c r="C27" s="1338"/>
      <c r="D27" s="1338"/>
      <c r="E27" s="1338"/>
      <c r="F27" s="1338"/>
      <c r="G27" s="1338"/>
      <c r="H27" s="1338"/>
      <c r="I27" s="1338"/>
      <c r="J27" s="1338"/>
      <c r="K27" s="1338"/>
      <c r="L27" s="1338"/>
      <c r="M27" s="1338"/>
      <c r="N27" s="1338"/>
      <c r="O27" s="1338"/>
      <c r="P27" s="1338"/>
      <c r="Q27" s="1338"/>
      <c r="R27" s="1338"/>
      <c r="S27" s="1338"/>
      <c r="T27" s="1338"/>
      <c r="U27" s="1338"/>
      <c r="V27" s="1338"/>
      <c r="W27" s="1338"/>
      <c r="X27" s="1338"/>
      <c r="Y27" s="1338"/>
      <c r="Z27" s="1338"/>
      <c r="AA27" s="1338"/>
      <c r="AB27" s="1338"/>
      <c r="AC27" s="1338"/>
      <c r="AD27" s="1338"/>
      <c r="AE27" s="1338"/>
      <c r="AF27" s="1338"/>
      <c r="AG27" s="1338"/>
      <c r="AH27" s="1338"/>
      <c r="AI27" s="1338"/>
      <c r="AJ27" s="1338"/>
      <c r="AK27" s="1338"/>
      <c r="AL27" s="1338"/>
      <c r="AM27" s="1338"/>
      <c r="AN27" s="1338"/>
      <c r="AO27" s="1353"/>
      <c r="AP27" s="1366"/>
      <c r="AQ27" s="1367"/>
      <c r="AR27" s="1367"/>
      <c r="AS27" s="1367"/>
      <c r="AT27" s="1367"/>
      <c r="AU27" s="1367"/>
      <c r="AV27" s="1367"/>
      <c r="AW27" s="1368"/>
      <c r="AX27" s="1366"/>
      <c r="AY27" s="1367"/>
      <c r="AZ27" s="1367"/>
      <c r="BA27" s="1367"/>
      <c r="BB27" s="1367"/>
      <c r="BC27" s="1367"/>
      <c r="BD27" s="1367"/>
      <c r="BE27" s="1367"/>
      <c r="BF27" s="1367"/>
      <c r="BG27" s="1367"/>
      <c r="BH27" s="1367"/>
      <c r="BI27" s="1367"/>
      <c r="BJ27" s="1368"/>
      <c r="BK27" s="1366"/>
      <c r="BL27" s="1367"/>
      <c r="BM27" s="1367"/>
      <c r="BN27" s="1367"/>
      <c r="BO27" s="1367"/>
      <c r="BP27" s="1367"/>
      <c r="BQ27" s="1367"/>
      <c r="BR27" s="1367"/>
      <c r="BS27" s="1367"/>
      <c r="BT27" s="1367"/>
      <c r="BU27" s="1367"/>
      <c r="BV27" s="1367"/>
      <c r="BW27" s="1368"/>
      <c r="BX27" s="732"/>
      <c r="BY27" s="1370"/>
      <c r="BZ27" s="1370"/>
      <c r="CA27" s="1370"/>
      <c r="CB27" s="1371"/>
      <c r="CC27" s="1369" t="s">
        <v>239</v>
      </c>
      <c r="CD27" s="1370"/>
      <c r="CE27" s="1370"/>
      <c r="CF27" s="1370"/>
      <c r="CG27" s="1370"/>
      <c r="CH27" s="1369" t="s">
        <v>240</v>
      </c>
      <c r="CI27" s="1370"/>
      <c r="CJ27" s="1370"/>
      <c r="CK27" s="1370"/>
      <c r="CL27" s="1371"/>
      <c r="CM27" s="1366"/>
      <c r="CN27" s="1367"/>
      <c r="CO27" s="1367"/>
      <c r="CP27" s="1367"/>
      <c r="CQ27" s="1367"/>
      <c r="CR27" s="1367"/>
      <c r="CS27" s="1367"/>
      <c r="CT27" s="1367"/>
      <c r="CU27" s="1367"/>
      <c r="CV27" s="1367"/>
      <c r="CW27" s="1367"/>
      <c r="CX27" s="1367"/>
      <c r="CY27" s="1368"/>
    </row>
    <row r="28" spans="1:103" ht="141.75" x14ac:dyDescent="0.2">
      <c r="A28" s="1339"/>
      <c r="B28" s="1339"/>
      <c r="C28" s="1339"/>
      <c r="D28" s="1339"/>
      <c r="E28" s="1339"/>
      <c r="F28" s="1339"/>
      <c r="G28" s="1339"/>
      <c r="H28" s="1339"/>
      <c r="I28" s="1339"/>
      <c r="J28" s="1339"/>
      <c r="K28" s="1339"/>
      <c r="L28" s="1339"/>
      <c r="M28" s="1339"/>
      <c r="N28" s="1339"/>
      <c r="O28" s="1339"/>
      <c r="P28" s="1339"/>
      <c r="Q28" s="1339"/>
      <c r="R28" s="1339"/>
      <c r="S28" s="1339"/>
      <c r="T28" s="1339"/>
      <c r="U28" s="1339"/>
      <c r="V28" s="1339"/>
      <c r="W28" s="1339"/>
      <c r="X28" s="1339"/>
      <c r="Y28" s="1339"/>
      <c r="Z28" s="1339"/>
      <c r="AA28" s="1339"/>
      <c r="AB28" s="1339"/>
      <c r="AC28" s="1339"/>
      <c r="AD28" s="1339"/>
      <c r="AE28" s="1339"/>
      <c r="AF28" s="1339"/>
      <c r="AG28" s="1339"/>
      <c r="AH28" s="1339"/>
      <c r="AI28" s="1339"/>
      <c r="AJ28" s="1339"/>
      <c r="AK28" s="1339"/>
      <c r="AL28" s="1339"/>
      <c r="AM28" s="1339"/>
      <c r="AN28" s="1339"/>
      <c r="AO28" s="1362"/>
      <c r="AP28" s="1369"/>
      <c r="AQ28" s="1370"/>
      <c r="AR28" s="1370"/>
      <c r="AS28" s="1370"/>
      <c r="AT28" s="1370"/>
      <c r="AU28" s="1370"/>
      <c r="AV28" s="1370"/>
      <c r="AW28" s="1371"/>
      <c r="AX28" s="1369"/>
      <c r="AY28" s="1370"/>
      <c r="AZ28" s="1370"/>
      <c r="BA28" s="1370"/>
      <c r="BB28" s="1370"/>
      <c r="BC28" s="1370"/>
      <c r="BD28" s="1370"/>
      <c r="BE28" s="1370"/>
      <c r="BF28" s="1370"/>
      <c r="BG28" s="1370"/>
      <c r="BH28" s="1370"/>
      <c r="BI28" s="1370"/>
      <c r="BJ28" s="1371"/>
      <c r="BK28" s="1369"/>
      <c r="BL28" s="1370"/>
      <c r="BM28" s="1370"/>
      <c r="BN28" s="1370"/>
      <c r="BO28" s="1370"/>
      <c r="BP28" s="1370"/>
      <c r="BQ28" s="1370"/>
      <c r="BR28" s="1370"/>
      <c r="BS28" s="1370"/>
      <c r="BT28" s="1370"/>
      <c r="BU28" s="1370"/>
      <c r="BV28" s="1370"/>
      <c r="BW28" s="1371"/>
      <c r="BX28" s="355" t="s">
        <v>241</v>
      </c>
      <c r="BY28" s="722" t="s">
        <v>242</v>
      </c>
      <c r="BZ28" s="355" t="s">
        <v>243</v>
      </c>
      <c r="CA28" s="741" t="s">
        <v>244</v>
      </c>
      <c r="CB28" s="355" t="s">
        <v>46</v>
      </c>
      <c r="CC28" s="740" t="s">
        <v>241</v>
      </c>
      <c r="CD28" s="355" t="s">
        <v>35</v>
      </c>
      <c r="CE28" s="355" t="s">
        <v>243</v>
      </c>
      <c r="CF28" s="355" t="s">
        <v>244</v>
      </c>
      <c r="CG28" s="740" t="s">
        <v>46</v>
      </c>
      <c r="CH28" s="355" t="s">
        <v>241</v>
      </c>
      <c r="CI28" s="742" t="s">
        <v>35</v>
      </c>
      <c r="CJ28" s="742" t="s">
        <v>243</v>
      </c>
      <c r="CK28" s="742" t="s">
        <v>244</v>
      </c>
      <c r="CL28" s="740" t="s">
        <v>46</v>
      </c>
      <c r="CM28" s="1369"/>
      <c r="CN28" s="1370"/>
      <c r="CO28" s="1370"/>
      <c r="CP28" s="1370"/>
      <c r="CQ28" s="1370"/>
      <c r="CR28" s="1370"/>
      <c r="CS28" s="1370"/>
      <c r="CT28" s="1370"/>
      <c r="CU28" s="1370"/>
      <c r="CV28" s="1370"/>
      <c r="CW28" s="1370"/>
      <c r="CX28" s="1370"/>
      <c r="CY28" s="1371"/>
    </row>
    <row r="29" spans="1:103" ht="16.5" thickBot="1" x14ac:dyDescent="0.25">
      <c r="A29" s="1274" t="s">
        <v>245</v>
      </c>
      <c r="B29" s="1274"/>
      <c r="C29" s="1274"/>
      <c r="D29" s="1274"/>
      <c r="E29" s="1274"/>
      <c r="F29" s="1274"/>
      <c r="G29" s="1274"/>
      <c r="H29" s="1274"/>
      <c r="I29" s="1274"/>
      <c r="J29" s="1274"/>
      <c r="K29" s="1274"/>
      <c r="L29" s="1274"/>
      <c r="M29" s="1274"/>
      <c r="N29" s="1274"/>
      <c r="O29" s="1274"/>
      <c r="P29" s="1274"/>
      <c r="Q29" s="1274"/>
      <c r="R29" s="1274"/>
      <c r="S29" s="1274"/>
      <c r="T29" s="1274"/>
      <c r="U29" s="1274"/>
      <c r="V29" s="1274"/>
      <c r="W29" s="1274"/>
      <c r="X29" s="1274"/>
      <c r="Y29" s="1274"/>
      <c r="Z29" s="1274"/>
      <c r="AA29" s="1274"/>
      <c r="AB29" s="1274"/>
      <c r="AC29" s="1274"/>
      <c r="AD29" s="1274"/>
      <c r="AE29" s="1274"/>
      <c r="AF29" s="1274"/>
      <c r="AG29" s="1274"/>
      <c r="AH29" s="1274"/>
      <c r="AI29" s="1274"/>
      <c r="AJ29" s="1274"/>
      <c r="AK29" s="1274"/>
      <c r="AL29" s="1274"/>
      <c r="AM29" s="1274"/>
      <c r="AN29" s="1274"/>
      <c r="AO29" s="1275"/>
      <c r="AP29" s="1373" t="s">
        <v>246</v>
      </c>
      <c r="AQ29" s="1274"/>
      <c r="AR29" s="1274"/>
      <c r="AS29" s="1274"/>
      <c r="AT29" s="1274"/>
      <c r="AU29" s="1274"/>
      <c r="AV29" s="1274"/>
      <c r="AW29" s="1275"/>
      <c r="AX29" s="1373" t="s">
        <v>247</v>
      </c>
      <c r="AY29" s="1274"/>
      <c r="AZ29" s="1274"/>
      <c r="BA29" s="1274"/>
      <c r="BB29" s="1274"/>
      <c r="BC29" s="1274"/>
      <c r="BD29" s="1274"/>
      <c r="BE29" s="1274"/>
      <c r="BF29" s="1274"/>
      <c r="BG29" s="1274"/>
      <c r="BH29" s="1274"/>
      <c r="BI29" s="1274"/>
      <c r="BJ29" s="1275"/>
      <c r="BK29" s="1373" t="s">
        <v>248</v>
      </c>
      <c r="BL29" s="1274"/>
      <c r="BM29" s="1274"/>
      <c r="BN29" s="1274"/>
      <c r="BO29" s="1274"/>
      <c r="BP29" s="1274"/>
      <c r="BQ29" s="1274"/>
      <c r="BR29" s="1274"/>
      <c r="BS29" s="1274"/>
      <c r="BT29" s="1274"/>
      <c r="BU29" s="1274"/>
      <c r="BV29" s="1274"/>
      <c r="BW29" s="1275"/>
      <c r="BX29" s="743"/>
      <c r="BY29" s="744" t="s">
        <v>249</v>
      </c>
      <c r="BZ29" s="745" t="s">
        <v>250</v>
      </c>
      <c r="CA29" s="743" t="s">
        <v>251</v>
      </c>
      <c r="CB29" s="745" t="s">
        <v>252</v>
      </c>
      <c r="CC29" s="744" t="s">
        <v>253</v>
      </c>
      <c r="CD29" s="745" t="s">
        <v>254</v>
      </c>
      <c r="CE29" s="745" t="s">
        <v>255</v>
      </c>
      <c r="CF29" s="745" t="s">
        <v>256</v>
      </c>
      <c r="CG29" s="743" t="s">
        <v>257</v>
      </c>
      <c r="CH29" s="744" t="s">
        <v>258</v>
      </c>
      <c r="CI29" s="744" t="s">
        <v>259</v>
      </c>
      <c r="CJ29" s="744" t="s">
        <v>260</v>
      </c>
      <c r="CK29" s="744" t="s">
        <v>261</v>
      </c>
      <c r="CL29" s="744" t="s">
        <v>262</v>
      </c>
      <c r="CM29" s="1373" t="s">
        <v>263</v>
      </c>
      <c r="CN29" s="1274"/>
      <c r="CO29" s="1274"/>
      <c r="CP29" s="1274"/>
      <c r="CQ29" s="1274"/>
      <c r="CR29" s="1274"/>
      <c r="CS29" s="1274"/>
      <c r="CT29" s="1274"/>
      <c r="CU29" s="1274"/>
      <c r="CV29" s="1274"/>
      <c r="CW29" s="1274"/>
      <c r="CX29" s="1274"/>
      <c r="CY29" s="1275"/>
    </row>
    <row r="30" spans="1:103" s="93" customFormat="1" ht="21" customHeight="1" x14ac:dyDescent="0.2">
      <c r="A30" s="1374" t="s">
        <v>264</v>
      </c>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6" t="s">
        <v>265</v>
      </c>
      <c r="AQ30" s="1377"/>
      <c r="AR30" s="1377"/>
      <c r="AS30" s="1377"/>
      <c r="AT30" s="1377"/>
      <c r="AU30" s="1377"/>
      <c r="AV30" s="1377"/>
      <c r="AW30" s="1378"/>
      <c r="AX30" s="1379" t="s">
        <v>3</v>
      </c>
      <c r="AY30" s="1377"/>
      <c r="AZ30" s="1377"/>
      <c r="BA30" s="1377"/>
      <c r="BB30" s="1377"/>
      <c r="BC30" s="1377"/>
      <c r="BD30" s="1377"/>
      <c r="BE30" s="1377"/>
      <c r="BF30" s="1377"/>
      <c r="BG30" s="1377"/>
      <c r="BH30" s="1377"/>
      <c r="BI30" s="1377"/>
      <c r="BJ30" s="1378"/>
      <c r="BK30" s="1379" t="s">
        <v>3</v>
      </c>
      <c r="BL30" s="1377"/>
      <c r="BM30" s="1377"/>
      <c r="BN30" s="1377"/>
      <c r="BO30" s="1377"/>
      <c r="BP30" s="1377"/>
      <c r="BQ30" s="1377"/>
      <c r="BR30" s="1377"/>
      <c r="BS30" s="1377"/>
      <c r="BT30" s="1377"/>
      <c r="BU30" s="1377"/>
      <c r="BV30" s="1377"/>
      <c r="BW30" s="1378"/>
      <c r="BX30" s="746">
        <f>BZ30+CB30+BY30</f>
        <v>332433.68</v>
      </c>
      <c r="BY30" s="747">
        <v>255285.97</v>
      </c>
      <c r="BZ30" s="748"/>
      <c r="CA30" s="746"/>
      <c r="CB30" s="749">
        <v>77147.710000000006</v>
      </c>
      <c r="CC30" s="750"/>
      <c r="CD30" s="748"/>
      <c r="CE30" s="748"/>
      <c r="CF30" s="748"/>
      <c r="CG30" s="751"/>
      <c r="CH30" s="746"/>
      <c r="CI30" s="747"/>
      <c r="CJ30" s="747"/>
      <c r="CK30" s="747"/>
      <c r="CL30" s="747"/>
      <c r="CM30" s="1380"/>
      <c r="CN30" s="1381"/>
      <c r="CO30" s="1381"/>
      <c r="CP30" s="1381"/>
      <c r="CQ30" s="1381"/>
      <c r="CR30" s="1381"/>
      <c r="CS30" s="1381"/>
      <c r="CT30" s="1381"/>
      <c r="CU30" s="1381"/>
      <c r="CV30" s="1381"/>
      <c r="CW30" s="1381"/>
      <c r="CX30" s="1381"/>
      <c r="CY30" s="1382"/>
    </row>
    <row r="31" spans="1:103" s="93" customFormat="1" ht="21" customHeight="1" x14ac:dyDescent="0.2">
      <c r="A31" s="1383" t="s">
        <v>266</v>
      </c>
      <c r="B31" s="1384"/>
      <c r="C31" s="1384"/>
      <c r="D31" s="1384"/>
      <c r="E31" s="1384"/>
      <c r="F31" s="1384"/>
      <c r="G31" s="1384"/>
      <c r="H31" s="1384"/>
      <c r="I31" s="1384"/>
      <c r="J31" s="1384"/>
      <c r="K31" s="1384"/>
      <c r="L31" s="1384"/>
      <c r="M31" s="1384"/>
      <c r="N31" s="1384"/>
      <c r="O31" s="1384"/>
      <c r="P31" s="1384"/>
      <c r="Q31" s="1384"/>
      <c r="R31" s="1384"/>
      <c r="S31" s="1384"/>
      <c r="T31" s="1384"/>
      <c r="U31" s="1384"/>
      <c r="V31" s="1384"/>
      <c r="W31" s="1384"/>
      <c r="X31" s="1384"/>
      <c r="Y31" s="1384"/>
      <c r="Z31" s="1384"/>
      <c r="AA31" s="1384"/>
      <c r="AB31" s="1384"/>
      <c r="AC31" s="1384"/>
      <c r="AD31" s="1384"/>
      <c r="AE31" s="1384"/>
      <c r="AF31" s="1384"/>
      <c r="AG31" s="1384"/>
      <c r="AH31" s="1384"/>
      <c r="AI31" s="1384"/>
      <c r="AJ31" s="1384"/>
      <c r="AK31" s="1384"/>
      <c r="AL31" s="1384"/>
      <c r="AM31" s="1384"/>
      <c r="AN31" s="1384"/>
      <c r="AO31" s="1384"/>
      <c r="AP31" s="1385" t="s">
        <v>267</v>
      </c>
      <c r="AQ31" s="1386"/>
      <c r="AR31" s="1386"/>
      <c r="AS31" s="1386"/>
      <c r="AT31" s="1386"/>
      <c r="AU31" s="1386"/>
      <c r="AV31" s="1386"/>
      <c r="AW31" s="1387"/>
      <c r="AX31" s="1388" t="s">
        <v>3</v>
      </c>
      <c r="AY31" s="1386"/>
      <c r="AZ31" s="1386"/>
      <c r="BA31" s="1386"/>
      <c r="BB31" s="1386"/>
      <c r="BC31" s="1386"/>
      <c r="BD31" s="1386"/>
      <c r="BE31" s="1386"/>
      <c r="BF31" s="1386"/>
      <c r="BG31" s="1386"/>
      <c r="BH31" s="1386"/>
      <c r="BI31" s="1386"/>
      <c r="BJ31" s="1387"/>
      <c r="BK31" s="1388" t="s">
        <v>3</v>
      </c>
      <c r="BL31" s="1386"/>
      <c r="BM31" s="1386"/>
      <c r="BN31" s="1386"/>
      <c r="BO31" s="1386"/>
      <c r="BP31" s="1386"/>
      <c r="BQ31" s="1386"/>
      <c r="BR31" s="1386"/>
      <c r="BS31" s="1386"/>
      <c r="BT31" s="1386"/>
      <c r="BU31" s="1386"/>
      <c r="BV31" s="1386"/>
      <c r="BW31" s="1387"/>
      <c r="BX31" s="752"/>
      <c r="BY31" s="753"/>
      <c r="BZ31" s="240"/>
      <c r="CA31" s="752"/>
      <c r="CB31" s="754"/>
      <c r="CC31" s="755"/>
      <c r="CD31" s="240"/>
      <c r="CE31" s="240"/>
      <c r="CF31" s="240"/>
      <c r="CG31" s="756"/>
      <c r="CH31" s="752"/>
      <c r="CI31" s="753"/>
      <c r="CJ31" s="753"/>
      <c r="CK31" s="753"/>
      <c r="CL31" s="753"/>
      <c r="CM31" s="1389"/>
      <c r="CN31" s="1390"/>
      <c r="CO31" s="1390"/>
      <c r="CP31" s="1390"/>
      <c r="CQ31" s="1390"/>
      <c r="CR31" s="1390"/>
      <c r="CS31" s="1390"/>
      <c r="CT31" s="1390"/>
      <c r="CU31" s="1390"/>
      <c r="CV31" s="1390"/>
      <c r="CW31" s="1390"/>
      <c r="CX31" s="1390"/>
      <c r="CY31" s="1391"/>
    </row>
    <row r="32" spans="1:103" s="93" customFormat="1" ht="21.75" customHeight="1" x14ac:dyDescent="0.2">
      <c r="A32" s="1392" t="s">
        <v>268</v>
      </c>
      <c r="B32" s="1393"/>
      <c r="C32" s="1393"/>
      <c r="D32" s="1393"/>
      <c r="E32" s="1393"/>
      <c r="F32" s="1393"/>
      <c r="G32" s="1393"/>
      <c r="H32" s="1393"/>
      <c r="I32" s="1393"/>
      <c r="J32" s="1393"/>
      <c r="K32" s="1393"/>
      <c r="L32" s="1393"/>
      <c r="M32" s="1393"/>
      <c r="N32" s="1393"/>
      <c r="O32" s="1393"/>
      <c r="P32" s="1393"/>
      <c r="Q32" s="1393"/>
      <c r="R32" s="1393"/>
      <c r="S32" s="1393"/>
      <c r="T32" s="1393"/>
      <c r="U32" s="1393"/>
      <c r="V32" s="1393"/>
      <c r="W32" s="1393"/>
      <c r="X32" s="1393"/>
      <c r="Y32" s="1393"/>
      <c r="Z32" s="1393"/>
      <c r="AA32" s="1393"/>
      <c r="AB32" s="1393"/>
      <c r="AC32" s="1393"/>
      <c r="AD32" s="1393"/>
      <c r="AE32" s="1393"/>
      <c r="AF32" s="1393"/>
      <c r="AG32" s="1393"/>
      <c r="AH32" s="1393"/>
      <c r="AI32" s="1393"/>
      <c r="AJ32" s="1393"/>
      <c r="AK32" s="1393"/>
      <c r="AL32" s="1393"/>
      <c r="AM32" s="1393"/>
      <c r="AN32" s="1393"/>
      <c r="AO32" s="1393"/>
      <c r="AP32" s="1385" t="s">
        <v>269</v>
      </c>
      <c r="AQ32" s="1386"/>
      <c r="AR32" s="1386"/>
      <c r="AS32" s="1386"/>
      <c r="AT32" s="1386"/>
      <c r="AU32" s="1386"/>
      <c r="AV32" s="1386"/>
      <c r="AW32" s="1387"/>
      <c r="AX32" s="1388"/>
      <c r="AY32" s="1386"/>
      <c r="AZ32" s="1386"/>
      <c r="BA32" s="1386"/>
      <c r="BB32" s="1386"/>
      <c r="BC32" s="1386"/>
      <c r="BD32" s="1386"/>
      <c r="BE32" s="1386"/>
      <c r="BF32" s="1386"/>
      <c r="BG32" s="1386"/>
      <c r="BH32" s="1386"/>
      <c r="BI32" s="1386"/>
      <c r="BJ32" s="1387"/>
      <c r="BK32" s="1388" t="s">
        <v>3</v>
      </c>
      <c r="BL32" s="1386"/>
      <c r="BM32" s="1386"/>
      <c r="BN32" s="1386"/>
      <c r="BO32" s="1386"/>
      <c r="BP32" s="1386"/>
      <c r="BQ32" s="1386"/>
      <c r="BR32" s="1386"/>
      <c r="BS32" s="1386"/>
      <c r="BT32" s="1386"/>
      <c r="BU32" s="1386"/>
      <c r="BV32" s="1386"/>
      <c r="BW32" s="1387"/>
      <c r="BX32" s="757">
        <f>SUM(BY32+BZ32+CB32)</f>
        <v>69170197.610000014</v>
      </c>
      <c r="BY32" s="94">
        <f>BY35+BY46</f>
        <v>56074811.290000007</v>
      </c>
      <c r="BZ32" s="95">
        <f>BZ47</f>
        <v>10705612.620000001</v>
      </c>
      <c r="CA32" s="96"/>
      <c r="CB32" s="97">
        <f>CB34+CB35+CB46+CB43</f>
        <v>2389773.6999999997</v>
      </c>
      <c r="CC32" s="98">
        <f>CD32+CE32+CG32</f>
        <v>79004671.100000009</v>
      </c>
      <c r="CD32" s="94">
        <f>CD35</f>
        <v>53556312.690000005</v>
      </c>
      <c r="CE32" s="95">
        <f>CE47</f>
        <v>24198148.41</v>
      </c>
      <c r="CF32" s="96"/>
      <c r="CG32" s="99">
        <f>CG35</f>
        <v>1250210</v>
      </c>
      <c r="CH32" s="96">
        <f>CI32+CJ32+CK32+CL32</f>
        <v>54892781.719999999</v>
      </c>
      <c r="CI32" s="94">
        <f>CI35</f>
        <v>53555534.420000002</v>
      </c>
      <c r="CJ32" s="95">
        <f>CJ47</f>
        <v>87037.3</v>
      </c>
      <c r="CK32" s="96"/>
      <c r="CL32" s="95">
        <f>CG32</f>
        <v>1250210</v>
      </c>
      <c r="CM32" s="1394"/>
      <c r="CN32" s="1390"/>
      <c r="CO32" s="1390"/>
      <c r="CP32" s="1390"/>
      <c r="CQ32" s="1390"/>
      <c r="CR32" s="1390"/>
      <c r="CS32" s="1390"/>
      <c r="CT32" s="1390"/>
      <c r="CU32" s="1390"/>
      <c r="CV32" s="1390"/>
      <c r="CW32" s="1390"/>
      <c r="CX32" s="1390"/>
      <c r="CY32" s="1391"/>
    </row>
    <row r="33" spans="1:136" ht="32.25" customHeight="1" x14ac:dyDescent="0.2">
      <c r="A33" s="1265" t="s">
        <v>270</v>
      </c>
      <c r="B33" s="1395"/>
      <c r="C33" s="1395"/>
      <c r="D33" s="1395"/>
      <c r="E33" s="1395"/>
      <c r="F33" s="1395"/>
      <c r="G33" s="1395"/>
      <c r="H33" s="1395"/>
      <c r="I33" s="1395"/>
      <c r="J33" s="1395"/>
      <c r="K33" s="1395"/>
      <c r="L33" s="1395"/>
      <c r="M33" s="1395"/>
      <c r="N33" s="1395"/>
      <c r="O33" s="1395"/>
      <c r="P33" s="1395"/>
      <c r="Q33" s="1395"/>
      <c r="R33" s="1395"/>
      <c r="S33" s="1395"/>
      <c r="T33" s="1395"/>
      <c r="U33" s="1395"/>
      <c r="V33" s="1395"/>
      <c r="W33" s="1395"/>
      <c r="X33" s="1395"/>
      <c r="Y33" s="1395"/>
      <c r="Z33" s="1395"/>
      <c r="AA33" s="1395"/>
      <c r="AB33" s="1395"/>
      <c r="AC33" s="1395"/>
      <c r="AD33" s="1395"/>
      <c r="AE33" s="1395"/>
      <c r="AF33" s="1395"/>
      <c r="AG33" s="1395"/>
      <c r="AH33" s="1395"/>
      <c r="AI33" s="1395"/>
      <c r="AJ33" s="1395"/>
      <c r="AK33" s="1395"/>
      <c r="AL33" s="1395"/>
      <c r="AM33" s="1395"/>
      <c r="AN33" s="1395"/>
      <c r="AO33" s="1395"/>
      <c r="AP33" s="1250" t="s">
        <v>271</v>
      </c>
      <c r="AQ33" s="1259"/>
      <c r="AR33" s="1259"/>
      <c r="AS33" s="1259"/>
      <c r="AT33" s="1259"/>
      <c r="AU33" s="1259"/>
      <c r="AV33" s="1259"/>
      <c r="AW33" s="1260"/>
      <c r="AX33" s="1261" t="s">
        <v>272</v>
      </c>
      <c r="AY33" s="1259"/>
      <c r="AZ33" s="1259"/>
      <c r="BA33" s="1259"/>
      <c r="BB33" s="1259"/>
      <c r="BC33" s="1259"/>
      <c r="BD33" s="1259"/>
      <c r="BE33" s="1259"/>
      <c r="BF33" s="1259"/>
      <c r="BG33" s="1259"/>
      <c r="BH33" s="1259"/>
      <c r="BI33" s="1259"/>
      <c r="BJ33" s="1260"/>
      <c r="BK33" s="1261"/>
      <c r="BL33" s="1259"/>
      <c r="BM33" s="1259"/>
      <c r="BN33" s="1259"/>
      <c r="BO33" s="1259"/>
      <c r="BP33" s="1259"/>
      <c r="BQ33" s="1259"/>
      <c r="BR33" s="1259"/>
      <c r="BS33" s="1259"/>
      <c r="BT33" s="1259"/>
      <c r="BU33" s="1259"/>
      <c r="BV33" s="1259"/>
      <c r="BW33" s="1260"/>
      <c r="BX33" s="760"/>
      <c r="BY33" s="761"/>
      <c r="BZ33" s="241"/>
      <c r="CA33" s="760"/>
      <c r="CB33" s="762"/>
      <c r="CC33" s="763"/>
      <c r="CD33" s="241"/>
      <c r="CE33" s="241"/>
      <c r="CF33" s="241"/>
      <c r="CG33" s="764"/>
      <c r="CH33" s="760"/>
      <c r="CI33" s="761"/>
      <c r="CJ33" s="761"/>
      <c r="CK33" s="761"/>
      <c r="CL33" s="761"/>
      <c r="CM33" s="1262"/>
      <c r="CN33" s="1263"/>
      <c r="CO33" s="1263"/>
      <c r="CP33" s="1263"/>
      <c r="CQ33" s="1263"/>
      <c r="CR33" s="1263"/>
      <c r="CS33" s="1263"/>
      <c r="CT33" s="1263"/>
      <c r="CU33" s="1263"/>
      <c r="CV33" s="1263"/>
      <c r="CW33" s="1263"/>
      <c r="CX33" s="1263"/>
      <c r="CY33" s="1264"/>
    </row>
    <row r="34" spans="1:136" ht="18.75" customHeight="1" x14ac:dyDescent="0.2">
      <c r="A34" s="1396" t="s">
        <v>273</v>
      </c>
      <c r="B34" s="1257"/>
      <c r="C34" s="1257"/>
      <c r="D34" s="1257"/>
      <c r="E34" s="1257"/>
      <c r="F34" s="1257"/>
      <c r="G34" s="1257"/>
      <c r="H34" s="1257"/>
      <c r="I34" s="1257"/>
      <c r="J34" s="1257"/>
      <c r="K34" s="1257"/>
      <c r="L34" s="1257"/>
      <c r="M34" s="1257"/>
      <c r="N34" s="1257"/>
      <c r="O34" s="1257"/>
      <c r="P34" s="1257"/>
      <c r="Q34" s="1257"/>
      <c r="R34" s="1257"/>
      <c r="S34" s="1257"/>
      <c r="T34" s="1257"/>
      <c r="U34" s="1257"/>
      <c r="V34" s="1257"/>
      <c r="W34" s="1257"/>
      <c r="X34" s="1257"/>
      <c r="Y34" s="1257"/>
      <c r="Z34" s="1257"/>
      <c r="AA34" s="1257"/>
      <c r="AB34" s="1257"/>
      <c r="AC34" s="1257"/>
      <c r="AD34" s="1257"/>
      <c r="AE34" s="1257"/>
      <c r="AF34" s="1257"/>
      <c r="AG34" s="1257"/>
      <c r="AH34" s="1257"/>
      <c r="AI34" s="1257"/>
      <c r="AJ34" s="1257"/>
      <c r="AK34" s="1257"/>
      <c r="AL34" s="1257"/>
      <c r="AM34" s="1257"/>
      <c r="AN34" s="1257"/>
      <c r="AO34" s="1258"/>
      <c r="AP34" s="1397"/>
      <c r="AQ34" s="1346"/>
      <c r="AR34" s="1346"/>
      <c r="AS34" s="1346"/>
      <c r="AT34" s="1346"/>
      <c r="AU34" s="1346"/>
      <c r="AV34" s="1346"/>
      <c r="AW34" s="1398"/>
      <c r="AX34" s="1399"/>
      <c r="AY34" s="1346"/>
      <c r="AZ34" s="1346"/>
      <c r="BA34" s="1346"/>
      <c r="BB34" s="1346"/>
      <c r="BC34" s="1346"/>
      <c r="BD34" s="1346"/>
      <c r="BE34" s="1346"/>
      <c r="BF34" s="1346"/>
      <c r="BG34" s="1346"/>
      <c r="BH34" s="1346"/>
      <c r="BI34" s="1346"/>
      <c r="BJ34" s="1398"/>
      <c r="BK34" s="1399" t="s">
        <v>1434</v>
      </c>
      <c r="BL34" s="1346"/>
      <c r="BM34" s="1346"/>
      <c r="BN34" s="1346"/>
      <c r="BO34" s="1346"/>
      <c r="BP34" s="1346"/>
      <c r="BQ34" s="1346"/>
      <c r="BR34" s="1346"/>
      <c r="BS34" s="1346"/>
      <c r="BT34" s="1346"/>
      <c r="BU34" s="1346"/>
      <c r="BV34" s="1346"/>
      <c r="BW34" s="1398"/>
      <c r="BX34" s="760">
        <f>SUM(BY34+BZ34+CB34)</f>
        <v>27243.4</v>
      </c>
      <c r="BY34" s="766"/>
      <c r="BZ34" s="767"/>
      <c r="CA34" s="768"/>
      <c r="CB34" s="769">
        <f>14510.07+12733.33</f>
        <v>27243.4</v>
      </c>
      <c r="CC34" s="770">
        <f>CG34</f>
        <v>0</v>
      </c>
      <c r="CD34" s="767"/>
      <c r="CE34" s="767"/>
      <c r="CF34" s="767"/>
      <c r="CG34" s="771"/>
      <c r="CH34" s="768">
        <f>CL34</f>
        <v>0</v>
      </c>
      <c r="CI34" s="766"/>
      <c r="CJ34" s="766"/>
      <c r="CK34" s="766"/>
      <c r="CL34" s="766">
        <f>CG34</f>
        <v>0</v>
      </c>
      <c r="CM34" s="1400"/>
      <c r="CN34" s="1339"/>
      <c r="CO34" s="1339"/>
      <c r="CP34" s="1339"/>
      <c r="CQ34" s="1339"/>
      <c r="CR34" s="1339"/>
      <c r="CS34" s="1339"/>
      <c r="CT34" s="1339"/>
      <c r="CU34" s="1339"/>
      <c r="CV34" s="1339"/>
      <c r="CW34" s="1339"/>
      <c r="CX34" s="1339"/>
      <c r="CY34" s="1401"/>
    </row>
    <row r="35" spans="1:136" ht="39.75" customHeight="1" x14ac:dyDescent="0.2">
      <c r="A35" s="1256" t="s">
        <v>274</v>
      </c>
      <c r="B35" s="1257"/>
      <c r="C35" s="1257"/>
      <c r="D35" s="1257"/>
      <c r="E35" s="1257"/>
      <c r="F35" s="1257"/>
      <c r="G35" s="1257"/>
      <c r="H35" s="1257"/>
      <c r="I35" s="1257"/>
      <c r="J35" s="1257"/>
      <c r="K35" s="1257"/>
      <c r="L35" s="1257"/>
      <c r="M35" s="1257"/>
      <c r="N35" s="1257"/>
      <c r="O35" s="1257"/>
      <c r="P35" s="1257"/>
      <c r="Q35" s="1257"/>
      <c r="R35" s="1257"/>
      <c r="S35" s="1257"/>
      <c r="T35" s="1257"/>
      <c r="U35" s="1257"/>
      <c r="V35" s="1257"/>
      <c r="W35" s="1257"/>
      <c r="X35" s="1257"/>
      <c r="Y35" s="1257"/>
      <c r="Z35" s="1257"/>
      <c r="AA35" s="1257"/>
      <c r="AB35" s="1257"/>
      <c r="AC35" s="1257"/>
      <c r="AD35" s="1257"/>
      <c r="AE35" s="1257"/>
      <c r="AF35" s="1257"/>
      <c r="AG35" s="1257"/>
      <c r="AH35" s="1257"/>
      <c r="AI35" s="1257"/>
      <c r="AJ35" s="1257"/>
      <c r="AK35" s="1257"/>
      <c r="AL35" s="1257"/>
      <c r="AM35" s="1257"/>
      <c r="AN35" s="1257"/>
      <c r="AO35" s="1258"/>
      <c r="AP35" s="1397" t="s">
        <v>275</v>
      </c>
      <c r="AQ35" s="1346"/>
      <c r="AR35" s="1346"/>
      <c r="AS35" s="1346"/>
      <c r="AT35" s="1346"/>
      <c r="AU35" s="1346"/>
      <c r="AV35" s="1346"/>
      <c r="AW35" s="1398"/>
      <c r="AX35" s="1399" t="s">
        <v>276</v>
      </c>
      <c r="AY35" s="1346"/>
      <c r="AZ35" s="1346"/>
      <c r="BA35" s="1346"/>
      <c r="BB35" s="1346"/>
      <c r="BC35" s="1346"/>
      <c r="BD35" s="1346"/>
      <c r="BE35" s="1346"/>
      <c r="BF35" s="1346"/>
      <c r="BG35" s="1346"/>
      <c r="BH35" s="1346"/>
      <c r="BI35" s="1346"/>
      <c r="BJ35" s="1398"/>
      <c r="BK35" s="1399" t="s">
        <v>277</v>
      </c>
      <c r="BL35" s="1346"/>
      <c r="BM35" s="1346"/>
      <c r="BN35" s="1346"/>
      <c r="BO35" s="1346"/>
      <c r="BP35" s="1346"/>
      <c r="BQ35" s="1346"/>
      <c r="BR35" s="1346"/>
      <c r="BS35" s="1346"/>
      <c r="BT35" s="1346"/>
      <c r="BU35" s="1346"/>
      <c r="BV35" s="1346"/>
      <c r="BW35" s="1398"/>
      <c r="BX35" s="760">
        <f>SUM(BY35+BZ35+CB35)</f>
        <v>58342901.210000008</v>
      </c>
      <c r="BY35" s="100">
        <f>BY36</f>
        <v>56074811.290000007</v>
      </c>
      <c r="BZ35" s="101"/>
      <c r="CA35" s="102"/>
      <c r="CB35" s="103">
        <f>CB39+CB40+CB41+CB42</f>
        <v>2268089.92</v>
      </c>
      <c r="CC35" s="104">
        <f>CD35+CG35</f>
        <v>54806522.690000005</v>
      </c>
      <c r="CD35" s="101">
        <f>CD36</f>
        <v>53556312.690000005</v>
      </c>
      <c r="CE35" s="101"/>
      <c r="CF35" s="101"/>
      <c r="CG35" s="105">
        <f>CG40+CG41</f>
        <v>1250210</v>
      </c>
      <c r="CH35" s="102">
        <f>CI35+CL35</f>
        <v>54805744.420000002</v>
      </c>
      <c r="CI35" s="101">
        <f>CI36</f>
        <v>53555534.420000002</v>
      </c>
      <c r="CJ35" s="101"/>
      <c r="CK35" s="101"/>
      <c r="CL35" s="102">
        <f>CL40+CL41</f>
        <v>1250210</v>
      </c>
      <c r="CM35" s="1400"/>
      <c r="CN35" s="1339"/>
      <c r="CO35" s="1339"/>
      <c r="CP35" s="1339"/>
      <c r="CQ35" s="1339"/>
      <c r="CR35" s="1339"/>
      <c r="CS35" s="1339"/>
      <c r="CT35" s="1339"/>
      <c r="CU35" s="1339"/>
      <c r="CV35" s="1339"/>
      <c r="CW35" s="1339"/>
      <c r="CX35" s="1339"/>
      <c r="CY35" s="1401"/>
      <c r="EF35" s="592">
        <f>BX34+BX35+BX46</f>
        <v>69075757.230000004</v>
      </c>
    </row>
    <row r="36" spans="1:136" ht="65.25" customHeight="1" x14ac:dyDescent="0.2">
      <c r="A36" s="1265" t="s">
        <v>278</v>
      </c>
      <c r="B36" s="1395"/>
      <c r="C36" s="1395"/>
      <c r="D36" s="1395"/>
      <c r="E36" s="1395"/>
      <c r="F36" s="1395"/>
      <c r="G36" s="1395"/>
      <c r="H36" s="1395"/>
      <c r="I36" s="1395"/>
      <c r="J36" s="1395"/>
      <c r="K36" s="1395"/>
      <c r="L36" s="1395"/>
      <c r="M36" s="1395"/>
      <c r="N36" s="1395"/>
      <c r="O36" s="1395"/>
      <c r="P36" s="1395"/>
      <c r="Q36" s="1395"/>
      <c r="R36" s="1395"/>
      <c r="S36" s="1395"/>
      <c r="T36" s="1395"/>
      <c r="U36" s="1395"/>
      <c r="V36" s="1395"/>
      <c r="W36" s="1395"/>
      <c r="X36" s="1395"/>
      <c r="Y36" s="1395"/>
      <c r="Z36" s="1395"/>
      <c r="AA36" s="1395"/>
      <c r="AB36" s="1395"/>
      <c r="AC36" s="1395"/>
      <c r="AD36" s="1395"/>
      <c r="AE36" s="1395"/>
      <c r="AF36" s="1395"/>
      <c r="AG36" s="1395"/>
      <c r="AH36" s="1395"/>
      <c r="AI36" s="1395"/>
      <c r="AJ36" s="1395"/>
      <c r="AK36" s="1395"/>
      <c r="AL36" s="1395"/>
      <c r="AM36" s="1395"/>
      <c r="AN36" s="1395"/>
      <c r="AO36" s="1395"/>
      <c r="AP36" s="1250" t="s">
        <v>279</v>
      </c>
      <c r="AQ36" s="1259"/>
      <c r="AR36" s="1259"/>
      <c r="AS36" s="1259"/>
      <c r="AT36" s="1259"/>
      <c r="AU36" s="1259"/>
      <c r="AV36" s="1259"/>
      <c r="AW36" s="1260"/>
      <c r="AX36" s="1261" t="s">
        <v>276</v>
      </c>
      <c r="AY36" s="1259"/>
      <c r="AZ36" s="1259"/>
      <c r="BA36" s="1259"/>
      <c r="BB36" s="1259"/>
      <c r="BC36" s="1259"/>
      <c r="BD36" s="1259"/>
      <c r="BE36" s="1259"/>
      <c r="BF36" s="1259"/>
      <c r="BG36" s="1259"/>
      <c r="BH36" s="1259"/>
      <c r="BI36" s="1259"/>
      <c r="BJ36" s="1260"/>
      <c r="BK36" s="1261" t="s">
        <v>277</v>
      </c>
      <c r="BL36" s="1259"/>
      <c r="BM36" s="1259"/>
      <c r="BN36" s="1259"/>
      <c r="BO36" s="1259"/>
      <c r="BP36" s="1259"/>
      <c r="BQ36" s="1259"/>
      <c r="BR36" s="1259"/>
      <c r="BS36" s="1259"/>
      <c r="BT36" s="1259"/>
      <c r="BU36" s="1259"/>
      <c r="BV36" s="1259"/>
      <c r="BW36" s="1260"/>
      <c r="BX36" s="760">
        <f>BY36</f>
        <v>56074811.290000007</v>
      </c>
      <c r="BY36" s="1044">
        <f>6337600+3620866+926500+21780.36+294688.94+3587.63+16891100+23071130+1093680+354251.13+600000+32288.77+1476800+210500+748160+182400+26038.46+273440-90000</f>
        <v>56074811.290000007</v>
      </c>
      <c r="BZ36" s="241"/>
      <c r="CA36" s="760"/>
      <c r="CB36" s="774"/>
      <c r="CC36" s="106">
        <f>CD36</f>
        <v>53556312.690000005</v>
      </c>
      <c r="CD36" s="107">
        <f>6337600+926500+3620865.86+21780.36+294688.94+3587.63+17199940+600000+23071130+1093680+32288.77+116903.04+237348.09</f>
        <v>53556312.690000005</v>
      </c>
      <c r="CE36" s="107"/>
      <c r="CF36" s="107"/>
      <c r="CG36" s="108"/>
      <c r="CH36" s="109">
        <f>CI36</f>
        <v>53555534.420000002</v>
      </c>
      <c r="CI36" s="838">
        <f>6337600+926500+3620865.86+21780.36+294688.94+3587.63+17199940+600000+23071130+1093680+32288.77+90693.93+184135.83+153393.1-74750</f>
        <v>53555534.420000002</v>
      </c>
      <c r="CJ36" s="107"/>
      <c r="CK36" s="107"/>
      <c r="CL36" s="109"/>
      <c r="CM36" s="1262"/>
      <c r="CN36" s="1263"/>
      <c r="CO36" s="1263"/>
      <c r="CP36" s="1263"/>
      <c r="CQ36" s="1263"/>
      <c r="CR36" s="1263"/>
      <c r="CS36" s="1263"/>
      <c r="CT36" s="1263"/>
      <c r="CU36" s="1263"/>
      <c r="CV36" s="1263"/>
      <c r="CW36" s="1263"/>
      <c r="CX36" s="1263"/>
      <c r="CY36" s="1264"/>
    </row>
    <row r="37" spans="1:136" ht="20.25" hidden="1" customHeight="1" x14ac:dyDescent="0.2">
      <c r="A37" s="1265" t="s">
        <v>280</v>
      </c>
      <c r="B37" s="1402"/>
      <c r="C37" s="1402"/>
      <c r="D37" s="1402"/>
      <c r="E37" s="1402"/>
      <c r="F37" s="1402"/>
      <c r="G37" s="1402"/>
      <c r="H37" s="1402"/>
      <c r="I37" s="1402"/>
      <c r="J37" s="1402"/>
      <c r="K37" s="1402"/>
      <c r="L37" s="1402"/>
      <c r="M37" s="1402"/>
      <c r="N37" s="1402"/>
      <c r="O37" s="1402"/>
      <c r="P37" s="1402"/>
      <c r="Q37" s="1402"/>
      <c r="R37" s="1402"/>
      <c r="S37" s="1402"/>
      <c r="T37" s="1402"/>
      <c r="U37" s="1402"/>
      <c r="V37" s="1402"/>
      <c r="W37" s="1402"/>
      <c r="X37" s="1402"/>
      <c r="Y37" s="1402"/>
      <c r="Z37" s="1402"/>
      <c r="AA37" s="1402"/>
      <c r="AB37" s="1402"/>
      <c r="AC37" s="1402"/>
      <c r="AD37" s="1402"/>
      <c r="AE37" s="1402"/>
      <c r="AF37" s="1402"/>
      <c r="AG37" s="1402"/>
      <c r="AH37" s="1402"/>
      <c r="AI37" s="1402"/>
      <c r="AJ37" s="1402"/>
      <c r="AK37" s="1402"/>
      <c r="AL37" s="1402"/>
      <c r="AM37" s="1402"/>
      <c r="AN37" s="1402"/>
      <c r="AO37" s="1403"/>
      <c r="AP37" s="1250"/>
      <c r="AQ37" s="1259"/>
      <c r="AR37" s="1259"/>
      <c r="AS37" s="1259"/>
      <c r="AT37" s="1259"/>
      <c r="AU37" s="1259"/>
      <c r="AV37" s="1259"/>
      <c r="AW37" s="1260"/>
      <c r="AX37" s="1261" t="s">
        <v>276</v>
      </c>
      <c r="AY37" s="1259"/>
      <c r="AZ37" s="1259"/>
      <c r="BA37" s="1259"/>
      <c r="BB37" s="1259"/>
      <c r="BC37" s="1259"/>
      <c r="BD37" s="1259"/>
      <c r="BE37" s="1259"/>
      <c r="BF37" s="1259"/>
      <c r="BG37" s="1259"/>
      <c r="BH37" s="1259"/>
      <c r="BI37" s="1259"/>
      <c r="BJ37" s="1260"/>
      <c r="BK37" s="1261" t="s">
        <v>277</v>
      </c>
      <c r="BL37" s="1259"/>
      <c r="BM37" s="1259"/>
      <c r="BN37" s="1259"/>
      <c r="BO37" s="1259"/>
      <c r="BP37" s="1259"/>
      <c r="BQ37" s="1259"/>
      <c r="BR37" s="1259"/>
      <c r="BS37" s="1259"/>
      <c r="BT37" s="1259"/>
      <c r="BU37" s="1259"/>
      <c r="BV37" s="1259"/>
      <c r="BW37" s="1260"/>
      <c r="BX37" s="760">
        <f>CB37</f>
        <v>0</v>
      </c>
      <c r="BY37" s="761"/>
      <c r="BZ37" s="241"/>
      <c r="CA37" s="760"/>
      <c r="CB37" s="774"/>
      <c r="CC37" s="106">
        <f>CG37</f>
        <v>0</v>
      </c>
      <c r="CD37" s="107"/>
      <c r="CE37" s="107"/>
      <c r="CF37" s="107"/>
      <c r="CG37" s="108"/>
      <c r="CH37" s="109">
        <f>CL37</f>
        <v>0</v>
      </c>
      <c r="CI37" s="107"/>
      <c r="CJ37" s="107"/>
      <c r="CK37" s="107"/>
      <c r="CL37" s="109">
        <f>CG37</f>
        <v>0</v>
      </c>
      <c r="CM37" s="1262"/>
      <c r="CN37" s="1263"/>
      <c r="CO37" s="1263"/>
      <c r="CP37" s="1263"/>
      <c r="CQ37" s="1263"/>
      <c r="CR37" s="1263"/>
      <c r="CS37" s="1263"/>
      <c r="CT37" s="1263"/>
      <c r="CU37" s="1263"/>
      <c r="CV37" s="1263"/>
      <c r="CW37" s="1263"/>
      <c r="CX37" s="1263"/>
      <c r="CY37" s="1264"/>
    </row>
    <row r="38" spans="1:136" ht="20.25" hidden="1" customHeight="1" x14ac:dyDescent="0.2">
      <c r="A38" s="1265" t="s">
        <v>281</v>
      </c>
      <c r="B38" s="1402"/>
      <c r="C38" s="1402"/>
      <c r="D38" s="1402"/>
      <c r="E38" s="1402"/>
      <c r="F38" s="1402"/>
      <c r="G38" s="1402"/>
      <c r="H38" s="1402"/>
      <c r="I38" s="1402"/>
      <c r="J38" s="1402"/>
      <c r="K38" s="1402"/>
      <c r="L38" s="1402"/>
      <c r="M38" s="1402"/>
      <c r="N38" s="1402"/>
      <c r="O38" s="1402"/>
      <c r="P38" s="1402"/>
      <c r="Q38" s="1402"/>
      <c r="R38" s="1402"/>
      <c r="S38" s="1402"/>
      <c r="T38" s="1402"/>
      <c r="U38" s="1402"/>
      <c r="V38" s="1402"/>
      <c r="W38" s="1402"/>
      <c r="X38" s="1402"/>
      <c r="Y38" s="1402"/>
      <c r="Z38" s="1402"/>
      <c r="AA38" s="1402"/>
      <c r="AB38" s="1402"/>
      <c r="AC38" s="1402"/>
      <c r="AD38" s="1402"/>
      <c r="AE38" s="1402"/>
      <c r="AF38" s="1402"/>
      <c r="AG38" s="1402"/>
      <c r="AH38" s="1402"/>
      <c r="AI38" s="1402"/>
      <c r="AJ38" s="1402"/>
      <c r="AK38" s="1402"/>
      <c r="AL38" s="1402"/>
      <c r="AM38" s="1402"/>
      <c r="AN38" s="1402"/>
      <c r="AO38" s="1402"/>
      <c r="AP38" s="1403"/>
      <c r="AQ38" s="729"/>
      <c r="AR38" s="729"/>
      <c r="AS38" s="729"/>
      <c r="AT38" s="729"/>
      <c r="AU38" s="729"/>
      <c r="AV38" s="729"/>
      <c r="AW38" s="758"/>
      <c r="AX38" s="1261" t="s">
        <v>276</v>
      </c>
      <c r="AY38" s="1259"/>
      <c r="AZ38" s="1259"/>
      <c r="BA38" s="1259"/>
      <c r="BB38" s="1259"/>
      <c r="BC38" s="1259"/>
      <c r="BD38" s="1259"/>
      <c r="BE38" s="1259"/>
      <c r="BF38" s="1259"/>
      <c r="BG38" s="1259"/>
      <c r="BH38" s="1259"/>
      <c r="BI38" s="1259"/>
      <c r="BJ38" s="1260"/>
      <c r="BK38" s="1261" t="s">
        <v>277</v>
      </c>
      <c r="BL38" s="1259"/>
      <c r="BM38" s="1259"/>
      <c r="BN38" s="1259"/>
      <c r="BO38" s="1259"/>
      <c r="BP38" s="1259"/>
      <c r="BQ38" s="1259"/>
      <c r="BR38" s="1259"/>
      <c r="BS38" s="1259"/>
      <c r="BT38" s="1259"/>
      <c r="BU38" s="1259"/>
      <c r="BV38" s="1259"/>
      <c r="BW38" s="1260"/>
      <c r="BX38" s="760">
        <f>CB38</f>
        <v>0</v>
      </c>
      <c r="BY38" s="761"/>
      <c r="BZ38" s="241"/>
      <c r="CA38" s="760"/>
      <c r="CB38" s="774"/>
      <c r="CC38" s="106"/>
      <c r="CD38" s="107"/>
      <c r="CE38" s="107"/>
      <c r="CF38" s="107"/>
      <c r="CG38" s="108"/>
      <c r="CH38" s="109"/>
      <c r="CI38" s="107"/>
      <c r="CJ38" s="107"/>
      <c r="CK38" s="107"/>
      <c r="CL38" s="109"/>
      <c r="CM38" s="721"/>
      <c r="CN38" s="731"/>
      <c r="CO38" s="731"/>
      <c r="CP38" s="731"/>
      <c r="CQ38" s="731"/>
      <c r="CR38" s="731"/>
      <c r="CS38" s="731"/>
      <c r="CT38" s="731"/>
      <c r="CU38" s="731"/>
      <c r="CV38" s="731"/>
      <c r="CW38" s="731"/>
      <c r="CX38" s="731"/>
      <c r="CY38" s="765"/>
    </row>
    <row r="39" spans="1:136" ht="36" customHeight="1" x14ac:dyDescent="0.2">
      <c r="A39" s="1265" t="s">
        <v>282</v>
      </c>
      <c r="B39" s="1402"/>
      <c r="C39" s="1402"/>
      <c r="D39" s="1402"/>
      <c r="E39" s="1402"/>
      <c r="F39" s="1402"/>
      <c r="G39" s="1402"/>
      <c r="H39" s="1402"/>
      <c r="I39" s="1402"/>
      <c r="J39" s="1402"/>
      <c r="K39" s="1402"/>
      <c r="L39" s="1402"/>
      <c r="M39" s="1402"/>
      <c r="N39" s="1402"/>
      <c r="O39" s="1402"/>
      <c r="P39" s="1402"/>
      <c r="Q39" s="1402"/>
      <c r="R39" s="1402"/>
      <c r="S39" s="1402"/>
      <c r="T39" s="1402"/>
      <c r="U39" s="1402"/>
      <c r="V39" s="1402"/>
      <c r="W39" s="1402"/>
      <c r="X39" s="1402"/>
      <c r="Y39" s="1402"/>
      <c r="Z39" s="1402"/>
      <c r="AA39" s="1402"/>
      <c r="AB39" s="1402"/>
      <c r="AC39" s="1402"/>
      <c r="AD39" s="1402"/>
      <c r="AE39" s="1402"/>
      <c r="AF39" s="1402"/>
      <c r="AG39" s="1402"/>
      <c r="AH39" s="1402"/>
      <c r="AI39" s="1402"/>
      <c r="AJ39" s="1402"/>
      <c r="AK39" s="1402"/>
      <c r="AL39" s="1402"/>
      <c r="AM39" s="1402"/>
      <c r="AN39" s="1402"/>
      <c r="AO39" s="1403"/>
      <c r="AP39" s="1250"/>
      <c r="AQ39" s="1259"/>
      <c r="AR39" s="1259"/>
      <c r="AS39" s="1259"/>
      <c r="AT39" s="1259"/>
      <c r="AU39" s="1259"/>
      <c r="AV39" s="1259"/>
      <c r="AW39" s="1260"/>
      <c r="AX39" s="1261" t="s">
        <v>276</v>
      </c>
      <c r="AY39" s="1259"/>
      <c r="AZ39" s="1259"/>
      <c r="BA39" s="1259"/>
      <c r="BB39" s="1259"/>
      <c r="BC39" s="1259"/>
      <c r="BD39" s="1259"/>
      <c r="BE39" s="1259"/>
      <c r="BF39" s="1259"/>
      <c r="BG39" s="1259"/>
      <c r="BH39" s="1259"/>
      <c r="BI39" s="1259"/>
      <c r="BJ39" s="1260"/>
      <c r="BK39" s="1261" t="s">
        <v>351</v>
      </c>
      <c r="BL39" s="1259"/>
      <c r="BM39" s="1259"/>
      <c r="BN39" s="1259"/>
      <c r="BO39" s="1259"/>
      <c r="BP39" s="1259"/>
      <c r="BQ39" s="1259"/>
      <c r="BR39" s="1259"/>
      <c r="BS39" s="1259"/>
      <c r="BT39" s="1259"/>
      <c r="BU39" s="1259"/>
      <c r="BV39" s="1259"/>
      <c r="BW39" s="1260"/>
      <c r="BX39" s="760">
        <f>CB39</f>
        <v>1221625.9699999997</v>
      </c>
      <c r="BY39" s="761"/>
      <c r="BZ39" s="241"/>
      <c r="CA39" s="760"/>
      <c r="CB39" s="774">
        <f>'0702 221, 223'!CH38+'0702 221, 223'!CH66</f>
        <v>1221625.9699999997</v>
      </c>
      <c r="CC39" s="106">
        <f>CG39</f>
        <v>0</v>
      </c>
      <c r="CD39" s="107"/>
      <c r="CE39" s="107"/>
      <c r="CF39" s="107"/>
      <c r="CG39" s="108"/>
      <c r="CH39" s="109">
        <f>CL39</f>
        <v>0</v>
      </c>
      <c r="CI39" s="107"/>
      <c r="CJ39" s="107"/>
      <c r="CK39" s="107"/>
      <c r="CL39" s="109">
        <f>CG39</f>
        <v>0</v>
      </c>
      <c r="CM39" s="1262"/>
      <c r="CN39" s="1263"/>
      <c r="CO39" s="1263"/>
      <c r="CP39" s="1263"/>
      <c r="CQ39" s="1263"/>
      <c r="CR39" s="1263"/>
      <c r="CS39" s="1263"/>
      <c r="CT39" s="1263"/>
      <c r="CU39" s="1263"/>
      <c r="CV39" s="1263"/>
      <c r="CW39" s="1263"/>
      <c r="CX39" s="1263"/>
      <c r="CY39" s="1264"/>
    </row>
    <row r="40" spans="1:136" ht="36" customHeight="1" x14ac:dyDescent="0.2">
      <c r="A40" s="1265" t="s">
        <v>283</v>
      </c>
      <c r="B40" s="1402"/>
      <c r="C40" s="1402"/>
      <c r="D40" s="1402"/>
      <c r="E40" s="1402"/>
      <c r="F40" s="1402"/>
      <c r="G40" s="1402"/>
      <c r="H40" s="1402"/>
      <c r="I40" s="1402"/>
      <c r="J40" s="1402"/>
      <c r="K40" s="1402"/>
      <c r="L40" s="1402"/>
      <c r="M40" s="1402"/>
      <c r="N40" s="1402"/>
      <c r="O40" s="1402"/>
      <c r="P40" s="1402"/>
      <c r="Q40" s="1402"/>
      <c r="R40" s="1402"/>
      <c r="S40" s="1402"/>
      <c r="T40" s="1402"/>
      <c r="U40" s="1402"/>
      <c r="V40" s="1402"/>
      <c r="W40" s="1402"/>
      <c r="X40" s="1402"/>
      <c r="Y40" s="1402"/>
      <c r="Z40" s="1402"/>
      <c r="AA40" s="1402"/>
      <c r="AB40" s="1402"/>
      <c r="AC40" s="1402"/>
      <c r="AD40" s="1402"/>
      <c r="AE40" s="1402"/>
      <c r="AF40" s="1402"/>
      <c r="AG40" s="1402"/>
      <c r="AH40" s="1402"/>
      <c r="AI40" s="1402"/>
      <c r="AJ40" s="1402"/>
      <c r="AK40" s="1402"/>
      <c r="AL40" s="1402"/>
      <c r="AM40" s="1402"/>
      <c r="AN40" s="1402"/>
      <c r="AO40" s="1403"/>
      <c r="AP40" s="1250"/>
      <c r="AQ40" s="1259"/>
      <c r="AR40" s="1259"/>
      <c r="AS40" s="1259"/>
      <c r="AT40" s="1259"/>
      <c r="AU40" s="1259"/>
      <c r="AV40" s="1259"/>
      <c r="AW40" s="1260"/>
      <c r="AX40" s="1261" t="s">
        <v>276</v>
      </c>
      <c r="AY40" s="1259"/>
      <c r="AZ40" s="1259"/>
      <c r="BA40" s="1259"/>
      <c r="BB40" s="1259"/>
      <c r="BC40" s="1259"/>
      <c r="BD40" s="1259"/>
      <c r="BE40" s="1259"/>
      <c r="BF40" s="1259"/>
      <c r="BG40" s="1259"/>
      <c r="BH40" s="1259"/>
      <c r="BI40" s="1259"/>
      <c r="BJ40" s="1260"/>
      <c r="BK40" s="1261" t="s">
        <v>277</v>
      </c>
      <c r="BL40" s="1259"/>
      <c r="BM40" s="1259"/>
      <c r="BN40" s="1259"/>
      <c r="BO40" s="1259"/>
      <c r="BP40" s="1259"/>
      <c r="BQ40" s="1259"/>
      <c r="BR40" s="1259"/>
      <c r="BS40" s="1259"/>
      <c r="BT40" s="1259"/>
      <c r="BU40" s="1259"/>
      <c r="BV40" s="1259"/>
      <c r="BW40" s="1260"/>
      <c r="BX40" s="760">
        <f>CB40</f>
        <v>80080</v>
      </c>
      <c r="BY40" s="761"/>
      <c r="BZ40" s="241"/>
      <c r="CA40" s="760"/>
      <c r="CB40" s="774">
        <v>80080</v>
      </c>
      <c r="CC40" s="106">
        <f>CG40</f>
        <v>80080</v>
      </c>
      <c r="CD40" s="107"/>
      <c r="CE40" s="107"/>
      <c r="CF40" s="107"/>
      <c r="CG40" s="108">
        <v>80080</v>
      </c>
      <c r="CH40" s="109">
        <f>CL40</f>
        <v>80080</v>
      </c>
      <c r="CI40" s="107"/>
      <c r="CJ40" s="107"/>
      <c r="CK40" s="107"/>
      <c r="CL40" s="109">
        <v>80080</v>
      </c>
      <c r="CM40" s="1262"/>
      <c r="CN40" s="1263"/>
      <c r="CO40" s="1263"/>
      <c r="CP40" s="1263"/>
      <c r="CQ40" s="1263"/>
      <c r="CR40" s="1263"/>
      <c r="CS40" s="1263"/>
      <c r="CT40" s="1263"/>
      <c r="CU40" s="1263"/>
      <c r="CV40" s="1263"/>
      <c r="CW40" s="1263"/>
      <c r="CX40" s="1263"/>
      <c r="CY40" s="1264"/>
    </row>
    <row r="41" spans="1:136" ht="36" customHeight="1" x14ac:dyDescent="0.2">
      <c r="A41" s="1265" t="s">
        <v>789</v>
      </c>
      <c r="B41" s="1402"/>
      <c r="C41" s="1402"/>
      <c r="D41" s="1402"/>
      <c r="E41" s="1402"/>
      <c r="F41" s="1402"/>
      <c r="G41" s="1402"/>
      <c r="H41" s="1402"/>
      <c r="I41" s="1402"/>
      <c r="J41" s="1402"/>
      <c r="K41" s="1402"/>
      <c r="L41" s="1402"/>
      <c r="M41" s="1402"/>
      <c r="N41" s="1402"/>
      <c r="O41" s="1402"/>
      <c r="P41" s="1402"/>
      <c r="Q41" s="1402"/>
      <c r="R41" s="1402"/>
      <c r="S41" s="1402"/>
      <c r="T41" s="1402"/>
      <c r="U41" s="1402"/>
      <c r="V41" s="1402"/>
      <c r="W41" s="1402"/>
      <c r="X41" s="1402"/>
      <c r="Y41" s="1402"/>
      <c r="Z41" s="1402"/>
      <c r="AA41" s="1402"/>
      <c r="AB41" s="1402"/>
      <c r="AC41" s="1402"/>
      <c r="AD41" s="1402"/>
      <c r="AE41" s="1402"/>
      <c r="AF41" s="1402"/>
      <c r="AG41" s="1402"/>
      <c r="AH41" s="1402"/>
      <c r="AI41" s="1402"/>
      <c r="AJ41" s="1402"/>
      <c r="AK41" s="1402"/>
      <c r="AL41" s="1402"/>
      <c r="AM41" s="1402"/>
      <c r="AN41" s="1402"/>
      <c r="AO41" s="1403"/>
      <c r="AP41" s="728"/>
      <c r="AQ41" s="729"/>
      <c r="AR41" s="729"/>
      <c r="AS41" s="729"/>
      <c r="AT41" s="729"/>
      <c r="AU41" s="729"/>
      <c r="AV41" s="729"/>
      <c r="AW41" s="758"/>
      <c r="AX41" s="1261" t="s">
        <v>276</v>
      </c>
      <c r="AY41" s="1259"/>
      <c r="AZ41" s="1259"/>
      <c r="BA41" s="1259"/>
      <c r="BB41" s="1259"/>
      <c r="BC41" s="1259"/>
      <c r="BD41" s="1259"/>
      <c r="BE41" s="1259"/>
      <c r="BF41" s="1259"/>
      <c r="BG41" s="1259"/>
      <c r="BH41" s="1259"/>
      <c r="BI41" s="1259"/>
      <c r="BJ41" s="1260"/>
      <c r="BK41" s="1261" t="s">
        <v>277</v>
      </c>
      <c r="BL41" s="1259"/>
      <c r="BM41" s="1259"/>
      <c r="BN41" s="1259"/>
      <c r="BO41" s="1259"/>
      <c r="BP41" s="1259"/>
      <c r="BQ41" s="1259"/>
      <c r="BR41" s="1259"/>
      <c r="BS41" s="1259"/>
      <c r="BT41" s="1259"/>
      <c r="BU41" s="1259"/>
      <c r="BV41" s="1259"/>
      <c r="BW41" s="1260"/>
      <c r="BX41" s="760">
        <f>BY41+BZ41+CB41</f>
        <v>964957</v>
      </c>
      <c r="BY41" s="761"/>
      <c r="BZ41" s="241"/>
      <c r="CA41" s="760"/>
      <c r="CB41" s="774">
        <f>'расчет по питанию 11 месяцев.'!J39</f>
        <v>964957</v>
      </c>
      <c r="CC41" s="110">
        <f>CG41</f>
        <v>1170130</v>
      </c>
      <c r="CD41" s="107"/>
      <c r="CE41" s="107"/>
      <c r="CF41" s="107"/>
      <c r="CG41" s="108">
        <v>1170130</v>
      </c>
      <c r="CH41" s="109">
        <f>CL41</f>
        <v>1170130</v>
      </c>
      <c r="CI41" s="107"/>
      <c r="CJ41" s="107"/>
      <c r="CK41" s="107"/>
      <c r="CL41" s="109">
        <v>1170130</v>
      </c>
      <c r="CM41" s="721"/>
      <c r="CN41" s="731"/>
      <c r="CO41" s="731"/>
      <c r="CP41" s="731"/>
      <c r="CQ41" s="731"/>
      <c r="CR41" s="731"/>
      <c r="CS41" s="731"/>
      <c r="CT41" s="731"/>
      <c r="CU41" s="731"/>
      <c r="CV41" s="731"/>
      <c r="CW41" s="731"/>
      <c r="CX41" s="731"/>
      <c r="CY41" s="765"/>
    </row>
    <row r="42" spans="1:136" ht="20.25" customHeight="1" x14ac:dyDescent="0.2">
      <c r="A42" s="1265" t="s">
        <v>284</v>
      </c>
      <c r="B42" s="1402"/>
      <c r="C42" s="1402"/>
      <c r="D42" s="1402"/>
      <c r="E42" s="1402"/>
      <c r="F42" s="1402"/>
      <c r="G42" s="1402"/>
      <c r="H42" s="1402"/>
      <c r="I42" s="1402"/>
      <c r="J42" s="1402"/>
      <c r="K42" s="1402"/>
      <c r="L42" s="1402"/>
      <c r="M42" s="1402"/>
      <c r="N42" s="1402"/>
      <c r="O42" s="1402"/>
      <c r="P42" s="1402"/>
      <c r="Q42" s="1402"/>
      <c r="R42" s="1402"/>
      <c r="S42" s="1402"/>
      <c r="T42" s="1402"/>
      <c r="U42" s="1402"/>
      <c r="V42" s="1402"/>
      <c r="W42" s="1402"/>
      <c r="X42" s="1402"/>
      <c r="Y42" s="1402"/>
      <c r="Z42" s="1402"/>
      <c r="AA42" s="1402"/>
      <c r="AB42" s="1402"/>
      <c r="AC42" s="1402"/>
      <c r="AD42" s="1402"/>
      <c r="AE42" s="1402"/>
      <c r="AF42" s="1402"/>
      <c r="AG42" s="1402"/>
      <c r="AH42" s="1402"/>
      <c r="AI42" s="1402"/>
      <c r="AJ42" s="1402"/>
      <c r="AK42" s="1402"/>
      <c r="AL42" s="1402"/>
      <c r="AM42" s="1402"/>
      <c r="AN42" s="1402"/>
      <c r="AO42" s="1403"/>
      <c r="AP42" s="1250"/>
      <c r="AQ42" s="1259"/>
      <c r="AR42" s="1259"/>
      <c r="AS42" s="1259"/>
      <c r="AT42" s="1259"/>
      <c r="AU42" s="1259"/>
      <c r="AV42" s="1259"/>
      <c r="AW42" s="1260"/>
      <c r="AX42" s="1261" t="s">
        <v>276</v>
      </c>
      <c r="AY42" s="1259"/>
      <c r="AZ42" s="1259"/>
      <c r="BA42" s="1259"/>
      <c r="BB42" s="1259"/>
      <c r="BC42" s="1259"/>
      <c r="BD42" s="1259"/>
      <c r="BE42" s="1259"/>
      <c r="BF42" s="1259"/>
      <c r="BG42" s="1259"/>
      <c r="BH42" s="1259"/>
      <c r="BI42" s="1259"/>
      <c r="BJ42" s="1260"/>
      <c r="BK42" s="1261" t="s">
        <v>351</v>
      </c>
      <c r="BL42" s="1259"/>
      <c r="BM42" s="1259"/>
      <c r="BN42" s="1259"/>
      <c r="BO42" s="1259"/>
      <c r="BP42" s="1259"/>
      <c r="BQ42" s="1259"/>
      <c r="BR42" s="1259"/>
      <c r="BS42" s="1259"/>
      <c r="BT42" s="1259"/>
      <c r="BU42" s="1259"/>
      <c r="BV42" s="1259"/>
      <c r="BW42" s="1260"/>
      <c r="BX42" s="760">
        <f>CB42</f>
        <v>1426.95</v>
      </c>
      <c r="BY42" s="761"/>
      <c r="BZ42" s="241"/>
      <c r="CA42" s="760"/>
      <c r="CB42" s="774">
        <v>1426.95</v>
      </c>
      <c r="CC42" s="106">
        <f>CG42</f>
        <v>0</v>
      </c>
      <c r="CD42" s="107"/>
      <c r="CE42" s="107"/>
      <c r="CF42" s="107"/>
      <c r="CG42" s="108"/>
      <c r="CH42" s="109">
        <f>CL42</f>
        <v>0</v>
      </c>
      <c r="CI42" s="107"/>
      <c r="CJ42" s="107"/>
      <c r="CK42" s="107"/>
      <c r="CL42" s="109"/>
      <c r="CM42" s="1262"/>
      <c r="CN42" s="1263"/>
      <c r="CO42" s="1263"/>
      <c r="CP42" s="1263"/>
      <c r="CQ42" s="1263"/>
      <c r="CR42" s="1263"/>
      <c r="CS42" s="1263"/>
      <c r="CT42" s="1263"/>
      <c r="CU42" s="1263"/>
      <c r="CV42" s="1263"/>
      <c r="CW42" s="1263"/>
      <c r="CX42" s="1263"/>
      <c r="CY42" s="1264"/>
    </row>
    <row r="43" spans="1:136" ht="30.75" customHeight="1" x14ac:dyDescent="0.2">
      <c r="A43" s="1404" t="s">
        <v>285</v>
      </c>
      <c r="B43" s="1405"/>
      <c r="C43" s="1405"/>
      <c r="D43" s="1405"/>
      <c r="E43" s="1405"/>
      <c r="F43" s="1405"/>
      <c r="G43" s="1405"/>
      <c r="H43" s="1405"/>
      <c r="I43" s="1405"/>
      <c r="J43" s="1405"/>
      <c r="K43" s="1405"/>
      <c r="L43" s="1405"/>
      <c r="M43" s="1405"/>
      <c r="N43" s="1405"/>
      <c r="O43" s="1405"/>
      <c r="P43" s="1405"/>
      <c r="Q43" s="1405"/>
      <c r="R43" s="1405"/>
      <c r="S43" s="1405"/>
      <c r="T43" s="1405"/>
      <c r="U43" s="1405"/>
      <c r="V43" s="1405"/>
      <c r="W43" s="1405"/>
      <c r="X43" s="1405"/>
      <c r="Y43" s="1405"/>
      <c r="Z43" s="1405"/>
      <c r="AA43" s="1405"/>
      <c r="AB43" s="1405"/>
      <c r="AC43" s="1405"/>
      <c r="AD43" s="1405"/>
      <c r="AE43" s="1405"/>
      <c r="AF43" s="1405"/>
      <c r="AG43" s="1405"/>
      <c r="AH43" s="1405"/>
      <c r="AI43" s="1405"/>
      <c r="AJ43" s="1405"/>
      <c r="AK43" s="1405"/>
      <c r="AL43" s="1405"/>
      <c r="AM43" s="1405"/>
      <c r="AN43" s="1405"/>
      <c r="AO43" s="1406"/>
      <c r="AP43" s="1385" t="s">
        <v>286</v>
      </c>
      <c r="AQ43" s="1386"/>
      <c r="AR43" s="1386"/>
      <c r="AS43" s="1386"/>
      <c r="AT43" s="1386"/>
      <c r="AU43" s="1386"/>
      <c r="AV43" s="1386"/>
      <c r="AW43" s="1387"/>
      <c r="AX43" s="1388" t="s">
        <v>287</v>
      </c>
      <c r="AY43" s="1386"/>
      <c r="AZ43" s="1386"/>
      <c r="BA43" s="1386"/>
      <c r="BB43" s="1386"/>
      <c r="BC43" s="1386"/>
      <c r="BD43" s="1386"/>
      <c r="BE43" s="1386"/>
      <c r="BF43" s="1386"/>
      <c r="BG43" s="1386"/>
      <c r="BH43" s="1386"/>
      <c r="BI43" s="1386"/>
      <c r="BJ43" s="1387"/>
      <c r="BK43" s="1388" t="s">
        <v>288</v>
      </c>
      <c r="BL43" s="1386"/>
      <c r="BM43" s="1386"/>
      <c r="BN43" s="1386"/>
      <c r="BO43" s="1386"/>
      <c r="BP43" s="1386"/>
      <c r="BQ43" s="1386"/>
      <c r="BR43" s="1386"/>
      <c r="BS43" s="1386"/>
      <c r="BT43" s="1386"/>
      <c r="BU43" s="1386"/>
      <c r="BV43" s="1386"/>
      <c r="BW43" s="1387"/>
      <c r="BX43" s="752">
        <f>CB43</f>
        <v>94440.38</v>
      </c>
      <c r="BY43" s="753"/>
      <c r="BZ43" s="240"/>
      <c r="CA43" s="752"/>
      <c r="CB43" s="1243">
        <f>10676.16+83764.22</f>
        <v>94440.38</v>
      </c>
      <c r="CC43" s="763"/>
      <c r="CD43" s="241"/>
      <c r="CE43" s="241"/>
      <c r="CF43" s="241"/>
      <c r="CG43" s="764"/>
      <c r="CH43" s="760"/>
      <c r="CI43" s="761"/>
      <c r="CJ43" s="761"/>
      <c r="CK43" s="761"/>
      <c r="CL43" s="761"/>
      <c r="CM43" s="1262"/>
      <c r="CN43" s="1263"/>
      <c r="CO43" s="1263"/>
      <c r="CP43" s="1263"/>
      <c r="CQ43" s="1263"/>
      <c r="CR43" s="1263"/>
      <c r="CS43" s="1263"/>
      <c r="CT43" s="1263"/>
      <c r="CU43" s="1263"/>
      <c r="CV43" s="1263"/>
      <c r="CW43" s="1263"/>
      <c r="CX43" s="1263"/>
      <c r="CY43" s="1264"/>
    </row>
    <row r="44" spans="1:136" ht="15.75" x14ac:dyDescent="0.2">
      <c r="A44" s="1271" t="s">
        <v>2</v>
      </c>
      <c r="B44" s="1272"/>
      <c r="C44" s="1272"/>
      <c r="D44" s="1272"/>
      <c r="E44" s="1272"/>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c r="AM44" s="1272"/>
      <c r="AN44" s="1272"/>
      <c r="AO44" s="1272"/>
      <c r="AP44" s="1273" t="s">
        <v>289</v>
      </c>
      <c r="AQ44" s="1274"/>
      <c r="AR44" s="1274"/>
      <c r="AS44" s="1274"/>
      <c r="AT44" s="1274"/>
      <c r="AU44" s="1274"/>
      <c r="AV44" s="1274"/>
      <c r="AW44" s="1275"/>
      <c r="AX44" s="1373" t="s">
        <v>287</v>
      </c>
      <c r="AY44" s="1274"/>
      <c r="AZ44" s="1274"/>
      <c r="BA44" s="1274"/>
      <c r="BB44" s="1274"/>
      <c r="BC44" s="1274"/>
      <c r="BD44" s="1274"/>
      <c r="BE44" s="1274"/>
      <c r="BF44" s="1274"/>
      <c r="BG44" s="1274"/>
      <c r="BH44" s="1274"/>
      <c r="BI44" s="1274"/>
      <c r="BJ44" s="1275"/>
      <c r="BK44" s="1373"/>
      <c r="BL44" s="1274"/>
      <c r="BM44" s="1274"/>
      <c r="BN44" s="1274"/>
      <c r="BO44" s="1274"/>
      <c r="BP44" s="1274"/>
      <c r="BQ44" s="1274"/>
      <c r="BR44" s="1274"/>
      <c r="BS44" s="1274"/>
      <c r="BT44" s="1274"/>
      <c r="BU44" s="1274"/>
      <c r="BV44" s="1274"/>
      <c r="BW44" s="1275"/>
      <c r="BX44" s="775"/>
      <c r="BY44" s="1410"/>
      <c r="BZ44" s="777"/>
      <c r="CA44" s="775"/>
      <c r="CB44" s="778"/>
      <c r="CC44" s="779"/>
      <c r="CD44" s="1412"/>
      <c r="CE44" s="777"/>
      <c r="CF44" s="777"/>
      <c r="CG44" s="780"/>
      <c r="CH44" s="1407"/>
      <c r="CI44" s="776"/>
      <c r="CJ44" s="776"/>
      <c r="CK44" s="776"/>
      <c r="CL44" s="776"/>
      <c r="CM44" s="1350"/>
      <c r="CN44" s="1340"/>
      <c r="CO44" s="1340"/>
      <c r="CP44" s="1340"/>
      <c r="CQ44" s="1340"/>
      <c r="CR44" s="1340"/>
      <c r="CS44" s="1340"/>
      <c r="CT44" s="1340"/>
      <c r="CU44" s="1340"/>
      <c r="CV44" s="1340"/>
      <c r="CW44" s="1340"/>
      <c r="CX44" s="1340"/>
      <c r="CY44" s="1409"/>
    </row>
    <row r="45" spans="1:136" ht="15.75" x14ac:dyDescent="0.2">
      <c r="A45" s="1396"/>
      <c r="B45" s="1257"/>
      <c r="C45" s="1257"/>
      <c r="D45" s="1257"/>
      <c r="E45" s="1257"/>
      <c r="F45" s="1257"/>
      <c r="G45" s="1257"/>
      <c r="H45" s="1257"/>
      <c r="I45" s="1257"/>
      <c r="J45" s="1257"/>
      <c r="K45" s="1257"/>
      <c r="L45" s="1257"/>
      <c r="M45" s="1257"/>
      <c r="N45" s="1257"/>
      <c r="O45" s="1257"/>
      <c r="P45" s="1257"/>
      <c r="Q45" s="1257"/>
      <c r="R45" s="1257"/>
      <c r="S45" s="1257"/>
      <c r="T45" s="1257"/>
      <c r="U45" s="1257"/>
      <c r="V45" s="1257"/>
      <c r="W45" s="1257"/>
      <c r="X45" s="1257"/>
      <c r="Y45" s="1257"/>
      <c r="Z45" s="1257"/>
      <c r="AA45" s="1257"/>
      <c r="AB45" s="1257"/>
      <c r="AC45" s="1257"/>
      <c r="AD45" s="1257"/>
      <c r="AE45" s="1257"/>
      <c r="AF45" s="1257"/>
      <c r="AG45" s="1257"/>
      <c r="AH45" s="1257"/>
      <c r="AI45" s="1257"/>
      <c r="AJ45" s="1257"/>
      <c r="AK45" s="1257"/>
      <c r="AL45" s="1257"/>
      <c r="AM45" s="1257"/>
      <c r="AN45" s="1257"/>
      <c r="AO45" s="1258"/>
      <c r="AP45" s="1397"/>
      <c r="AQ45" s="1346"/>
      <c r="AR45" s="1346"/>
      <c r="AS45" s="1346"/>
      <c r="AT45" s="1346"/>
      <c r="AU45" s="1346"/>
      <c r="AV45" s="1346"/>
      <c r="AW45" s="1398"/>
      <c r="AX45" s="1399"/>
      <c r="AY45" s="1346"/>
      <c r="AZ45" s="1346"/>
      <c r="BA45" s="1346"/>
      <c r="BB45" s="1346"/>
      <c r="BC45" s="1346"/>
      <c r="BD45" s="1346"/>
      <c r="BE45" s="1346"/>
      <c r="BF45" s="1346"/>
      <c r="BG45" s="1346"/>
      <c r="BH45" s="1346"/>
      <c r="BI45" s="1346"/>
      <c r="BJ45" s="1398"/>
      <c r="BK45" s="1399"/>
      <c r="BL45" s="1346"/>
      <c r="BM45" s="1346"/>
      <c r="BN45" s="1346"/>
      <c r="BO45" s="1346"/>
      <c r="BP45" s="1346"/>
      <c r="BQ45" s="1346"/>
      <c r="BR45" s="1346"/>
      <c r="BS45" s="1346"/>
      <c r="BT45" s="1346"/>
      <c r="BU45" s="1346"/>
      <c r="BV45" s="1346"/>
      <c r="BW45" s="1398"/>
      <c r="BX45" s="768"/>
      <c r="BY45" s="1411"/>
      <c r="BZ45" s="767"/>
      <c r="CA45" s="768"/>
      <c r="CB45" s="781"/>
      <c r="CC45" s="770"/>
      <c r="CD45" s="1413"/>
      <c r="CE45" s="767"/>
      <c r="CF45" s="767"/>
      <c r="CG45" s="771"/>
      <c r="CH45" s="1408"/>
      <c r="CI45" s="766"/>
      <c r="CJ45" s="766"/>
      <c r="CK45" s="766"/>
      <c r="CL45" s="766"/>
      <c r="CM45" s="1400"/>
      <c r="CN45" s="1339"/>
      <c r="CO45" s="1339"/>
      <c r="CP45" s="1339"/>
      <c r="CQ45" s="1339"/>
      <c r="CR45" s="1339"/>
      <c r="CS45" s="1339"/>
      <c r="CT45" s="1339"/>
      <c r="CU45" s="1339"/>
      <c r="CV45" s="1339"/>
      <c r="CW45" s="1339"/>
      <c r="CX45" s="1339"/>
      <c r="CY45" s="1401"/>
    </row>
    <row r="46" spans="1:136" s="93" customFormat="1" ht="18.75" customHeight="1" x14ac:dyDescent="0.2">
      <c r="A46" s="1256" t="s">
        <v>290</v>
      </c>
      <c r="B46" s="1257"/>
      <c r="C46" s="1257"/>
      <c r="D46" s="1257"/>
      <c r="E46" s="1257"/>
      <c r="F46" s="1257"/>
      <c r="G46" s="1257"/>
      <c r="H46" s="1257"/>
      <c r="I46" s="1257"/>
      <c r="J46" s="1257"/>
      <c r="K46" s="1257"/>
      <c r="L46" s="1257"/>
      <c r="M46" s="1257"/>
      <c r="N46" s="1257"/>
      <c r="O46" s="1257"/>
      <c r="P46" s="1257"/>
      <c r="Q46" s="1257"/>
      <c r="R46" s="1257"/>
      <c r="S46" s="1257"/>
      <c r="T46" s="1257"/>
      <c r="U46" s="1257"/>
      <c r="V46" s="1257"/>
      <c r="W46" s="1257"/>
      <c r="X46" s="1257"/>
      <c r="Y46" s="1257"/>
      <c r="Z46" s="1257"/>
      <c r="AA46" s="1257"/>
      <c r="AB46" s="1257"/>
      <c r="AC46" s="1257"/>
      <c r="AD46" s="1257"/>
      <c r="AE46" s="1257"/>
      <c r="AF46" s="1257"/>
      <c r="AG46" s="1257"/>
      <c r="AH46" s="1257"/>
      <c r="AI46" s="1257"/>
      <c r="AJ46" s="1257"/>
      <c r="AK46" s="1257"/>
      <c r="AL46" s="1257"/>
      <c r="AM46" s="1257"/>
      <c r="AN46" s="1257"/>
      <c r="AO46" s="1258"/>
      <c r="AP46" s="1385" t="s">
        <v>291</v>
      </c>
      <c r="AQ46" s="1386"/>
      <c r="AR46" s="1386"/>
      <c r="AS46" s="1386"/>
      <c r="AT46" s="1386"/>
      <c r="AU46" s="1386"/>
      <c r="AV46" s="1386"/>
      <c r="AW46" s="1387"/>
      <c r="AX46" s="1388" t="s">
        <v>292</v>
      </c>
      <c r="AY46" s="1386"/>
      <c r="AZ46" s="1386"/>
      <c r="BA46" s="1386"/>
      <c r="BB46" s="1386"/>
      <c r="BC46" s="1386"/>
      <c r="BD46" s="1386"/>
      <c r="BE46" s="1386"/>
      <c r="BF46" s="1386"/>
      <c r="BG46" s="1386"/>
      <c r="BH46" s="1386"/>
      <c r="BI46" s="1386"/>
      <c r="BJ46" s="1387"/>
      <c r="BK46" s="1388"/>
      <c r="BL46" s="1386"/>
      <c r="BM46" s="1386"/>
      <c r="BN46" s="1386"/>
      <c r="BO46" s="1386"/>
      <c r="BP46" s="1386"/>
      <c r="BQ46" s="1386"/>
      <c r="BR46" s="1386"/>
      <c r="BS46" s="1386"/>
      <c r="BT46" s="1386"/>
      <c r="BU46" s="1386"/>
      <c r="BV46" s="1386"/>
      <c r="BW46" s="1387"/>
      <c r="BX46" s="240">
        <f>BX47</f>
        <v>10705612.620000001</v>
      </c>
      <c r="BY46" s="240">
        <f>BY47</f>
        <v>0</v>
      </c>
      <c r="BZ46" s="240">
        <f>BZ47</f>
        <v>10705612.620000001</v>
      </c>
      <c r="CA46" s="240"/>
      <c r="CB46" s="754">
        <f>CB47</f>
        <v>0</v>
      </c>
      <c r="CC46" s="782">
        <f>CD46+CE46+CG46</f>
        <v>24198148.41</v>
      </c>
      <c r="CD46" s="240"/>
      <c r="CE46" s="240">
        <f>CE47</f>
        <v>24198148.41</v>
      </c>
      <c r="CF46" s="240"/>
      <c r="CG46" s="754"/>
      <c r="CH46" s="783">
        <f>CJ46</f>
        <v>87037.3</v>
      </c>
      <c r="CI46" s="240"/>
      <c r="CJ46" s="240">
        <f>CJ47</f>
        <v>87037.3</v>
      </c>
      <c r="CK46" s="753"/>
      <c r="CL46" s="753"/>
      <c r="CM46" s="1389"/>
      <c r="CN46" s="1390"/>
      <c r="CO46" s="1390"/>
      <c r="CP46" s="1390"/>
      <c r="CQ46" s="1390"/>
      <c r="CR46" s="1390"/>
      <c r="CS46" s="1390"/>
      <c r="CT46" s="1390"/>
      <c r="CU46" s="1390"/>
      <c r="CV46" s="1390"/>
      <c r="CW46" s="1390"/>
      <c r="CX46" s="1390"/>
      <c r="CY46" s="1391"/>
    </row>
    <row r="47" spans="1:136" ht="15.75" x14ac:dyDescent="0.2">
      <c r="A47" s="1271" t="s">
        <v>2</v>
      </c>
      <c r="B47" s="1272"/>
      <c r="C47" s="1272"/>
      <c r="D47" s="1272"/>
      <c r="E47" s="1272"/>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c r="AM47" s="1272"/>
      <c r="AN47" s="1272"/>
      <c r="AO47" s="1272"/>
      <c r="AP47" s="1273" t="s">
        <v>293</v>
      </c>
      <c r="AQ47" s="1274"/>
      <c r="AR47" s="1274"/>
      <c r="AS47" s="1274"/>
      <c r="AT47" s="1274"/>
      <c r="AU47" s="1274"/>
      <c r="AV47" s="1274"/>
      <c r="AW47" s="1275"/>
      <c r="AX47" s="1373" t="s">
        <v>292</v>
      </c>
      <c r="AY47" s="1274"/>
      <c r="AZ47" s="1274"/>
      <c r="BA47" s="1274"/>
      <c r="BB47" s="1274"/>
      <c r="BC47" s="1274"/>
      <c r="BD47" s="1274"/>
      <c r="BE47" s="1274"/>
      <c r="BF47" s="1274"/>
      <c r="BG47" s="1274"/>
      <c r="BH47" s="1274"/>
      <c r="BI47" s="1274"/>
      <c r="BJ47" s="1275"/>
      <c r="BK47" s="1373" t="s">
        <v>294</v>
      </c>
      <c r="BL47" s="1274"/>
      <c r="BM47" s="1274"/>
      <c r="BN47" s="1274"/>
      <c r="BO47" s="1274"/>
      <c r="BP47" s="1274"/>
      <c r="BQ47" s="1274"/>
      <c r="BR47" s="1274"/>
      <c r="BS47" s="1274"/>
      <c r="BT47" s="1274"/>
      <c r="BU47" s="1274"/>
      <c r="BV47" s="1274"/>
      <c r="BW47" s="1274"/>
      <c r="BX47" s="1416">
        <f>BY47+BZ47+CB47</f>
        <v>10705612.620000001</v>
      </c>
      <c r="BY47" s="1414">
        <f>SUM(BY49:BY54)</f>
        <v>0</v>
      </c>
      <c r="BZ47" s="1414">
        <f>SUM(BZ49:BZ55)</f>
        <v>10705612.620000001</v>
      </c>
      <c r="CA47" s="1419"/>
      <c r="CB47" s="1414">
        <f>SUM(CB49:CB54)</f>
        <v>0</v>
      </c>
      <c r="CC47" s="1415">
        <f>CE47</f>
        <v>24198148.41</v>
      </c>
      <c r="CD47" s="1416"/>
      <c r="CE47" s="1414">
        <f>SUM(CE49:CE54)</f>
        <v>24198148.41</v>
      </c>
      <c r="CF47" s="1419"/>
      <c r="CG47" s="1421"/>
      <c r="CH47" s="1417">
        <f>CJ47</f>
        <v>87037.3</v>
      </c>
      <c r="CI47" s="1419"/>
      <c r="CJ47" s="1414">
        <f>SUM(CJ49:CJ54)</f>
        <v>87037.3</v>
      </c>
      <c r="CK47" s="776"/>
      <c r="CL47" s="776"/>
      <c r="CM47" s="1350"/>
      <c r="CN47" s="1340"/>
      <c r="CO47" s="1340"/>
      <c r="CP47" s="1340"/>
      <c r="CQ47" s="1340"/>
      <c r="CR47" s="1340"/>
      <c r="CS47" s="1340"/>
      <c r="CT47" s="1340"/>
      <c r="CU47" s="1340"/>
      <c r="CV47" s="1340"/>
      <c r="CW47" s="1340"/>
      <c r="CX47" s="1340"/>
      <c r="CY47" s="1409"/>
    </row>
    <row r="48" spans="1:136" s="93" customFormat="1" ht="15.75" x14ac:dyDescent="0.2">
      <c r="A48" s="1396" t="s">
        <v>243</v>
      </c>
      <c r="B48" s="1257"/>
      <c r="C48" s="1257"/>
      <c r="D48" s="1257"/>
      <c r="E48" s="1257"/>
      <c r="F48" s="1257"/>
      <c r="G48" s="1257"/>
      <c r="H48" s="1257"/>
      <c r="I48" s="1257"/>
      <c r="J48" s="1257"/>
      <c r="K48" s="1257"/>
      <c r="L48" s="1257"/>
      <c r="M48" s="1257"/>
      <c r="N48" s="1257"/>
      <c r="O48" s="1257"/>
      <c r="P48" s="1257"/>
      <c r="Q48" s="1257"/>
      <c r="R48" s="1257"/>
      <c r="S48" s="1257"/>
      <c r="T48" s="1257"/>
      <c r="U48" s="1257"/>
      <c r="V48" s="1257"/>
      <c r="W48" s="1257"/>
      <c r="X48" s="1257"/>
      <c r="Y48" s="1257"/>
      <c r="Z48" s="1257"/>
      <c r="AA48" s="1257"/>
      <c r="AB48" s="1257"/>
      <c r="AC48" s="1257"/>
      <c r="AD48" s="1257"/>
      <c r="AE48" s="1257"/>
      <c r="AF48" s="1257"/>
      <c r="AG48" s="1257"/>
      <c r="AH48" s="1257"/>
      <c r="AI48" s="1257"/>
      <c r="AJ48" s="1257"/>
      <c r="AK48" s="1257"/>
      <c r="AL48" s="1257"/>
      <c r="AM48" s="1257"/>
      <c r="AN48" s="1257"/>
      <c r="AO48" s="1258"/>
      <c r="AP48" s="1397"/>
      <c r="AQ48" s="1346"/>
      <c r="AR48" s="1346"/>
      <c r="AS48" s="1346"/>
      <c r="AT48" s="1346"/>
      <c r="AU48" s="1346"/>
      <c r="AV48" s="1346"/>
      <c r="AW48" s="1398"/>
      <c r="AX48" s="1399"/>
      <c r="AY48" s="1346"/>
      <c r="AZ48" s="1346"/>
      <c r="BA48" s="1346"/>
      <c r="BB48" s="1346"/>
      <c r="BC48" s="1346"/>
      <c r="BD48" s="1346"/>
      <c r="BE48" s="1346"/>
      <c r="BF48" s="1346"/>
      <c r="BG48" s="1346"/>
      <c r="BH48" s="1346"/>
      <c r="BI48" s="1346"/>
      <c r="BJ48" s="1398"/>
      <c r="BK48" s="1399"/>
      <c r="BL48" s="1346"/>
      <c r="BM48" s="1346"/>
      <c r="BN48" s="1346"/>
      <c r="BO48" s="1346"/>
      <c r="BP48" s="1346"/>
      <c r="BQ48" s="1346"/>
      <c r="BR48" s="1346"/>
      <c r="BS48" s="1346"/>
      <c r="BT48" s="1346"/>
      <c r="BU48" s="1346"/>
      <c r="BV48" s="1346"/>
      <c r="BW48" s="1346"/>
      <c r="BX48" s="1418"/>
      <c r="BY48" s="1414"/>
      <c r="BZ48" s="1414"/>
      <c r="CA48" s="1420"/>
      <c r="CB48" s="1414"/>
      <c r="CC48" s="1415"/>
      <c r="CD48" s="1416"/>
      <c r="CE48" s="1414"/>
      <c r="CF48" s="1420"/>
      <c r="CG48" s="1422"/>
      <c r="CH48" s="1417"/>
      <c r="CI48" s="1420"/>
      <c r="CJ48" s="1414"/>
      <c r="CK48" s="784"/>
      <c r="CL48" s="784"/>
      <c r="CM48" s="1400"/>
      <c r="CN48" s="1339"/>
      <c r="CO48" s="1339"/>
      <c r="CP48" s="1339"/>
      <c r="CQ48" s="1339"/>
      <c r="CR48" s="1339"/>
      <c r="CS48" s="1339"/>
      <c r="CT48" s="1339"/>
      <c r="CU48" s="1339"/>
      <c r="CV48" s="1339"/>
      <c r="CW48" s="1339"/>
      <c r="CX48" s="1339"/>
      <c r="CY48" s="1401"/>
    </row>
    <row r="49" spans="1:136" ht="62.25" customHeight="1" x14ac:dyDescent="0.2">
      <c r="A49" s="1247" t="s">
        <v>297</v>
      </c>
      <c r="B49" s="1248"/>
      <c r="C49" s="1248"/>
      <c r="D49" s="1248"/>
      <c r="E49" s="1248"/>
      <c r="F49" s="1248"/>
      <c r="G49" s="1248"/>
      <c r="H49" s="1248"/>
      <c r="I49" s="1248"/>
      <c r="J49" s="1248"/>
      <c r="K49" s="1248"/>
      <c r="L49" s="1248"/>
      <c r="M49" s="1248"/>
      <c r="N49" s="1248"/>
      <c r="O49" s="1248"/>
      <c r="P49" s="1248"/>
      <c r="Q49" s="1248"/>
      <c r="R49" s="1248"/>
      <c r="S49" s="1248"/>
      <c r="T49" s="1248"/>
      <c r="U49" s="1248"/>
      <c r="V49" s="1248"/>
      <c r="W49" s="1248"/>
      <c r="X49" s="1248"/>
      <c r="Y49" s="1248"/>
      <c r="Z49" s="1248"/>
      <c r="AA49" s="1248"/>
      <c r="AB49" s="1248"/>
      <c r="AC49" s="1248"/>
      <c r="AD49" s="1248"/>
      <c r="AE49" s="1248"/>
      <c r="AF49" s="1248"/>
      <c r="AG49" s="1248"/>
      <c r="AH49" s="1248"/>
      <c r="AI49" s="1248"/>
      <c r="AJ49" s="1248"/>
      <c r="AK49" s="1248"/>
      <c r="AL49" s="1248"/>
      <c r="AM49" s="1248"/>
      <c r="AN49" s="1248"/>
      <c r="AO49" s="1249"/>
      <c r="AP49" s="1250" t="s">
        <v>295</v>
      </c>
      <c r="AQ49" s="1251"/>
      <c r="AR49" s="1251"/>
      <c r="AS49" s="1251"/>
      <c r="AT49" s="1251"/>
      <c r="AU49" s="1251"/>
      <c r="AV49" s="1251"/>
      <c r="AW49" s="1252"/>
      <c r="AX49" s="1253" t="s">
        <v>292</v>
      </c>
      <c r="AY49" s="1254"/>
      <c r="AZ49" s="1254"/>
      <c r="BA49" s="1254"/>
      <c r="BB49" s="1254"/>
      <c r="BC49" s="1254"/>
      <c r="BD49" s="1254"/>
      <c r="BE49" s="1254"/>
      <c r="BF49" s="1254"/>
      <c r="BG49" s="1254"/>
      <c r="BH49" s="1254"/>
      <c r="BI49" s="1254"/>
      <c r="BJ49" s="1255"/>
      <c r="BK49" s="1253" t="s">
        <v>294</v>
      </c>
      <c r="BL49" s="1254"/>
      <c r="BM49" s="1254"/>
      <c r="BN49" s="1254"/>
      <c r="BO49" s="1254"/>
      <c r="BP49" s="1254"/>
      <c r="BQ49" s="1254"/>
      <c r="BR49" s="1254"/>
      <c r="BS49" s="1254"/>
      <c r="BT49" s="1254"/>
      <c r="BU49" s="1254"/>
      <c r="BV49" s="1254"/>
      <c r="BW49" s="1254"/>
      <c r="BX49" s="785">
        <f>BZ49</f>
        <v>6377668.8099999996</v>
      </c>
      <c r="BY49" s="241"/>
      <c r="BZ49" s="107">
        <f>5491259.8+249291.8+601984.8-252769.2-176896.81-333112.14+491120.73+183401.27+123388.56</f>
        <v>6377668.8099999996</v>
      </c>
      <c r="CA49" s="241"/>
      <c r="CB49" s="774"/>
      <c r="CC49" s="111">
        <f>CD49+CE49+CF49+CG49</f>
        <v>9000000</v>
      </c>
      <c r="CD49" s="241"/>
      <c r="CE49" s="107">
        <v>9000000</v>
      </c>
      <c r="CF49" s="241"/>
      <c r="CG49" s="774"/>
      <c r="CH49" s="786">
        <f t="shared" ref="CH49:CH54" si="0">CJ49</f>
        <v>0</v>
      </c>
      <c r="CI49" s="241"/>
      <c r="CJ49" s="107"/>
      <c r="CK49" s="766"/>
      <c r="CL49" s="766"/>
      <c r="CM49" s="772"/>
      <c r="CN49" s="725"/>
      <c r="CO49" s="725"/>
      <c r="CP49" s="725"/>
      <c r="CQ49" s="725"/>
      <c r="CR49" s="725"/>
      <c r="CS49" s="725"/>
      <c r="CT49" s="725"/>
      <c r="CU49" s="725"/>
      <c r="CV49" s="725"/>
      <c r="CW49" s="725"/>
      <c r="CX49" s="725"/>
      <c r="CY49" s="773"/>
    </row>
    <row r="50" spans="1:136" ht="62.25" customHeight="1" x14ac:dyDescent="0.2">
      <c r="A50" s="1247" t="s">
        <v>1253</v>
      </c>
      <c r="B50" s="1248"/>
      <c r="C50" s="1248"/>
      <c r="D50" s="1248"/>
      <c r="E50" s="1248"/>
      <c r="F50" s="1248"/>
      <c r="G50" s="1248"/>
      <c r="H50" s="1248"/>
      <c r="I50" s="1248"/>
      <c r="J50" s="1248"/>
      <c r="K50" s="1248"/>
      <c r="L50" s="1248"/>
      <c r="M50" s="1248"/>
      <c r="N50" s="1248"/>
      <c r="O50" s="1248"/>
      <c r="P50" s="1248"/>
      <c r="Q50" s="1248"/>
      <c r="R50" s="1248"/>
      <c r="S50" s="1248"/>
      <c r="T50" s="1248"/>
      <c r="U50" s="1248"/>
      <c r="V50" s="1248"/>
      <c r="W50" s="1248"/>
      <c r="X50" s="1248"/>
      <c r="Y50" s="1248"/>
      <c r="Z50" s="1248"/>
      <c r="AA50" s="1248"/>
      <c r="AB50" s="1248"/>
      <c r="AC50" s="1248"/>
      <c r="AD50" s="1248"/>
      <c r="AE50" s="1248"/>
      <c r="AF50" s="1248"/>
      <c r="AG50" s="1248"/>
      <c r="AH50" s="1248"/>
      <c r="AI50" s="1248"/>
      <c r="AJ50" s="1248"/>
      <c r="AK50" s="1248"/>
      <c r="AL50" s="1248"/>
      <c r="AM50" s="1248"/>
      <c r="AN50" s="1248"/>
      <c r="AO50" s="1249"/>
      <c r="AP50" s="1250" t="s">
        <v>295</v>
      </c>
      <c r="AQ50" s="1251"/>
      <c r="AR50" s="1251"/>
      <c r="AS50" s="1251"/>
      <c r="AT50" s="1251"/>
      <c r="AU50" s="1251"/>
      <c r="AV50" s="1251"/>
      <c r="AW50" s="1252"/>
      <c r="AX50" s="1253" t="s">
        <v>292</v>
      </c>
      <c r="AY50" s="1254"/>
      <c r="AZ50" s="1254"/>
      <c r="BA50" s="1254"/>
      <c r="BB50" s="1254"/>
      <c r="BC50" s="1254"/>
      <c r="BD50" s="1254"/>
      <c r="BE50" s="1254"/>
      <c r="BF50" s="1254"/>
      <c r="BG50" s="1254"/>
      <c r="BH50" s="1254"/>
      <c r="BI50" s="1254"/>
      <c r="BJ50" s="1255"/>
      <c r="BK50" s="1253" t="s">
        <v>294</v>
      </c>
      <c r="BL50" s="1254"/>
      <c r="BM50" s="1254"/>
      <c r="BN50" s="1254"/>
      <c r="BO50" s="1254"/>
      <c r="BP50" s="1254"/>
      <c r="BQ50" s="1254"/>
      <c r="BR50" s="1254"/>
      <c r="BS50" s="1254"/>
      <c r="BT50" s="1254"/>
      <c r="BU50" s="1254"/>
      <c r="BV50" s="1254"/>
      <c r="BW50" s="1254"/>
      <c r="BX50" s="785">
        <f t="shared" ref="BX50" si="1">BZ50</f>
        <v>3962829.5100000002</v>
      </c>
      <c r="BY50" s="241"/>
      <c r="BZ50" s="795">
        <f>814122.4+252769.2-93299.2+36125.66+1523324.69+1597560.57-167773.81</f>
        <v>3962829.5100000002</v>
      </c>
      <c r="CA50" s="241"/>
      <c r="CB50" s="774"/>
      <c r="CC50" s="111">
        <f>CD50+CE50+CF50+CG50</f>
        <v>9000000</v>
      </c>
      <c r="CD50" s="241"/>
      <c r="CE50" s="107">
        <v>9000000</v>
      </c>
      <c r="CF50" s="241"/>
      <c r="CG50" s="774"/>
      <c r="CH50" s="786">
        <f t="shared" si="0"/>
        <v>0</v>
      </c>
      <c r="CI50" s="241"/>
      <c r="CJ50" s="107"/>
      <c r="CK50" s="766"/>
      <c r="CL50" s="766"/>
      <c r="CM50" s="772"/>
      <c r="CN50" s="725"/>
      <c r="CO50" s="725"/>
      <c r="CP50" s="725"/>
      <c r="CQ50" s="725"/>
      <c r="CR50" s="725"/>
      <c r="CS50" s="725"/>
      <c r="CT50" s="725"/>
      <c r="CU50" s="725"/>
      <c r="CV50" s="725"/>
      <c r="CW50" s="725"/>
      <c r="CX50" s="725"/>
      <c r="CY50" s="773"/>
    </row>
    <row r="51" spans="1:136" ht="47.25" customHeight="1" x14ac:dyDescent="0.2">
      <c r="A51" s="1247" t="s">
        <v>1252</v>
      </c>
      <c r="B51" s="1248"/>
      <c r="C51" s="1248"/>
      <c r="D51" s="1248"/>
      <c r="E51" s="1248"/>
      <c r="F51" s="1248"/>
      <c r="G51" s="1248"/>
      <c r="H51" s="1248"/>
      <c r="I51" s="1248"/>
      <c r="J51" s="1248"/>
      <c r="K51" s="1248"/>
      <c r="L51" s="1248"/>
      <c r="M51" s="1248"/>
      <c r="N51" s="1248"/>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c r="AL51" s="1248"/>
      <c r="AM51" s="1248"/>
      <c r="AN51" s="1248"/>
      <c r="AO51" s="1249"/>
      <c r="AP51" s="1250" t="s">
        <v>296</v>
      </c>
      <c r="AQ51" s="1251"/>
      <c r="AR51" s="1251"/>
      <c r="AS51" s="1251"/>
      <c r="AT51" s="1251"/>
      <c r="AU51" s="1251"/>
      <c r="AV51" s="1251"/>
      <c r="AW51" s="1252"/>
      <c r="AX51" s="1253" t="s">
        <v>292</v>
      </c>
      <c r="AY51" s="1254"/>
      <c r="AZ51" s="1254"/>
      <c r="BA51" s="1254"/>
      <c r="BB51" s="1254"/>
      <c r="BC51" s="1254"/>
      <c r="BD51" s="1254"/>
      <c r="BE51" s="1254"/>
      <c r="BF51" s="1254"/>
      <c r="BG51" s="1254"/>
      <c r="BH51" s="1254"/>
      <c r="BI51" s="1254"/>
      <c r="BJ51" s="1255"/>
      <c r="BK51" s="1253" t="s">
        <v>294</v>
      </c>
      <c r="BL51" s="1254"/>
      <c r="BM51" s="1254"/>
      <c r="BN51" s="1254"/>
      <c r="BO51" s="1254"/>
      <c r="BP51" s="1254"/>
      <c r="BQ51" s="1254"/>
      <c r="BR51" s="1254"/>
      <c r="BS51" s="1254"/>
      <c r="BT51" s="1254"/>
      <c r="BU51" s="1254"/>
      <c r="BV51" s="1254"/>
      <c r="BW51" s="1254"/>
      <c r="BX51" s="785">
        <v>0</v>
      </c>
      <c r="BY51" s="241"/>
      <c r="BZ51" s="107">
        <v>0</v>
      </c>
      <c r="CA51" s="241"/>
      <c r="CB51" s="774"/>
      <c r="CC51" s="111">
        <f>CE51</f>
        <v>6111111.1100000003</v>
      </c>
      <c r="CD51" s="241"/>
      <c r="CE51" s="107">
        <v>6111111.1100000003</v>
      </c>
      <c r="CF51" s="241"/>
      <c r="CG51" s="774"/>
      <c r="CH51" s="786">
        <f t="shared" si="0"/>
        <v>0</v>
      </c>
      <c r="CI51" s="241"/>
      <c r="CJ51" s="107"/>
      <c r="CK51" s="766"/>
      <c r="CL51" s="766"/>
      <c r="CM51" s="772"/>
      <c r="CN51" s="725"/>
      <c r="CO51" s="725"/>
      <c r="CP51" s="725"/>
      <c r="CQ51" s="725"/>
      <c r="CR51" s="725"/>
      <c r="CS51" s="725"/>
      <c r="CT51" s="725"/>
      <c r="CU51" s="725"/>
      <c r="CV51" s="725"/>
      <c r="CW51" s="725"/>
      <c r="CX51" s="725"/>
      <c r="CY51" s="773"/>
    </row>
    <row r="52" spans="1:136" ht="63" customHeight="1" x14ac:dyDescent="0.2">
      <c r="A52" s="1247" t="s">
        <v>1315</v>
      </c>
      <c r="B52" s="1248"/>
      <c r="C52" s="1248"/>
      <c r="D52" s="1248"/>
      <c r="E52" s="1248"/>
      <c r="F52" s="1248"/>
      <c r="G52" s="1248"/>
      <c r="H52" s="1248"/>
      <c r="I52" s="1248"/>
      <c r="J52" s="1248"/>
      <c r="K52" s="1248"/>
      <c r="L52" s="1248"/>
      <c r="M52" s="1248"/>
      <c r="N52" s="1248"/>
      <c r="O52" s="1248"/>
      <c r="P52" s="1248"/>
      <c r="Q52" s="1248"/>
      <c r="R52" s="1248"/>
      <c r="S52" s="1248"/>
      <c r="T52" s="1248"/>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9"/>
      <c r="AP52" s="1250" t="s">
        <v>298</v>
      </c>
      <c r="AQ52" s="1251"/>
      <c r="AR52" s="1251"/>
      <c r="AS52" s="1251"/>
      <c r="AT52" s="1251"/>
      <c r="AU52" s="1251"/>
      <c r="AV52" s="1251"/>
      <c r="AW52" s="1252"/>
      <c r="AX52" s="1253" t="s">
        <v>292</v>
      </c>
      <c r="AY52" s="1254"/>
      <c r="AZ52" s="1254"/>
      <c r="BA52" s="1254"/>
      <c r="BB52" s="1254"/>
      <c r="BC52" s="1254"/>
      <c r="BD52" s="1254"/>
      <c r="BE52" s="1254"/>
      <c r="BF52" s="1254"/>
      <c r="BG52" s="1254"/>
      <c r="BH52" s="1254"/>
      <c r="BI52" s="1254"/>
      <c r="BJ52" s="1255"/>
      <c r="BK52" s="1253" t="s">
        <v>294</v>
      </c>
      <c r="BL52" s="1254"/>
      <c r="BM52" s="1254"/>
      <c r="BN52" s="1254"/>
      <c r="BO52" s="1254"/>
      <c r="BP52" s="1254"/>
      <c r="BQ52" s="1254"/>
      <c r="BR52" s="1254"/>
      <c r="BS52" s="1254"/>
      <c r="BT52" s="1254"/>
      <c r="BU52" s="1254"/>
      <c r="BV52" s="1254"/>
      <c r="BW52" s="1254"/>
      <c r="BX52" s="785">
        <v>216466</v>
      </c>
      <c r="BY52" s="837"/>
      <c r="BZ52" s="107">
        <v>216466</v>
      </c>
      <c r="CA52" s="241"/>
      <c r="CB52" s="834"/>
      <c r="CC52" s="111">
        <f>CE52</f>
        <v>0</v>
      </c>
      <c r="CD52" s="241"/>
      <c r="CE52" s="107"/>
      <c r="CF52" s="241"/>
      <c r="CG52" s="774"/>
      <c r="CH52" s="786">
        <f t="shared" si="0"/>
        <v>0</v>
      </c>
      <c r="CI52" s="241"/>
      <c r="CJ52" s="107">
        <f>CE52</f>
        <v>0</v>
      </c>
      <c r="CK52" s="766"/>
      <c r="CL52" s="766"/>
      <c r="CM52" s="772"/>
      <c r="CN52" s="725"/>
      <c r="CO52" s="725"/>
      <c r="CP52" s="725"/>
      <c r="CQ52" s="725"/>
      <c r="CR52" s="725"/>
      <c r="CS52" s="725"/>
      <c r="CT52" s="725"/>
      <c r="CU52" s="725"/>
      <c r="CV52" s="725"/>
      <c r="CW52" s="725"/>
      <c r="CX52" s="725"/>
      <c r="CY52" s="773"/>
    </row>
    <row r="53" spans="1:136" ht="52.5" customHeight="1" x14ac:dyDescent="0.2">
      <c r="A53" s="1247" t="s">
        <v>1437</v>
      </c>
      <c r="B53" s="1248"/>
      <c r="C53" s="1248"/>
      <c r="D53" s="1248"/>
      <c r="E53" s="1248"/>
      <c r="F53" s="1248"/>
      <c r="G53" s="1248"/>
      <c r="H53" s="1248"/>
      <c r="I53" s="1248"/>
      <c r="J53" s="1248"/>
      <c r="K53" s="1248"/>
      <c r="L53" s="1248"/>
      <c r="M53" s="1248"/>
      <c r="N53" s="1248"/>
      <c r="O53" s="1248"/>
      <c r="P53" s="1248"/>
      <c r="Q53" s="1248"/>
      <c r="R53" s="1248"/>
      <c r="S53" s="1248"/>
      <c r="T53" s="1248"/>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9"/>
      <c r="AP53" s="1250" t="s">
        <v>298</v>
      </c>
      <c r="AQ53" s="1251"/>
      <c r="AR53" s="1251"/>
      <c r="AS53" s="1251"/>
      <c r="AT53" s="1251"/>
      <c r="AU53" s="1251"/>
      <c r="AV53" s="1251"/>
      <c r="AW53" s="1252"/>
      <c r="AX53" s="1253" t="s">
        <v>292</v>
      </c>
      <c r="AY53" s="1254"/>
      <c r="AZ53" s="1254"/>
      <c r="BA53" s="1254"/>
      <c r="BB53" s="1254"/>
      <c r="BC53" s="1254"/>
      <c r="BD53" s="1254"/>
      <c r="BE53" s="1254"/>
      <c r="BF53" s="1254"/>
      <c r="BG53" s="1254"/>
      <c r="BH53" s="1254"/>
      <c r="BI53" s="1254"/>
      <c r="BJ53" s="1255"/>
      <c r="BK53" s="1253" t="s">
        <v>294</v>
      </c>
      <c r="BL53" s="1254"/>
      <c r="BM53" s="1254"/>
      <c r="BN53" s="1254"/>
      <c r="BO53" s="1254"/>
      <c r="BP53" s="1254"/>
      <c r="BQ53" s="1254"/>
      <c r="BR53" s="1254"/>
      <c r="BS53" s="1254"/>
      <c r="BT53" s="1254"/>
      <c r="BU53" s="1254"/>
      <c r="BV53" s="1254"/>
      <c r="BW53" s="1254"/>
      <c r="BX53" s="785">
        <f>BZ53</f>
        <v>31611</v>
      </c>
      <c r="BY53" s="241"/>
      <c r="BZ53" s="107">
        <v>31611</v>
      </c>
      <c r="CA53" s="241"/>
      <c r="CB53" s="774"/>
      <c r="CC53" s="111"/>
      <c r="CD53" s="241"/>
      <c r="CE53" s="107"/>
      <c r="CF53" s="241"/>
      <c r="CG53" s="774"/>
      <c r="CH53" s="786">
        <f t="shared" si="0"/>
        <v>0</v>
      </c>
      <c r="CI53" s="241"/>
      <c r="CJ53" s="107">
        <f>CE53</f>
        <v>0</v>
      </c>
      <c r="CK53" s="766"/>
      <c r="CL53" s="766"/>
      <c r="CM53" s="772"/>
      <c r="CN53" s="725"/>
      <c r="CO53" s="725"/>
      <c r="CP53" s="725"/>
      <c r="CQ53" s="725"/>
      <c r="CR53" s="725"/>
      <c r="CS53" s="725"/>
      <c r="CT53" s="725"/>
      <c r="CU53" s="725"/>
      <c r="CV53" s="725"/>
      <c r="CW53" s="725"/>
      <c r="CX53" s="725"/>
      <c r="CY53" s="773"/>
    </row>
    <row r="54" spans="1:136" ht="23.25" customHeight="1" x14ac:dyDescent="0.2">
      <c r="A54" s="1247" t="s">
        <v>581</v>
      </c>
      <c r="B54" s="1248"/>
      <c r="C54" s="1248"/>
      <c r="D54" s="1248"/>
      <c r="E54" s="1248"/>
      <c r="F54" s="1248"/>
      <c r="G54" s="1248"/>
      <c r="H54" s="1248"/>
      <c r="I54" s="1248"/>
      <c r="J54" s="1248"/>
      <c r="K54" s="1248"/>
      <c r="L54" s="1248"/>
      <c r="M54" s="1248"/>
      <c r="N54" s="1248"/>
      <c r="O54" s="1248"/>
      <c r="P54" s="1248"/>
      <c r="Q54" s="1248"/>
      <c r="R54" s="1248"/>
      <c r="S54" s="1248"/>
      <c r="T54" s="1248"/>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9"/>
      <c r="AP54" s="1250" t="s">
        <v>299</v>
      </c>
      <c r="AQ54" s="1251"/>
      <c r="AR54" s="1251"/>
      <c r="AS54" s="1251"/>
      <c r="AT54" s="1251"/>
      <c r="AU54" s="1251"/>
      <c r="AV54" s="1251"/>
      <c r="AW54" s="1252"/>
      <c r="AX54" s="1253" t="s">
        <v>292</v>
      </c>
      <c r="AY54" s="1254"/>
      <c r="AZ54" s="1254"/>
      <c r="BA54" s="1254"/>
      <c r="BB54" s="1254"/>
      <c r="BC54" s="1254"/>
      <c r="BD54" s="1254"/>
      <c r="BE54" s="1254"/>
      <c r="BF54" s="1254"/>
      <c r="BG54" s="1254"/>
      <c r="BH54" s="1254"/>
      <c r="BI54" s="1254"/>
      <c r="BJ54" s="1255"/>
      <c r="BK54" s="1253" t="s">
        <v>294</v>
      </c>
      <c r="BL54" s="1254"/>
      <c r="BM54" s="1254"/>
      <c r="BN54" s="1254"/>
      <c r="BO54" s="1254"/>
      <c r="BP54" s="1254"/>
      <c r="BQ54" s="1254"/>
      <c r="BR54" s="1254"/>
      <c r="BS54" s="1254"/>
      <c r="BT54" s="1254"/>
      <c r="BU54" s="1254"/>
      <c r="BV54" s="1254"/>
      <c r="BW54" s="1254"/>
      <c r="BX54" s="785">
        <f t="shared" ref="BX54:BX55" si="2">BZ54</f>
        <v>87037.3</v>
      </c>
      <c r="BY54" s="241"/>
      <c r="BZ54" s="107">
        <v>87037.3</v>
      </c>
      <c r="CA54" s="241"/>
      <c r="CB54" s="774"/>
      <c r="CC54" s="111">
        <f>CE54</f>
        <v>87037.3</v>
      </c>
      <c r="CD54" s="241"/>
      <c r="CE54" s="107">
        <v>87037.3</v>
      </c>
      <c r="CF54" s="241"/>
      <c r="CG54" s="774"/>
      <c r="CH54" s="786">
        <f t="shared" si="0"/>
        <v>87037.3</v>
      </c>
      <c r="CI54" s="241"/>
      <c r="CJ54" s="107">
        <v>87037.3</v>
      </c>
      <c r="CK54" s="766"/>
      <c r="CL54" s="766"/>
      <c r="CM54" s="772"/>
      <c r="CN54" s="725"/>
      <c r="CO54" s="725"/>
      <c r="CP54" s="725"/>
      <c r="CQ54" s="725"/>
      <c r="CR54" s="725"/>
      <c r="CS54" s="725"/>
      <c r="CT54" s="725"/>
      <c r="CU54" s="725"/>
      <c r="CV54" s="725"/>
      <c r="CW54" s="725"/>
      <c r="CX54" s="725"/>
      <c r="CY54" s="773"/>
    </row>
    <row r="55" spans="1:136" ht="36" customHeight="1" x14ac:dyDescent="0.2">
      <c r="A55" s="1247" t="s">
        <v>1510</v>
      </c>
      <c r="B55" s="1248"/>
      <c r="C55" s="1248"/>
      <c r="D55" s="1248"/>
      <c r="E55" s="1248"/>
      <c r="F55" s="1248"/>
      <c r="G55" s="1248"/>
      <c r="H55" s="1248"/>
      <c r="I55" s="1248"/>
      <c r="J55" s="1248"/>
      <c r="K55" s="1248"/>
      <c r="L55" s="1248"/>
      <c r="M55" s="1248"/>
      <c r="N55" s="1248"/>
      <c r="O55" s="1248"/>
      <c r="P55" s="1248"/>
      <c r="Q55" s="1248"/>
      <c r="R55" s="1248"/>
      <c r="S55" s="1248"/>
      <c r="T55" s="1248"/>
      <c r="U55" s="1248"/>
      <c r="V55" s="1248"/>
      <c r="W55" s="1248"/>
      <c r="X55" s="1248"/>
      <c r="Y55" s="1248"/>
      <c r="Z55" s="1248"/>
      <c r="AA55" s="1248"/>
      <c r="AB55" s="1248"/>
      <c r="AC55" s="1248"/>
      <c r="AD55" s="1248"/>
      <c r="AE55" s="1248"/>
      <c r="AF55" s="1248"/>
      <c r="AG55" s="1248"/>
      <c r="AH55" s="1248"/>
      <c r="AI55" s="1248"/>
      <c r="AJ55" s="1248"/>
      <c r="AK55" s="1248"/>
      <c r="AL55" s="1248"/>
      <c r="AM55" s="1248"/>
      <c r="AN55" s="1248"/>
      <c r="AO55" s="1249"/>
      <c r="AP55" s="1250" t="s">
        <v>1509</v>
      </c>
      <c r="AQ55" s="1251"/>
      <c r="AR55" s="1251"/>
      <c r="AS55" s="1251"/>
      <c r="AT55" s="1251"/>
      <c r="AU55" s="1251"/>
      <c r="AV55" s="1251"/>
      <c r="AW55" s="1252"/>
      <c r="AX55" s="1253" t="s">
        <v>292</v>
      </c>
      <c r="AY55" s="1254"/>
      <c r="AZ55" s="1254"/>
      <c r="BA55" s="1254"/>
      <c r="BB55" s="1254"/>
      <c r="BC55" s="1254"/>
      <c r="BD55" s="1254"/>
      <c r="BE55" s="1254"/>
      <c r="BF55" s="1254"/>
      <c r="BG55" s="1254"/>
      <c r="BH55" s="1254"/>
      <c r="BI55" s="1254"/>
      <c r="BJ55" s="1255"/>
      <c r="BK55" s="1253" t="s">
        <v>294</v>
      </c>
      <c r="BL55" s="1254"/>
      <c r="BM55" s="1254"/>
      <c r="BN55" s="1254"/>
      <c r="BO55" s="1254"/>
      <c r="BP55" s="1254"/>
      <c r="BQ55" s="1254"/>
      <c r="BR55" s="1254"/>
      <c r="BS55" s="1254"/>
      <c r="BT55" s="1254"/>
      <c r="BU55" s="1254"/>
      <c r="BV55" s="1254"/>
      <c r="BW55" s="1254"/>
      <c r="BX55" s="785">
        <f t="shared" si="2"/>
        <v>30000</v>
      </c>
      <c r="BY55" s="241"/>
      <c r="BZ55" s="838">
        <v>30000</v>
      </c>
      <c r="CA55" s="241"/>
      <c r="CB55" s="774"/>
      <c r="CC55" s="111"/>
      <c r="CD55" s="241"/>
      <c r="CE55" s="107"/>
      <c r="CF55" s="241"/>
      <c r="CG55" s="774"/>
      <c r="CH55" s="786"/>
      <c r="CI55" s="241"/>
      <c r="CJ55" s="107"/>
      <c r="CK55" s="766"/>
      <c r="CL55" s="766"/>
      <c r="CM55" s="772"/>
      <c r="CN55" s="725"/>
      <c r="CO55" s="725"/>
      <c r="CP55" s="725"/>
      <c r="CQ55" s="725"/>
      <c r="CR55" s="725"/>
      <c r="CS55" s="725"/>
      <c r="CT55" s="725"/>
      <c r="CU55" s="725"/>
      <c r="CV55" s="725"/>
      <c r="CW55" s="725"/>
      <c r="CX55" s="725"/>
      <c r="CY55" s="773"/>
    </row>
    <row r="56" spans="1:136" ht="15.75" x14ac:dyDescent="0.2">
      <c r="A56" s="1256" t="s">
        <v>244</v>
      </c>
      <c r="B56" s="1257"/>
      <c r="C56" s="1257"/>
      <c r="D56" s="1257"/>
      <c r="E56" s="1257"/>
      <c r="F56" s="1257"/>
      <c r="G56" s="1257"/>
      <c r="H56" s="1257"/>
      <c r="I56" s="1257"/>
      <c r="J56" s="1257"/>
      <c r="K56" s="1257"/>
      <c r="L56" s="1257"/>
      <c r="M56" s="1257"/>
      <c r="N56" s="1257"/>
      <c r="O56" s="1257"/>
      <c r="P56" s="1257"/>
      <c r="Q56" s="1257"/>
      <c r="R56" s="1257"/>
      <c r="S56" s="1257"/>
      <c r="T56" s="1257"/>
      <c r="U56" s="1257"/>
      <c r="V56" s="1257"/>
      <c r="W56" s="1257"/>
      <c r="X56" s="1257"/>
      <c r="Y56" s="1257"/>
      <c r="Z56" s="1257"/>
      <c r="AA56" s="1257"/>
      <c r="AB56" s="1257"/>
      <c r="AC56" s="1257"/>
      <c r="AD56" s="1257"/>
      <c r="AE56" s="1257"/>
      <c r="AF56" s="1257"/>
      <c r="AG56" s="1257"/>
      <c r="AH56" s="1257"/>
      <c r="AI56" s="1257"/>
      <c r="AJ56" s="1257"/>
      <c r="AK56" s="1257"/>
      <c r="AL56" s="1257"/>
      <c r="AM56" s="1257"/>
      <c r="AN56" s="1257"/>
      <c r="AO56" s="1258"/>
      <c r="AP56" s="1250" t="s">
        <v>300</v>
      </c>
      <c r="AQ56" s="1259"/>
      <c r="AR56" s="1259"/>
      <c r="AS56" s="1259"/>
      <c r="AT56" s="1259"/>
      <c r="AU56" s="1259"/>
      <c r="AV56" s="1259"/>
      <c r="AW56" s="1260"/>
      <c r="AX56" s="1261" t="s">
        <v>292</v>
      </c>
      <c r="AY56" s="1259"/>
      <c r="AZ56" s="1259"/>
      <c r="BA56" s="1259"/>
      <c r="BB56" s="1259"/>
      <c r="BC56" s="1259"/>
      <c r="BD56" s="1259"/>
      <c r="BE56" s="1259"/>
      <c r="BF56" s="1259"/>
      <c r="BG56" s="1259"/>
      <c r="BH56" s="1259"/>
      <c r="BI56" s="1259"/>
      <c r="BJ56" s="1260"/>
      <c r="BK56" s="1261"/>
      <c r="BL56" s="1259"/>
      <c r="BM56" s="1259"/>
      <c r="BN56" s="1259"/>
      <c r="BO56" s="1259"/>
      <c r="BP56" s="1259"/>
      <c r="BQ56" s="1259"/>
      <c r="BR56" s="1259"/>
      <c r="BS56" s="1259"/>
      <c r="BT56" s="1259"/>
      <c r="BU56" s="1259"/>
      <c r="BV56" s="1259"/>
      <c r="BW56" s="1260"/>
      <c r="BX56" s="241"/>
      <c r="BY56" s="241"/>
      <c r="BZ56" s="241"/>
      <c r="CA56" s="241"/>
      <c r="CB56" s="774"/>
      <c r="CC56" s="787"/>
      <c r="CD56" s="241"/>
      <c r="CE56" s="241"/>
      <c r="CF56" s="241"/>
      <c r="CG56" s="774"/>
      <c r="CH56" s="786"/>
      <c r="CI56" s="241"/>
      <c r="CJ56" s="241"/>
      <c r="CK56" s="761"/>
      <c r="CL56" s="761"/>
      <c r="CM56" s="1262"/>
      <c r="CN56" s="1263"/>
      <c r="CO56" s="1263"/>
      <c r="CP56" s="1263"/>
      <c r="CQ56" s="1263"/>
      <c r="CR56" s="1263"/>
      <c r="CS56" s="1263"/>
      <c r="CT56" s="1263"/>
      <c r="CU56" s="1263"/>
      <c r="CV56" s="1263"/>
      <c r="CW56" s="1263"/>
      <c r="CX56" s="1263"/>
      <c r="CY56" s="1264"/>
    </row>
    <row r="57" spans="1:136" ht="15.75" x14ac:dyDescent="0.2">
      <c r="A57" s="1256" t="s">
        <v>301</v>
      </c>
      <c r="B57" s="1257"/>
      <c r="C57" s="1257"/>
      <c r="D57" s="1257"/>
      <c r="E57" s="1257"/>
      <c r="F57" s="1257"/>
      <c r="G57" s="1257"/>
      <c r="H57" s="1257"/>
      <c r="I57" s="1257"/>
      <c r="J57" s="1257"/>
      <c r="K57" s="1257"/>
      <c r="L57" s="1257"/>
      <c r="M57" s="1257"/>
      <c r="N57" s="1257"/>
      <c r="O57" s="1257"/>
      <c r="P57" s="1257"/>
      <c r="Q57" s="1257"/>
      <c r="R57" s="1257"/>
      <c r="S57" s="1257"/>
      <c r="T57" s="1257"/>
      <c r="U57" s="1257"/>
      <c r="V57" s="1257"/>
      <c r="W57" s="1257"/>
      <c r="X57" s="1257"/>
      <c r="Y57" s="1257"/>
      <c r="Z57" s="1257"/>
      <c r="AA57" s="1257"/>
      <c r="AB57" s="1257"/>
      <c r="AC57" s="1257"/>
      <c r="AD57" s="1257"/>
      <c r="AE57" s="1257"/>
      <c r="AF57" s="1257"/>
      <c r="AG57" s="1257"/>
      <c r="AH57" s="1257"/>
      <c r="AI57" s="1257"/>
      <c r="AJ57" s="1257"/>
      <c r="AK57" s="1257"/>
      <c r="AL57" s="1257"/>
      <c r="AM57" s="1257"/>
      <c r="AN57" s="1257"/>
      <c r="AO57" s="1258"/>
      <c r="AP57" s="1250" t="s">
        <v>302</v>
      </c>
      <c r="AQ57" s="1259"/>
      <c r="AR57" s="1259"/>
      <c r="AS57" s="1259"/>
      <c r="AT57" s="1259"/>
      <c r="AU57" s="1259"/>
      <c r="AV57" s="1259"/>
      <c r="AW57" s="1260"/>
      <c r="AX57" s="1261" t="s">
        <v>303</v>
      </c>
      <c r="AY57" s="1259"/>
      <c r="AZ57" s="1259"/>
      <c r="BA57" s="1259"/>
      <c r="BB57" s="1259"/>
      <c r="BC57" s="1259"/>
      <c r="BD57" s="1259"/>
      <c r="BE57" s="1259"/>
      <c r="BF57" s="1259"/>
      <c r="BG57" s="1259"/>
      <c r="BH57" s="1259"/>
      <c r="BI57" s="1259"/>
      <c r="BJ57" s="1260"/>
      <c r="BK57" s="1261"/>
      <c r="BL57" s="1259"/>
      <c r="BM57" s="1259"/>
      <c r="BN57" s="1259"/>
      <c r="BO57" s="1259"/>
      <c r="BP57" s="1259"/>
      <c r="BQ57" s="1259"/>
      <c r="BR57" s="1259"/>
      <c r="BS57" s="1259"/>
      <c r="BT57" s="1259"/>
      <c r="BU57" s="1259"/>
      <c r="BV57" s="1259"/>
      <c r="BW57" s="1260"/>
      <c r="BX57" s="241"/>
      <c r="BY57" s="241"/>
      <c r="BZ57" s="241"/>
      <c r="CA57" s="241"/>
      <c r="CB57" s="774"/>
      <c r="CC57" s="787"/>
      <c r="CD57" s="241"/>
      <c r="CE57" s="241"/>
      <c r="CF57" s="241"/>
      <c r="CG57" s="774"/>
      <c r="CH57" s="786"/>
      <c r="CI57" s="241"/>
      <c r="CJ57" s="241"/>
      <c r="CK57" s="761"/>
      <c r="CL57" s="761"/>
      <c r="CM57" s="1262"/>
      <c r="CN57" s="1263"/>
      <c r="CO57" s="1263"/>
      <c r="CP57" s="1263"/>
      <c r="CQ57" s="1263"/>
      <c r="CR57" s="1263"/>
      <c r="CS57" s="1263"/>
      <c r="CT57" s="1263"/>
      <c r="CU57" s="1263"/>
      <c r="CV57" s="1263"/>
      <c r="CW57" s="1263"/>
      <c r="CX57" s="1263"/>
      <c r="CY57" s="1264"/>
    </row>
    <row r="58" spans="1:136" ht="18" customHeight="1" x14ac:dyDescent="0.2">
      <c r="A58" s="1256" t="s">
        <v>304</v>
      </c>
      <c r="B58" s="1257"/>
      <c r="C58" s="1257"/>
      <c r="D58" s="1257"/>
      <c r="E58" s="1257"/>
      <c r="F58" s="1257"/>
      <c r="G58" s="1257"/>
      <c r="H58" s="1257"/>
      <c r="I58" s="1257"/>
      <c r="J58" s="1257"/>
      <c r="K58" s="1257"/>
      <c r="L58" s="1257"/>
      <c r="M58" s="1257"/>
      <c r="N58" s="1257"/>
      <c r="O58" s="1257"/>
      <c r="P58" s="1257"/>
      <c r="Q58" s="1257"/>
      <c r="R58" s="1257"/>
      <c r="S58" s="1257"/>
      <c r="T58" s="1257"/>
      <c r="U58" s="1257"/>
      <c r="V58" s="1257"/>
      <c r="W58" s="1257"/>
      <c r="X58" s="1257"/>
      <c r="Y58" s="1257"/>
      <c r="Z58" s="1257"/>
      <c r="AA58" s="1257"/>
      <c r="AB58" s="1257"/>
      <c r="AC58" s="1257"/>
      <c r="AD58" s="1257"/>
      <c r="AE58" s="1257"/>
      <c r="AF58" s="1257"/>
      <c r="AG58" s="1257"/>
      <c r="AH58" s="1257"/>
      <c r="AI58" s="1257"/>
      <c r="AJ58" s="1257"/>
      <c r="AK58" s="1257"/>
      <c r="AL58" s="1257"/>
      <c r="AM58" s="1257"/>
      <c r="AN58" s="1257"/>
      <c r="AO58" s="1258"/>
      <c r="AP58" s="1250" t="s">
        <v>305</v>
      </c>
      <c r="AQ58" s="1259"/>
      <c r="AR58" s="1259"/>
      <c r="AS58" s="1259"/>
      <c r="AT58" s="1259"/>
      <c r="AU58" s="1259"/>
      <c r="AV58" s="1259"/>
      <c r="AW58" s="1260"/>
      <c r="AX58" s="1261" t="s">
        <v>303</v>
      </c>
      <c r="AY58" s="1259"/>
      <c r="AZ58" s="1259"/>
      <c r="BA58" s="1259"/>
      <c r="BB58" s="1259"/>
      <c r="BC58" s="1259"/>
      <c r="BD58" s="1259"/>
      <c r="BE58" s="1259"/>
      <c r="BF58" s="1259"/>
      <c r="BG58" s="1259"/>
      <c r="BH58" s="1259"/>
      <c r="BI58" s="1259"/>
      <c r="BJ58" s="1260"/>
      <c r="BK58" s="1261"/>
      <c r="BL58" s="1259"/>
      <c r="BM58" s="1259"/>
      <c r="BN58" s="1259"/>
      <c r="BO58" s="1259"/>
      <c r="BP58" s="1259"/>
      <c r="BQ58" s="1259"/>
      <c r="BR58" s="1259"/>
      <c r="BS58" s="1259"/>
      <c r="BT58" s="1259"/>
      <c r="BU58" s="1259"/>
      <c r="BV58" s="1259"/>
      <c r="BW58" s="1260"/>
      <c r="BX58" s="760"/>
      <c r="BY58" s="761"/>
      <c r="BZ58" s="241"/>
      <c r="CA58" s="760"/>
      <c r="CB58" s="774"/>
      <c r="CC58" s="763"/>
      <c r="CD58" s="241"/>
      <c r="CE58" s="241"/>
      <c r="CF58" s="241"/>
      <c r="CG58" s="764"/>
      <c r="CH58" s="760"/>
      <c r="CI58" s="761"/>
      <c r="CJ58" s="761"/>
      <c r="CK58" s="761"/>
      <c r="CL58" s="761"/>
      <c r="CM58" s="1262"/>
      <c r="CN58" s="1263"/>
      <c r="CO58" s="1263"/>
      <c r="CP58" s="1263"/>
      <c r="CQ58" s="1263"/>
      <c r="CR58" s="1263"/>
      <c r="CS58" s="1263"/>
      <c r="CT58" s="1263"/>
      <c r="CU58" s="1263"/>
      <c r="CV58" s="1263"/>
      <c r="CW58" s="1263"/>
      <c r="CX58" s="1263"/>
      <c r="CY58" s="1264"/>
      <c r="EF58" s="592">
        <f>BY30+BY32+BY46+CB30+CB32+BZ32+BZ46+CB46</f>
        <v>80208243.910000011</v>
      </c>
    </row>
    <row r="59" spans="1:136" ht="18" customHeight="1" x14ac:dyDescent="0.2">
      <c r="A59" s="1265" t="s">
        <v>244</v>
      </c>
      <c r="B59" s="1266"/>
      <c r="C59" s="1266"/>
      <c r="D59" s="1266"/>
      <c r="E59" s="1266"/>
      <c r="F59" s="1266"/>
      <c r="G59" s="1266"/>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7"/>
      <c r="AP59" s="1268" t="s">
        <v>306</v>
      </c>
      <c r="AQ59" s="1269"/>
      <c r="AR59" s="1269"/>
      <c r="AS59" s="1269"/>
      <c r="AT59" s="1269"/>
      <c r="AU59" s="1269"/>
      <c r="AV59" s="1269"/>
      <c r="AW59" s="1270"/>
      <c r="AX59" s="1261" t="s">
        <v>303</v>
      </c>
      <c r="AY59" s="1259"/>
      <c r="AZ59" s="1259"/>
      <c r="BA59" s="1259"/>
      <c r="BB59" s="1259"/>
      <c r="BC59" s="1259"/>
      <c r="BD59" s="1259"/>
      <c r="BE59" s="1259"/>
      <c r="BF59" s="1259"/>
      <c r="BG59" s="1259"/>
      <c r="BH59" s="1259"/>
      <c r="BI59" s="1259"/>
      <c r="BJ59" s="1260"/>
      <c r="BK59" s="759"/>
      <c r="BL59" s="729"/>
      <c r="BM59" s="729"/>
      <c r="BN59" s="729"/>
      <c r="BO59" s="729"/>
      <c r="BP59" s="729"/>
      <c r="BQ59" s="729"/>
      <c r="BR59" s="729"/>
      <c r="BS59" s="729"/>
      <c r="BT59" s="729"/>
      <c r="BU59" s="729"/>
      <c r="BV59" s="729"/>
      <c r="BW59" s="758"/>
      <c r="BX59" s="760"/>
      <c r="BY59" s="761"/>
      <c r="BZ59" s="241"/>
      <c r="CA59" s="760"/>
      <c r="CB59" s="774"/>
      <c r="CC59" s="763"/>
      <c r="CD59" s="241"/>
      <c r="CE59" s="241"/>
      <c r="CF59" s="241"/>
      <c r="CG59" s="764"/>
      <c r="CH59" s="760"/>
      <c r="CI59" s="761"/>
      <c r="CJ59" s="761"/>
      <c r="CK59" s="761"/>
      <c r="CL59" s="761"/>
      <c r="CM59" s="721"/>
      <c r="CN59" s="731"/>
      <c r="CO59" s="731"/>
      <c r="CP59" s="731"/>
      <c r="CQ59" s="731"/>
      <c r="CR59" s="731"/>
      <c r="CS59" s="731"/>
      <c r="CT59" s="731"/>
      <c r="CU59" s="731"/>
      <c r="CV59" s="731"/>
      <c r="CW59" s="731"/>
      <c r="CX59" s="731"/>
      <c r="CY59" s="765"/>
    </row>
    <row r="60" spans="1:136" ht="15.75" x14ac:dyDescent="0.2">
      <c r="A60" s="1256" t="s">
        <v>307</v>
      </c>
      <c r="B60" s="1257"/>
      <c r="C60" s="1257"/>
      <c r="D60" s="1257"/>
      <c r="E60" s="1257"/>
      <c r="F60" s="1257"/>
      <c r="G60" s="1257"/>
      <c r="H60" s="1257"/>
      <c r="I60" s="1257"/>
      <c r="J60" s="1257"/>
      <c r="K60" s="1257"/>
      <c r="L60" s="1257"/>
      <c r="M60" s="1257"/>
      <c r="N60" s="1257"/>
      <c r="O60" s="1257"/>
      <c r="P60" s="1257"/>
      <c r="Q60" s="1257"/>
      <c r="R60" s="1257"/>
      <c r="S60" s="1257"/>
      <c r="T60" s="1257"/>
      <c r="U60" s="1257"/>
      <c r="V60" s="1257"/>
      <c r="W60" s="1257"/>
      <c r="X60" s="1257"/>
      <c r="Y60" s="1257"/>
      <c r="Z60" s="1257"/>
      <c r="AA60" s="1257"/>
      <c r="AB60" s="1257"/>
      <c r="AC60" s="1257"/>
      <c r="AD60" s="1257"/>
      <c r="AE60" s="1257"/>
      <c r="AF60" s="1257"/>
      <c r="AG60" s="1257"/>
      <c r="AH60" s="1257"/>
      <c r="AI60" s="1257"/>
      <c r="AJ60" s="1257"/>
      <c r="AK60" s="1257"/>
      <c r="AL60" s="1257"/>
      <c r="AM60" s="1257"/>
      <c r="AN60" s="1257"/>
      <c r="AO60" s="1258"/>
      <c r="AP60" s="1250" t="s">
        <v>308</v>
      </c>
      <c r="AQ60" s="1259"/>
      <c r="AR60" s="1259"/>
      <c r="AS60" s="1259"/>
      <c r="AT60" s="1259"/>
      <c r="AU60" s="1259"/>
      <c r="AV60" s="1259"/>
      <c r="AW60" s="1260"/>
      <c r="AX60" s="1261"/>
      <c r="AY60" s="1259"/>
      <c r="AZ60" s="1259"/>
      <c r="BA60" s="1259"/>
      <c r="BB60" s="1259"/>
      <c r="BC60" s="1259"/>
      <c r="BD60" s="1259"/>
      <c r="BE60" s="1259"/>
      <c r="BF60" s="1259"/>
      <c r="BG60" s="1259"/>
      <c r="BH60" s="1259"/>
      <c r="BI60" s="1259"/>
      <c r="BJ60" s="1260"/>
      <c r="BK60" s="1261"/>
      <c r="BL60" s="1259"/>
      <c r="BM60" s="1259"/>
      <c r="BN60" s="1259"/>
      <c r="BO60" s="1259"/>
      <c r="BP60" s="1259"/>
      <c r="BQ60" s="1259"/>
      <c r="BR60" s="1259"/>
      <c r="BS60" s="1259"/>
      <c r="BT60" s="1259"/>
      <c r="BU60" s="1259"/>
      <c r="BV60" s="1259"/>
      <c r="BW60" s="1260"/>
      <c r="BX60" s="760"/>
      <c r="BY60" s="761"/>
      <c r="BZ60" s="241"/>
      <c r="CA60" s="760"/>
      <c r="CB60" s="774"/>
      <c r="CC60" s="763"/>
      <c r="CD60" s="241"/>
      <c r="CE60" s="241"/>
      <c r="CF60" s="241"/>
      <c r="CG60" s="764"/>
      <c r="CH60" s="760"/>
      <c r="CI60" s="761"/>
      <c r="CJ60" s="761"/>
      <c r="CK60" s="761"/>
      <c r="CL60" s="761"/>
      <c r="CM60" s="1262"/>
      <c r="CN60" s="1263"/>
      <c r="CO60" s="1263"/>
      <c r="CP60" s="1263"/>
      <c r="CQ60" s="1263"/>
      <c r="CR60" s="1263"/>
      <c r="CS60" s="1263"/>
      <c r="CT60" s="1263"/>
      <c r="CU60" s="1263"/>
      <c r="CV60" s="1263"/>
      <c r="CW60" s="1263"/>
      <c r="CX60" s="1263"/>
      <c r="CY60" s="1264"/>
    </row>
    <row r="61" spans="1:136" ht="15.75" x14ac:dyDescent="0.2">
      <c r="A61" s="1271" t="s">
        <v>976</v>
      </c>
      <c r="B61" s="1272"/>
      <c r="C61" s="1272"/>
      <c r="D61" s="1272"/>
      <c r="E61" s="1272"/>
      <c r="F61" s="1272"/>
      <c r="G61" s="1272"/>
      <c r="H61" s="1272"/>
      <c r="I61" s="1272"/>
      <c r="J61" s="1272"/>
      <c r="K61" s="1272"/>
      <c r="L61" s="1272"/>
      <c r="M61" s="1272"/>
      <c r="N61" s="1272"/>
      <c r="O61" s="1272"/>
      <c r="P61" s="1272"/>
      <c r="Q61" s="1272"/>
      <c r="R61" s="1272"/>
      <c r="S61" s="1272"/>
      <c r="T61" s="1272"/>
      <c r="U61" s="1272"/>
      <c r="V61" s="1272"/>
      <c r="W61" s="1272"/>
      <c r="X61" s="1272"/>
      <c r="Y61" s="1272"/>
      <c r="Z61" s="1272"/>
      <c r="AA61" s="1272"/>
      <c r="AB61" s="1272"/>
      <c r="AC61" s="1272"/>
      <c r="AD61" s="1272"/>
      <c r="AE61" s="1272"/>
      <c r="AF61" s="1272"/>
      <c r="AG61" s="1272"/>
      <c r="AH61" s="1272"/>
      <c r="AI61" s="1272"/>
      <c r="AJ61" s="1272"/>
      <c r="AK61" s="1272"/>
      <c r="AL61" s="1272"/>
      <c r="AM61" s="1272"/>
      <c r="AN61" s="1272"/>
      <c r="AO61" s="1272"/>
      <c r="AP61" s="1273" t="s">
        <v>975</v>
      </c>
      <c r="AQ61" s="1274"/>
      <c r="AR61" s="1274"/>
      <c r="AS61" s="1274"/>
      <c r="AT61" s="1274"/>
      <c r="AU61" s="1274"/>
      <c r="AV61" s="1274"/>
      <c r="AW61" s="1275"/>
      <c r="AX61" s="1373" t="s">
        <v>440</v>
      </c>
      <c r="AY61" s="1274"/>
      <c r="AZ61" s="1274"/>
      <c r="BA61" s="1274"/>
      <c r="BB61" s="1274"/>
      <c r="BC61" s="1274"/>
      <c r="BD61" s="1274"/>
      <c r="BE61" s="1274"/>
      <c r="BF61" s="1274"/>
      <c r="BG61" s="1274"/>
      <c r="BH61" s="1274"/>
      <c r="BI61" s="1274"/>
      <c r="BJ61" s="1275"/>
      <c r="BK61" s="1373"/>
      <c r="BL61" s="1274"/>
      <c r="BM61" s="1274"/>
      <c r="BN61" s="1274"/>
      <c r="BO61" s="1274"/>
      <c r="BP61" s="1274"/>
      <c r="BQ61" s="1274"/>
      <c r="BR61" s="1274"/>
      <c r="BS61" s="1274"/>
      <c r="BT61" s="1274"/>
      <c r="BU61" s="1274"/>
      <c r="BV61" s="1274"/>
      <c r="BW61" s="1275"/>
      <c r="BX61" s="775"/>
      <c r="BY61" s="776"/>
      <c r="BZ61" s="777"/>
      <c r="CA61" s="775"/>
      <c r="CB61" s="778"/>
      <c r="CC61" s="779"/>
      <c r="CD61" s="777"/>
      <c r="CE61" s="777"/>
      <c r="CF61" s="777"/>
      <c r="CG61" s="780"/>
      <c r="CH61" s="775"/>
      <c r="CI61" s="776"/>
      <c r="CJ61" s="776"/>
      <c r="CK61" s="776"/>
      <c r="CL61" s="776"/>
      <c r="CM61" s="1350"/>
      <c r="CN61" s="1340"/>
      <c r="CO61" s="1340"/>
      <c r="CP61" s="1340"/>
      <c r="CQ61" s="1340"/>
      <c r="CR61" s="1340"/>
      <c r="CS61" s="1340"/>
      <c r="CT61" s="1340"/>
      <c r="CU61" s="1340"/>
      <c r="CV61" s="1340"/>
      <c r="CW61" s="1340"/>
      <c r="CX61" s="1340"/>
      <c r="CY61" s="1409"/>
    </row>
    <row r="62" spans="1:136" ht="15.75" x14ac:dyDescent="0.2">
      <c r="A62" s="1271" t="s">
        <v>977</v>
      </c>
      <c r="B62" s="1272"/>
      <c r="C62" s="1272"/>
      <c r="D62" s="1272"/>
      <c r="E62" s="1272"/>
      <c r="F62" s="1272"/>
      <c r="G62" s="1272"/>
      <c r="H62" s="1272"/>
      <c r="I62" s="1272"/>
      <c r="J62" s="1272"/>
      <c r="K62" s="1272"/>
      <c r="L62" s="1272"/>
      <c r="M62" s="1272"/>
      <c r="N62" s="1272"/>
      <c r="O62" s="1272"/>
      <c r="P62" s="1272"/>
      <c r="Q62" s="1272"/>
      <c r="R62" s="1272"/>
      <c r="S62" s="1272"/>
      <c r="T62" s="1272"/>
      <c r="U62" s="1272"/>
      <c r="V62" s="1272"/>
      <c r="W62" s="1272"/>
      <c r="X62" s="1272"/>
      <c r="Y62" s="1272"/>
      <c r="Z62" s="1272"/>
      <c r="AA62" s="1272"/>
      <c r="AB62" s="1272"/>
      <c r="AC62" s="1272"/>
      <c r="AD62" s="1272"/>
      <c r="AE62" s="1272"/>
      <c r="AF62" s="1272"/>
      <c r="AG62" s="1272"/>
      <c r="AH62" s="1272"/>
      <c r="AI62" s="1272"/>
      <c r="AJ62" s="1272"/>
      <c r="AK62" s="1272"/>
      <c r="AL62" s="1272"/>
      <c r="AM62" s="1272"/>
      <c r="AN62" s="1272"/>
      <c r="AO62" s="1272"/>
      <c r="AP62" s="1273" t="s">
        <v>978</v>
      </c>
      <c r="AQ62" s="1274"/>
      <c r="AR62" s="1274"/>
      <c r="AS62" s="1274"/>
      <c r="AT62" s="1274"/>
      <c r="AU62" s="1274"/>
      <c r="AV62" s="1274"/>
      <c r="AW62" s="1275"/>
      <c r="AX62" s="1373" t="s">
        <v>979</v>
      </c>
      <c r="AY62" s="1274"/>
      <c r="AZ62" s="1274"/>
      <c r="BA62" s="1274"/>
      <c r="BB62" s="1274"/>
      <c r="BC62" s="1274"/>
      <c r="BD62" s="1274"/>
      <c r="BE62" s="1274"/>
      <c r="BF62" s="1274"/>
      <c r="BG62" s="1274"/>
      <c r="BH62" s="1274"/>
      <c r="BI62" s="1274"/>
      <c r="BJ62" s="1275"/>
      <c r="BK62" s="1373"/>
      <c r="BL62" s="1274"/>
      <c r="BM62" s="1274"/>
      <c r="BN62" s="1274"/>
      <c r="BO62" s="1274"/>
      <c r="BP62" s="1274"/>
      <c r="BQ62" s="1274"/>
      <c r="BR62" s="1274"/>
      <c r="BS62" s="1274"/>
      <c r="BT62" s="1274"/>
      <c r="BU62" s="1274"/>
      <c r="BV62" s="1274"/>
      <c r="BW62" s="1275"/>
      <c r="BX62" s="775"/>
      <c r="BY62" s="776"/>
      <c r="BZ62" s="777"/>
      <c r="CA62" s="775"/>
      <c r="CB62" s="778"/>
      <c r="CC62" s="779"/>
      <c r="CD62" s="777"/>
      <c r="CE62" s="777"/>
      <c r="CF62" s="777"/>
      <c r="CG62" s="780"/>
      <c r="CH62" s="775"/>
      <c r="CI62" s="776"/>
      <c r="CJ62" s="776"/>
      <c r="CK62" s="776"/>
      <c r="CL62" s="776"/>
      <c r="CM62" s="1350"/>
      <c r="CN62" s="1340"/>
      <c r="CO62" s="1340"/>
      <c r="CP62" s="1340"/>
      <c r="CQ62" s="1340"/>
      <c r="CR62" s="1340"/>
      <c r="CS62" s="1340"/>
      <c r="CT62" s="1340"/>
      <c r="CU62" s="1340"/>
      <c r="CV62" s="1340"/>
      <c r="CW62" s="1340"/>
      <c r="CX62" s="1340"/>
      <c r="CY62" s="1409"/>
    </row>
    <row r="63" spans="1:136" ht="15.75" x14ac:dyDescent="0.2">
      <c r="A63" s="1271" t="s">
        <v>980</v>
      </c>
      <c r="B63" s="1272"/>
      <c r="C63" s="1272"/>
      <c r="D63" s="1272"/>
      <c r="E63" s="1272"/>
      <c r="F63" s="1272"/>
      <c r="G63" s="1272"/>
      <c r="H63" s="1272"/>
      <c r="I63" s="1272"/>
      <c r="J63" s="1272"/>
      <c r="K63" s="1272"/>
      <c r="L63" s="1272"/>
      <c r="M63" s="1272"/>
      <c r="N63" s="1272"/>
      <c r="O63" s="1272"/>
      <c r="P63" s="1272"/>
      <c r="Q63" s="1272"/>
      <c r="R63" s="1272"/>
      <c r="S63" s="1272"/>
      <c r="T63" s="1272"/>
      <c r="U63" s="1272"/>
      <c r="V63" s="1272"/>
      <c r="W63" s="1272"/>
      <c r="X63" s="1272"/>
      <c r="Y63" s="1272"/>
      <c r="Z63" s="1272"/>
      <c r="AA63" s="1272"/>
      <c r="AB63" s="1272"/>
      <c r="AC63" s="1272"/>
      <c r="AD63" s="1272"/>
      <c r="AE63" s="1272"/>
      <c r="AF63" s="1272"/>
      <c r="AG63" s="1272"/>
      <c r="AH63" s="1272"/>
      <c r="AI63" s="1272"/>
      <c r="AJ63" s="1272"/>
      <c r="AK63" s="1272"/>
      <c r="AL63" s="1272"/>
      <c r="AM63" s="1272"/>
      <c r="AN63" s="1272"/>
      <c r="AO63" s="1272"/>
      <c r="AP63" s="1273" t="s">
        <v>981</v>
      </c>
      <c r="AQ63" s="1274"/>
      <c r="AR63" s="1274"/>
      <c r="AS63" s="1274"/>
      <c r="AT63" s="1274"/>
      <c r="AU63" s="1274"/>
      <c r="AV63" s="1274"/>
      <c r="AW63" s="1275"/>
      <c r="AX63" s="1373" t="s">
        <v>982</v>
      </c>
      <c r="AY63" s="1274"/>
      <c r="AZ63" s="1274"/>
      <c r="BA63" s="1274"/>
      <c r="BB63" s="1274"/>
      <c r="BC63" s="1274"/>
      <c r="BD63" s="1274"/>
      <c r="BE63" s="1274"/>
      <c r="BF63" s="1274"/>
      <c r="BG63" s="1274"/>
      <c r="BH63" s="1274"/>
      <c r="BI63" s="1274"/>
      <c r="BJ63" s="1275"/>
      <c r="BK63" s="1373"/>
      <c r="BL63" s="1274"/>
      <c r="BM63" s="1274"/>
      <c r="BN63" s="1274"/>
      <c r="BO63" s="1274"/>
      <c r="BP63" s="1274"/>
      <c r="BQ63" s="1274"/>
      <c r="BR63" s="1274"/>
      <c r="BS63" s="1274"/>
      <c r="BT63" s="1274"/>
      <c r="BU63" s="1274"/>
      <c r="BV63" s="1274"/>
      <c r="BW63" s="1275"/>
      <c r="BX63" s="775"/>
      <c r="BY63" s="776"/>
      <c r="BZ63" s="777"/>
      <c r="CA63" s="775"/>
      <c r="CB63" s="778"/>
      <c r="CC63" s="779"/>
      <c r="CD63" s="777"/>
      <c r="CE63" s="777"/>
      <c r="CF63" s="777"/>
      <c r="CG63" s="780"/>
      <c r="CH63" s="775"/>
      <c r="CI63" s="776"/>
      <c r="CJ63" s="776"/>
      <c r="CK63" s="776"/>
      <c r="CL63" s="776"/>
      <c r="CM63" s="1350"/>
      <c r="CN63" s="1340"/>
      <c r="CO63" s="1340"/>
      <c r="CP63" s="1340"/>
      <c r="CQ63" s="1340"/>
      <c r="CR63" s="1340"/>
      <c r="CS63" s="1340"/>
      <c r="CT63" s="1340"/>
      <c r="CU63" s="1340"/>
      <c r="CV63" s="1340"/>
      <c r="CW63" s="1340"/>
      <c r="CX63" s="1340"/>
      <c r="CY63" s="1409"/>
      <c r="EF63" s="592">
        <f>BX30+BX32+BX46</f>
        <v>80208243.910000026</v>
      </c>
    </row>
    <row r="64" spans="1:136" ht="15.75" x14ac:dyDescent="0.2">
      <c r="A64" s="1271" t="s">
        <v>983</v>
      </c>
      <c r="B64" s="1272"/>
      <c r="C64" s="1272"/>
      <c r="D64" s="1272"/>
      <c r="E64" s="1272"/>
      <c r="F64" s="1272"/>
      <c r="G64" s="1272"/>
      <c r="H64" s="1272"/>
      <c r="I64" s="1272"/>
      <c r="J64" s="1272"/>
      <c r="K64" s="1272"/>
      <c r="L64" s="1272"/>
      <c r="M64" s="1272"/>
      <c r="N64" s="1272"/>
      <c r="O64" s="1272"/>
      <c r="P64" s="1272"/>
      <c r="Q64" s="1272"/>
      <c r="R64" s="1272"/>
      <c r="S64" s="1272"/>
      <c r="T64" s="1272"/>
      <c r="U64" s="1272"/>
      <c r="V64" s="1272"/>
      <c r="W64" s="1272"/>
      <c r="X64" s="1272"/>
      <c r="Y64" s="1272"/>
      <c r="Z64" s="1272"/>
      <c r="AA64" s="1272"/>
      <c r="AB64" s="1272"/>
      <c r="AC64" s="1272"/>
      <c r="AD64" s="1272"/>
      <c r="AE64" s="1272"/>
      <c r="AF64" s="1272"/>
      <c r="AG64" s="1272"/>
      <c r="AH64" s="1272"/>
      <c r="AI64" s="1272"/>
      <c r="AJ64" s="1272"/>
      <c r="AK64" s="1272"/>
      <c r="AL64" s="1272"/>
      <c r="AM64" s="1272"/>
      <c r="AN64" s="1272"/>
      <c r="AO64" s="1272"/>
      <c r="AP64" s="1273" t="s">
        <v>984</v>
      </c>
      <c r="AQ64" s="1274"/>
      <c r="AR64" s="1274"/>
      <c r="AS64" s="1274"/>
      <c r="AT64" s="1274"/>
      <c r="AU64" s="1274"/>
      <c r="AV64" s="1274"/>
      <c r="AW64" s="1275"/>
      <c r="AX64" s="1373" t="s">
        <v>985</v>
      </c>
      <c r="AY64" s="1274"/>
      <c r="AZ64" s="1274"/>
      <c r="BA64" s="1274"/>
      <c r="BB64" s="1274"/>
      <c r="BC64" s="1274"/>
      <c r="BD64" s="1274"/>
      <c r="BE64" s="1274"/>
      <c r="BF64" s="1274"/>
      <c r="BG64" s="1274"/>
      <c r="BH64" s="1274"/>
      <c r="BI64" s="1274"/>
      <c r="BJ64" s="1275"/>
      <c r="BK64" s="1373"/>
      <c r="BL64" s="1274"/>
      <c r="BM64" s="1274"/>
      <c r="BN64" s="1274"/>
      <c r="BO64" s="1274"/>
      <c r="BP64" s="1274"/>
      <c r="BQ64" s="1274"/>
      <c r="BR64" s="1274"/>
      <c r="BS64" s="1274"/>
      <c r="BT64" s="1274"/>
      <c r="BU64" s="1274"/>
      <c r="BV64" s="1274"/>
      <c r="BW64" s="1275"/>
      <c r="BX64" s="775"/>
      <c r="BY64" s="776"/>
      <c r="BZ64" s="777"/>
      <c r="CA64" s="775"/>
      <c r="CB64" s="778"/>
      <c r="CC64" s="779"/>
      <c r="CD64" s="777"/>
      <c r="CE64" s="777"/>
      <c r="CF64" s="777"/>
      <c r="CG64" s="780"/>
      <c r="CH64" s="775"/>
      <c r="CI64" s="776"/>
      <c r="CJ64" s="776"/>
      <c r="CK64" s="776"/>
      <c r="CL64" s="776"/>
      <c r="CM64" s="1350"/>
      <c r="CN64" s="1340"/>
      <c r="CO64" s="1340"/>
      <c r="CP64" s="1340"/>
      <c r="CQ64" s="1340"/>
      <c r="CR64" s="1340"/>
      <c r="CS64" s="1340"/>
      <c r="CT64" s="1340"/>
      <c r="CU64" s="1340"/>
      <c r="CV64" s="1340"/>
      <c r="CW64" s="1340"/>
      <c r="CX64" s="1340"/>
      <c r="CY64" s="1409"/>
    </row>
    <row r="65" spans="1:136" ht="15.75" x14ac:dyDescent="0.2">
      <c r="A65" s="1271" t="s">
        <v>986</v>
      </c>
      <c r="B65" s="1272"/>
      <c r="C65" s="1272"/>
      <c r="D65" s="1272"/>
      <c r="E65" s="1272"/>
      <c r="F65" s="1272"/>
      <c r="G65" s="1272"/>
      <c r="H65" s="1272"/>
      <c r="I65" s="1272"/>
      <c r="J65" s="1272"/>
      <c r="K65" s="1272"/>
      <c r="L65" s="1272"/>
      <c r="M65" s="1272"/>
      <c r="N65" s="1272"/>
      <c r="O65" s="1272"/>
      <c r="P65" s="1272"/>
      <c r="Q65" s="1272"/>
      <c r="R65" s="1272"/>
      <c r="S65" s="1272"/>
      <c r="T65" s="1272"/>
      <c r="U65" s="1272"/>
      <c r="V65" s="1272"/>
      <c r="W65" s="1272"/>
      <c r="X65" s="1272"/>
      <c r="Y65" s="1272"/>
      <c r="Z65" s="1272"/>
      <c r="AA65" s="1272"/>
      <c r="AB65" s="1272"/>
      <c r="AC65" s="1272"/>
      <c r="AD65" s="1272"/>
      <c r="AE65" s="1272"/>
      <c r="AF65" s="1272"/>
      <c r="AG65" s="1272"/>
      <c r="AH65" s="1272"/>
      <c r="AI65" s="1272"/>
      <c r="AJ65" s="1272"/>
      <c r="AK65" s="1272"/>
      <c r="AL65" s="1272"/>
      <c r="AM65" s="1272"/>
      <c r="AN65" s="1272"/>
      <c r="AO65" s="1272"/>
      <c r="AP65" s="1273" t="s">
        <v>987</v>
      </c>
      <c r="AQ65" s="1274"/>
      <c r="AR65" s="1274"/>
      <c r="AS65" s="1274"/>
      <c r="AT65" s="1274"/>
      <c r="AU65" s="1274"/>
      <c r="AV65" s="1274"/>
      <c r="AW65" s="1275"/>
      <c r="AX65" s="1373" t="s">
        <v>988</v>
      </c>
      <c r="AY65" s="1274"/>
      <c r="AZ65" s="1274"/>
      <c r="BA65" s="1274"/>
      <c r="BB65" s="1274"/>
      <c r="BC65" s="1274"/>
      <c r="BD65" s="1274"/>
      <c r="BE65" s="1274"/>
      <c r="BF65" s="1274"/>
      <c r="BG65" s="1274"/>
      <c r="BH65" s="1274"/>
      <c r="BI65" s="1274"/>
      <c r="BJ65" s="1275"/>
      <c r="BK65" s="1373"/>
      <c r="BL65" s="1274"/>
      <c r="BM65" s="1274"/>
      <c r="BN65" s="1274"/>
      <c r="BO65" s="1274"/>
      <c r="BP65" s="1274"/>
      <c r="BQ65" s="1274"/>
      <c r="BR65" s="1274"/>
      <c r="BS65" s="1274"/>
      <c r="BT65" s="1274"/>
      <c r="BU65" s="1274"/>
      <c r="BV65" s="1274"/>
      <c r="BW65" s="1275"/>
      <c r="BX65" s="775"/>
      <c r="BY65" s="776"/>
      <c r="BZ65" s="777"/>
      <c r="CA65" s="775"/>
      <c r="CB65" s="778"/>
      <c r="CC65" s="779"/>
      <c r="CD65" s="777"/>
      <c r="CE65" s="777"/>
      <c r="CF65" s="777"/>
      <c r="CG65" s="780"/>
      <c r="CH65" s="775"/>
      <c r="CI65" s="776"/>
      <c r="CJ65" s="776"/>
      <c r="CK65" s="776"/>
      <c r="CL65" s="776"/>
      <c r="CM65" s="1350"/>
      <c r="CN65" s="1340"/>
      <c r="CO65" s="1340"/>
      <c r="CP65" s="1340"/>
      <c r="CQ65" s="1340"/>
      <c r="CR65" s="1340"/>
      <c r="CS65" s="1340"/>
      <c r="CT65" s="1340"/>
      <c r="CU65" s="1340"/>
      <c r="CV65" s="1340"/>
      <c r="CW65" s="1340"/>
      <c r="CX65" s="1340"/>
      <c r="CY65" s="1409"/>
    </row>
    <row r="66" spans="1:136" ht="15.75" x14ac:dyDescent="0.2">
      <c r="A66" s="1440" t="s">
        <v>989</v>
      </c>
      <c r="B66" s="1395"/>
      <c r="C66" s="1395"/>
      <c r="D66" s="1395"/>
      <c r="E66" s="1395"/>
      <c r="F66" s="1395"/>
      <c r="G66" s="1395"/>
      <c r="H66" s="1395"/>
      <c r="I66" s="1395"/>
      <c r="J66" s="1395"/>
      <c r="K66" s="1395"/>
      <c r="L66" s="1395"/>
      <c r="M66" s="1395"/>
      <c r="N66" s="1395"/>
      <c r="O66" s="1395"/>
      <c r="P66" s="1395"/>
      <c r="Q66" s="1395"/>
      <c r="R66" s="1395"/>
      <c r="S66" s="1395"/>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441"/>
      <c r="AP66" s="1273" t="s">
        <v>987</v>
      </c>
      <c r="AQ66" s="1274"/>
      <c r="AR66" s="1274"/>
      <c r="AS66" s="1274"/>
      <c r="AT66" s="1274"/>
      <c r="AU66" s="1274"/>
      <c r="AV66" s="1274"/>
      <c r="AW66" s="1275"/>
      <c r="AX66" s="1373" t="s">
        <v>990</v>
      </c>
      <c r="AY66" s="1274"/>
      <c r="AZ66" s="1274"/>
      <c r="BA66" s="1274"/>
      <c r="BB66" s="1274"/>
      <c r="BC66" s="1274"/>
      <c r="BD66" s="1274"/>
      <c r="BE66" s="1274"/>
      <c r="BF66" s="1274"/>
      <c r="BG66" s="1274"/>
      <c r="BH66" s="1274"/>
      <c r="BI66" s="1274"/>
      <c r="BJ66" s="1275"/>
      <c r="BK66" s="1373"/>
      <c r="BL66" s="1274"/>
      <c r="BM66" s="1274"/>
      <c r="BN66" s="1274"/>
      <c r="BO66" s="1274"/>
      <c r="BP66" s="1274"/>
      <c r="BQ66" s="1274"/>
      <c r="BR66" s="1274"/>
      <c r="BS66" s="1274"/>
      <c r="BT66" s="1274"/>
      <c r="BU66" s="1274"/>
      <c r="BV66" s="1274"/>
      <c r="BW66" s="1275"/>
      <c r="BX66" s="775"/>
      <c r="BY66" s="776"/>
      <c r="BZ66" s="777"/>
      <c r="CA66" s="775"/>
      <c r="CB66" s="778"/>
      <c r="CC66" s="779"/>
      <c r="CD66" s="777"/>
      <c r="CE66" s="777"/>
      <c r="CF66" s="777"/>
      <c r="CG66" s="780"/>
      <c r="CH66" s="775"/>
      <c r="CI66" s="776"/>
      <c r="CJ66" s="776"/>
      <c r="CK66" s="776"/>
      <c r="CL66" s="776"/>
      <c r="CM66" s="1350"/>
      <c r="CN66" s="1340"/>
      <c r="CO66" s="1340"/>
      <c r="CP66" s="1340"/>
      <c r="CQ66" s="1340"/>
      <c r="CR66" s="1340"/>
      <c r="CS66" s="1340"/>
      <c r="CT66" s="1340"/>
      <c r="CU66" s="1340"/>
      <c r="CV66" s="1340"/>
      <c r="CW66" s="1340"/>
      <c r="CX66" s="1340"/>
      <c r="CY66" s="1409"/>
    </row>
    <row r="67" spans="1:136" ht="24.75" customHeight="1" x14ac:dyDescent="0.2">
      <c r="A67" s="1256" t="s">
        <v>309</v>
      </c>
      <c r="B67" s="1257"/>
      <c r="C67" s="1257"/>
      <c r="D67" s="1257"/>
      <c r="E67" s="1257"/>
      <c r="F67" s="1257"/>
      <c r="G67" s="1257"/>
      <c r="H67" s="1257"/>
      <c r="I67" s="1257"/>
      <c r="J67" s="1257"/>
      <c r="K67" s="1257"/>
      <c r="L67" s="1257"/>
      <c r="M67" s="1257"/>
      <c r="N67" s="1257"/>
      <c r="O67" s="1257"/>
      <c r="P67" s="1257"/>
      <c r="Q67" s="1257"/>
      <c r="R67" s="1257"/>
      <c r="S67" s="1257"/>
      <c r="T67" s="1257"/>
      <c r="U67" s="1257"/>
      <c r="V67" s="1257"/>
      <c r="W67" s="1257"/>
      <c r="X67" s="1257"/>
      <c r="Y67" s="1257"/>
      <c r="Z67" s="1257"/>
      <c r="AA67" s="1257"/>
      <c r="AB67" s="1257"/>
      <c r="AC67" s="1257"/>
      <c r="AD67" s="1257"/>
      <c r="AE67" s="1257"/>
      <c r="AF67" s="1257"/>
      <c r="AG67" s="1257"/>
      <c r="AH67" s="1257"/>
      <c r="AI67" s="1257"/>
      <c r="AJ67" s="1257"/>
      <c r="AK67" s="1257"/>
      <c r="AL67" s="1257"/>
      <c r="AM67" s="1257"/>
      <c r="AN67" s="1257"/>
      <c r="AO67" s="1258"/>
      <c r="AP67" s="1250" t="s">
        <v>310</v>
      </c>
      <c r="AQ67" s="1259"/>
      <c r="AR67" s="1259"/>
      <c r="AS67" s="1259"/>
      <c r="AT67" s="1259"/>
      <c r="AU67" s="1259"/>
      <c r="AV67" s="1259"/>
      <c r="AW67" s="1260"/>
      <c r="AX67" s="1261" t="s">
        <v>3</v>
      </c>
      <c r="AY67" s="1259"/>
      <c r="AZ67" s="1259"/>
      <c r="BA67" s="1259"/>
      <c r="BB67" s="1259"/>
      <c r="BC67" s="1259"/>
      <c r="BD67" s="1259"/>
      <c r="BE67" s="1259"/>
      <c r="BF67" s="1259"/>
      <c r="BG67" s="1259"/>
      <c r="BH67" s="1259"/>
      <c r="BI67" s="1259"/>
      <c r="BJ67" s="1260"/>
      <c r="BK67" s="1261"/>
      <c r="BL67" s="1259"/>
      <c r="BM67" s="1259"/>
      <c r="BN67" s="1259"/>
      <c r="BO67" s="1259"/>
      <c r="BP67" s="1259"/>
      <c r="BQ67" s="1259"/>
      <c r="BR67" s="1259"/>
      <c r="BS67" s="1259"/>
      <c r="BT67" s="1259"/>
      <c r="BU67" s="1259"/>
      <c r="BV67" s="1259"/>
      <c r="BW67" s="1260"/>
      <c r="BX67" s="760"/>
      <c r="BY67" s="761"/>
      <c r="BZ67" s="241"/>
      <c r="CA67" s="760"/>
      <c r="CB67" s="774"/>
      <c r="CC67" s="763"/>
      <c r="CD67" s="241"/>
      <c r="CE67" s="241"/>
      <c r="CF67" s="241"/>
      <c r="CG67" s="764"/>
      <c r="CH67" s="760"/>
      <c r="CI67" s="761"/>
      <c r="CJ67" s="761"/>
      <c r="CK67" s="761"/>
      <c r="CL67" s="761"/>
      <c r="CM67" s="1262"/>
      <c r="CN67" s="1263"/>
      <c r="CO67" s="1263"/>
      <c r="CP67" s="1263"/>
      <c r="CQ67" s="1263"/>
      <c r="CR67" s="1263"/>
      <c r="CS67" s="1263"/>
      <c r="CT67" s="1263"/>
      <c r="CU67" s="1263"/>
      <c r="CV67" s="1263"/>
      <c r="CW67" s="1263"/>
      <c r="CX67" s="1263"/>
      <c r="CY67" s="1264"/>
    </row>
    <row r="68" spans="1:136" ht="53.25" customHeight="1" x14ac:dyDescent="0.2">
      <c r="A68" s="1265" t="s">
        <v>311</v>
      </c>
      <c r="B68" s="1395"/>
      <c r="C68" s="1395"/>
      <c r="D68" s="1395"/>
      <c r="E68" s="1395"/>
      <c r="F68" s="1395"/>
      <c r="G68" s="1395"/>
      <c r="H68" s="1395"/>
      <c r="I68" s="1395"/>
      <c r="J68" s="1395"/>
      <c r="K68" s="1395"/>
      <c r="L68" s="1395"/>
      <c r="M68" s="1395"/>
      <c r="N68" s="1395"/>
      <c r="O68" s="1395"/>
      <c r="P68" s="1395"/>
      <c r="Q68" s="1395"/>
      <c r="R68" s="1395"/>
      <c r="S68" s="1395"/>
      <c r="T68" s="1395"/>
      <c r="U68" s="1395"/>
      <c r="V68" s="1395"/>
      <c r="W68" s="1395"/>
      <c r="X68" s="1395"/>
      <c r="Y68" s="1395"/>
      <c r="Z68" s="1395"/>
      <c r="AA68" s="1395"/>
      <c r="AB68" s="1395"/>
      <c r="AC68" s="1395"/>
      <c r="AD68" s="1395"/>
      <c r="AE68" s="1395"/>
      <c r="AF68" s="1395"/>
      <c r="AG68" s="1395"/>
      <c r="AH68" s="1395"/>
      <c r="AI68" s="1395"/>
      <c r="AJ68" s="1395"/>
      <c r="AK68" s="1395"/>
      <c r="AL68" s="1395"/>
      <c r="AM68" s="1395"/>
      <c r="AN68" s="1395"/>
      <c r="AO68" s="1395"/>
      <c r="AP68" s="1250" t="s">
        <v>312</v>
      </c>
      <c r="AQ68" s="1259"/>
      <c r="AR68" s="1259"/>
      <c r="AS68" s="1259"/>
      <c r="AT68" s="1259"/>
      <c r="AU68" s="1259"/>
      <c r="AV68" s="1259"/>
      <c r="AW68" s="1260"/>
      <c r="AX68" s="1261" t="s">
        <v>313</v>
      </c>
      <c r="AY68" s="1259"/>
      <c r="AZ68" s="1259"/>
      <c r="BA68" s="1259"/>
      <c r="BB68" s="1259"/>
      <c r="BC68" s="1259"/>
      <c r="BD68" s="1259"/>
      <c r="BE68" s="1259"/>
      <c r="BF68" s="1259"/>
      <c r="BG68" s="1259"/>
      <c r="BH68" s="1259"/>
      <c r="BI68" s="1259"/>
      <c r="BJ68" s="1260"/>
      <c r="BK68" s="1261"/>
      <c r="BL68" s="1259"/>
      <c r="BM68" s="1259"/>
      <c r="BN68" s="1259"/>
      <c r="BO68" s="1259"/>
      <c r="BP68" s="1259"/>
      <c r="BQ68" s="1259"/>
      <c r="BR68" s="1259"/>
      <c r="BS68" s="1259"/>
      <c r="BT68" s="1259"/>
      <c r="BU68" s="1259"/>
      <c r="BV68" s="1259"/>
      <c r="BW68" s="1260"/>
      <c r="BX68" s="760"/>
      <c r="BY68" s="761"/>
      <c r="BZ68" s="241"/>
      <c r="CA68" s="760"/>
      <c r="CB68" s="774"/>
      <c r="CC68" s="763"/>
      <c r="CD68" s="241"/>
      <c r="CE68" s="241"/>
      <c r="CF68" s="241"/>
      <c r="CG68" s="764"/>
      <c r="CH68" s="760"/>
      <c r="CI68" s="761"/>
      <c r="CJ68" s="761"/>
      <c r="CK68" s="761"/>
      <c r="CL68" s="761"/>
      <c r="CM68" s="1262" t="s">
        <v>3</v>
      </c>
      <c r="CN68" s="1263"/>
      <c r="CO68" s="1263"/>
      <c r="CP68" s="1263"/>
      <c r="CQ68" s="1263"/>
      <c r="CR68" s="1263"/>
      <c r="CS68" s="1263"/>
      <c r="CT68" s="1263"/>
      <c r="CU68" s="1263"/>
      <c r="CV68" s="1263"/>
      <c r="CW68" s="1263"/>
      <c r="CX68" s="1263"/>
      <c r="CY68" s="1264"/>
    </row>
    <row r="69" spans="1:136" ht="5.25" customHeight="1" x14ac:dyDescent="0.2">
      <c r="A69" s="1256"/>
      <c r="B69" s="1257"/>
      <c r="C69" s="1257"/>
      <c r="D69" s="1257"/>
      <c r="E69" s="1257"/>
      <c r="F69" s="1257"/>
      <c r="G69" s="1257"/>
      <c r="H69" s="1257"/>
      <c r="I69" s="1257"/>
      <c r="J69" s="1257"/>
      <c r="K69" s="1257"/>
      <c r="L69" s="1257"/>
      <c r="M69" s="1257"/>
      <c r="N69" s="1257"/>
      <c r="O69" s="1257"/>
      <c r="P69" s="1257"/>
      <c r="Q69" s="1257"/>
      <c r="R69" s="1257"/>
      <c r="S69" s="1257"/>
      <c r="T69" s="1257"/>
      <c r="U69" s="1257"/>
      <c r="V69" s="1257"/>
      <c r="W69" s="1257"/>
      <c r="X69" s="1257"/>
      <c r="Y69" s="1257"/>
      <c r="Z69" s="1257"/>
      <c r="AA69" s="1257"/>
      <c r="AB69" s="1257"/>
      <c r="AC69" s="1257"/>
      <c r="AD69" s="1257"/>
      <c r="AE69" s="1257"/>
      <c r="AF69" s="1257"/>
      <c r="AG69" s="1257"/>
      <c r="AH69" s="1257"/>
      <c r="AI69" s="1257"/>
      <c r="AJ69" s="1257"/>
      <c r="AK69" s="1257"/>
      <c r="AL69" s="1257"/>
      <c r="AM69" s="1257"/>
      <c r="AN69" s="1257"/>
      <c r="AO69" s="1258"/>
      <c r="AP69" s="1250"/>
      <c r="AQ69" s="1259"/>
      <c r="AR69" s="1259"/>
      <c r="AS69" s="1259"/>
      <c r="AT69" s="1259"/>
      <c r="AU69" s="1259"/>
      <c r="AV69" s="1259"/>
      <c r="AW69" s="1260"/>
      <c r="AX69" s="1261"/>
      <c r="AY69" s="1259"/>
      <c r="AZ69" s="1259"/>
      <c r="BA69" s="1259"/>
      <c r="BB69" s="1259"/>
      <c r="BC69" s="1259"/>
      <c r="BD69" s="1259"/>
      <c r="BE69" s="1259"/>
      <c r="BF69" s="1259"/>
      <c r="BG69" s="1259"/>
      <c r="BH69" s="1259"/>
      <c r="BI69" s="1259"/>
      <c r="BJ69" s="1260"/>
      <c r="BK69" s="1261"/>
      <c r="BL69" s="1259"/>
      <c r="BM69" s="1259"/>
      <c r="BN69" s="1259"/>
      <c r="BO69" s="1259"/>
      <c r="BP69" s="1259"/>
      <c r="BQ69" s="1259"/>
      <c r="BR69" s="1259"/>
      <c r="BS69" s="1259"/>
      <c r="BT69" s="1259"/>
      <c r="BU69" s="1259"/>
      <c r="BV69" s="1259"/>
      <c r="BW69" s="1260"/>
      <c r="BX69" s="760"/>
      <c r="BY69" s="761"/>
      <c r="BZ69" s="241"/>
      <c r="CA69" s="760"/>
      <c r="CB69" s="774"/>
      <c r="CC69" s="763"/>
      <c r="CD69" s="241"/>
      <c r="CE69" s="241"/>
      <c r="CF69" s="241"/>
      <c r="CG69" s="764"/>
      <c r="CH69" s="760"/>
      <c r="CI69" s="761"/>
      <c r="CJ69" s="761"/>
      <c r="CK69" s="761"/>
      <c r="CL69" s="761"/>
      <c r="CM69" s="1262"/>
      <c r="CN69" s="1263"/>
      <c r="CO69" s="1263"/>
      <c r="CP69" s="1263"/>
      <c r="CQ69" s="1263"/>
      <c r="CR69" s="1263"/>
      <c r="CS69" s="1263"/>
      <c r="CT69" s="1263"/>
      <c r="CU69" s="1263"/>
      <c r="CV69" s="1263"/>
      <c r="CW69" s="1263"/>
      <c r="CX69" s="1263"/>
      <c r="CY69" s="1264"/>
    </row>
    <row r="70" spans="1:136" ht="37.9" customHeight="1" x14ac:dyDescent="0.2">
      <c r="A70" s="1423" t="s">
        <v>314</v>
      </c>
      <c r="B70" s="1333"/>
      <c r="C70" s="1333"/>
      <c r="D70" s="1333"/>
      <c r="E70" s="1333"/>
      <c r="F70" s="1333"/>
      <c r="G70" s="1333"/>
      <c r="H70" s="1333"/>
      <c r="I70" s="1333"/>
      <c r="J70" s="1333"/>
      <c r="K70" s="1333"/>
      <c r="L70" s="1333"/>
      <c r="M70" s="1333"/>
      <c r="N70" s="1333"/>
      <c r="O70" s="1333"/>
      <c r="P70" s="1333"/>
      <c r="Q70" s="1333"/>
      <c r="R70" s="1333"/>
      <c r="S70" s="1333"/>
      <c r="T70" s="1333"/>
      <c r="U70" s="1333"/>
      <c r="V70" s="1333"/>
      <c r="W70" s="1333"/>
      <c r="X70" s="1333"/>
      <c r="Y70" s="1333"/>
      <c r="Z70" s="1333"/>
      <c r="AA70" s="1333"/>
      <c r="AB70" s="1333"/>
      <c r="AC70" s="1333"/>
      <c r="AD70" s="1333"/>
      <c r="AE70" s="1333"/>
      <c r="AF70" s="1333"/>
      <c r="AG70" s="1333"/>
      <c r="AH70" s="1333"/>
      <c r="AI70" s="1333"/>
      <c r="AJ70" s="1333"/>
      <c r="AK70" s="1333"/>
      <c r="AL70" s="1333"/>
      <c r="AM70" s="1333"/>
      <c r="AN70" s="1333"/>
      <c r="AO70" s="1333"/>
      <c r="AP70" s="1424" t="s">
        <v>315</v>
      </c>
      <c r="AQ70" s="1335"/>
      <c r="AR70" s="1335"/>
      <c r="AS70" s="1335"/>
      <c r="AT70" s="1335"/>
      <c r="AU70" s="1335"/>
      <c r="AV70" s="1335"/>
      <c r="AW70" s="1336"/>
      <c r="AX70" s="1334" t="s">
        <v>3</v>
      </c>
      <c r="AY70" s="1335"/>
      <c r="AZ70" s="1335"/>
      <c r="BA70" s="1335"/>
      <c r="BB70" s="1335"/>
      <c r="BC70" s="1335"/>
      <c r="BD70" s="1335"/>
      <c r="BE70" s="1335"/>
      <c r="BF70" s="1335"/>
      <c r="BG70" s="1335"/>
      <c r="BH70" s="1335"/>
      <c r="BI70" s="1335"/>
      <c r="BJ70" s="1336"/>
      <c r="BK70" s="1285" t="s">
        <v>3</v>
      </c>
      <c r="BL70" s="1286"/>
      <c r="BM70" s="1286"/>
      <c r="BN70" s="1286"/>
      <c r="BO70" s="1286"/>
      <c r="BP70" s="1286"/>
      <c r="BQ70" s="1286"/>
      <c r="BR70" s="1286"/>
      <c r="BS70" s="1286"/>
      <c r="BT70" s="1286"/>
      <c r="BU70" s="1286"/>
      <c r="BV70" s="1286"/>
      <c r="BW70" s="1287"/>
      <c r="BX70" s="788">
        <f>BY70+BZ70+CB70</f>
        <v>69347745.409999996</v>
      </c>
      <c r="BY70" s="788">
        <f>BY71+BY110+BY119+BY97</f>
        <v>56187711.380000003</v>
      </c>
      <c r="BZ70" s="788">
        <f>BZ71+BZ116</f>
        <v>10705612.620000001</v>
      </c>
      <c r="CA70" s="788"/>
      <c r="CB70" s="789">
        <f>CB119+CB71</f>
        <v>2454421.4099999997</v>
      </c>
      <c r="CC70" s="790">
        <f>CD70+CE70+CG70</f>
        <v>78992171.099999994</v>
      </c>
      <c r="CD70" s="788">
        <f>CD71+CD119</f>
        <v>53556312.689999998</v>
      </c>
      <c r="CE70" s="788">
        <f>CE71+CE116</f>
        <v>24198148.41</v>
      </c>
      <c r="CF70" s="788"/>
      <c r="CG70" s="789">
        <f>CG71+CG110+CG119</f>
        <v>1237710</v>
      </c>
      <c r="CH70" s="791">
        <f>CI70+CJ70+CL70</f>
        <v>54880281.719999999</v>
      </c>
      <c r="CI70" s="788">
        <f>CI71+CI110+CI119</f>
        <v>53555534.420000002</v>
      </c>
      <c r="CJ70" s="788">
        <f>CJ116+CJ71</f>
        <v>87037.3</v>
      </c>
      <c r="CK70" s="788"/>
      <c r="CL70" s="788">
        <f>CL71+CL110+CL119</f>
        <v>1237710</v>
      </c>
      <c r="CM70" s="1244"/>
      <c r="CN70" s="1245"/>
      <c r="CO70" s="1245"/>
      <c r="CP70" s="1245"/>
      <c r="CQ70" s="1245"/>
      <c r="CR70" s="1245"/>
      <c r="CS70" s="1245"/>
      <c r="CT70" s="1245"/>
      <c r="CU70" s="1245"/>
      <c r="CV70" s="1245"/>
      <c r="CW70" s="1245"/>
      <c r="CX70" s="1245"/>
      <c r="CY70" s="1246"/>
      <c r="EF70" s="592">
        <f>BX71+BX116+BX97</f>
        <v>69347745.409999996</v>
      </c>
    </row>
    <row r="71" spans="1:136" ht="38.25" customHeight="1" x14ac:dyDescent="0.2">
      <c r="A71" s="1283" t="s">
        <v>316</v>
      </c>
      <c r="B71" s="1284"/>
      <c r="C71" s="1284"/>
      <c r="D71" s="1284"/>
      <c r="E71" s="1284"/>
      <c r="F71" s="1284"/>
      <c r="G71" s="1284"/>
      <c r="H71" s="1284"/>
      <c r="I71" s="1284"/>
      <c r="J71" s="1284"/>
      <c r="K71" s="1284"/>
      <c r="L71" s="1284"/>
      <c r="M71" s="1284"/>
      <c r="N71" s="1284"/>
      <c r="O71" s="1284"/>
      <c r="P71" s="1284"/>
      <c r="Q71" s="1284"/>
      <c r="R71" s="1284"/>
      <c r="S71" s="1284"/>
      <c r="T71" s="1284"/>
      <c r="U71" s="1284"/>
      <c r="V71" s="1284"/>
      <c r="W71" s="1284"/>
      <c r="X71" s="1284"/>
      <c r="Y71" s="1284"/>
      <c r="Z71" s="1284"/>
      <c r="AA71" s="1284"/>
      <c r="AB71" s="1284"/>
      <c r="AC71" s="1284"/>
      <c r="AD71" s="1284"/>
      <c r="AE71" s="1284"/>
      <c r="AF71" s="1284"/>
      <c r="AG71" s="1284"/>
      <c r="AH71" s="1284"/>
      <c r="AI71" s="1284"/>
      <c r="AJ71" s="1284"/>
      <c r="AK71" s="1284"/>
      <c r="AL71" s="1284"/>
      <c r="AM71" s="1284"/>
      <c r="AN71" s="1284"/>
      <c r="AO71" s="1284"/>
      <c r="AP71" s="1297" t="s">
        <v>317</v>
      </c>
      <c r="AQ71" s="1286"/>
      <c r="AR71" s="1286"/>
      <c r="AS71" s="1286"/>
      <c r="AT71" s="1286"/>
      <c r="AU71" s="1286"/>
      <c r="AV71" s="1286"/>
      <c r="AW71" s="1287"/>
      <c r="AX71" s="1285" t="s">
        <v>3</v>
      </c>
      <c r="AY71" s="1286"/>
      <c r="AZ71" s="1286"/>
      <c r="BA71" s="1286"/>
      <c r="BB71" s="1286"/>
      <c r="BC71" s="1286"/>
      <c r="BD71" s="1286"/>
      <c r="BE71" s="1286"/>
      <c r="BF71" s="1286"/>
      <c r="BG71" s="1286"/>
      <c r="BH71" s="1286"/>
      <c r="BI71" s="1286"/>
      <c r="BJ71" s="1287"/>
      <c r="BK71" s="1285" t="s">
        <v>3</v>
      </c>
      <c r="BL71" s="1286"/>
      <c r="BM71" s="1286"/>
      <c r="BN71" s="1286"/>
      <c r="BO71" s="1286"/>
      <c r="BP71" s="1286"/>
      <c r="BQ71" s="1286"/>
      <c r="BR71" s="1286"/>
      <c r="BS71" s="1286"/>
      <c r="BT71" s="1286"/>
      <c r="BU71" s="1286"/>
      <c r="BV71" s="1286"/>
      <c r="BW71" s="1287"/>
      <c r="BX71" s="788">
        <f>BY71+BZ71+CB71</f>
        <v>45053332.759999998</v>
      </c>
      <c r="BY71" s="788">
        <f>SUM(BY72:BY85)</f>
        <v>44928481.660000004</v>
      </c>
      <c r="BZ71" s="788">
        <f>SUM(BZ72:BZ85)</f>
        <v>113837.3</v>
      </c>
      <c r="CA71" s="788"/>
      <c r="CB71" s="788">
        <f>SUM(CB72:CB85)</f>
        <v>11013.8</v>
      </c>
      <c r="CC71" s="790">
        <f>CD71+CE71+CG71</f>
        <v>43503069.5</v>
      </c>
      <c r="CD71" s="788">
        <f>SUM(CD72:CD85)</f>
        <v>43407806.460000001</v>
      </c>
      <c r="CE71" s="788">
        <f>CE75+CE85</f>
        <v>83837.3</v>
      </c>
      <c r="CF71" s="788"/>
      <c r="CG71" s="789">
        <f>SUM(CG72:CG85)</f>
        <v>11425.74</v>
      </c>
      <c r="CH71" s="791">
        <f>CI71+CJ71+CL71</f>
        <v>43577041.229999997</v>
      </c>
      <c r="CI71" s="788">
        <f>SUM(CI72:CI85)</f>
        <v>43481778.189999998</v>
      </c>
      <c r="CJ71" s="788">
        <f>CJ75+CJ85</f>
        <v>83837.3</v>
      </c>
      <c r="CK71" s="788"/>
      <c r="CL71" s="788">
        <f>SUM(CL72:CL85)</f>
        <v>11425.74</v>
      </c>
      <c r="CM71" s="1244" t="s">
        <v>3</v>
      </c>
      <c r="CN71" s="1245"/>
      <c r="CO71" s="1245"/>
      <c r="CP71" s="1245"/>
      <c r="CQ71" s="1245"/>
      <c r="CR71" s="1245"/>
      <c r="CS71" s="1245"/>
      <c r="CT71" s="1245"/>
      <c r="CU71" s="1245"/>
      <c r="CV71" s="1245"/>
      <c r="CW71" s="1245"/>
      <c r="CX71" s="1245"/>
      <c r="CY71" s="1246"/>
      <c r="EF71" s="592">
        <f>BY71+BZ71+CB71+BY97+BY11+BZ116+CB116+BY116</f>
        <v>69347745.409999996</v>
      </c>
    </row>
    <row r="72" spans="1:136" ht="37.5" customHeight="1" x14ac:dyDescent="0.2">
      <c r="A72" s="1283" t="s">
        <v>318</v>
      </c>
      <c r="B72" s="1284"/>
      <c r="C72" s="1284"/>
      <c r="D72" s="1284"/>
      <c r="E72" s="1284"/>
      <c r="F72" s="1284"/>
      <c r="G72" s="1284"/>
      <c r="H72" s="1284"/>
      <c r="I72" s="1284"/>
      <c r="J72" s="1284"/>
      <c r="K72" s="1284"/>
      <c r="L72" s="1284"/>
      <c r="M72" s="1284"/>
      <c r="N72" s="1284"/>
      <c r="O72" s="1284"/>
      <c r="P72" s="1284"/>
      <c r="Q72" s="1284"/>
      <c r="R72" s="1284"/>
      <c r="S72" s="1284"/>
      <c r="T72" s="1284"/>
      <c r="U72" s="1284"/>
      <c r="V72" s="1284"/>
      <c r="W72" s="1284"/>
      <c r="X72" s="1284"/>
      <c r="Y72" s="1284"/>
      <c r="Z72" s="1284"/>
      <c r="AA72" s="1284"/>
      <c r="AB72" s="1284"/>
      <c r="AC72" s="1284"/>
      <c r="AD72" s="1284"/>
      <c r="AE72" s="1284"/>
      <c r="AF72" s="1284"/>
      <c r="AG72" s="1284"/>
      <c r="AH72" s="1284"/>
      <c r="AI72" s="1284"/>
      <c r="AJ72" s="1284"/>
      <c r="AK72" s="1284"/>
      <c r="AL72" s="1284"/>
      <c r="AM72" s="1284"/>
      <c r="AN72" s="1284"/>
      <c r="AO72" s="1284"/>
      <c r="AP72" s="1297" t="s">
        <v>319</v>
      </c>
      <c r="AQ72" s="1286"/>
      <c r="AR72" s="1286"/>
      <c r="AS72" s="1286"/>
      <c r="AT72" s="1286"/>
      <c r="AU72" s="1286"/>
      <c r="AV72" s="1286"/>
      <c r="AW72" s="1287"/>
      <c r="AX72" s="1285" t="s">
        <v>320</v>
      </c>
      <c r="AY72" s="1286"/>
      <c r="AZ72" s="1286"/>
      <c r="BA72" s="1286"/>
      <c r="BB72" s="1286"/>
      <c r="BC72" s="1286"/>
      <c r="BD72" s="1286"/>
      <c r="BE72" s="1286"/>
      <c r="BF72" s="1286"/>
      <c r="BG72" s="1286"/>
      <c r="BH72" s="1286"/>
      <c r="BI72" s="1286"/>
      <c r="BJ72" s="1287"/>
      <c r="BK72" s="1285" t="s">
        <v>321</v>
      </c>
      <c r="BL72" s="1286"/>
      <c r="BM72" s="1286"/>
      <c r="BN72" s="1286"/>
      <c r="BO72" s="1286"/>
      <c r="BP72" s="1286"/>
      <c r="BQ72" s="1286"/>
      <c r="BR72" s="1286"/>
      <c r="BS72" s="1286"/>
      <c r="BT72" s="1286"/>
      <c r="BU72" s="1286"/>
      <c r="BV72" s="1286"/>
      <c r="BW72" s="1287"/>
      <c r="BX72" s="795">
        <f>SUM(BY72:BZ72)</f>
        <v>13904006.290000001</v>
      </c>
      <c r="BY72" s="832">
        <f>11657879.39+2244208.46+31918.44-30000</f>
        <v>13904006.290000001</v>
      </c>
      <c r="BZ72" s="832"/>
      <c r="CA72" s="896"/>
      <c r="CB72" s="833"/>
      <c r="CC72" s="897">
        <f>CD72+CE72+CG72</f>
        <v>14441714.18</v>
      </c>
      <c r="CD72" s="832">
        <v>14441714.18</v>
      </c>
      <c r="CE72" s="832"/>
      <c r="CF72" s="896"/>
      <c r="CG72" s="833"/>
      <c r="CH72" s="898">
        <f>CI72+CJ72+CL72</f>
        <v>14441714.18</v>
      </c>
      <c r="CI72" s="832">
        <f t="shared" ref="CI72:CI78" si="3">CD72</f>
        <v>14441714.18</v>
      </c>
      <c r="CJ72" s="832"/>
      <c r="CK72" s="896"/>
      <c r="CL72" s="795"/>
      <c r="CM72" s="1244" t="s">
        <v>3</v>
      </c>
      <c r="CN72" s="1245"/>
      <c r="CO72" s="1245"/>
      <c r="CP72" s="1245"/>
      <c r="CQ72" s="1245"/>
      <c r="CR72" s="1245"/>
      <c r="CS72" s="1245"/>
      <c r="CT72" s="1245"/>
      <c r="CU72" s="1245"/>
      <c r="CV72" s="1245"/>
      <c r="CW72" s="1245"/>
      <c r="CX72" s="1245"/>
      <c r="CY72" s="1246"/>
    </row>
    <row r="73" spans="1:136" ht="27" customHeight="1" x14ac:dyDescent="0.2">
      <c r="A73" s="1283" t="s">
        <v>322</v>
      </c>
      <c r="B73" s="1284"/>
      <c r="C73" s="1284"/>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c r="AH73" s="1284"/>
      <c r="AI73" s="1284"/>
      <c r="AJ73" s="1284"/>
      <c r="AK73" s="1284"/>
      <c r="AL73" s="1284"/>
      <c r="AM73" s="1284"/>
      <c r="AN73" s="1284"/>
      <c r="AO73" s="1284"/>
      <c r="AP73" s="1297" t="s">
        <v>319</v>
      </c>
      <c r="AQ73" s="1286"/>
      <c r="AR73" s="1286"/>
      <c r="AS73" s="1286"/>
      <c r="AT73" s="1286"/>
      <c r="AU73" s="1286"/>
      <c r="AV73" s="1286"/>
      <c r="AW73" s="1287"/>
      <c r="AX73" s="1285" t="s">
        <v>320</v>
      </c>
      <c r="AY73" s="1286"/>
      <c r="AZ73" s="1286"/>
      <c r="BA73" s="1286"/>
      <c r="BB73" s="1286"/>
      <c r="BC73" s="1286"/>
      <c r="BD73" s="1286"/>
      <c r="BE73" s="1286"/>
      <c r="BF73" s="1286"/>
      <c r="BG73" s="1286"/>
      <c r="BH73" s="1286"/>
      <c r="BI73" s="1286"/>
      <c r="BJ73" s="1287"/>
      <c r="BK73" s="1285" t="s">
        <v>323</v>
      </c>
      <c r="BL73" s="1286"/>
      <c r="BM73" s="1286"/>
      <c r="BN73" s="1286"/>
      <c r="BO73" s="1286"/>
      <c r="BP73" s="1286"/>
      <c r="BQ73" s="1286"/>
      <c r="BR73" s="1286"/>
      <c r="BS73" s="1286"/>
      <c r="BT73" s="1286"/>
      <c r="BU73" s="1286"/>
      <c r="BV73" s="1286"/>
      <c r="BW73" s="1287"/>
      <c r="BX73" s="795">
        <f>SUM(BY73:BZ73)</f>
        <v>20115919.810000002</v>
      </c>
      <c r="BY73" s="832">
        <f>711600+17808021.8+840000+161674.35+574623.66+20000</f>
        <v>20115919.810000002</v>
      </c>
      <c r="BZ73" s="832"/>
      <c r="CA73" s="896"/>
      <c r="CB73" s="833"/>
      <c r="CC73" s="897">
        <f>CD73+CG73+CE73</f>
        <v>18414753.77</v>
      </c>
      <c r="CD73" s="832">
        <v>18414753.77</v>
      </c>
      <c r="CE73" s="832"/>
      <c r="CF73" s="896"/>
      <c r="CG73" s="833"/>
      <c r="CH73" s="898">
        <f>CI73+CL73+CJ73</f>
        <v>18414753.77</v>
      </c>
      <c r="CI73" s="832">
        <f t="shared" si="3"/>
        <v>18414753.77</v>
      </c>
      <c r="CJ73" s="832"/>
      <c r="CK73" s="896"/>
      <c r="CL73" s="795"/>
      <c r="CM73" s="1244" t="s">
        <v>3</v>
      </c>
      <c r="CN73" s="1245"/>
      <c r="CO73" s="1245"/>
      <c r="CP73" s="1245"/>
      <c r="CQ73" s="1245"/>
      <c r="CR73" s="1245"/>
      <c r="CS73" s="1245"/>
      <c r="CT73" s="1245"/>
      <c r="CU73" s="1245"/>
      <c r="CV73" s="1245"/>
      <c r="CW73" s="1245"/>
      <c r="CX73" s="1245"/>
      <c r="CY73" s="1246"/>
    </row>
    <row r="74" spans="1:136" ht="27" customHeight="1" x14ac:dyDescent="0.2">
      <c r="A74" s="1283" t="s">
        <v>1309</v>
      </c>
      <c r="B74" s="1284"/>
      <c r="C74" s="1284"/>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c r="AH74" s="1284"/>
      <c r="AI74" s="1284"/>
      <c r="AJ74" s="1284"/>
      <c r="AK74" s="1284"/>
      <c r="AL74" s="1284"/>
      <c r="AM74" s="1284"/>
      <c r="AN74" s="1284"/>
      <c r="AO74" s="1284"/>
      <c r="AP74" s="1297" t="s">
        <v>319</v>
      </c>
      <c r="AQ74" s="1286"/>
      <c r="AR74" s="1286"/>
      <c r="AS74" s="1286"/>
      <c r="AT74" s="1286"/>
      <c r="AU74" s="1286"/>
      <c r="AV74" s="1286"/>
      <c r="AW74" s="1287"/>
      <c r="AX74" s="1285" t="s">
        <v>320</v>
      </c>
      <c r="AY74" s="1286"/>
      <c r="AZ74" s="1286"/>
      <c r="BA74" s="1286"/>
      <c r="BB74" s="1286"/>
      <c r="BC74" s="1286"/>
      <c r="BD74" s="1286"/>
      <c r="BE74" s="1286"/>
      <c r="BF74" s="1286"/>
      <c r="BG74" s="1286"/>
      <c r="BH74" s="1286"/>
      <c r="BI74" s="1286"/>
      <c r="BJ74" s="1287"/>
      <c r="BK74" s="1285" t="s">
        <v>883</v>
      </c>
      <c r="BL74" s="1286"/>
      <c r="BM74" s="1286"/>
      <c r="BN74" s="1286"/>
      <c r="BO74" s="1286"/>
      <c r="BP74" s="1286"/>
      <c r="BQ74" s="1286"/>
      <c r="BR74" s="1286"/>
      <c r="BS74" s="1286"/>
      <c r="BT74" s="1286"/>
      <c r="BU74" s="1286"/>
      <c r="BV74" s="1286"/>
      <c r="BW74" s="1287"/>
      <c r="BX74" s="795">
        <f>BY74</f>
        <v>272082.28000000003</v>
      </c>
      <c r="BY74" s="832">
        <f>советник!H16</f>
        <v>272082.28000000003</v>
      </c>
      <c r="BZ74" s="832"/>
      <c r="CA74" s="896"/>
      <c r="CB74" s="833"/>
      <c r="CC74" s="897">
        <f>CD74</f>
        <v>272082.28000000003</v>
      </c>
      <c r="CD74" s="832">
        <v>272082.28000000003</v>
      </c>
      <c r="CE74" s="832"/>
      <c r="CF74" s="896"/>
      <c r="CG74" s="833"/>
      <c r="CH74" s="898">
        <f>CI74</f>
        <v>315390.07999999996</v>
      </c>
      <c r="CI74" s="832">
        <f>211082.77+104307.31</f>
        <v>315390.07999999996</v>
      </c>
      <c r="CJ74" s="832"/>
      <c r="CK74" s="896"/>
      <c r="CL74" s="795"/>
      <c r="CM74" s="1244" t="s">
        <v>3</v>
      </c>
      <c r="CN74" s="1245"/>
      <c r="CO74" s="1245"/>
      <c r="CP74" s="1245"/>
      <c r="CQ74" s="1245"/>
      <c r="CR74" s="1245"/>
      <c r="CS74" s="1245"/>
      <c r="CT74" s="1245"/>
      <c r="CU74" s="1245"/>
      <c r="CV74" s="1245"/>
      <c r="CW74" s="1245"/>
      <c r="CX74" s="1245"/>
      <c r="CY74" s="1246"/>
    </row>
    <row r="75" spans="1:136" ht="22.5" customHeight="1" x14ac:dyDescent="0.2">
      <c r="A75" s="1283" t="s">
        <v>322</v>
      </c>
      <c r="B75" s="1284"/>
      <c r="C75" s="1284"/>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c r="AH75" s="1284"/>
      <c r="AI75" s="1284"/>
      <c r="AJ75" s="1284"/>
      <c r="AK75" s="1284"/>
      <c r="AL75" s="1284"/>
      <c r="AM75" s="1284"/>
      <c r="AN75" s="1284"/>
      <c r="AO75" s="1284"/>
      <c r="AP75" s="1297" t="s">
        <v>319</v>
      </c>
      <c r="AQ75" s="1286"/>
      <c r="AR75" s="1286"/>
      <c r="AS75" s="1286"/>
      <c r="AT75" s="1286"/>
      <c r="AU75" s="1286"/>
      <c r="AV75" s="1286"/>
      <c r="AW75" s="1287"/>
      <c r="AX75" s="1285" t="s">
        <v>320</v>
      </c>
      <c r="AY75" s="1286"/>
      <c r="AZ75" s="1286"/>
      <c r="BA75" s="1286"/>
      <c r="BB75" s="1286"/>
      <c r="BC75" s="1286"/>
      <c r="BD75" s="1286"/>
      <c r="BE75" s="1286"/>
      <c r="BF75" s="1286"/>
      <c r="BG75" s="1286"/>
      <c r="BH75" s="1286"/>
      <c r="BI75" s="1286"/>
      <c r="BJ75" s="1287"/>
      <c r="BK75" s="1285" t="s">
        <v>324</v>
      </c>
      <c r="BL75" s="1286"/>
      <c r="BM75" s="1286"/>
      <c r="BN75" s="1286"/>
      <c r="BO75" s="1286"/>
      <c r="BP75" s="1286"/>
      <c r="BQ75" s="1286"/>
      <c r="BR75" s="1286"/>
      <c r="BS75" s="1286"/>
      <c r="BT75" s="1286"/>
      <c r="BU75" s="1286"/>
      <c r="BV75" s="1286"/>
      <c r="BW75" s="1287"/>
      <c r="BX75" s="795">
        <f>SUM(BY75:CB75)</f>
        <v>64391.3</v>
      </c>
      <c r="BY75" s="832"/>
      <c r="BZ75" s="832">
        <f>'0707 211'!M19</f>
        <v>64391.3</v>
      </c>
      <c r="CA75" s="896"/>
      <c r="CB75" s="833"/>
      <c r="CC75" s="899">
        <f>CD75+CE75+CG75</f>
        <v>64391.3</v>
      </c>
      <c r="CD75" s="832">
        <f>BY75</f>
        <v>0</v>
      </c>
      <c r="CE75" s="832">
        <f>BZ75</f>
        <v>64391.3</v>
      </c>
      <c r="CF75" s="896"/>
      <c r="CG75" s="833"/>
      <c r="CH75" s="900">
        <f>CI75+CJ75+CL75</f>
        <v>64391.3</v>
      </c>
      <c r="CI75" s="832">
        <f t="shared" si="3"/>
        <v>0</v>
      </c>
      <c r="CJ75" s="832">
        <f>CE75</f>
        <v>64391.3</v>
      </c>
      <c r="CK75" s="896"/>
      <c r="CL75" s="795">
        <f>CG75</f>
        <v>0</v>
      </c>
      <c r="CM75" s="1244" t="s">
        <v>3</v>
      </c>
      <c r="CN75" s="1245"/>
      <c r="CO75" s="1245"/>
      <c r="CP75" s="1245"/>
      <c r="CQ75" s="1245"/>
      <c r="CR75" s="1245"/>
      <c r="CS75" s="1245"/>
      <c r="CT75" s="1245"/>
      <c r="CU75" s="1245"/>
      <c r="CV75" s="1245"/>
      <c r="CW75" s="1245"/>
      <c r="CX75" s="1245"/>
      <c r="CY75" s="1246"/>
    </row>
    <row r="76" spans="1:136" ht="22.5" customHeight="1" x14ac:dyDescent="0.2">
      <c r="A76" s="1283" t="s">
        <v>322</v>
      </c>
      <c r="B76" s="1284"/>
      <c r="C76" s="1284"/>
      <c r="D76" s="1284"/>
      <c r="E76" s="1284"/>
      <c r="F76" s="1284"/>
      <c r="G76" s="1284"/>
      <c r="H76" s="1284"/>
      <c r="I76" s="1284"/>
      <c r="J76" s="1284"/>
      <c r="K76" s="1284"/>
      <c r="L76" s="1284"/>
      <c r="M76" s="1284"/>
      <c r="N76" s="1284"/>
      <c r="O76" s="1284"/>
      <c r="P76" s="1284"/>
      <c r="Q76" s="1284"/>
      <c r="R76" s="1284"/>
      <c r="S76" s="1284"/>
      <c r="T76" s="1284"/>
      <c r="U76" s="1284"/>
      <c r="V76" s="1284"/>
      <c r="W76" s="1284"/>
      <c r="X76" s="1284"/>
      <c r="Y76" s="1284"/>
      <c r="Z76" s="1284"/>
      <c r="AA76" s="1284"/>
      <c r="AB76" s="1284"/>
      <c r="AC76" s="1284"/>
      <c r="AD76" s="1284"/>
      <c r="AE76" s="1284"/>
      <c r="AF76" s="1284"/>
      <c r="AG76" s="1284"/>
      <c r="AH76" s="1284"/>
      <c r="AI76" s="1284"/>
      <c r="AJ76" s="1284"/>
      <c r="AK76" s="1284"/>
      <c r="AL76" s="1284"/>
      <c r="AM76" s="1284"/>
      <c r="AN76" s="1284"/>
      <c r="AO76" s="1284"/>
      <c r="AP76" s="1297" t="s">
        <v>319</v>
      </c>
      <c r="AQ76" s="1286"/>
      <c r="AR76" s="1286"/>
      <c r="AS76" s="1286"/>
      <c r="AT76" s="1286"/>
      <c r="AU76" s="1286"/>
      <c r="AV76" s="1286"/>
      <c r="AW76" s="1287"/>
      <c r="AX76" s="1285" t="s">
        <v>320</v>
      </c>
      <c r="AY76" s="1286"/>
      <c r="AZ76" s="1286"/>
      <c r="BA76" s="1286"/>
      <c r="BB76" s="1286"/>
      <c r="BC76" s="1286"/>
      <c r="BD76" s="1286"/>
      <c r="BE76" s="1286"/>
      <c r="BF76" s="1286"/>
      <c r="BG76" s="1286"/>
      <c r="BH76" s="1286"/>
      <c r="BI76" s="1286"/>
      <c r="BJ76" s="1287"/>
      <c r="BK76" s="1285" t="s">
        <v>714</v>
      </c>
      <c r="BL76" s="1286"/>
      <c r="BM76" s="1286"/>
      <c r="BN76" s="1286"/>
      <c r="BO76" s="1286"/>
      <c r="BP76" s="1286"/>
      <c r="BQ76" s="1286"/>
      <c r="BR76" s="1286"/>
      <c r="BS76" s="1286"/>
      <c r="BT76" s="1286"/>
      <c r="BU76" s="1286"/>
      <c r="BV76" s="1286"/>
      <c r="BW76" s="1287"/>
      <c r="BX76" s="795">
        <f>SUM(BY76:CB76)</f>
        <v>56017.74</v>
      </c>
      <c r="BY76" s="832">
        <v>47558.6</v>
      </c>
      <c r="BZ76" s="832">
        <f>'0707 211'!M20</f>
        <v>0</v>
      </c>
      <c r="CA76" s="896"/>
      <c r="CB76" s="833">
        <f>'0709 211 (2)'!N19</f>
        <v>8459.14</v>
      </c>
      <c r="CC76" s="899">
        <f>CD76+CE76+CG76</f>
        <v>56017.74</v>
      </c>
      <c r="CD76" s="832">
        <v>47558.6</v>
      </c>
      <c r="CE76" s="832">
        <f>BZ76</f>
        <v>0</v>
      </c>
      <c r="CF76" s="896"/>
      <c r="CG76" s="833">
        <v>8459.14</v>
      </c>
      <c r="CH76" s="900">
        <f>CI76+CJ76+CL76</f>
        <v>56017.74</v>
      </c>
      <c r="CI76" s="832">
        <f t="shared" si="3"/>
        <v>47558.6</v>
      </c>
      <c r="CJ76" s="832">
        <f>CE76</f>
        <v>0</v>
      </c>
      <c r="CK76" s="896"/>
      <c r="CL76" s="795">
        <f>CG76</f>
        <v>8459.14</v>
      </c>
      <c r="CM76" s="1244" t="s">
        <v>3</v>
      </c>
      <c r="CN76" s="1245"/>
      <c r="CO76" s="1245"/>
      <c r="CP76" s="1245"/>
      <c r="CQ76" s="1245"/>
      <c r="CR76" s="1245"/>
      <c r="CS76" s="1245"/>
      <c r="CT76" s="1245"/>
      <c r="CU76" s="1245"/>
      <c r="CV76" s="1245"/>
      <c r="CW76" s="1245"/>
      <c r="CX76" s="1245"/>
      <c r="CY76" s="1246"/>
    </row>
    <row r="77" spans="1:136" ht="37.15" customHeight="1" x14ac:dyDescent="0.2">
      <c r="A77" s="1298" t="s">
        <v>325</v>
      </c>
      <c r="B77" s="1299"/>
      <c r="C77" s="1299"/>
      <c r="D77" s="1299"/>
      <c r="E77" s="1299"/>
      <c r="F77" s="1299"/>
      <c r="G77" s="1299"/>
      <c r="H77" s="1299"/>
      <c r="I77" s="1299"/>
      <c r="J77" s="1299"/>
      <c r="K77" s="1299"/>
      <c r="L77" s="1299"/>
      <c r="M77" s="1299"/>
      <c r="N77" s="1299"/>
      <c r="O77" s="1299"/>
      <c r="P77" s="1299"/>
      <c r="Q77" s="1299"/>
      <c r="R77" s="1299"/>
      <c r="S77" s="1299"/>
      <c r="T77" s="1299"/>
      <c r="U77" s="1299"/>
      <c r="V77" s="1299"/>
      <c r="W77" s="1299"/>
      <c r="X77" s="1299"/>
      <c r="Y77" s="1299"/>
      <c r="Z77" s="1299"/>
      <c r="AA77" s="1299"/>
      <c r="AB77" s="1299"/>
      <c r="AC77" s="1299"/>
      <c r="AD77" s="1299"/>
      <c r="AE77" s="1299"/>
      <c r="AF77" s="1299"/>
      <c r="AG77" s="1299"/>
      <c r="AH77" s="1299"/>
      <c r="AI77" s="1299"/>
      <c r="AJ77" s="1299"/>
      <c r="AK77" s="1299"/>
      <c r="AL77" s="1299"/>
      <c r="AM77" s="1299"/>
      <c r="AN77" s="1299"/>
      <c r="AO77" s="1300"/>
      <c r="AP77" s="1297" t="s">
        <v>326</v>
      </c>
      <c r="AQ77" s="1286"/>
      <c r="AR77" s="1286"/>
      <c r="AS77" s="1286"/>
      <c r="AT77" s="1286"/>
      <c r="AU77" s="1286"/>
      <c r="AV77" s="1286"/>
      <c r="AW77" s="1287"/>
      <c r="AX77" s="1285" t="s">
        <v>320</v>
      </c>
      <c r="AY77" s="1286"/>
      <c r="AZ77" s="1286"/>
      <c r="BA77" s="1286"/>
      <c r="BB77" s="1286"/>
      <c r="BC77" s="1286"/>
      <c r="BD77" s="1286"/>
      <c r="BE77" s="1286"/>
      <c r="BF77" s="1286"/>
      <c r="BG77" s="1286"/>
      <c r="BH77" s="1286"/>
      <c r="BI77" s="1286"/>
      <c r="BJ77" s="1287"/>
      <c r="BK77" s="1285" t="s">
        <v>327</v>
      </c>
      <c r="BL77" s="1286"/>
      <c r="BM77" s="1286"/>
      <c r="BN77" s="1286"/>
      <c r="BO77" s="1286"/>
      <c r="BP77" s="1286"/>
      <c r="BQ77" s="1286"/>
      <c r="BR77" s="1286"/>
      <c r="BS77" s="1286"/>
      <c r="BT77" s="1286"/>
      <c r="BU77" s="1286"/>
      <c r="BV77" s="1286"/>
      <c r="BW77" s="1287"/>
      <c r="BX77" s="796">
        <f t="shared" ref="BX77:BX83" si="4">SUM(BY77:CB77)</f>
        <v>130000</v>
      </c>
      <c r="BY77" s="836">
        <f>'0701 211, 266'!DT104</f>
        <v>130000</v>
      </c>
      <c r="BZ77" s="832"/>
      <c r="CA77" s="901"/>
      <c r="CB77" s="833"/>
      <c r="CC77" s="902">
        <f>CD77</f>
        <v>100000</v>
      </c>
      <c r="CD77" s="836">
        <v>100000</v>
      </c>
      <c r="CE77" s="896"/>
      <c r="CF77" s="896"/>
      <c r="CG77" s="903"/>
      <c r="CH77" s="900">
        <f>CI77</f>
        <v>100000</v>
      </c>
      <c r="CI77" s="836">
        <f t="shared" si="3"/>
        <v>100000</v>
      </c>
      <c r="CJ77" s="904"/>
      <c r="CK77" s="904"/>
      <c r="CL77" s="797"/>
      <c r="CM77" s="1244" t="s">
        <v>3</v>
      </c>
      <c r="CN77" s="1245"/>
      <c r="CO77" s="1245"/>
      <c r="CP77" s="1245"/>
      <c r="CQ77" s="1245"/>
      <c r="CR77" s="1245"/>
      <c r="CS77" s="1245"/>
      <c r="CT77" s="1245"/>
      <c r="CU77" s="1245"/>
      <c r="CV77" s="1245"/>
      <c r="CW77" s="1245"/>
      <c r="CX77" s="1245"/>
      <c r="CY77" s="1246"/>
    </row>
    <row r="78" spans="1:136" ht="38.450000000000003" customHeight="1" x14ac:dyDescent="0.2">
      <c r="A78" s="1298" t="s">
        <v>325</v>
      </c>
      <c r="B78" s="1299"/>
      <c r="C78" s="1299"/>
      <c r="D78" s="1299"/>
      <c r="E78" s="1299"/>
      <c r="F78" s="1299"/>
      <c r="G78" s="1299"/>
      <c r="H78" s="1299"/>
      <c r="I78" s="1299"/>
      <c r="J78" s="1299"/>
      <c r="K78" s="1299"/>
      <c r="L78" s="1299"/>
      <c r="M78" s="1299"/>
      <c r="N78" s="1299"/>
      <c r="O78" s="1299"/>
      <c r="P78" s="1299"/>
      <c r="Q78" s="1299"/>
      <c r="R78" s="1299"/>
      <c r="S78" s="1299"/>
      <c r="T78" s="1299"/>
      <c r="U78" s="1299"/>
      <c r="V78" s="1299"/>
      <c r="W78" s="1299"/>
      <c r="X78" s="1299"/>
      <c r="Y78" s="1299"/>
      <c r="Z78" s="1299"/>
      <c r="AA78" s="1299"/>
      <c r="AB78" s="1299"/>
      <c r="AC78" s="1299"/>
      <c r="AD78" s="1299"/>
      <c r="AE78" s="1299"/>
      <c r="AF78" s="1299"/>
      <c r="AG78" s="1299"/>
      <c r="AH78" s="1299"/>
      <c r="AI78" s="1299"/>
      <c r="AJ78" s="1299"/>
      <c r="AK78" s="1299"/>
      <c r="AL78" s="1299"/>
      <c r="AM78" s="1299"/>
      <c r="AN78" s="1299"/>
      <c r="AO78" s="1300"/>
      <c r="AP78" s="1297" t="s">
        <v>326</v>
      </c>
      <c r="AQ78" s="1286"/>
      <c r="AR78" s="1286"/>
      <c r="AS78" s="1286"/>
      <c r="AT78" s="1286"/>
      <c r="AU78" s="1286"/>
      <c r="AV78" s="1286"/>
      <c r="AW78" s="1287"/>
      <c r="AX78" s="1285" t="s">
        <v>320</v>
      </c>
      <c r="AY78" s="1286"/>
      <c r="AZ78" s="1286"/>
      <c r="BA78" s="1286"/>
      <c r="BB78" s="1286"/>
      <c r="BC78" s="1286"/>
      <c r="BD78" s="1286"/>
      <c r="BE78" s="1286"/>
      <c r="BF78" s="1286"/>
      <c r="BG78" s="1286"/>
      <c r="BH78" s="1286"/>
      <c r="BI78" s="1286"/>
      <c r="BJ78" s="1287"/>
      <c r="BK78" s="1285" t="s">
        <v>328</v>
      </c>
      <c r="BL78" s="1286"/>
      <c r="BM78" s="1286"/>
      <c r="BN78" s="1286"/>
      <c r="BO78" s="1286"/>
      <c r="BP78" s="1286"/>
      <c r="BQ78" s="1286"/>
      <c r="BR78" s="1286"/>
      <c r="BS78" s="1286"/>
      <c r="BT78" s="1286"/>
      <c r="BU78" s="1286"/>
      <c r="BV78" s="1286"/>
      <c r="BW78" s="1287"/>
      <c r="BX78" s="796">
        <f>SUM(BY78:CB78)</f>
        <v>80000</v>
      </c>
      <c r="BY78" s="836">
        <f>'0702 211,266'!G112</f>
        <v>80000</v>
      </c>
      <c r="BZ78" s="832"/>
      <c r="CA78" s="901"/>
      <c r="CB78" s="833"/>
      <c r="CC78" s="902">
        <f>CD78+CE78+CF78+CG78</f>
        <v>80000</v>
      </c>
      <c r="CD78" s="836">
        <v>80000</v>
      </c>
      <c r="CE78" s="896"/>
      <c r="CF78" s="896"/>
      <c r="CG78" s="903"/>
      <c r="CH78" s="900">
        <f>CI78+CJ78+CK78+CL78</f>
        <v>80000</v>
      </c>
      <c r="CI78" s="836">
        <f t="shared" si="3"/>
        <v>80000</v>
      </c>
      <c r="CJ78" s="904"/>
      <c r="CK78" s="904"/>
      <c r="CL78" s="797"/>
      <c r="CM78" s="1244" t="s">
        <v>3</v>
      </c>
      <c r="CN78" s="1245"/>
      <c r="CO78" s="1245"/>
      <c r="CP78" s="1245"/>
      <c r="CQ78" s="1245"/>
      <c r="CR78" s="1245"/>
      <c r="CS78" s="1245"/>
      <c r="CT78" s="1245"/>
      <c r="CU78" s="1245"/>
      <c r="CV78" s="1245"/>
      <c r="CW78" s="1245"/>
      <c r="CX78" s="1245"/>
      <c r="CY78" s="1246"/>
    </row>
    <row r="79" spans="1:136" ht="37.15" customHeight="1" x14ac:dyDescent="0.2">
      <c r="A79" s="1298" t="s">
        <v>325</v>
      </c>
      <c r="B79" s="1299"/>
      <c r="C79" s="1299"/>
      <c r="D79" s="1299"/>
      <c r="E79" s="1299"/>
      <c r="F79" s="1299"/>
      <c r="G79" s="1299"/>
      <c r="H79" s="1299"/>
      <c r="I79" s="1299"/>
      <c r="J79" s="1299"/>
      <c r="K79" s="1299"/>
      <c r="L79" s="1299"/>
      <c r="M79" s="1299"/>
      <c r="N79" s="1299"/>
      <c r="O79" s="1299"/>
      <c r="P79" s="1299"/>
      <c r="Q79" s="1299"/>
      <c r="R79" s="1299"/>
      <c r="S79" s="1299"/>
      <c r="T79" s="1299"/>
      <c r="U79" s="1299"/>
      <c r="V79" s="1299"/>
      <c r="W79" s="1299"/>
      <c r="X79" s="1299"/>
      <c r="Y79" s="1299"/>
      <c r="Z79" s="1299"/>
      <c r="AA79" s="1299"/>
      <c r="AB79" s="1299"/>
      <c r="AC79" s="1299"/>
      <c r="AD79" s="1299"/>
      <c r="AE79" s="1299"/>
      <c r="AF79" s="1299"/>
      <c r="AG79" s="1299"/>
      <c r="AH79" s="1299"/>
      <c r="AI79" s="1299"/>
      <c r="AJ79" s="1299"/>
      <c r="AK79" s="1299"/>
      <c r="AL79" s="1299"/>
      <c r="AM79" s="1299"/>
      <c r="AN79" s="1299"/>
      <c r="AO79" s="1300"/>
      <c r="AP79" s="1297" t="s">
        <v>326</v>
      </c>
      <c r="AQ79" s="1286"/>
      <c r="AR79" s="1286"/>
      <c r="AS79" s="1286"/>
      <c r="AT79" s="1286"/>
      <c r="AU79" s="1286"/>
      <c r="AV79" s="1286"/>
      <c r="AW79" s="1287"/>
      <c r="AX79" s="1285" t="s">
        <v>329</v>
      </c>
      <c r="AY79" s="1286"/>
      <c r="AZ79" s="1286"/>
      <c r="BA79" s="1286"/>
      <c r="BB79" s="1286"/>
      <c r="BC79" s="1286"/>
      <c r="BD79" s="1286"/>
      <c r="BE79" s="1286"/>
      <c r="BF79" s="1286"/>
      <c r="BG79" s="1286"/>
      <c r="BH79" s="1286"/>
      <c r="BI79" s="1286"/>
      <c r="BJ79" s="1287"/>
      <c r="BK79" s="1285" t="s">
        <v>330</v>
      </c>
      <c r="BL79" s="1286"/>
      <c r="BM79" s="1286"/>
      <c r="BN79" s="1286"/>
      <c r="BO79" s="1286"/>
      <c r="BP79" s="1286"/>
      <c r="BQ79" s="1286"/>
      <c r="BR79" s="1286"/>
      <c r="BS79" s="1286"/>
      <c r="BT79" s="1286"/>
      <c r="BU79" s="1286"/>
      <c r="BV79" s="1286"/>
      <c r="BW79" s="1287"/>
      <c r="BX79" s="796">
        <f t="shared" si="4"/>
        <v>0</v>
      </c>
      <c r="BY79" s="836"/>
      <c r="BZ79" s="832"/>
      <c r="CA79" s="901"/>
      <c r="CB79" s="833"/>
      <c r="CC79" s="902"/>
      <c r="CD79" s="836"/>
      <c r="CE79" s="896"/>
      <c r="CF79" s="896"/>
      <c r="CG79" s="903"/>
      <c r="CH79" s="900"/>
      <c r="CI79" s="836"/>
      <c r="CJ79" s="904"/>
      <c r="CK79" s="904"/>
      <c r="CL79" s="797"/>
      <c r="CM79" s="1244" t="s">
        <v>3</v>
      </c>
      <c r="CN79" s="1245"/>
      <c r="CO79" s="1245"/>
      <c r="CP79" s="1245"/>
      <c r="CQ79" s="1245"/>
      <c r="CR79" s="1245"/>
      <c r="CS79" s="1245"/>
      <c r="CT79" s="1245"/>
      <c r="CU79" s="1245"/>
      <c r="CV79" s="1245"/>
      <c r="CW79" s="1245"/>
      <c r="CX79" s="1245"/>
      <c r="CY79" s="1246"/>
    </row>
    <row r="80" spans="1:136" ht="37.15" customHeight="1" x14ac:dyDescent="0.2">
      <c r="A80" s="1298" t="s">
        <v>325</v>
      </c>
      <c r="B80" s="1299"/>
      <c r="C80" s="1299"/>
      <c r="D80" s="1299"/>
      <c r="E80" s="1299"/>
      <c r="F80" s="1299"/>
      <c r="G80" s="1299"/>
      <c r="H80" s="1299"/>
      <c r="I80" s="1299"/>
      <c r="J80" s="1299"/>
      <c r="K80" s="1299"/>
      <c r="L80" s="1299"/>
      <c r="M80" s="1299"/>
      <c r="N80" s="1299"/>
      <c r="O80" s="1299"/>
      <c r="P80" s="1299"/>
      <c r="Q80" s="1299"/>
      <c r="R80" s="1299"/>
      <c r="S80" s="1299"/>
      <c r="T80" s="1299"/>
      <c r="U80" s="1299"/>
      <c r="V80" s="1299"/>
      <c r="W80" s="1299"/>
      <c r="X80" s="1299"/>
      <c r="Y80" s="1299"/>
      <c r="Z80" s="1299"/>
      <c r="AA80" s="1299"/>
      <c r="AB80" s="1299"/>
      <c r="AC80" s="1299"/>
      <c r="AD80" s="1299"/>
      <c r="AE80" s="1299"/>
      <c r="AF80" s="1299"/>
      <c r="AG80" s="1299"/>
      <c r="AH80" s="1299"/>
      <c r="AI80" s="1299"/>
      <c r="AJ80" s="1299"/>
      <c r="AK80" s="1299"/>
      <c r="AL80" s="1299"/>
      <c r="AM80" s="1299"/>
      <c r="AN80" s="1299"/>
      <c r="AO80" s="1300"/>
      <c r="AP80" s="1297" t="s">
        <v>326</v>
      </c>
      <c r="AQ80" s="1286"/>
      <c r="AR80" s="1286"/>
      <c r="AS80" s="1286"/>
      <c r="AT80" s="1286"/>
      <c r="AU80" s="1286"/>
      <c r="AV80" s="1286"/>
      <c r="AW80" s="1287"/>
      <c r="AX80" s="1285" t="s">
        <v>329</v>
      </c>
      <c r="AY80" s="1286"/>
      <c r="AZ80" s="1286"/>
      <c r="BA80" s="1286"/>
      <c r="BB80" s="1286"/>
      <c r="BC80" s="1286"/>
      <c r="BD80" s="1286"/>
      <c r="BE80" s="1286"/>
      <c r="BF80" s="1286"/>
      <c r="BG80" s="1286"/>
      <c r="BH80" s="1286"/>
      <c r="BI80" s="1286"/>
      <c r="BJ80" s="1287"/>
      <c r="BK80" s="1285" t="s">
        <v>1511</v>
      </c>
      <c r="BL80" s="1286"/>
      <c r="BM80" s="1286"/>
      <c r="BN80" s="1286"/>
      <c r="BO80" s="1286"/>
      <c r="BP80" s="1286"/>
      <c r="BQ80" s="1286"/>
      <c r="BR80" s="1286"/>
      <c r="BS80" s="1286"/>
      <c r="BT80" s="1286"/>
      <c r="BU80" s="1286"/>
      <c r="BV80" s="1286"/>
      <c r="BW80" s="1287"/>
      <c r="BX80" s="796">
        <f t="shared" ref="BX80" si="5">SUM(BY80:CB80)</f>
        <v>30000</v>
      </c>
      <c r="BY80" s="836"/>
      <c r="BZ80" s="832">
        <v>30000</v>
      </c>
      <c r="CA80" s="901"/>
      <c r="CB80" s="833"/>
      <c r="CC80" s="902"/>
      <c r="CD80" s="836"/>
      <c r="CE80" s="896"/>
      <c r="CF80" s="896"/>
      <c r="CG80" s="903"/>
      <c r="CH80" s="900"/>
      <c r="CI80" s="836"/>
      <c r="CJ80" s="904"/>
      <c r="CK80" s="904"/>
      <c r="CL80" s="797"/>
      <c r="CM80" s="792"/>
      <c r="CN80" s="793"/>
      <c r="CO80" s="793"/>
      <c r="CP80" s="793"/>
      <c r="CQ80" s="793"/>
      <c r="CR80" s="793"/>
      <c r="CS80" s="793"/>
      <c r="CT80" s="793"/>
      <c r="CU80" s="793"/>
      <c r="CV80" s="793"/>
      <c r="CW80" s="793"/>
      <c r="CX80" s="793"/>
      <c r="CY80" s="794"/>
    </row>
    <row r="81" spans="1:103" ht="42" customHeight="1" x14ac:dyDescent="0.2">
      <c r="A81" s="1298" t="s">
        <v>325</v>
      </c>
      <c r="B81" s="1299"/>
      <c r="C81" s="1299"/>
      <c r="D81" s="1299"/>
      <c r="E81" s="1299"/>
      <c r="F81" s="1299"/>
      <c r="G81" s="1299"/>
      <c r="H81" s="1299"/>
      <c r="I81" s="1299"/>
      <c r="J81" s="1299"/>
      <c r="K81" s="1299"/>
      <c r="L81" s="1299"/>
      <c r="M81" s="1299"/>
      <c r="N81" s="1299"/>
      <c r="O81" s="1299"/>
      <c r="P81" s="1299"/>
      <c r="Q81" s="1299"/>
      <c r="R81" s="1299"/>
      <c r="S81" s="1299"/>
      <c r="T81" s="1299"/>
      <c r="U81" s="1299"/>
      <c r="V81" s="1299"/>
      <c r="W81" s="1299"/>
      <c r="X81" s="1299"/>
      <c r="Y81" s="1299"/>
      <c r="Z81" s="1299"/>
      <c r="AA81" s="1299"/>
      <c r="AB81" s="1299"/>
      <c r="AC81" s="1299"/>
      <c r="AD81" s="1299"/>
      <c r="AE81" s="1299"/>
      <c r="AF81" s="1299"/>
      <c r="AG81" s="1299"/>
      <c r="AH81" s="1299"/>
      <c r="AI81" s="1299"/>
      <c r="AJ81" s="1299"/>
      <c r="AK81" s="1299"/>
      <c r="AL81" s="1299"/>
      <c r="AM81" s="1299"/>
      <c r="AN81" s="1299"/>
      <c r="AO81" s="1300"/>
      <c r="AP81" s="1297" t="s">
        <v>326</v>
      </c>
      <c r="AQ81" s="1286"/>
      <c r="AR81" s="1286"/>
      <c r="AS81" s="1286"/>
      <c r="AT81" s="1286"/>
      <c r="AU81" s="1286"/>
      <c r="AV81" s="1286"/>
      <c r="AW81" s="1287"/>
      <c r="AX81" s="1285" t="s">
        <v>329</v>
      </c>
      <c r="AY81" s="1286"/>
      <c r="AZ81" s="1286"/>
      <c r="BA81" s="1286"/>
      <c r="BB81" s="1286"/>
      <c r="BC81" s="1286"/>
      <c r="BD81" s="1286"/>
      <c r="BE81" s="1286"/>
      <c r="BF81" s="1286"/>
      <c r="BG81" s="1286"/>
      <c r="BH81" s="1286"/>
      <c r="BI81" s="1286"/>
      <c r="BJ81" s="1287"/>
      <c r="BK81" s="1285" t="s">
        <v>327</v>
      </c>
      <c r="BL81" s="1286"/>
      <c r="BM81" s="1286"/>
      <c r="BN81" s="1286"/>
      <c r="BO81" s="1286"/>
      <c r="BP81" s="1286"/>
      <c r="BQ81" s="1286"/>
      <c r="BR81" s="1286"/>
      <c r="BS81" s="1286"/>
      <c r="BT81" s="1286"/>
      <c r="BU81" s="1286"/>
      <c r="BV81" s="1286"/>
      <c r="BW81" s="1287"/>
      <c r="BX81" s="796">
        <f t="shared" si="4"/>
        <v>0</v>
      </c>
      <c r="BY81" s="836"/>
      <c r="BZ81" s="832"/>
      <c r="CA81" s="901"/>
      <c r="CB81" s="833"/>
      <c r="CC81" s="902">
        <f>CD81+CE81+CG81</f>
        <v>0</v>
      </c>
      <c r="CD81" s="836"/>
      <c r="CE81" s="896"/>
      <c r="CF81" s="896"/>
      <c r="CG81" s="903"/>
      <c r="CH81" s="900">
        <f>CI81+CJ81+CL81</f>
        <v>0</v>
      </c>
      <c r="CI81" s="836"/>
      <c r="CJ81" s="904"/>
      <c r="CK81" s="904"/>
      <c r="CL81" s="797"/>
      <c r="CM81" s="1244" t="s">
        <v>3</v>
      </c>
      <c r="CN81" s="1245"/>
      <c r="CO81" s="1245"/>
      <c r="CP81" s="1245"/>
      <c r="CQ81" s="1245"/>
      <c r="CR81" s="1245"/>
      <c r="CS81" s="1245"/>
      <c r="CT81" s="1245"/>
      <c r="CU81" s="1245"/>
      <c r="CV81" s="1245"/>
      <c r="CW81" s="1245"/>
      <c r="CX81" s="1245"/>
      <c r="CY81" s="1246"/>
    </row>
    <row r="82" spans="1:103" ht="43.5" customHeight="1" x14ac:dyDescent="0.2">
      <c r="A82" s="1298" t="s">
        <v>325</v>
      </c>
      <c r="B82" s="1299"/>
      <c r="C82" s="1299"/>
      <c r="D82" s="1299"/>
      <c r="E82" s="1299"/>
      <c r="F82" s="1299"/>
      <c r="G82" s="1299"/>
      <c r="H82" s="1299"/>
      <c r="I82" s="1299"/>
      <c r="J82" s="1299"/>
      <c r="K82" s="1299"/>
      <c r="L82" s="1299"/>
      <c r="M82" s="1299"/>
      <c r="N82" s="1299"/>
      <c r="O82" s="1299"/>
      <c r="P82" s="1299"/>
      <c r="Q82" s="1299"/>
      <c r="R82" s="1299"/>
      <c r="S82" s="1299"/>
      <c r="T82" s="1299"/>
      <c r="U82" s="1299"/>
      <c r="V82" s="1299"/>
      <c r="W82" s="1299"/>
      <c r="X82" s="1299"/>
      <c r="Y82" s="1299"/>
      <c r="Z82" s="1299"/>
      <c r="AA82" s="1299"/>
      <c r="AB82" s="1299"/>
      <c r="AC82" s="1299"/>
      <c r="AD82" s="1299"/>
      <c r="AE82" s="1299"/>
      <c r="AF82" s="1299"/>
      <c r="AG82" s="1299"/>
      <c r="AH82" s="1299"/>
      <c r="AI82" s="1299"/>
      <c r="AJ82" s="1299"/>
      <c r="AK82" s="1299"/>
      <c r="AL82" s="1299"/>
      <c r="AM82" s="1299"/>
      <c r="AN82" s="1299"/>
      <c r="AO82" s="1300"/>
      <c r="AP82" s="1297" t="s">
        <v>326</v>
      </c>
      <c r="AQ82" s="1286"/>
      <c r="AR82" s="1286"/>
      <c r="AS82" s="1286"/>
      <c r="AT82" s="1286"/>
      <c r="AU82" s="1286"/>
      <c r="AV82" s="1286"/>
      <c r="AW82" s="1287"/>
      <c r="AX82" s="1285" t="s">
        <v>329</v>
      </c>
      <c r="AY82" s="1286"/>
      <c r="AZ82" s="1286"/>
      <c r="BA82" s="1286"/>
      <c r="BB82" s="1286"/>
      <c r="BC82" s="1286"/>
      <c r="BD82" s="1286"/>
      <c r="BE82" s="1286"/>
      <c r="BF82" s="1286"/>
      <c r="BG82" s="1286"/>
      <c r="BH82" s="1286"/>
      <c r="BI82" s="1286"/>
      <c r="BJ82" s="1287"/>
      <c r="BK82" s="1285" t="s">
        <v>331</v>
      </c>
      <c r="BL82" s="1286"/>
      <c r="BM82" s="1286"/>
      <c r="BN82" s="1286"/>
      <c r="BO82" s="1286"/>
      <c r="BP82" s="1286"/>
      <c r="BQ82" s="1286"/>
      <c r="BR82" s="1286"/>
      <c r="BS82" s="1286"/>
      <c r="BT82" s="1286"/>
      <c r="BU82" s="1286"/>
      <c r="BV82" s="1286"/>
      <c r="BW82" s="1287"/>
      <c r="BX82" s="796">
        <f t="shared" si="4"/>
        <v>0</v>
      </c>
      <c r="BY82" s="836"/>
      <c r="BZ82" s="832"/>
      <c r="CA82" s="901"/>
      <c r="CB82" s="833"/>
      <c r="CC82" s="902">
        <f>CD82+CE82+CF82+CG82</f>
        <v>0</v>
      </c>
      <c r="CD82" s="836"/>
      <c r="CE82" s="896"/>
      <c r="CF82" s="896"/>
      <c r="CG82" s="903"/>
      <c r="CH82" s="900">
        <f>CI82+CJ82+CK82+CL82</f>
        <v>0</v>
      </c>
      <c r="CI82" s="836">
        <v>0</v>
      </c>
      <c r="CJ82" s="904"/>
      <c r="CK82" s="904"/>
      <c r="CL82" s="797"/>
      <c r="CM82" s="1244" t="s">
        <v>3</v>
      </c>
      <c r="CN82" s="1245"/>
      <c r="CO82" s="1245"/>
      <c r="CP82" s="1245"/>
      <c r="CQ82" s="1245"/>
      <c r="CR82" s="1245"/>
      <c r="CS82" s="1245"/>
      <c r="CT82" s="1245"/>
      <c r="CU82" s="1245"/>
      <c r="CV82" s="1245"/>
      <c r="CW82" s="1245"/>
      <c r="CX82" s="1245"/>
      <c r="CY82" s="1246"/>
    </row>
    <row r="83" spans="1:103" ht="36" customHeight="1" x14ac:dyDescent="0.2">
      <c r="A83" s="1298" t="s">
        <v>325</v>
      </c>
      <c r="B83" s="1299"/>
      <c r="C83" s="1299"/>
      <c r="D83" s="1299"/>
      <c r="E83" s="1299"/>
      <c r="F83" s="1299"/>
      <c r="G83" s="1299"/>
      <c r="H83" s="1299"/>
      <c r="I83" s="1299"/>
      <c r="J83" s="1299"/>
      <c r="K83" s="1299"/>
      <c r="L83" s="1299"/>
      <c r="M83" s="1299"/>
      <c r="N83" s="1299"/>
      <c r="O83" s="1299"/>
      <c r="P83" s="1299"/>
      <c r="Q83" s="1299"/>
      <c r="R83" s="1299"/>
      <c r="S83" s="1299"/>
      <c r="T83" s="1299"/>
      <c r="U83" s="1299"/>
      <c r="V83" s="1299"/>
      <c r="W83" s="1299"/>
      <c r="X83" s="1299"/>
      <c r="Y83" s="1299"/>
      <c r="Z83" s="1299"/>
      <c r="AA83" s="1299"/>
      <c r="AB83" s="1299"/>
      <c r="AC83" s="1299"/>
      <c r="AD83" s="1299"/>
      <c r="AE83" s="1299"/>
      <c r="AF83" s="1299"/>
      <c r="AG83" s="1299"/>
      <c r="AH83" s="1299"/>
      <c r="AI83" s="1299"/>
      <c r="AJ83" s="1299"/>
      <c r="AK83" s="1299"/>
      <c r="AL83" s="1299"/>
      <c r="AM83" s="1299"/>
      <c r="AN83" s="1299"/>
      <c r="AO83" s="1300"/>
      <c r="AP83" s="1297" t="s">
        <v>326</v>
      </c>
      <c r="AQ83" s="1286"/>
      <c r="AR83" s="1286"/>
      <c r="AS83" s="1286"/>
      <c r="AT83" s="1286"/>
      <c r="AU83" s="1286"/>
      <c r="AV83" s="1286"/>
      <c r="AW83" s="1287"/>
      <c r="AX83" s="1285" t="s">
        <v>329</v>
      </c>
      <c r="AY83" s="1286"/>
      <c r="AZ83" s="1286"/>
      <c r="BA83" s="1286"/>
      <c r="BB83" s="1286"/>
      <c r="BC83" s="1286"/>
      <c r="BD83" s="1286"/>
      <c r="BE83" s="1286"/>
      <c r="BF83" s="1286"/>
      <c r="BG83" s="1286"/>
      <c r="BH83" s="1286"/>
      <c r="BI83" s="1286"/>
      <c r="BJ83" s="1287"/>
      <c r="BK83" s="1285" t="s">
        <v>886</v>
      </c>
      <c r="BL83" s="1286"/>
      <c r="BM83" s="1286"/>
      <c r="BN83" s="1286"/>
      <c r="BO83" s="1286"/>
      <c r="BP83" s="1286"/>
      <c r="BQ83" s="1286"/>
      <c r="BR83" s="1286"/>
      <c r="BS83" s="1286"/>
      <c r="BT83" s="1286"/>
      <c r="BU83" s="1286"/>
      <c r="BV83" s="1286"/>
      <c r="BW83" s="1287"/>
      <c r="BX83" s="796">
        <f t="shared" si="4"/>
        <v>0</v>
      </c>
      <c r="BY83" s="836">
        <v>0</v>
      </c>
      <c r="BZ83" s="832"/>
      <c r="CA83" s="901"/>
      <c r="CB83" s="833">
        <f>'0709 222 225 226 227 346 (2)'!CH23</f>
        <v>0</v>
      </c>
      <c r="CC83" s="902">
        <f>CD83+CE83+CF83+CG83</f>
        <v>2727.9</v>
      </c>
      <c r="CD83" s="836">
        <v>2315.96</v>
      </c>
      <c r="CE83" s="896"/>
      <c r="CF83" s="896"/>
      <c r="CG83" s="903">
        <v>411.94</v>
      </c>
      <c r="CH83" s="900">
        <f>CI83+CJ83+CK83+CL83</f>
        <v>2727.9</v>
      </c>
      <c r="CI83" s="836">
        <v>2315.96</v>
      </c>
      <c r="CJ83" s="904"/>
      <c r="CK83" s="904"/>
      <c r="CL83" s="797">
        <f>CG83</f>
        <v>411.94</v>
      </c>
      <c r="CM83" s="1244" t="s">
        <v>3</v>
      </c>
      <c r="CN83" s="1245"/>
      <c r="CO83" s="1245"/>
      <c r="CP83" s="1245"/>
      <c r="CQ83" s="1245"/>
      <c r="CR83" s="1245"/>
      <c r="CS83" s="1245"/>
      <c r="CT83" s="1245"/>
      <c r="CU83" s="1245"/>
      <c r="CV83" s="1245"/>
      <c r="CW83" s="1245"/>
      <c r="CX83" s="1245"/>
      <c r="CY83" s="1246"/>
    </row>
    <row r="84" spans="1:103" ht="34.5" customHeight="1" x14ac:dyDescent="0.2">
      <c r="A84" s="1283" t="s">
        <v>332</v>
      </c>
      <c r="B84" s="1284"/>
      <c r="C84" s="1284"/>
      <c r="D84" s="1284"/>
      <c r="E84" s="1284"/>
      <c r="F84" s="1284"/>
      <c r="G84" s="1284"/>
      <c r="H84" s="1284"/>
      <c r="I84" s="1284"/>
      <c r="J84" s="1284"/>
      <c r="K84" s="1284"/>
      <c r="L84" s="1284"/>
      <c r="M84" s="1284"/>
      <c r="N84" s="1284"/>
      <c r="O84" s="1284"/>
      <c r="P84" s="1284"/>
      <c r="Q84" s="1284"/>
      <c r="R84" s="1284"/>
      <c r="S84" s="1284"/>
      <c r="T84" s="1284"/>
      <c r="U84" s="1284"/>
      <c r="V84" s="1284"/>
      <c r="W84" s="1284"/>
      <c r="X84" s="1284"/>
      <c r="Y84" s="1284"/>
      <c r="Z84" s="1284"/>
      <c r="AA84" s="1284"/>
      <c r="AB84" s="1284"/>
      <c r="AC84" s="1284"/>
      <c r="AD84" s="1284"/>
      <c r="AE84" s="1284"/>
      <c r="AF84" s="1284"/>
      <c r="AG84" s="1284"/>
      <c r="AH84" s="1284"/>
      <c r="AI84" s="1284"/>
      <c r="AJ84" s="1284"/>
      <c r="AK84" s="1284"/>
      <c r="AL84" s="1284"/>
      <c r="AM84" s="1284"/>
      <c r="AN84" s="1284"/>
      <c r="AO84" s="1284"/>
      <c r="AP84" s="1297" t="s">
        <v>333</v>
      </c>
      <c r="AQ84" s="1286"/>
      <c r="AR84" s="1286"/>
      <c r="AS84" s="1286"/>
      <c r="AT84" s="1286"/>
      <c r="AU84" s="1286"/>
      <c r="AV84" s="1286"/>
      <c r="AW84" s="1287"/>
      <c r="AX84" s="1285" t="s">
        <v>334</v>
      </c>
      <c r="AY84" s="1286"/>
      <c r="AZ84" s="1286"/>
      <c r="BA84" s="1286"/>
      <c r="BB84" s="1286"/>
      <c r="BC84" s="1286"/>
      <c r="BD84" s="1286"/>
      <c r="BE84" s="1286"/>
      <c r="BF84" s="1286"/>
      <c r="BG84" s="1286"/>
      <c r="BH84" s="1286"/>
      <c r="BI84" s="1286"/>
      <c r="BJ84" s="1287"/>
      <c r="BK84" s="1285"/>
      <c r="BL84" s="1286"/>
      <c r="BM84" s="1286"/>
      <c r="BN84" s="1286"/>
      <c r="BO84" s="1286"/>
      <c r="BP84" s="1286"/>
      <c r="BQ84" s="1286"/>
      <c r="BR84" s="1286"/>
      <c r="BS84" s="1286"/>
      <c r="BT84" s="1286"/>
      <c r="BU84" s="1286"/>
      <c r="BV84" s="1286"/>
      <c r="BW84" s="1287"/>
      <c r="BX84" s="796"/>
      <c r="BY84" s="904"/>
      <c r="BZ84" s="832"/>
      <c r="CA84" s="901"/>
      <c r="CB84" s="833"/>
      <c r="CC84" s="905"/>
      <c r="CD84" s="896"/>
      <c r="CE84" s="896"/>
      <c r="CF84" s="896"/>
      <c r="CG84" s="903"/>
      <c r="CH84" s="901"/>
      <c r="CI84" s="896"/>
      <c r="CJ84" s="904"/>
      <c r="CK84" s="904"/>
      <c r="CL84" s="797"/>
      <c r="CM84" s="1244" t="s">
        <v>3</v>
      </c>
      <c r="CN84" s="1245"/>
      <c r="CO84" s="1245"/>
      <c r="CP84" s="1245"/>
      <c r="CQ84" s="1245"/>
      <c r="CR84" s="1245"/>
      <c r="CS84" s="1245"/>
      <c r="CT84" s="1245"/>
      <c r="CU84" s="1245"/>
      <c r="CV84" s="1245"/>
      <c r="CW84" s="1245"/>
      <c r="CX84" s="1245"/>
      <c r="CY84" s="1246"/>
    </row>
    <row r="85" spans="1:103" ht="60.75" customHeight="1" x14ac:dyDescent="0.2">
      <c r="A85" s="1283" t="s">
        <v>335</v>
      </c>
      <c r="B85" s="1284"/>
      <c r="C85" s="1284"/>
      <c r="D85" s="1284"/>
      <c r="E85" s="1284"/>
      <c r="F85" s="1284"/>
      <c r="G85" s="1284"/>
      <c r="H85" s="1284"/>
      <c r="I85" s="1284"/>
      <c r="J85" s="1284"/>
      <c r="K85" s="1284"/>
      <c r="L85" s="1284"/>
      <c r="M85" s="1284"/>
      <c r="N85" s="1284"/>
      <c r="O85" s="1284"/>
      <c r="P85" s="1284"/>
      <c r="Q85" s="1284"/>
      <c r="R85" s="1284"/>
      <c r="S85" s="1284"/>
      <c r="T85" s="1284"/>
      <c r="U85" s="1284"/>
      <c r="V85" s="1284"/>
      <c r="W85" s="1284"/>
      <c r="X85" s="1284"/>
      <c r="Y85" s="1284"/>
      <c r="Z85" s="1284"/>
      <c r="AA85" s="1284"/>
      <c r="AB85" s="1284"/>
      <c r="AC85" s="1284"/>
      <c r="AD85" s="1284"/>
      <c r="AE85" s="1284"/>
      <c r="AF85" s="1284"/>
      <c r="AG85" s="1284"/>
      <c r="AH85" s="1284"/>
      <c r="AI85" s="1284"/>
      <c r="AJ85" s="1284"/>
      <c r="AK85" s="1284"/>
      <c r="AL85" s="1284"/>
      <c r="AM85" s="1284"/>
      <c r="AN85" s="1284"/>
      <c r="AO85" s="1284"/>
      <c r="AP85" s="1297" t="s">
        <v>336</v>
      </c>
      <c r="AQ85" s="1286"/>
      <c r="AR85" s="1286"/>
      <c r="AS85" s="1286"/>
      <c r="AT85" s="1286"/>
      <c r="AU85" s="1286"/>
      <c r="AV85" s="1286"/>
      <c r="AW85" s="1287"/>
      <c r="AX85" s="1285" t="s">
        <v>339</v>
      </c>
      <c r="AY85" s="1286"/>
      <c r="AZ85" s="1286"/>
      <c r="BA85" s="1286"/>
      <c r="BB85" s="1286"/>
      <c r="BC85" s="1286"/>
      <c r="BD85" s="1286"/>
      <c r="BE85" s="1286"/>
      <c r="BF85" s="1286"/>
      <c r="BG85" s="1286"/>
      <c r="BH85" s="1286"/>
      <c r="BI85" s="1286"/>
      <c r="BJ85" s="1287"/>
      <c r="BK85" s="1285"/>
      <c r="BL85" s="1286"/>
      <c r="BM85" s="1286"/>
      <c r="BN85" s="1286"/>
      <c r="BO85" s="1286"/>
      <c r="BP85" s="1286"/>
      <c r="BQ85" s="1286"/>
      <c r="BR85" s="1286"/>
      <c r="BS85" s="1286"/>
      <c r="BT85" s="1286"/>
      <c r="BU85" s="1286"/>
      <c r="BV85" s="1286"/>
      <c r="BW85" s="1287"/>
      <c r="BX85" s="798">
        <f>BY85+BZ85+CB85</f>
        <v>10400915.339999998</v>
      </c>
      <c r="BY85" s="906">
        <f>BY87+BY89+BY86+BY90+BY88+BY91</f>
        <v>10378914.679999998</v>
      </c>
      <c r="BZ85" s="907">
        <f>BZ87+BZ89+BZ97</f>
        <v>19446</v>
      </c>
      <c r="CA85" s="908"/>
      <c r="CB85" s="909">
        <f>CB90</f>
        <v>2554.66</v>
      </c>
      <c r="CC85" s="910">
        <f>CD85+CE85+CF85+CG85</f>
        <v>10071382.33</v>
      </c>
      <c r="CD85" s="906">
        <f>CD86+CD87+CD89+CD90+CD88</f>
        <v>10049381.67</v>
      </c>
      <c r="CE85" s="907">
        <v>19446</v>
      </c>
      <c r="CF85" s="911"/>
      <c r="CG85" s="912">
        <f>CB85</f>
        <v>2554.66</v>
      </c>
      <c r="CH85" s="913">
        <f>CI85+CJ85+CL85</f>
        <v>10102046.26</v>
      </c>
      <c r="CI85" s="906">
        <f>CI86+CI87+CI89+CI90+CI88</f>
        <v>10080045.6</v>
      </c>
      <c r="CJ85" s="906">
        <f>CJ89</f>
        <v>19446</v>
      </c>
      <c r="CK85" s="914"/>
      <c r="CL85" s="799">
        <f>CG85</f>
        <v>2554.66</v>
      </c>
      <c r="CM85" s="1244" t="s">
        <v>3</v>
      </c>
      <c r="CN85" s="1245"/>
      <c r="CO85" s="1245"/>
      <c r="CP85" s="1245"/>
      <c r="CQ85" s="1245"/>
      <c r="CR85" s="1245"/>
      <c r="CS85" s="1245"/>
      <c r="CT85" s="1245"/>
      <c r="CU85" s="1245"/>
      <c r="CV85" s="1245"/>
      <c r="CW85" s="1245"/>
      <c r="CX85" s="1245"/>
      <c r="CY85" s="1246"/>
    </row>
    <row r="86" spans="1:103" ht="36" customHeight="1" x14ac:dyDescent="0.2">
      <c r="A86" s="1283" t="s">
        <v>337</v>
      </c>
      <c r="B86" s="1284"/>
      <c r="C86" s="1284"/>
      <c r="D86" s="1284"/>
      <c r="E86" s="1284"/>
      <c r="F86" s="1284"/>
      <c r="G86" s="1284"/>
      <c r="H86" s="1284"/>
      <c r="I86" s="1284"/>
      <c r="J86" s="1284"/>
      <c r="K86" s="1284"/>
      <c r="L86" s="1284"/>
      <c r="M86" s="1284"/>
      <c r="N86" s="1284"/>
      <c r="O86" s="1284"/>
      <c r="P86" s="1284"/>
      <c r="Q86" s="1284"/>
      <c r="R86" s="1284"/>
      <c r="S86" s="1284"/>
      <c r="T86" s="1284"/>
      <c r="U86" s="1284"/>
      <c r="V86" s="1284"/>
      <c r="W86" s="1284"/>
      <c r="X86" s="1284"/>
      <c r="Y86" s="1284"/>
      <c r="Z86" s="1284"/>
      <c r="AA86" s="1284"/>
      <c r="AB86" s="1284"/>
      <c r="AC86" s="1284"/>
      <c r="AD86" s="1284"/>
      <c r="AE86" s="1284"/>
      <c r="AF86" s="1284"/>
      <c r="AG86" s="1284"/>
      <c r="AH86" s="1284"/>
      <c r="AI86" s="1284"/>
      <c r="AJ86" s="1284"/>
      <c r="AK86" s="1284"/>
      <c r="AL86" s="1284"/>
      <c r="AM86" s="1284"/>
      <c r="AN86" s="1284"/>
      <c r="AO86" s="1284"/>
      <c r="AP86" s="1297" t="s">
        <v>338</v>
      </c>
      <c r="AQ86" s="1286"/>
      <c r="AR86" s="1286"/>
      <c r="AS86" s="1286"/>
      <c r="AT86" s="1286"/>
      <c r="AU86" s="1286"/>
      <c r="AV86" s="1286"/>
      <c r="AW86" s="1287"/>
      <c r="AX86" s="1285" t="s">
        <v>339</v>
      </c>
      <c r="AY86" s="1286"/>
      <c r="AZ86" s="1286"/>
      <c r="BA86" s="1286"/>
      <c r="BB86" s="1286"/>
      <c r="BC86" s="1286"/>
      <c r="BD86" s="1286"/>
      <c r="BE86" s="1286"/>
      <c r="BF86" s="1286"/>
      <c r="BG86" s="1286"/>
      <c r="BH86" s="1286"/>
      <c r="BI86" s="1286"/>
      <c r="BJ86" s="1287"/>
      <c r="BK86" s="1285" t="s">
        <v>340</v>
      </c>
      <c r="BL86" s="1286"/>
      <c r="BM86" s="1286"/>
      <c r="BN86" s="1286"/>
      <c r="BO86" s="1286"/>
      <c r="BP86" s="1286"/>
      <c r="BQ86" s="1286"/>
      <c r="BR86" s="1286"/>
      <c r="BS86" s="1286"/>
      <c r="BT86" s="1286"/>
      <c r="BU86" s="1286"/>
      <c r="BV86" s="1286"/>
      <c r="BW86" s="1287"/>
      <c r="BX86" s="796">
        <f>SUM(BY86:CB86)</f>
        <v>4199009.8999999994</v>
      </c>
      <c r="BY86" s="836">
        <f>'0701 213 нов'!D23</f>
        <v>4199009.8999999994</v>
      </c>
      <c r="BZ86" s="832"/>
      <c r="CA86" s="901"/>
      <c r="CB86" s="833"/>
      <c r="CC86" s="902">
        <f>CD86+CE86+CG86</f>
        <v>4391597.68</v>
      </c>
      <c r="CD86" s="836">
        <v>4391597.68</v>
      </c>
      <c r="CE86" s="832"/>
      <c r="CF86" s="896"/>
      <c r="CG86" s="903"/>
      <c r="CH86" s="900">
        <f>CI86+CJ86+CL86</f>
        <v>4391597.68</v>
      </c>
      <c r="CI86" s="836">
        <f>CD86</f>
        <v>4391597.68</v>
      </c>
      <c r="CJ86" s="832"/>
      <c r="CK86" s="904"/>
      <c r="CL86" s="797"/>
      <c r="CM86" s="1244" t="s">
        <v>3</v>
      </c>
      <c r="CN86" s="1245"/>
      <c r="CO86" s="1245"/>
      <c r="CP86" s="1245"/>
      <c r="CQ86" s="1245"/>
      <c r="CR86" s="1245"/>
      <c r="CS86" s="1245"/>
      <c r="CT86" s="1245"/>
      <c r="CU86" s="1245"/>
      <c r="CV86" s="1245"/>
      <c r="CW86" s="1245"/>
      <c r="CX86" s="1245"/>
      <c r="CY86" s="1246"/>
    </row>
    <row r="87" spans="1:103" ht="25.5" customHeight="1" x14ac:dyDescent="0.2">
      <c r="A87" s="1283" t="s">
        <v>341</v>
      </c>
      <c r="B87" s="1284"/>
      <c r="C87" s="1284"/>
      <c r="D87" s="1284"/>
      <c r="E87" s="1284"/>
      <c r="F87" s="1284"/>
      <c r="G87" s="1284"/>
      <c r="H87" s="1284"/>
      <c r="I87" s="1284"/>
      <c r="J87" s="1284"/>
      <c r="K87" s="1284"/>
      <c r="L87" s="1284"/>
      <c r="M87" s="1284"/>
      <c r="N87" s="1284"/>
      <c r="O87" s="1284"/>
      <c r="P87" s="1284"/>
      <c r="Q87" s="1284"/>
      <c r="R87" s="1284"/>
      <c r="S87" s="1284"/>
      <c r="T87" s="1284"/>
      <c r="U87" s="1284"/>
      <c r="V87" s="1284"/>
      <c r="W87" s="1284"/>
      <c r="X87" s="1284"/>
      <c r="Y87" s="1284"/>
      <c r="Z87" s="1284"/>
      <c r="AA87" s="1284"/>
      <c r="AB87" s="1284"/>
      <c r="AC87" s="1284"/>
      <c r="AD87" s="1284"/>
      <c r="AE87" s="1284"/>
      <c r="AF87" s="1284"/>
      <c r="AG87" s="1284"/>
      <c r="AH87" s="1284"/>
      <c r="AI87" s="1284"/>
      <c r="AJ87" s="1284"/>
      <c r="AK87" s="1284"/>
      <c r="AL87" s="1284"/>
      <c r="AM87" s="1284"/>
      <c r="AN87" s="1284"/>
      <c r="AO87" s="1284"/>
      <c r="AP87" s="1297" t="s">
        <v>338</v>
      </c>
      <c r="AQ87" s="1286"/>
      <c r="AR87" s="1286"/>
      <c r="AS87" s="1286"/>
      <c r="AT87" s="1286"/>
      <c r="AU87" s="1286"/>
      <c r="AV87" s="1286"/>
      <c r="AW87" s="1287"/>
      <c r="AX87" s="1285" t="s">
        <v>339</v>
      </c>
      <c r="AY87" s="1286"/>
      <c r="AZ87" s="1286"/>
      <c r="BA87" s="1286"/>
      <c r="BB87" s="1286"/>
      <c r="BC87" s="1286"/>
      <c r="BD87" s="1286"/>
      <c r="BE87" s="1286"/>
      <c r="BF87" s="1286"/>
      <c r="BG87" s="1286"/>
      <c r="BH87" s="1286"/>
      <c r="BI87" s="1286"/>
      <c r="BJ87" s="1287"/>
      <c r="BK87" s="1285" t="s">
        <v>342</v>
      </c>
      <c r="BL87" s="1286"/>
      <c r="BM87" s="1286"/>
      <c r="BN87" s="1286"/>
      <c r="BO87" s="1286"/>
      <c r="BP87" s="1286"/>
      <c r="BQ87" s="1286"/>
      <c r="BR87" s="1286"/>
      <c r="BS87" s="1286"/>
      <c r="BT87" s="1286"/>
      <c r="BU87" s="1286"/>
      <c r="BV87" s="1286"/>
      <c r="BW87" s="1287"/>
      <c r="BX87" s="796">
        <f>SUM(BY87:CB87)</f>
        <v>6075003.0300000003</v>
      </c>
      <c r="BY87" s="836">
        <f>'0702 213 (2)'!D23</f>
        <v>6075003.0300000003</v>
      </c>
      <c r="BZ87" s="832"/>
      <c r="CA87" s="901"/>
      <c r="CB87" s="833"/>
      <c r="CC87" s="902">
        <f>CD87+CE87+CF87+CG87</f>
        <v>5561252.4400000004</v>
      </c>
      <c r="CD87" s="836">
        <v>5561252.4400000004</v>
      </c>
      <c r="CE87" s="832"/>
      <c r="CF87" s="896"/>
      <c r="CG87" s="903"/>
      <c r="CH87" s="900">
        <f>CI87+CJ87+CK87+CL87</f>
        <v>5561252.4400000004</v>
      </c>
      <c r="CI87" s="836">
        <f>CD87</f>
        <v>5561252.4400000004</v>
      </c>
      <c r="CJ87" s="832"/>
      <c r="CK87" s="904"/>
      <c r="CL87" s="797"/>
      <c r="CM87" s="1244" t="s">
        <v>3</v>
      </c>
      <c r="CN87" s="1245"/>
      <c r="CO87" s="1245"/>
      <c r="CP87" s="1245"/>
      <c r="CQ87" s="1245"/>
      <c r="CR87" s="1245"/>
      <c r="CS87" s="1245"/>
      <c r="CT87" s="1245"/>
      <c r="CU87" s="1245"/>
      <c r="CV87" s="1245"/>
      <c r="CW87" s="1245"/>
      <c r="CX87" s="1245"/>
      <c r="CY87" s="1246"/>
    </row>
    <row r="88" spans="1:103" ht="25.5" customHeight="1" x14ac:dyDescent="0.2">
      <c r="A88" s="1283" t="s">
        <v>885</v>
      </c>
      <c r="B88" s="1284"/>
      <c r="C88" s="1284"/>
      <c r="D88" s="1284"/>
      <c r="E88" s="1284"/>
      <c r="F88" s="1284"/>
      <c r="G88" s="1284"/>
      <c r="H88" s="1284"/>
      <c r="I88" s="1284"/>
      <c r="J88" s="1284"/>
      <c r="K88" s="1284"/>
      <c r="L88" s="1284"/>
      <c r="M88" s="1284"/>
      <c r="N88" s="1284"/>
      <c r="O88" s="1284"/>
      <c r="P88" s="1284"/>
      <c r="Q88" s="1284"/>
      <c r="R88" s="1284"/>
      <c r="S88" s="1284"/>
      <c r="T88" s="1284"/>
      <c r="U88" s="1284"/>
      <c r="V88" s="1284"/>
      <c r="W88" s="1284"/>
      <c r="X88" s="1284"/>
      <c r="Y88" s="1284"/>
      <c r="Z88" s="1284"/>
      <c r="AA88" s="1284"/>
      <c r="AB88" s="1284"/>
      <c r="AC88" s="1284"/>
      <c r="AD88" s="1284"/>
      <c r="AE88" s="1284"/>
      <c r="AF88" s="1284"/>
      <c r="AG88" s="1284"/>
      <c r="AH88" s="1284"/>
      <c r="AI88" s="1284"/>
      <c r="AJ88" s="1284"/>
      <c r="AK88" s="1284"/>
      <c r="AL88" s="1284"/>
      <c r="AM88" s="1284"/>
      <c r="AN88" s="1284"/>
      <c r="AO88" s="1284"/>
      <c r="AP88" s="1297" t="s">
        <v>338</v>
      </c>
      <c r="AQ88" s="1286"/>
      <c r="AR88" s="1286"/>
      <c r="AS88" s="1286"/>
      <c r="AT88" s="1286"/>
      <c r="AU88" s="1286"/>
      <c r="AV88" s="1286"/>
      <c r="AW88" s="1287"/>
      <c r="AX88" s="1285" t="s">
        <v>339</v>
      </c>
      <c r="AY88" s="1286"/>
      <c r="AZ88" s="1286"/>
      <c r="BA88" s="1286"/>
      <c r="BB88" s="1286"/>
      <c r="BC88" s="1286"/>
      <c r="BD88" s="1286"/>
      <c r="BE88" s="1286"/>
      <c r="BF88" s="1286"/>
      <c r="BG88" s="1286"/>
      <c r="BH88" s="1286"/>
      <c r="BI88" s="1286"/>
      <c r="BJ88" s="1287"/>
      <c r="BK88" s="1285" t="s">
        <v>884</v>
      </c>
      <c r="BL88" s="1286"/>
      <c r="BM88" s="1286"/>
      <c r="BN88" s="1286"/>
      <c r="BO88" s="1286"/>
      <c r="BP88" s="1286"/>
      <c r="BQ88" s="1286"/>
      <c r="BR88" s="1286"/>
      <c r="BS88" s="1286"/>
      <c r="BT88" s="1286"/>
      <c r="BU88" s="1286"/>
      <c r="BV88" s="1286"/>
      <c r="BW88" s="1287"/>
      <c r="BX88" s="796">
        <f>BY88</f>
        <v>82168.849999999991</v>
      </c>
      <c r="BY88" s="836">
        <f>'советник 213 нов'!D23</f>
        <v>82168.849999999991</v>
      </c>
      <c r="BZ88" s="832"/>
      <c r="CA88" s="901"/>
      <c r="CB88" s="833"/>
      <c r="CC88" s="902">
        <f>CD88</f>
        <v>82168.850000000006</v>
      </c>
      <c r="CD88" s="836">
        <v>82168.850000000006</v>
      </c>
      <c r="CE88" s="832"/>
      <c r="CF88" s="896"/>
      <c r="CG88" s="903"/>
      <c r="CH88" s="900">
        <f>CI88</f>
        <v>112832.78</v>
      </c>
      <c r="CI88" s="836">
        <f>63746.99+49085.79</f>
        <v>112832.78</v>
      </c>
      <c r="CJ88" s="832"/>
      <c r="CK88" s="904"/>
      <c r="CL88" s="797"/>
      <c r="CM88" s="792"/>
      <c r="CN88" s="793"/>
      <c r="CO88" s="793"/>
      <c r="CP88" s="793"/>
      <c r="CQ88" s="793"/>
      <c r="CR88" s="793"/>
      <c r="CS88" s="793"/>
      <c r="CT88" s="793"/>
      <c r="CU88" s="793"/>
      <c r="CV88" s="793"/>
      <c r="CW88" s="793"/>
      <c r="CX88" s="793"/>
      <c r="CY88" s="794"/>
    </row>
    <row r="89" spans="1:103" ht="25.5" customHeight="1" x14ac:dyDescent="0.2">
      <c r="A89" s="1283" t="s">
        <v>341</v>
      </c>
      <c r="B89" s="1284"/>
      <c r="C89" s="1284"/>
      <c r="D89" s="1284"/>
      <c r="E89" s="1284"/>
      <c r="F89" s="1284"/>
      <c r="G89" s="1284"/>
      <c r="H89" s="1284"/>
      <c r="I89" s="1284"/>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F89" s="1284"/>
      <c r="AG89" s="1284"/>
      <c r="AH89" s="1284"/>
      <c r="AI89" s="1284"/>
      <c r="AJ89" s="1284"/>
      <c r="AK89" s="1284"/>
      <c r="AL89" s="1284"/>
      <c r="AM89" s="1284"/>
      <c r="AN89" s="1284"/>
      <c r="AO89" s="1284"/>
      <c r="AP89" s="1297" t="s">
        <v>338</v>
      </c>
      <c r="AQ89" s="1286"/>
      <c r="AR89" s="1286"/>
      <c r="AS89" s="1286"/>
      <c r="AT89" s="1286"/>
      <c r="AU89" s="1286"/>
      <c r="AV89" s="1286"/>
      <c r="AW89" s="1287"/>
      <c r="AX89" s="1285" t="s">
        <v>339</v>
      </c>
      <c r="AY89" s="1286"/>
      <c r="AZ89" s="1286"/>
      <c r="BA89" s="1286"/>
      <c r="BB89" s="1286"/>
      <c r="BC89" s="1286"/>
      <c r="BD89" s="1286"/>
      <c r="BE89" s="1286"/>
      <c r="BF89" s="1286"/>
      <c r="BG89" s="1286"/>
      <c r="BH89" s="1286"/>
      <c r="BI89" s="1286"/>
      <c r="BJ89" s="1287"/>
      <c r="BK89" s="1285" t="s">
        <v>343</v>
      </c>
      <c r="BL89" s="1286"/>
      <c r="BM89" s="1286"/>
      <c r="BN89" s="1286"/>
      <c r="BO89" s="1286"/>
      <c r="BP89" s="1286"/>
      <c r="BQ89" s="1286"/>
      <c r="BR89" s="1286"/>
      <c r="BS89" s="1286"/>
      <c r="BT89" s="1286"/>
      <c r="BU89" s="1286"/>
      <c r="BV89" s="1286"/>
      <c r="BW89" s="1287"/>
      <c r="BX89" s="796">
        <f>BY89+CB89+BZ89</f>
        <v>19446</v>
      </c>
      <c r="BY89" s="836">
        <v>0</v>
      </c>
      <c r="BZ89" s="832">
        <f>'0707 213 нов'!I23</f>
        <v>19446</v>
      </c>
      <c r="CA89" s="901"/>
      <c r="CB89" s="833"/>
      <c r="CC89" s="902">
        <f>CD89+CE89+CF89+CG89</f>
        <v>19446</v>
      </c>
      <c r="CD89" s="836">
        <f>BY89</f>
        <v>0</v>
      </c>
      <c r="CE89" s="832">
        <v>19446</v>
      </c>
      <c r="CF89" s="896"/>
      <c r="CG89" s="903"/>
      <c r="CH89" s="900">
        <f>CI89+CJ89+CK89+CL89</f>
        <v>19446</v>
      </c>
      <c r="CI89" s="836">
        <f>CD89</f>
        <v>0</v>
      </c>
      <c r="CJ89" s="832">
        <f>CE89</f>
        <v>19446</v>
      </c>
      <c r="CK89" s="904"/>
      <c r="CL89" s="797">
        <f>CG89</f>
        <v>0</v>
      </c>
      <c r="CM89" s="1244" t="s">
        <v>3</v>
      </c>
      <c r="CN89" s="1245"/>
      <c r="CO89" s="1245"/>
      <c r="CP89" s="1245"/>
      <c r="CQ89" s="1245"/>
      <c r="CR89" s="1245"/>
      <c r="CS89" s="1245"/>
      <c r="CT89" s="1245"/>
      <c r="CU89" s="1245"/>
      <c r="CV89" s="1245"/>
      <c r="CW89" s="1245"/>
      <c r="CX89" s="1245"/>
      <c r="CY89" s="1246"/>
    </row>
    <row r="90" spans="1:103" ht="25.5" customHeight="1" x14ac:dyDescent="0.2">
      <c r="A90" s="1283" t="s">
        <v>341</v>
      </c>
      <c r="B90" s="1284"/>
      <c r="C90" s="1284"/>
      <c r="D90" s="1284"/>
      <c r="E90" s="1284"/>
      <c r="F90" s="1284"/>
      <c r="G90" s="1284"/>
      <c r="H90" s="1284"/>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F90" s="1284"/>
      <c r="AG90" s="1284"/>
      <c r="AH90" s="1284"/>
      <c r="AI90" s="1284"/>
      <c r="AJ90" s="1284"/>
      <c r="AK90" s="1284"/>
      <c r="AL90" s="1284"/>
      <c r="AM90" s="1284"/>
      <c r="AN90" s="1284"/>
      <c r="AO90" s="1284"/>
      <c r="AP90" s="1297" t="s">
        <v>338</v>
      </c>
      <c r="AQ90" s="1286"/>
      <c r="AR90" s="1286"/>
      <c r="AS90" s="1286"/>
      <c r="AT90" s="1286"/>
      <c r="AU90" s="1286"/>
      <c r="AV90" s="1286"/>
      <c r="AW90" s="1287"/>
      <c r="AX90" s="1285" t="s">
        <v>339</v>
      </c>
      <c r="AY90" s="1286"/>
      <c r="AZ90" s="1286"/>
      <c r="BA90" s="1286"/>
      <c r="BB90" s="1286"/>
      <c r="BC90" s="1286"/>
      <c r="BD90" s="1286"/>
      <c r="BE90" s="1286"/>
      <c r="BF90" s="1286"/>
      <c r="BG90" s="1286"/>
      <c r="BH90" s="1286"/>
      <c r="BI90" s="1286"/>
      <c r="BJ90" s="1287"/>
      <c r="BK90" s="1285" t="s">
        <v>715</v>
      </c>
      <c r="BL90" s="1286"/>
      <c r="BM90" s="1286"/>
      <c r="BN90" s="1286"/>
      <c r="BO90" s="1286"/>
      <c r="BP90" s="1286"/>
      <c r="BQ90" s="1286"/>
      <c r="BR90" s="1286"/>
      <c r="BS90" s="1286"/>
      <c r="BT90" s="1286"/>
      <c r="BU90" s="1286"/>
      <c r="BV90" s="1286"/>
      <c r="BW90" s="1287"/>
      <c r="BX90" s="796">
        <f>BY90+CB90+BZ90</f>
        <v>16917.36</v>
      </c>
      <c r="BY90" s="836">
        <v>14362.7</v>
      </c>
      <c r="BZ90" s="832">
        <v>0</v>
      </c>
      <c r="CA90" s="901"/>
      <c r="CB90" s="833">
        <f>'0709 213 нов '!J23</f>
        <v>2554.66</v>
      </c>
      <c r="CC90" s="902">
        <f>CD90+CE90+CF90+CG90</f>
        <v>16917.36</v>
      </c>
      <c r="CD90" s="836">
        <v>14362.7</v>
      </c>
      <c r="CE90" s="832">
        <f>BZ90</f>
        <v>0</v>
      </c>
      <c r="CF90" s="896"/>
      <c r="CG90" s="903">
        <v>2554.66</v>
      </c>
      <c r="CH90" s="900">
        <f>CI90+CJ90+CK90+CL90</f>
        <v>16917.36</v>
      </c>
      <c r="CI90" s="836">
        <f>CD90</f>
        <v>14362.7</v>
      </c>
      <c r="CJ90" s="832">
        <f>CE90</f>
        <v>0</v>
      </c>
      <c r="CK90" s="904"/>
      <c r="CL90" s="797">
        <f>CG90</f>
        <v>2554.66</v>
      </c>
      <c r="CM90" s="1244" t="s">
        <v>3</v>
      </c>
      <c r="CN90" s="1245"/>
      <c r="CO90" s="1245"/>
      <c r="CP90" s="1245"/>
      <c r="CQ90" s="1245"/>
      <c r="CR90" s="1245"/>
      <c r="CS90" s="1245"/>
      <c r="CT90" s="1245"/>
      <c r="CU90" s="1245"/>
      <c r="CV90" s="1245"/>
      <c r="CW90" s="1245"/>
      <c r="CX90" s="1245"/>
      <c r="CY90" s="1246"/>
    </row>
    <row r="91" spans="1:103" ht="21.75" customHeight="1" x14ac:dyDescent="0.2">
      <c r="A91" s="1298" t="s">
        <v>344</v>
      </c>
      <c r="B91" s="1299"/>
      <c r="C91" s="1299"/>
      <c r="D91" s="1299"/>
      <c r="E91" s="1299"/>
      <c r="F91" s="1299"/>
      <c r="G91" s="1299"/>
      <c r="H91" s="1299"/>
      <c r="I91" s="1299"/>
      <c r="J91" s="1299"/>
      <c r="K91" s="1299"/>
      <c r="L91" s="1299"/>
      <c r="M91" s="1299"/>
      <c r="N91" s="1299"/>
      <c r="O91" s="1299"/>
      <c r="P91" s="1299"/>
      <c r="Q91" s="1299"/>
      <c r="R91" s="1299"/>
      <c r="S91" s="1299"/>
      <c r="T91" s="1299"/>
      <c r="U91" s="1299"/>
      <c r="V91" s="1299"/>
      <c r="W91" s="1299"/>
      <c r="X91" s="1299"/>
      <c r="Y91" s="1299"/>
      <c r="Z91" s="1299"/>
      <c r="AA91" s="1299"/>
      <c r="AB91" s="1299"/>
      <c r="AC91" s="1299"/>
      <c r="AD91" s="1299"/>
      <c r="AE91" s="1299"/>
      <c r="AF91" s="1299"/>
      <c r="AG91" s="1299"/>
      <c r="AH91" s="1299"/>
      <c r="AI91" s="1299"/>
      <c r="AJ91" s="1299"/>
      <c r="AK91" s="1299"/>
      <c r="AL91" s="1299"/>
      <c r="AM91" s="1299"/>
      <c r="AN91" s="1299"/>
      <c r="AO91" s="1300"/>
      <c r="AP91" s="1297" t="s">
        <v>345</v>
      </c>
      <c r="AQ91" s="1286"/>
      <c r="AR91" s="1286"/>
      <c r="AS91" s="1286"/>
      <c r="AT91" s="1286"/>
      <c r="AU91" s="1286"/>
      <c r="AV91" s="1286"/>
      <c r="AW91" s="1287"/>
      <c r="AX91" s="1285" t="s">
        <v>339</v>
      </c>
      <c r="AY91" s="1286"/>
      <c r="AZ91" s="1286"/>
      <c r="BA91" s="1286"/>
      <c r="BB91" s="1286"/>
      <c r="BC91" s="1286"/>
      <c r="BD91" s="1286"/>
      <c r="BE91" s="1286"/>
      <c r="BF91" s="1286"/>
      <c r="BG91" s="1286"/>
      <c r="BH91" s="1286"/>
      <c r="BI91" s="1286"/>
      <c r="BJ91" s="1287"/>
      <c r="BK91" s="1285" t="s">
        <v>1470</v>
      </c>
      <c r="BL91" s="1286"/>
      <c r="BM91" s="1286"/>
      <c r="BN91" s="1286"/>
      <c r="BO91" s="1286"/>
      <c r="BP91" s="1286"/>
      <c r="BQ91" s="1286"/>
      <c r="BR91" s="1286"/>
      <c r="BS91" s="1286"/>
      <c r="BT91" s="1286"/>
      <c r="BU91" s="1286"/>
      <c r="BV91" s="1286"/>
      <c r="BW91" s="1287"/>
      <c r="BX91" s="796">
        <f>BY91+CB91+BZ91</f>
        <v>8370.2000000000007</v>
      </c>
      <c r="BY91" s="904">
        <v>8370.2000000000007</v>
      </c>
      <c r="BZ91" s="896"/>
      <c r="CA91" s="901"/>
      <c r="CB91" s="833"/>
      <c r="CC91" s="905"/>
      <c r="CD91" s="896"/>
      <c r="CE91" s="896"/>
      <c r="CF91" s="896"/>
      <c r="CG91" s="903"/>
      <c r="CH91" s="901"/>
      <c r="CI91" s="904"/>
      <c r="CJ91" s="904"/>
      <c r="CK91" s="904"/>
      <c r="CL91" s="797"/>
      <c r="CM91" s="1244" t="s">
        <v>3</v>
      </c>
      <c r="CN91" s="1245"/>
      <c r="CO91" s="1245"/>
      <c r="CP91" s="1245"/>
      <c r="CQ91" s="1245"/>
      <c r="CR91" s="1245"/>
      <c r="CS91" s="1245"/>
      <c r="CT91" s="1245"/>
      <c r="CU91" s="1245"/>
      <c r="CV91" s="1245"/>
      <c r="CW91" s="1245"/>
      <c r="CX91" s="1245"/>
      <c r="CY91" s="1246"/>
    </row>
    <row r="92" spans="1:103" ht="35.25" customHeight="1" x14ac:dyDescent="0.2">
      <c r="A92" s="1298" t="s">
        <v>346</v>
      </c>
      <c r="B92" s="1299"/>
      <c r="C92" s="1299"/>
      <c r="D92" s="1299"/>
      <c r="E92" s="1299"/>
      <c r="F92" s="1299"/>
      <c r="G92" s="1299"/>
      <c r="H92" s="1299"/>
      <c r="I92" s="1299"/>
      <c r="J92" s="1299"/>
      <c r="K92" s="1299"/>
      <c r="L92" s="1299"/>
      <c r="M92" s="1299"/>
      <c r="N92" s="1299"/>
      <c r="O92" s="1299"/>
      <c r="P92" s="1299"/>
      <c r="Q92" s="1299"/>
      <c r="R92" s="1299"/>
      <c r="S92" s="1299"/>
      <c r="T92" s="1299"/>
      <c r="U92" s="1299"/>
      <c r="V92" s="1299"/>
      <c r="W92" s="1299"/>
      <c r="X92" s="1299"/>
      <c r="Y92" s="1299"/>
      <c r="Z92" s="1299"/>
      <c r="AA92" s="1299"/>
      <c r="AB92" s="1299"/>
      <c r="AC92" s="1299"/>
      <c r="AD92" s="1299"/>
      <c r="AE92" s="1299"/>
      <c r="AF92" s="1299"/>
      <c r="AG92" s="1299"/>
      <c r="AH92" s="1299"/>
      <c r="AI92" s="1299"/>
      <c r="AJ92" s="1299"/>
      <c r="AK92" s="1299"/>
      <c r="AL92" s="1299"/>
      <c r="AM92" s="1299"/>
      <c r="AN92" s="1299"/>
      <c r="AO92" s="1300"/>
      <c r="AP92" s="1425" t="s">
        <v>347</v>
      </c>
      <c r="AQ92" s="1426"/>
      <c r="AR92" s="1426"/>
      <c r="AS92" s="1426"/>
      <c r="AT92" s="1426"/>
      <c r="AU92" s="1426"/>
      <c r="AV92" s="1426"/>
      <c r="AW92" s="1427"/>
      <c r="AX92" s="1428" t="s">
        <v>277</v>
      </c>
      <c r="AY92" s="1426"/>
      <c r="AZ92" s="1426"/>
      <c r="BA92" s="1426"/>
      <c r="BB92" s="1426"/>
      <c r="BC92" s="1426"/>
      <c r="BD92" s="1426"/>
      <c r="BE92" s="1426"/>
      <c r="BF92" s="1426"/>
      <c r="BG92" s="1426"/>
      <c r="BH92" s="1426"/>
      <c r="BI92" s="1426"/>
      <c r="BJ92" s="1427"/>
      <c r="BK92" s="1285"/>
      <c r="BL92" s="1286"/>
      <c r="BM92" s="1286"/>
      <c r="BN92" s="1286"/>
      <c r="BO92" s="1286"/>
      <c r="BP92" s="1286"/>
      <c r="BQ92" s="1286"/>
      <c r="BR92" s="1286"/>
      <c r="BS92" s="1286"/>
      <c r="BT92" s="1286"/>
      <c r="BU92" s="1286"/>
      <c r="BV92" s="1286"/>
      <c r="BW92" s="1287"/>
      <c r="BX92" s="800"/>
      <c r="BY92" s="915"/>
      <c r="BZ92" s="916"/>
      <c r="CA92" s="917"/>
      <c r="CB92" s="918"/>
      <c r="CC92" s="919"/>
      <c r="CD92" s="916"/>
      <c r="CE92" s="916"/>
      <c r="CF92" s="916"/>
      <c r="CG92" s="920"/>
      <c r="CH92" s="917"/>
      <c r="CI92" s="915"/>
      <c r="CJ92" s="915"/>
      <c r="CK92" s="915"/>
      <c r="CL92" s="801"/>
      <c r="CM92" s="1321" t="s">
        <v>3</v>
      </c>
      <c r="CN92" s="1322"/>
      <c r="CO92" s="1322"/>
      <c r="CP92" s="1322"/>
      <c r="CQ92" s="1322"/>
      <c r="CR92" s="1322"/>
      <c r="CS92" s="1322"/>
      <c r="CT92" s="1322"/>
      <c r="CU92" s="1322"/>
      <c r="CV92" s="1322"/>
      <c r="CW92" s="1322"/>
      <c r="CX92" s="1322"/>
      <c r="CY92" s="1323"/>
    </row>
    <row r="93" spans="1:103" ht="52.5" customHeight="1" x14ac:dyDescent="0.2">
      <c r="A93" s="1283" t="s">
        <v>1112</v>
      </c>
      <c r="B93" s="1284"/>
      <c r="C93" s="1284"/>
      <c r="D93" s="1284"/>
      <c r="E93" s="1284"/>
      <c r="F93" s="1284"/>
      <c r="G93" s="1284"/>
      <c r="H93" s="1284"/>
      <c r="I93" s="1284"/>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F93" s="1284"/>
      <c r="AG93" s="1284"/>
      <c r="AH93" s="1284"/>
      <c r="AI93" s="1284"/>
      <c r="AJ93" s="1284"/>
      <c r="AK93" s="1284"/>
      <c r="AL93" s="1284"/>
      <c r="AM93" s="1284"/>
      <c r="AN93" s="1284"/>
      <c r="AO93" s="1284"/>
      <c r="AP93" s="1297" t="s">
        <v>348</v>
      </c>
      <c r="AQ93" s="1286"/>
      <c r="AR93" s="1286"/>
      <c r="AS93" s="1286"/>
      <c r="AT93" s="1286"/>
      <c r="AU93" s="1286"/>
      <c r="AV93" s="1286"/>
      <c r="AW93" s="1287"/>
      <c r="AX93" s="1285" t="s">
        <v>1113</v>
      </c>
      <c r="AY93" s="1286"/>
      <c r="AZ93" s="1286"/>
      <c r="BA93" s="1286"/>
      <c r="BB93" s="1286"/>
      <c r="BC93" s="1286"/>
      <c r="BD93" s="1286"/>
      <c r="BE93" s="1286"/>
      <c r="BF93" s="1286"/>
      <c r="BG93" s="1286"/>
      <c r="BH93" s="1286"/>
      <c r="BI93" s="1286"/>
      <c r="BJ93" s="1287"/>
      <c r="BK93" s="1285"/>
      <c r="BL93" s="1286"/>
      <c r="BM93" s="1286"/>
      <c r="BN93" s="1286"/>
      <c r="BO93" s="1286"/>
      <c r="BP93" s="1286"/>
      <c r="BQ93" s="1286"/>
      <c r="BR93" s="1286"/>
      <c r="BS93" s="1286"/>
      <c r="BT93" s="1286"/>
      <c r="BU93" s="1286"/>
      <c r="BV93" s="1286"/>
      <c r="BW93" s="1287"/>
      <c r="BX93" s="796"/>
      <c r="BY93" s="904"/>
      <c r="BZ93" s="896"/>
      <c r="CA93" s="901"/>
      <c r="CB93" s="833"/>
      <c r="CC93" s="905"/>
      <c r="CD93" s="896"/>
      <c r="CE93" s="896"/>
      <c r="CF93" s="896"/>
      <c r="CG93" s="903"/>
      <c r="CH93" s="901"/>
      <c r="CI93" s="904"/>
      <c r="CJ93" s="904"/>
      <c r="CK93" s="904"/>
      <c r="CL93" s="797"/>
      <c r="CM93" s="1244" t="s">
        <v>3</v>
      </c>
      <c r="CN93" s="1245"/>
      <c r="CO93" s="1245"/>
      <c r="CP93" s="1245"/>
      <c r="CQ93" s="1245"/>
      <c r="CR93" s="1245"/>
      <c r="CS93" s="1245"/>
      <c r="CT93" s="1245"/>
      <c r="CU93" s="1245"/>
      <c r="CV93" s="1245"/>
      <c r="CW93" s="1245"/>
      <c r="CX93" s="1245"/>
      <c r="CY93" s="1246"/>
    </row>
    <row r="94" spans="1:103" ht="37.5" customHeight="1" x14ac:dyDescent="0.2">
      <c r="A94" s="1283" t="s">
        <v>349</v>
      </c>
      <c r="B94" s="1284"/>
      <c r="C94" s="1284"/>
      <c r="D94" s="1284"/>
      <c r="E94" s="1284"/>
      <c r="F94" s="1284"/>
      <c r="G94" s="1284"/>
      <c r="H94" s="1284"/>
      <c r="I94" s="1284"/>
      <c r="J94" s="1284"/>
      <c r="K94" s="1284"/>
      <c r="L94" s="1284"/>
      <c r="M94" s="1284"/>
      <c r="N94" s="1284"/>
      <c r="O94" s="1284"/>
      <c r="P94" s="1284"/>
      <c r="Q94" s="1284"/>
      <c r="R94" s="1284"/>
      <c r="S94" s="1284"/>
      <c r="T94" s="1284"/>
      <c r="U94" s="1284"/>
      <c r="V94" s="1284"/>
      <c r="W94" s="1284"/>
      <c r="X94" s="1284"/>
      <c r="Y94" s="1284"/>
      <c r="Z94" s="1284"/>
      <c r="AA94" s="1284"/>
      <c r="AB94" s="1284"/>
      <c r="AC94" s="1284"/>
      <c r="AD94" s="1284"/>
      <c r="AE94" s="1284"/>
      <c r="AF94" s="1284"/>
      <c r="AG94" s="1284"/>
      <c r="AH94" s="1284"/>
      <c r="AI94" s="1284"/>
      <c r="AJ94" s="1284"/>
      <c r="AK94" s="1284"/>
      <c r="AL94" s="1284"/>
      <c r="AM94" s="1284"/>
      <c r="AN94" s="1284"/>
      <c r="AO94" s="1284"/>
      <c r="AP94" s="1297" t="s">
        <v>350</v>
      </c>
      <c r="AQ94" s="1286"/>
      <c r="AR94" s="1286"/>
      <c r="AS94" s="1286"/>
      <c r="AT94" s="1286"/>
      <c r="AU94" s="1286"/>
      <c r="AV94" s="1286"/>
      <c r="AW94" s="1287"/>
      <c r="AX94" s="1285" t="s">
        <v>351</v>
      </c>
      <c r="AY94" s="1286"/>
      <c r="AZ94" s="1286"/>
      <c r="BA94" s="1286"/>
      <c r="BB94" s="1286"/>
      <c r="BC94" s="1286"/>
      <c r="BD94" s="1286"/>
      <c r="BE94" s="1286"/>
      <c r="BF94" s="1286"/>
      <c r="BG94" s="1286"/>
      <c r="BH94" s="1286"/>
      <c r="BI94" s="1286"/>
      <c r="BJ94" s="1287"/>
      <c r="BK94" s="1285"/>
      <c r="BL94" s="1286"/>
      <c r="BM94" s="1286"/>
      <c r="BN94" s="1286"/>
      <c r="BO94" s="1286"/>
      <c r="BP94" s="1286"/>
      <c r="BQ94" s="1286"/>
      <c r="BR94" s="1286"/>
      <c r="BS94" s="1286"/>
      <c r="BT94" s="1286"/>
      <c r="BU94" s="1286"/>
      <c r="BV94" s="1286"/>
      <c r="BW94" s="1287"/>
      <c r="BX94" s="796"/>
      <c r="BY94" s="904"/>
      <c r="BZ94" s="896"/>
      <c r="CA94" s="901"/>
      <c r="CB94" s="833"/>
      <c r="CC94" s="905"/>
      <c r="CD94" s="896"/>
      <c r="CE94" s="896"/>
      <c r="CF94" s="896"/>
      <c r="CG94" s="903"/>
      <c r="CH94" s="901"/>
      <c r="CI94" s="904"/>
      <c r="CJ94" s="904"/>
      <c r="CK94" s="904"/>
      <c r="CL94" s="797"/>
      <c r="CM94" s="1244" t="s">
        <v>3</v>
      </c>
      <c r="CN94" s="1245"/>
      <c r="CO94" s="1245"/>
      <c r="CP94" s="1245"/>
      <c r="CQ94" s="1245"/>
      <c r="CR94" s="1245"/>
      <c r="CS94" s="1245"/>
      <c r="CT94" s="1245"/>
      <c r="CU94" s="1245"/>
      <c r="CV94" s="1245"/>
      <c r="CW94" s="1245"/>
      <c r="CX94" s="1245"/>
      <c r="CY94" s="1246"/>
    </row>
    <row r="95" spans="1:103" ht="51" customHeight="1" x14ac:dyDescent="0.2">
      <c r="A95" s="1283" t="s">
        <v>352</v>
      </c>
      <c r="B95" s="1284"/>
      <c r="C95" s="1284"/>
      <c r="D95" s="1284"/>
      <c r="E95" s="1284"/>
      <c r="F95" s="1284"/>
      <c r="G95" s="1284"/>
      <c r="H95" s="1284"/>
      <c r="I95" s="1284"/>
      <c r="J95" s="1284"/>
      <c r="K95" s="1284"/>
      <c r="L95" s="1284"/>
      <c r="M95" s="1284"/>
      <c r="N95" s="1284"/>
      <c r="O95" s="1284"/>
      <c r="P95" s="1284"/>
      <c r="Q95" s="1284"/>
      <c r="R95" s="1284"/>
      <c r="S95" s="1284"/>
      <c r="T95" s="1284"/>
      <c r="U95" s="1284"/>
      <c r="V95" s="1284"/>
      <c r="W95" s="1284"/>
      <c r="X95" s="1284"/>
      <c r="Y95" s="1284"/>
      <c r="Z95" s="1284"/>
      <c r="AA95" s="1284"/>
      <c r="AB95" s="1284"/>
      <c r="AC95" s="1284"/>
      <c r="AD95" s="1284"/>
      <c r="AE95" s="1284"/>
      <c r="AF95" s="1284"/>
      <c r="AG95" s="1284"/>
      <c r="AH95" s="1284"/>
      <c r="AI95" s="1284"/>
      <c r="AJ95" s="1284"/>
      <c r="AK95" s="1284"/>
      <c r="AL95" s="1284"/>
      <c r="AM95" s="1284"/>
      <c r="AN95" s="1284"/>
      <c r="AO95" s="1284"/>
      <c r="AP95" s="1297" t="s">
        <v>1114</v>
      </c>
      <c r="AQ95" s="1286"/>
      <c r="AR95" s="1286"/>
      <c r="AS95" s="1286"/>
      <c r="AT95" s="1286"/>
      <c r="AU95" s="1286"/>
      <c r="AV95" s="1286"/>
      <c r="AW95" s="1287"/>
      <c r="AX95" s="1285" t="s">
        <v>353</v>
      </c>
      <c r="AY95" s="1286"/>
      <c r="AZ95" s="1286"/>
      <c r="BA95" s="1286"/>
      <c r="BB95" s="1286"/>
      <c r="BC95" s="1286"/>
      <c r="BD95" s="1286"/>
      <c r="BE95" s="1286"/>
      <c r="BF95" s="1286"/>
      <c r="BG95" s="1286"/>
      <c r="BH95" s="1286"/>
      <c r="BI95" s="1286"/>
      <c r="BJ95" s="1287"/>
      <c r="BK95" s="1285"/>
      <c r="BL95" s="1286"/>
      <c r="BM95" s="1286"/>
      <c r="BN95" s="1286"/>
      <c r="BO95" s="1286"/>
      <c r="BP95" s="1286"/>
      <c r="BQ95" s="1286"/>
      <c r="BR95" s="1286"/>
      <c r="BS95" s="1286"/>
      <c r="BT95" s="1286"/>
      <c r="BU95" s="1286"/>
      <c r="BV95" s="1286"/>
      <c r="BW95" s="1287"/>
      <c r="BX95" s="796"/>
      <c r="BY95" s="904"/>
      <c r="BZ95" s="896"/>
      <c r="CA95" s="901"/>
      <c r="CB95" s="833"/>
      <c r="CC95" s="905"/>
      <c r="CD95" s="896"/>
      <c r="CE95" s="896"/>
      <c r="CF95" s="896"/>
      <c r="CG95" s="903"/>
      <c r="CH95" s="901"/>
      <c r="CI95" s="904"/>
      <c r="CJ95" s="904"/>
      <c r="CK95" s="904"/>
      <c r="CL95" s="797"/>
      <c r="CM95" s="1244" t="s">
        <v>3</v>
      </c>
      <c r="CN95" s="1245"/>
      <c r="CO95" s="1245"/>
      <c r="CP95" s="1245"/>
      <c r="CQ95" s="1245"/>
      <c r="CR95" s="1245"/>
      <c r="CS95" s="1245"/>
      <c r="CT95" s="1245"/>
      <c r="CU95" s="1245"/>
      <c r="CV95" s="1245"/>
      <c r="CW95" s="1245"/>
      <c r="CX95" s="1245"/>
      <c r="CY95" s="1246"/>
    </row>
    <row r="96" spans="1:103" ht="36" customHeight="1" x14ac:dyDescent="0.2">
      <c r="A96" s="1283" t="s">
        <v>354</v>
      </c>
      <c r="B96" s="1284"/>
      <c r="C96" s="1284"/>
      <c r="D96" s="1284"/>
      <c r="E96" s="1284"/>
      <c r="F96" s="1284"/>
      <c r="G96" s="1284"/>
      <c r="H96" s="1284"/>
      <c r="I96" s="1284"/>
      <c r="J96" s="1284"/>
      <c r="K96" s="1284"/>
      <c r="L96" s="1284"/>
      <c r="M96" s="1284"/>
      <c r="N96" s="1284"/>
      <c r="O96" s="1284"/>
      <c r="P96" s="1284"/>
      <c r="Q96" s="1284"/>
      <c r="R96" s="1284"/>
      <c r="S96" s="1284"/>
      <c r="T96" s="1284"/>
      <c r="U96" s="1284"/>
      <c r="V96" s="1284"/>
      <c r="W96" s="1284"/>
      <c r="X96" s="1284"/>
      <c r="Y96" s="1284"/>
      <c r="Z96" s="1284"/>
      <c r="AA96" s="1284"/>
      <c r="AB96" s="1284"/>
      <c r="AC96" s="1284"/>
      <c r="AD96" s="1284"/>
      <c r="AE96" s="1284"/>
      <c r="AF96" s="1284"/>
      <c r="AG96" s="1284"/>
      <c r="AH96" s="1284"/>
      <c r="AI96" s="1284"/>
      <c r="AJ96" s="1284"/>
      <c r="AK96" s="1284"/>
      <c r="AL96" s="1284"/>
      <c r="AM96" s="1284"/>
      <c r="AN96" s="1284"/>
      <c r="AO96" s="1284"/>
      <c r="AP96" s="1297" t="s">
        <v>1115</v>
      </c>
      <c r="AQ96" s="1286"/>
      <c r="AR96" s="1286"/>
      <c r="AS96" s="1286"/>
      <c r="AT96" s="1286"/>
      <c r="AU96" s="1286"/>
      <c r="AV96" s="1286"/>
      <c r="AW96" s="1287"/>
      <c r="AX96" s="1285" t="s">
        <v>353</v>
      </c>
      <c r="AY96" s="1286"/>
      <c r="AZ96" s="1286"/>
      <c r="BA96" s="1286"/>
      <c r="BB96" s="1286"/>
      <c r="BC96" s="1286"/>
      <c r="BD96" s="1286"/>
      <c r="BE96" s="1286"/>
      <c r="BF96" s="1286"/>
      <c r="BG96" s="1286"/>
      <c r="BH96" s="1286"/>
      <c r="BI96" s="1286"/>
      <c r="BJ96" s="1287"/>
      <c r="BK96" s="1285"/>
      <c r="BL96" s="1286"/>
      <c r="BM96" s="1286"/>
      <c r="BN96" s="1286"/>
      <c r="BO96" s="1286"/>
      <c r="BP96" s="1286"/>
      <c r="BQ96" s="1286"/>
      <c r="BR96" s="1286"/>
      <c r="BS96" s="1286"/>
      <c r="BT96" s="1286"/>
      <c r="BU96" s="1286"/>
      <c r="BV96" s="1286"/>
      <c r="BW96" s="1287"/>
      <c r="BX96" s="796"/>
      <c r="BY96" s="904"/>
      <c r="BZ96" s="896"/>
      <c r="CA96" s="901"/>
      <c r="CB96" s="833"/>
      <c r="CC96" s="905"/>
      <c r="CD96" s="896"/>
      <c r="CE96" s="896"/>
      <c r="CF96" s="896"/>
      <c r="CG96" s="903"/>
      <c r="CH96" s="901"/>
      <c r="CI96" s="904"/>
      <c r="CJ96" s="904"/>
      <c r="CK96" s="904"/>
      <c r="CL96" s="797"/>
      <c r="CM96" s="1244" t="s">
        <v>3</v>
      </c>
      <c r="CN96" s="1245"/>
      <c r="CO96" s="1245"/>
      <c r="CP96" s="1245"/>
      <c r="CQ96" s="1245"/>
      <c r="CR96" s="1245"/>
      <c r="CS96" s="1245"/>
      <c r="CT96" s="1245"/>
      <c r="CU96" s="1245"/>
      <c r="CV96" s="1245"/>
      <c r="CW96" s="1245"/>
      <c r="CX96" s="1245"/>
      <c r="CY96" s="1246"/>
    </row>
    <row r="97" spans="1:103" ht="15" customHeight="1" x14ac:dyDescent="0.2">
      <c r="A97" s="1332" t="s">
        <v>355</v>
      </c>
      <c r="B97" s="1333"/>
      <c r="C97" s="1333"/>
      <c r="D97" s="1333"/>
      <c r="E97" s="1333"/>
      <c r="F97" s="1333"/>
      <c r="G97" s="1333"/>
      <c r="H97" s="1333"/>
      <c r="I97" s="1333"/>
      <c r="J97" s="1333"/>
      <c r="K97" s="1333"/>
      <c r="L97" s="1333"/>
      <c r="M97" s="1333"/>
      <c r="N97" s="1333"/>
      <c r="O97" s="1333"/>
      <c r="P97" s="1333"/>
      <c r="Q97" s="1333"/>
      <c r="R97" s="1333"/>
      <c r="S97" s="1333"/>
      <c r="T97" s="1333"/>
      <c r="U97" s="1333"/>
      <c r="V97" s="1333"/>
      <c r="W97" s="1333"/>
      <c r="X97" s="1333"/>
      <c r="Y97" s="1333"/>
      <c r="Z97" s="1333"/>
      <c r="AA97" s="1333"/>
      <c r="AB97" s="1333"/>
      <c r="AC97" s="1333"/>
      <c r="AD97" s="1333"/>
      <c r="AE97" s="1333"/>
      <c r="AF97" s="1333"/>
      <c r="AG97" s="1333"/>
      <c r="AH97" s="1333"/>
      <c r="AI97" s="1333"/>
      <c r="AJ97" s="1333"/>
      <c r="AK97" s="1333"/>
      <c r="AL97" s="1333"/>
      <c r="AM97" s="1333"/>
      <c r="AN97" s="1333"/>
      <c r="AO97" s="1333"/>
      <c r="AP97" s="1334" t="s">
        <v>356</v>
      </c>
      <c r="AQ97" s="1335"/>
      <c r="AR97" s="1335"/>
      <c r="AS97" s="1335"/>
      <c r="AT97" s="1335"/>
      <c r="AU97" s="1335"/>
      <c r="AV97" s="1335"/>
      <c r="AW97" s="1336"/>
      <c r="AX97" s="1334" t="s">
        <v>357</v>
      </c>
      <c r="AY97" s="1335"/>
      <c r="AZ97" s="1335"/>
      <c r="BA97" s="1335"/>
      <c r="BB97" s="1335"/>
      <c r="BC97" s="1335"/>
      <c r="BD97" s="1335"/>
      <c r="BE97" s="1335"/>
      <c r="BF97" s="1335"/>
      <c r="BG97" s="1335"/>
      <c r="BH97" s="1335"/>
      <c r="BI97" s="1335"/>
      <c r="BJ97" s="1336"/>
      <c r="BK97" s="1296"/>
      <c r="BL97" s="1296"/>
      <c r="BM97" s="1296"/>
      <c r="BN97" s="1296"/>
      <c r="BO97" s="1296"/>
      <c r="BP97" s="1296"/>
      <c r="BQ97" s="1296"/>
      <c r="BR97" s="1296"/>
      <c r="BS97" s="1296"/>
      <c r="BT97" s="1296"/>
      <c r="BU97" s="1296"/>
      <c r="BV97" s="1296"/>
      <c r="BW97" s="1296"/>
      <c r="BX97" s="788">
        <f>BY97+BZ97+CA97+CB97</f>
        <v>88171.02</v>
      </c>
      <c r="BY97" s="911">
        <f>BY101+BY100+BY99+BY98</f>
        <v>88171.02</v>
      </c>
      <c r="BZ97" s="911">
        <f>BZ102+BZ101+BZ100+BZ99+BZ98</f>
        <v>0</v>
      </c>
      <c r="CA97" s="911">
        <f t="shared" ref="CA97:CL97" si="6">CA98</f>
        <v>0</v>
      </c>
      <c r="CB97" s="909">
        <f t="shared" si="6"/>
        <v>0</v>
      </c>
      <c r="CC97" s="921">
        <f t="shared" si="6"/>
        <v>0</v>
      </c>
      <c r="CD97" s="911">
        <f t="shared" si="6"/>
        <v>0</v>
      </c>
      <c r="CE97" s="911">
        <f t="shared" si="6"/>
        <v>0</v>
      </c>
      <c r="CF97" s="911">
        <f t="shared" si="6"/>
        <v>0</v>
      </c>
      <c r="CG97" s="909">
        <f t="shared" si="6"/>
        <v>0</v>
      </c>
      <c r="CH97" s="922">
        <f t="shared" si="6"/>
        <v>0</v>
      </c>
      <c r="CI97" s="911">
        <f t="shared" si="6"/>
        <v>0</v>
      </c>
      <c r="CJ97" s="911">
        <f t="shared" si="6"/>
        <v>0</v>
      </c>
      <c r="CK97" s="911">
        <f t="shared" si="6"/>
        <v>0</v>
      </c>
      <c r="CL97" s="788">
        <f t="shared" si="6"/>
        <v>0</v>
      </c>
      <c r="CM97" s="1329"/>
      <c r="CN97" s="1330"/>
      <c r="CO97" s="1330"/>
      <c r="CP97" s="1330"/>
      <c r="CQ97" s="1330"/>
      <c r="CR97" s="1330"/>
      <c r="CS97" s="1330"/>
      <c r="CT97" s="1330"/>
      <c r="CU97" s="1330"/>
      <c r="CV97" s="1330"/>
      <c r="CW97" s="1330"/>
      <c r="CX97" s="1330"/>
      <c r="CY97" s="1331"/>
    </row>
    <row r="98" spans="1:103" ht="54.75" customHeight="1" x14ac:dyDescent="0.2">
      <c r="A98" s="1283" t="s">
        <v>358</v>
      </c>
      <c r="B98" s="1284"/>
      <c r="C98" s="1284"/>
      <c r="D98" s="1284"/>
      <c r="E98" s="1284"/>
      <c r="F98" s="1284"/>
      <c r="G98" s="1284"/>
      <c r="H98" s="1284"/>
      <c r="I98" s="1284"/>
      <c r="J98" s="1284"/>
      <c r="K98" s="1284"/>
      <c r="L98" s="1284"/>
      <c r="M98" s="1284"/>
      <c r="N98" s="1284"/>
      <c r="O98" s="1284"/>
      <c r="P98" s="1284"/>
      <c r="Q98" s="1284"/>
      <c r="R98" s="1284"/>
      <c r="S98" s="1284"/>
      <c r="T98" s="1284"/>
      <c r="U98" s="1284"/>
      <c r="V98" s="1284"/>
      <c r="W98" s="1284"/>
      <c r="X98" s="1284"/>
      <c r="Y98" s="1284"/>
      <c r="Z98" s="1284"/>
      <c r="AA98" s="1284"/>
      <c r="AB98" s="1284"/>
      <c r="AC98" s="1284"/>
      <c r="AD98" s="1284"/>
      <c r="AE98" s="1284"/>
      <c r="AF98" s="1284"/>
      <c r="AG98" s="1284"/>
      <c r="AH98" s="1284"/>
      <c r="AI98" s="1284"/>
      <c r="AJ98" s="1284"/>
      <c r="AK98" s="1284"/>
      <c r="AL98" s="1284"/>
      <c r="AM98" s="1284"/>
      <c r="AN98" s="1284"/>
      <c r="AO98" s="1284"/>
      <c r="AP98" s="1285" t="s">
        <v>359</v>
      </c>
      <c r="AQ98" s="1286"/>
      <c r="AR98" s="1286"/>
      <c r="AS98" s="1286"/>
      <c r="AT98" s="1286"/>
      <c r="AU98" s="1286"/>
      <c r="AV98" s="1286"/>
      <c r="AW98" s="1287"/>
      <c r="AX98" s="1285" t="s">
        <v>360</v>
      </c>
      <c r="AY98" s="1286"/>
      <c r="AZ98" s="1286"/>
      <c r="BA98" s="1286"/>
      <c r="BB98" s="1286"/>
      <c r="BC98" s="1286"/>
      <c r="BD98" s="1286"/>
      <c r="BE98" s="1286"/>
      <c r="BF98" s="1286"/>
      <c r="BG98" s="1286"/>
      <c r="BH98" s="1286"/>
      <c r="BI98" s="1286"/>
      <c r="BJ98" s="1287"/>
      <c r="BK98" s="1288"/>
      <c r="BL98" s="1288"/>
      <c r="BM98" s="1288"/>
      <c r="BN98" s="1288"/>
      <c r="BO98" s="1288"/>
      <c r="BP98" s="1288"/>
      <c r="BQ98" s="1288"/>
      <c r="BR98" s="1288"/>
      <c r="BS98" s="1288"/>
      <c r="BT98" s="1288"/>
      <c r="BU98" s="1288"/>
      <c r="BV98" s="1288"/>
      <c r="BW98" s="1288"/>
      <c r="BX98" s="795"/>
      <c r="BY98" s="896"/>
      <c r="BZ98" s="896"/>
      <c r="CA98" s="896"/>
      <c r="CB98" s="833"/>
      <c r="CC98" s="897"/>
      <c r="CD98" s="896"/>
      <c r="CE98" s="896"/>
      <c r="CF98" s="896"/>
      <c r="CG98" s="833"/>
      <c r="CH98" s="898"/>
      <c r="CI98" s="896"/>
      <c r="CJ98" s="896"/>
      <c r="CK98" s="896"/>
      <c r="CL98" s="795"/>
      <c r="CM98" s="1244"/>
      <c r="CN98" s="1245"/>
      <c r="CO98" s="1245"/>
      <c r="CP98" s="1245"/>
      <c r="CQ98" s="1245"/>
      <c r="CR98" s="1245"/>
      <c r="CS98" s="1245"/>
      <c r="CT98" s="1245"/>
      <c r="CU98" s="1245"/>
      <c r="CV98" s="1245"/>
      <c r="CW98" s="1245"/>
      <c r="CX98" s="1245"/>
      <c r="CY98" s="1301"/>
    </row>
    <row r="99" spans="1:103" ht="57" customHeight="1" x14ac:dyDescent="0.2">
      <c r="A99" s="1283" t="s">
        <v>361</v>
      </c>
      <c r="B99" s="1284"/>
      <c r="C99" s="1284"/>
      <c r="D99" s="1284"/>
      <c r="E99" s="1284"/>
      <c r="F99" s="1284"/>
      <c r="G99" s="1284"/>
      <c r="H99" s="1284"/>
      <c r="I99" s="1284"/>
      <c r="J99" s="1284"/>
      <c r="K99" s="1284"/>
      <c r="L99" s="1284"/>
      <c r="M99" s="1284"/>
      <c r="N99" s="1284"/>
      <c r="O99" s="1284"/>
      <c r="P99" s="1284"/>
      <c r="Q99" s="1284"/>
      <c r="R99" s="1284"/>
      <c r="S99" s="1284"/>
      <c r="T99" s="1284"/>
      <c r="U99" s="1284"/>
      <c r="V99" s="1284"/>
      <c r="W99" s="1284"/>
      <c r="X99" s="1284"/>
      <c r="Y99" s="1284"/>
      <c r="Z99" s="1284"/>
      <c r="AA99" s="1284"/>
      <c r="AB99" s="1284"/>
      <c r="AC99" s="1284"/>
      <c r="AD99" s="1284"/>
      <c r="AE99" s="1284"/>
      <c r="AF99" s="1284"/>
      <c r="AG99" s="1284"/>
      <c r="AH99" s="1284"/>
      <c r="AI99" s="1284"/>
      <c r="AJ99" s="1284"/>
      <c r="AK99" s="1284"/>
      <c r="AL99" s="1284"/>
      <c r="AM99" s="1284"/>
      <c r="AN99" s="1284"/>
      <c r="AO99" s="1284"/>
      <c r="AP99" s="1285" t="s">
        <v>362</v>
      </c>
      <c r="AQ99" s="1286"/>
      <c r="AR99" s="1286"/>
      <c r="AS99" s="1286"/>
      <c r="AT99" s="1286"/>
      <c r="AU99" s="1286"/>
      <c r="AV99" s="1286"/>
      <c r="AW99" s="1287"/>
      <c r="AX99" s="1285" t="s">
        <v>363</v>
      </c>
      <c r="AY99" s="1286"/>
      <c r="AZ99" s="1286"/>
      <c r="BA99" s="1286"/>
      <c r="BB99" s="1286"/>
      <c r="BC99" s="1286"/>
      <c r="BD99" s="1286"/>
      <c r="BE99" s="1286"/>
      <c r="BF99" s="1286"/>
      <c r="BG99" s="1286"/>
      <c r="BH99" s="1286"/>
      <c r="BI99" s="1286"/>
      <c r="BJ99" s="1287"/>
      <c r="BK99" s="1288" t="s">
        <v>1336</v>
      </c>
      <c r="BL99" s="1288"/>
      <c r="BM99" s="1288"/>
      <c r="BN99" s="1288"/>
      <c r="BO99" s="1288"/>
      <c r="BP99" s="1288"/>
      <c r="BQ99" s="1288"/>
      <c r="BR99" s="1288"/>
      <c r="BS99" s="1288"/>
      <c r="BT99" s="1288"/>
      <c r="BU99" s="1288"/>
      <c r="BV99" s="1288"/>
      <c r="BW99" s="1288"/>
      <c r="BX99" s="795">
        <f>BZ99+CA99+CB99+BY99</f>
        <v>88171.02</v>
      </c>
      <c r="BY99" s="896">
        <v>88171.02</v>
      </c>
      <c r="BZ99" s="896"/>
      <c r="CA99" s="896"/>
      <c r="CB99" s="833"/>
      <c r="CC99" s="897"/>
      <c r="CD99" s="896"/>
      <c r="CE99" s="896"/>
      <c r="CF99" s="896"/>
      <c r="CG99" s="833"/>
      <c r="CH99" s="898"/>
      <c r="CI99" s="896"/>
      <c r="CJ99" s="896"/>
      <c r="CK99" s="896"/>
      <c r="CL99" s="795"/>
      <c r="CM99" s="1244"/>
      <c r="CN99" s="1245"/>
      <c r="CO99" s="1245"/>
      <c r="CP99" s="1245"/>
      <c r="CQ99" s="1245"/>
      <c r="CR99" s="1245"/>
      <c r="CS99" s="1245"/>
      <c r="CT99" s="1245"/>
      <c r="CU99" s="1245"/>
      <c r="CV99" s="1245"/>
      <c r="CW99" s="1245"/>
      <c r="CX99" s="1245"/>
      <c r="CY99" s="1301"/>
    </row>
    <row r="100" spans="1:103" ht="45" customHeight="1" x14ac:dyDescent="0.2">
      <c r="A100" s="1283" t="s">
        <v>364</v>
      </c>
      <c r="B100" s="1284"/>
      <c r="C100" s="1284"/>
      <c r="D100" s="1284"/>
      <c r="E100" s="1284"/>
      <c r="F100" s="1284"/>
      <c r="G100" s="1284"/>
      <c r="H100" s="1284"/>
      <c r="I100" s="1284"/>
      <c r="J100" s="1284"/>
      <c r="K100" s="1284"/>
      <c r="L100" s="1284"/>
      <c r="M100" s="1284"/>
      <c r="N100" s="1284"/>
      <c r="O100" s="1284"/>
      <c r="P100" s="1284"/>
      <c r="Q100" s="1284"/>
      <c r="R100" s="1284"/>
      <c r="S100" s="1284"/>
      <c r="T100" s="1284"/>
      <c r="U100" s="1284"/>
      <c r="V100" s="1284"/>
      <c r="W100" s="1284"/>
      <c r="X100" s="1284"/>
      <c r="Y100" s="1284"/>
      <c r="Z100" s="1284"/>
      <c r="AA100" s="1284"/>
      <c r="AB100" s="1284"/>
      <c r="AC100" s="1284"/>
      <c r="AD100" s="1284"/>
      <c r="AE100" s="1284"/>
      <c r="AF100" s="1284"/>
      <c r="AG100" s="1284"/>
      <c r="AH100" s="1284"/>
      <c r="AI100" s="1284"/>
      <c r="AJ100" s="1284"/>
      <c r="AK100" s="1284"/>
      <c r="AL100" s="1284"/>
      <c r="AM100" s="1284"/>
      <c r="AN100" s="1284"/>
      <c r="AO100" s="1284"/>
      <c r="AP100" s="1285" t="s">
        <v>365</v>
      </c>
      <c r="AQ100" s="1286"/>
      <c r="AR100" s="1286"/>
      <c r="AS100" s="1286"/>
      <c r="AT100" s="1286"/>
      <c r="AU100" s="1286"/>
      <c r="AV100" s="1286"/>
      <c r="AW100" s="1287"/>
      <c r="AX100" s="1285" t="s">
        <v>366</v>
      </c>
      <c r="AY100" s="1286"/>
      <c r="AZ100" s="1286"/>
      <c r="BA100" s="1286"/>
      <c r="BB100" s="1286"/>
      <c r="BC100" s="1286"/>
      <c r="BD100" s="1286"/>
      <c r="BE100" s="1286"/>
      <c r="BF100" s="1286"/>
      <c r="BG100" s="1286"/>
      <c r="BH100" s="1286"/>
      <c r="BI100" s="1286"/>
      <c r="BJ100" s="1287"/>
      <c r="BK100" s="1288"/>
      <c r="BL100" s="1288"/>
      <c r="BM100" s="1288"/>
      <c r="BN100" s="1288"/>
      <c r="BO100" s="1288"/>
      <c r="BP100" s="1288"/>
      <c r="BQ100" s="1288"/>
      <c r="BR100" s="1288"/>
      <c r="BS100" s="1288"/>
      <c r="BT100" s="1288"/>
      <c r="BU100" s="1288"/>
      <c r="BV100" s="1288"/>
      <c r="BW100" s="1288"/>
      <c r="BX100" s="795"/>
      <c r="BY100" s="896"/>
      <c r="BZ100" s="896"/>
      <c r="CA100" s="896"/>
      <c r="CB100" s="833"/>
      <c r="CC100" s="897"/>
      <c r="CD100" s="896"/>
      <c r="CE100" s="896"/>
      <c r="CF100" s="896"/>
      <c r="CG100" s="833"/>
      <c r="CH100" s="898"/>
      <c r="CI100" s="896"/>
      <c r="CJ100" s="896"/>
      <c r="CK100" s="896"/>
      <c r="CL100" s="795"/>
      <c r="CM100" s="1244"/>
      <c r="CN100" s="1245"/>
      <c r="CO100" s="1245"/>
      <c r="CP100" s="1245"/>
      <c r="CQ100" s="1245"/>
      <c r="CR100" s="1245"/>
      <c r="CS100" s="1245"/>
      <c r="CT100" s="1245"/>
      <c r="CU100" s="1245"/>
      <c r="CV100" s="1245"/>
      <c r="CW100" s="1245"/>
      <c r="CX100" s="1245"/>
      <c r="CY100" s="1301"/>
    </row>
    <row r="101" spans="1:103" ht="72.75" customHeight="1" x14ac:dyDescent="0.2">
      <c r="A101" s="1283" t="s">
        <v>367</v>
      </c>
      <c r="B101" s="1284"/>
      <c r="C101" s="1284"/>
      <c r="D101" s="1284"/>
      <c r="E101" s="1284"/>
      <c r="F101" s="1284"/>
      <c r="G101" s="1284"/>
      <c r="H101" s="1284"/>
      <c r="I101" s="1284"/>
      <c r="J101" s="1284"/>
      <c r="K101" s="1284"/>
      <c r="L101" s="1284"/>
      <c r="M101" s="1284"/>
      <c r="N101" s="1284"/>
      <c r="O101" s="1284"/>
      <c r="P101" s="1284"/>
      <c r="Q101" s="1284"/>
      <c r="R101" s="1284"/>
      <c r="S101" s="1284"/>
      <c r="T101" s="1284"/>
      <c r="U101" s="1284"/>
      <c r="V101" s="1284"/>
      <c r="W101" s="1284"/>
      <c r="X101" s="1284"/>
      <c r="Y101" s="1284"/>
      <c r="Z101" s="1284"/>
      <c r="AA101" s="1284"/>
      <c r="AB101" s="1284"/>
      <c r="AC101" s="1284"/>
      <c r="AD101" s="1284"/>
      <c r="AE101" s="1284"/>
      <c r="AF101" s="1284"/>
      <c r="AG101" s="1284"/>
      <c r="AH101" s="1284"/>
      <c r="AI101" s="1284"/>
      <c r="AJ101" s="1284"/>
      <c r="AK101" s="1284"/>
      <c r="AL101" s="1284"/>
      <c r="AM101" s="1284"/>
      <c r="AN101" s="1284"/>
      <c r="AO101" s="1284"/>
      <c r="AP101" s="1285" t="s">
        <v>368</v>
      </c>
      <c r="AQ101" s="1286"/>
      <c r="AR101" s="1286"/>
      <c r="AS101" s="1286"/>
      <c r="AT101" s="1286"/>
      <c r="AU101" s="1286"/>
      <c r="AV101" s="1286"/>
      <c r="AW101" s="1287"/>
      <c r="AX101" s="1285" t="s">
        <v>369</v>
      </c>
      <c r="AY101" s="1286"/>
      <c r="AZ101" s="1286"/>
      <c r="BA101" s="1286"/>
      <c r="BB101" s="1286"/>
      <c r="BC101" s="1286"/>
      <c r="BD101" s="1286"/>
      <c r="BE101" s="1286"/>
      <c r="BF101" s="1286"/>
      <c r="BG101" s="1286"/>
      <c r="BH101" s="1286"/>
      <c r="BI101" s="1286"/>
      <c r="BJ101" s="1287"/>
      <c r="BK101" s="1288"/>
      <c r="BL101" s="1288"/>
      <c r="BM101" s="1288"/>
      <c r="BN101" s="1288"/>
      <c r="BO101" s="1288"/>
      <c r="BP101" s="1288"/>
      <c r="BQ101" s="1288"/>
      <c r="BR101" s="1288"/>
      <c r="BS101" s="1288"/>
      <c r="BT101" s="1288"/>
      <c r="BU101" s="1288"/>
      <c r="BV101" s="1288"/>
      <c r="BW101" s="1288"/>
      <c r="BX101" s="795"/>
      <c r="BY101" s="896"/>
      <c r="BZ101" s="896"/>
      <c r="CA101" s="896"/>
      <c r="CB101" s="833"/>
      <c r="CC101" s="897"/>
      <c r="CD101" s="896"/>
      <c r="CE101" s="896"/>
      <c r="CF101" s="896"/>
      <c r="CG101" s="833"/>
      <c r="CH101" s="898"/>
      <c r="CI101" s="896"/>
      <c r="CJ101" s="896"/>
      <c r="CK101" s="896"/>
      <c r="CL101" s="795"/>
      <c r="CM101" s="1244"/>
      <c r="CN101" s="1245"/>
      <c r="CO101" s="1245"/>
      <c r="CP101" s="1245"/>
      <c r="CQ101" s="1245"/>
      <c r="CR101" s="1245"/>
      <c r="CS101" s="1245"/>
      <c r="CT101" s="1245"/>
      <c r="CU101" s="1245"/>
      <c r="CV101" s="1245"/>
      <c r="CW101" s="1245"/>
      <c r="CX101" s="1245"/>
      <c r="CY101" s="1301"/>
    </row>
    <row r="102" spans="1:103" ht="27" customHeight="1" x14ac:dyDescent="0.2">
      <c r="A102" s="1283" t="s">
        <v>1512</v>
      </c>
      <c r="B102" s="1284"/>
      <c r="C102" s="1284"/>
      <c r="D102" s="1284"/>
      <c r="E102" s="1284"/>
      <c r="F102" s="1284"/>
      <c r="G102" s="1284"/>
      <c r="H102" s="1284"/>
      <c r="I102" s="1284"/>
      <c r="J102" s="1284"/>
      <c r="K102" s="1284"/>
      <c r="L102" s="1284"/>
      <c r="M102" s="1284"/>
      <c r="N102" s="1284"/>
      <c r="O102" s="1284"/>
      <c r="P102" s="1284"/>
      <c r="Q102" s="1284"/>
      <c r="R102" s="1284"/>
      <c r="S102" s="1284"/>
      <c r="T102" s="1284"/>
      <c r="U102" s="1284"/>
      <c r="V102" s="1284"/>
      <c r="W102" s="1284"/>
      <c r="X102" s="1284"/>
      <c r="Y102" s="1284"/>
      <c r="Z102" s="1284"/>
      <c r="AA102" s="1284"/>
      <c r="AB102" s="1284"/>
      <c r="AC102" s="1284"/>
      <c r="AD102" s="1284"/>
      <c r="AE102" s="1284"/>
      <c r="AF102" s="1284"/>
      <c r="AG102" s="1284"/>
      <c r="AH102" s="1284"/>
      <c r="AI102" s="1284"/>
      <c r="AJ102" s="1284"/>
      <c r="AK102" s="1284"/>
      <c r="AL102" s="1284"/>
      <c r="AM102" s="1284"/>
      <c r="AN102" s="1284"/>
      <c r="AO102" s="1284"/>
      <c r="AP102" s="1285" t="s">
        <v>370</v>
      </c>
      <c r="AQ102" s="1286"/>
      <c r="AR102" s="1286"/>
      <c r="AS102" s="1286"/>
      <c r="AT102" s="1286"/>
      <c r="AU102" s="1286"/>
      <c r="AV102" s="1286"/>
      <c r="AW102" s="1287"/>
      <c r="AX102" s="1285" t="s">
        <v>371</v>
      </c>
      <c r="AY102" s="1286"/>
      <c r="AZ102" s="1286"/>
      <c r="BA102" s="1286"/>
      <c r="BB102" s="1286"/>
      <c r="BC102" s="1286"/>
      <c r="BD102" s="1286"/>
      <c r="BE102" s="1286"/>
      <c r="BF102" s="1286"/>
      <c r="BG102" s="1286"/>
      <c r="BH102" s="1286"/>
      <c r="BI102" s="1286"/>
      <c r="BJ102" s="1287"/>
      <c r="BK102" s="1288"/>
      <c r="BL102" s="1288"/>
      <c r="BM102" s="1288"/>
      <c r="BN102" s="1288"/>
      <c r="BO102" s="1288"/>
      <c r="BP102" s="1288"/>
      <c r="BQ102" s="1288"/>
      <c r="BR102" s="1288"/>
      <c r="BS102" s="1288"/>
      <c r="BT102" s="1288"/>
      <c r="BU102" s="1288"/>
      <c r="BV102" s="1288"/>
      <c r="BW102" s="1288"/>
      <c r="BX102" s="795"/>
      <c r="BY102" s="896"/>
      <c r="BZ102" s="896"/>
      <c r="CA102" s="896"/>
      <c r="CB102" s="833"/>
      <c r="CC102" s="897"/>
      <c r="CD102" s="896"/>
      <c r="CE102" s="896"/>
      <c r="CF102" s="896"/>
      <c r="CG102" s="833"/>
      <c r="CH102" s="898"/>
      <c r="CI102" s="896"/>
      <c r="CJ102" s="896"/>
      <c r="CK102" s="896"/>
      <c r="CL102" s="795"/>
      <c r="CM102" s="1244"/>
      <c r="CN102" s="1245"/>
      <c r="CO102" s="1245"/>
      <c r="CP102" s="1245"/>
      <c r="CQ102" s="1245"/>
      <c r="CR102" s="1245"/>
      <c r="CS102" s="1245"/>
      <c r="CT102" s="1245"/>
      <c r="CU102" s="1245"/>
      <c r="CV102" s="1245"/>
      <c r="CW102" s="1245"/>
      <c r="CX102" s="1245"/>
      <c r="CY102" s="1301"/>
    </row>
    <row r="103" spans="1:103" ht="15.75" customHeight="1" x14ac:dyDescent="0.2">
      <c r="A103" s="1283" t="s">
        <v>372</v>
      </c>
      <c r="B103" s="1284"/>
      <c r="C103" s="1284"/>
      <c r="D103" s="1284"/>
      <c r="E103" s="1284"/>
      <c r="F103" s="1284"/>
      <c r="G103" s="1284"/>
      <c r="H103" s="1284"/>
      <c r="I103" s="1284"/>
      <c r="J103" s="1284"/>
      <c r="K103" s="1284"/>
      <c r="L103" s="1284"/>
      <c r="M103" s="1284"/>
      <c r="N103" s="1284"/>
      <c r="O103" s="1284"/>
      <c r="P103" s="1284"/>
      <c r="Q103" s="1284"/>
      <c r="R103" s="1284"/>
      <c r="S103" s="1284"/>
      <c r="T103" s="1284"/>
      <c r="U103" s="1284"/>
      <c r="V103" s="1284"/>
      <c r="W103" s="1284"/>
      <c r="X103" s="1284"/>
      <c r="Y103" s="1284"/>
      <c r="Z103" s="1284"/>
      <c r="AA103" s="1284"/>
      <c r="AB103" s="1284"/>
      <c r="AC103" s="1284"/>
      <c r="AD103" s="1284"/>
      <c r="AE103" s="1284"/>
      <c r="AF103" s="1284"/>
      <c r="AG103" s="1284"/>
      <c r="AH103" s="1284"/>
      <c r="AI103" s="1284"/>
      <c r="AJ103" s="1284"/>
      <c r="AK103" s="1284"/>
      <c r="AL103" s="1284"/>
      <c r="AM103" s="1284"/>
      <c r="AN103" s="1284"/>
      <c r="AO103" s="1284"/>
      <c r="AP103" s="1285" t="s">
        <v>373</v>
      </c>
      <c r="AQ103" s="1286"/>
      <c r="AR103" s="1286"/>
      <c r="AS103" s="1286"/>
      <c r="AT103" s="1286"/>
      <c r="AU103" s="1286"/>
      <c r="AV103" s="1286"/>
      <c r="AW103" s="1287"/>
      <c r="AX103" s="1285" t="s">
        <v>374</v>
      </c>
      <c r="AY103" s="1286"/>
      <c r="AZ103" s="1286"/>
      <c r="BA103" s="1286"/>
      <c r="BB103" s="1286"/>
      <c r="BC103" s="1286"/>
      <c r="BD103" s="1286"/>
      <c r="BE103" s="1286"/>
      <c r="BF103" s="1286"/>
      <c r="BG103" s="1286"/>
      <c r="BH103" s="1286"/>
      <c r="BI103" s="1286"/>
      <c r="BJ103" s="1287"/>
      <c r="BK103" s="1288"/>
      <c r="BL103" s="1288"/>
      <c r="BM103" s="1288"/>
      <c r="BN103" s="1288"/>
      <c r="BO103" s="1288"/>
      <c r="BP103" s="1288"/>
      <c r="BQ103" s="1288"/>
      <c r="BR103" s="1288"/>
      <c r="BS103" s="1288"/>
      <c r="BT103" s="1288"/>
      <c r="BU103" s="1288"/>
      <c r="BV103" s="1288"/>
      <c r="BW103" s="1288"/>
      <c r="BX103" s="795">
        <f>BY103+BZ103+CA103+CB103</f>
        <v>0</v>
      </c>
      <c r="BY103" s="896">
        <f>BY106+BY105</f>
        <v>0</v>
      </c>
      <c r="BZ103" s="896"/>
      <c r="CA103" s="896"/>
      <c r="CB103" s="833">
        <f>CB106+CB105</f>
        <v>0</v>
      </c>
      <c r="CC103" s="897">
        <f>CD103+CE103+CF103+CG103</f>
        <v>0</v>
      </c>
      <c r="CD103" s="896">
        <f>CD106+CD105</f>
        <v>0</v>
      </c>
      <c r="CE103" s="896"/>
      <c r="CF103" s="896"/>
      <c r="CG103" s="833">
        <f>CG106+CG105</f>
        <v>0</v>
      </c>
      <c r="CH103" s="898">
        <f>CI103+CJ103+CK103+CL103</f>
        <v>0</v>
      </c>
      <c r="CI103" s="896">
        <f>CI106+CI105</f>
        <v>0</v>
      </c>
      <c r="CJ103" s="896"/>
      <c r="CK103" s="896"/>
      <c r="CL103" s="795">
        <f>CL106+CL105</f>
        <v>0</v>
      </c>
      <c r="CM103" s="1244"/>
      <c r="CN103" s="1245"/>
      <c r="CO103" s="1245"/>
      <c r="CP103" s="1245"/>
      <c r="CQ103" s="1245"/>
      <c r="CR103" s="1245"/>
      <c r="CS103" s="1245"/>
      <c r="CT103" s="1245"/>
      <c r="CU103" s="1245"/>
      <c r="CV103" s="1245"/>
      <c r="CW103" s="1245"/>
      <c r="CX103" s="1245"/>
      <c r="CY103" s="1301"/>
    </row>
    <row r="104" spans="1:103" ht="41.25" customHeight="1" x14ac:dyDescent="0.2">
      <c r="A104" s="1283" t="s">
        <v>375</v>
      </c>
      <c r="B104" s="1284"/>
      <c r="C104" s="1284"/>
      <c r="D104" s="1284"/>
      <c r="E104" s="1284"/>
      <c r="F104" s="1284"/>
      <c r="G104" s="1284"/>
      <c r="H104" s="1284"/>
      <c r="I104" s="1284"/>
      <c r="J104" s="1284"/>
      <c r="K104" s="1284"/>
      <c r="L104" s="1284"/>
      <c r="M104" s="1284"/>
      <c r="N104" s="1284"/>
      <c r="O104" s="1284"/>
      <c r="P104" s="1284"/>
      <c r="Q104" s="1284"/>
      <c r="R104" s="1284"/>
      <c r="S104" s="1284"/>
      <c r="T104" s="1284"/>
      <c r="U104" s="1284"/>
      <c r="V104" s="1284"/>
      <c r="W104" s="1284"/>
      <c r="X104" s="1284"/>
      <c r="Y104" s="1284"/>
      <c r="Z104" s="1284"/>
      <c r="AA104" s="1284"/>
      <c r="AB104" s="1284"/>
      <c r="AC104" s="1284"/>
      <c r="AD104" s="1284"/>
      <c r="AE104" s="1284"/>
      <c r="AF104" s="1284"/>
      <c r="AG104" s="1284"/>
      <c r="AH104" s="1284"/>
      <c r="AI104" s="1284"/>
      <c r="AJ104" s="1284"/>
      <c r="AK104" s="1284"/>
      <c r="AL104" s="1284"/>
      <c r="AM104" s="1284"/>
      <c r="AN104" s="1284"/>
      <c r="AO104" s="1284"/>
      <c r="AP104" s="1285" t="s">
        <v>376</v>
      </c>
      <c r="AQ104" s="1286"/>
      <c r="AR104" s="1286"/>
      <c r="AS104" s="1286"/>
      <c r="AT104" s="1286"/>
      <c r="AU104" s="1286"/>
      <c r="AV104" s="1286"/>
      <c r="AW104" s="1287"/>
      <c r="AX104" s="1285" t="s">
        <v>377</v>
      </c>
      <c r="AY104" s="1286"/>
      <c r="AZ104" s="1286"/>
      <c r="BA104" s="1286"/>
      <c r="BB104" s="1286"/>
      <c r="BC104" s="1286"/>
      <c r="BD104" s="1286"/>
      <c r="BE104" s="1286"/>
      <c r="BF104" s="1286"/>
      <c r="BG104" s="1286"/>
      <c r="BH104" s="1286"/>
      <c r="BI104" s="1286"/>
      <c r="BJ104" s="1287"/>
      <c r="BK104" s="1288"/>
      <c r="BL104" s="1288"/>
      <c r="BM104" s="1288"/>
      <c r="BN104" s="1288"/>
      <c r="BO104" s="1288"/>
      <c r="BP104" s="1288"/>
      <c r="BQ104" s="1288"/>
      <c r="BR104" s="1288"/>
      <c r="BS104" s="1288"/>
      <c r="BT104" s="1288"/>
      <c r="BU104" s="1288"/>
      <c r="BV104" s="1288"/>
      <c r="BW104" s="1288"/>
      <c r="BX104" s="795"/>
      <c r="BY104" s="896"/>
      <c r="BZ104" s="896"/>
      <c r="CA104" s="896"/>
      <c r="CB104" s="833"/>
      <c r="CC104" s="897"/>
      <c r="CD104" s="896"/>
      <c r="CE104" s="896"/>
      <c r="CF104" s="896"/>
      <c r="CG104" s="833"/>
      <c r="CH104" s="898"/>
      <c r="CI104" s="896"/>
      <c r="CJ104" s="896"/>
      <c r="CK104" s="896"/>
      <c r="CL104" s="795"/>
      <c r="CM104" s="1244"/>
      <c r="CN104" s="1245"/>
      <c r="CO104" s="1245"/>
      <c r="CP104" s="1245"/>
      <c r="CQ104" s="1245"/>
      <c r="CR104" s="1245"/>
      <c r="CS104" s="1245"/>
      <c r="CT104" s="1245"/>
      <c r="CU104" s="1245"/>
      <c r="CV104" s="1245"/>
      <c r="CW104" s="1245"/>
      <c r="CX104" s="1245"/>
      <c r="CY104" s="1301"/>
    </row>
    <row r="105" spans="1:103" ht="57" customHeight="1" x14ac:dyDescent="0.2">
      <c r="A105" s="1283" t="s">
        <v>378</v>
      </c>
      <c r="B105" s="1284"/>
      <c r="C105" s="1284"/>
      <c r="D105" s="1284"/>
      <c r="E105" s="1284"/>
      <c r="F105" s="1284"/>
      <c r="G105" s="1284"/>
      <c r="H105" s="1284"/>
      <c r="I105" s="1284"/>
      <c r="J105" s="1284"/>
      <c r="K105" s="1284"/>
      <c r="L105" s="1284"/>
      <c r="M105" s="1284"/>
      <c r="N105" s="1284"/>
      <c r="O105" s="1284"/>
      <c r="P105" s="1284"/>
      <c r="Q105" s="1284"/>
      <c r="R105" s="1284"/>
      <c r="S105" s="1284"/>
      <c r="T105" s="1284"/>
      <c r="U105" s="1284"/>
      <c r="V105" s="1284"/>
      <c r="W105" s="1284"/>
      <c r="X105" s="1284"/>
      <c r="Y105" s="1284"/>
      <c r="Z105" s="1284"/>
      <c r="AA105" s="1284"/>
      <c r="AB105" s="1284"/>
      <c r="AC105" s="1284"/>
      <c r="AD105" s="1284"/>
      <c r="AE105" s="1284"/>
      <c r="AF105" s="1284"/>
      <c r="AG105" s="1284"/>
      <c r="AH105" s="1284"/>
      <c r="AI105" s="1284"/>
      <c r="AJ105" s="1284"/>
      <c r="AK105" s="1284"/>
      <c r="AL105" s="1284"/>
      <c r="AM105" s="1284"/>
      <c r="AN105" s="1284"/>
      <c r="AO105" s="1284"/>
      <c r="AP105" s="1285" t="s">
        <v>379</v>
      </c>
      <c r="AQ105" s="1286"/>
      <c r="AR105" s="1286"/>
      <c r="AS105" s="1286"/>
      <c r="AT105" s="1286"/>
      <c r="AU105" s="1286"/>
      <c r="AV105" s="1286"/>
      <c r="AW105" s="1287"/>
      <c r="AX105" s="1285" t="s">
        <v>380</v>
      </c>
      <c r="AY105" s="1286"/>
      <c r="AZ105" s="1286"/>
      <c r="BA105" s="1286"/>
      <c r="BB105" s="1286"/>
      <c r="BC105" s="1286"/>
      <c r="BD105" s="1286"/>
      <c r="BE105" s="1286"/>
      <c r="BF105" s="1286"/>
      <c r="BG105" s="1286"/>
      <c r="BH105" s="1286"/>
      <c r="BI105" s="1286"/>
      <c r="BJ105" s="1287"/>
      <c r="BK105" s="1288"/>
      <c r="BL105" s="1288"/>
      <c r="BM105" s="1288"/>
      <c r="BN105" s="1288"/>
      <c r="BO105" s="1288"/>
      <c r="BP105" s="1288"/>
      <c r="BQ105" s="1288"/>
      <c r="BR105" s="1288"/>
      <c r="BS105" s="1288"/>
      <c r="BT105" s="1288"/>
      <c r="BU105" s="1288"/>
      <c r="BV105" s="1288"/>
      <c r="BW105" s="1288"/>
      <c r="BX105" s="795"/>
      <c r="BY105" s="896"/>
      <c r="BZ105" s="896"/>
      <c r="CA105" s="896"/>
      <c r="CB105" s="833"/>
      <c r="CC105" s="897"/>
      <c r="CD105" s="896"/>
      <c r="CE105" s="896"/>
      <c r="CF105" s="896"/>
      <c r="CG105" s="833"/>
      <c r="CH105" s="898"/>
      <c r="CI105" s="896"/>
      <c r="CJ105" s="896"/>
      <c r="CK105" s="896"/>
      <c r="CL105" s="795"/>
      <c r="CM105" s="1244"/>
      <c r="CN105" s="1245"/>
      <c r="CO105" s="1245"/>
      <c r="CP105" s="1245"/>
      <c r="CQ105" s="1245"/>
      <c r="CR105" s="1245"/>
      <c r="CS105" s="1245"/>
      <c r="CT105" s="1245"/>
      <c r="CU105" s="1245"/>
      <c r="CV105" s="1245"/>
      <c r="CW105" s="1245"/>
      <c r="CX105" s="1245"/>
      <c r="CY105" s="1301"/>
    </row>
    <row r="106" spans="1:103" ht="37.5" customHeight="1" x14ac:dyDescent="0.2">
      <c r="A106" s="1283" t="s">
        <v>381</v>
      </c>
      <c r="B106" s="1284"/>
      <c r="C106" s="1284"/>
      <c r="D106" s="1284"/>
      <c r="E106" s="1284"/>
      <c r="F106" s="1284"/>
      <c r="G106" s="1284"/>
      <c r="H106" s="1284"/>
      <c r="I106" s="1284"/>
      <c r="J106" s="1284"/>
      <c r="K106" s="1284"/>
      <c r="L106" s="1284"/>
      <c r="M106" s="1284"/>
      <c r="N106" s="1284"/>
      <c r="O106" s="1284"/>
      <c r="P106" s="1284"/>
      <c r="Q106" s="1284"/>
      <c r="R106" s="1284"/>
      <c r="S106" s="1284"/>
      <c r="T106" s="1284"/>
      <c r="U106" s="1284"/>
      <c r="V106" s="1284"/>
      <c r="W106" s="1284"/>
      <c r="X106" s="1284"/>
      <c r="Y106" s="1284"/>
      <c r="Z106" s="1284"/>
      <c r="AA106" s="1284"/>
      <c r="AB106" s="1284"/>
      <c r="AC106" s="1284"/>
      <c r="AD106" s="1284"/>
      <c r="AE106" s="1284"/>
      <c r="AF106" s="1284"/>
      <c r="AG106" s="1284"/>
      <c r="AH106" s="1284"/>
      <c r="AI106" s="1284"/>
      <c r="AJ106" s="1284"/>
      <c r="AK106" s="1284"/>
      <c r="AL106" s="1284"/>
      <c r="AM106" s="1284"/>
      <c r="AN106" s="1284"/>
      <c r="AO106" s="1284"/>
      <c r="AP106" s="1285" t="s">
        <v>382</v>
      </c>
      <c r="AQ106" s="1286"/>
      <c r="AR106" s="1286"/>
      <c r="AS106" s="1286"/>
      <c r="AT106" s="1286"/>
      <c r="AU106" s="1286"/>
      <c r="AV106" s="1286"/>
      <c r="AW106" s="1287"/>
      <c r="AX106" s="1285" t="s">
        <v>383</v>
      </c>
      <c r="AY106" s="1286"/>
      <c r="AZ106" s="1286"/>
      <c r="BA106" s="1286"/>
      <c r="BB106" s="1286"/>
      <c r="BC106" s="1286"/>
      <c r="BD106" s="1286"/>
      <c r="BE106" s="1286"/>
      <c r="BF106" s="1286"/>
      <c r="BG106" s="1286"/>
      <c r="BH106" s="1286"/>
      <c r="BI106" s="1286"/>
      <c r="BJ106" s="1287"/>
      <c r="BK106" s="1288"/>
      <c r="BL106" s="1288"/>
      <c r="BM106" s="1288"/>
      <c r="BN106" s="1288"/>
      <c r="BO106" s="1288"/>
      <c r="BP106" s="1288"/>
      <c r="BQ106" s="1288"/>
      <c r="BR106" s="1288"/>
      <c r="BS106" s="1288"/>
      <c r="BT106" s="1288"/>
      <c r="BU106" s="1288"/>
      <c r="BV106" s="1288"/>
      <c r="BW106" s="1288"/>
      <c r="BX106" s="795"/>
      <c r="BY106" s="896"/>
      <c r="BZ106" s="896"/>
      <c r="CA106" s="896"/>
      <c r="CB106" s="833"/>
      <c r="CC106" s="897"/>
      <c r="CD106" s="896"/>
      <c r="CE106" s="896"/>
      <c r="CF106" s="896"/>
      <c r="CG106" s="833"/>
      <c r="CH106" s="898"/>
      <c r="CI106" s="896"/>
      <c r="CJ106" s="896"/>
      <c r="CK106" s="896"/>
      <c r="CL106" s="795"/>
      <c r="CM106" s="1244"/>
      <c r="CN106" s="1245"/>
      <c r="CO106" s="1245"/>
      <c r="CP106" s="1245"/>
      <c r="CQ106" s="1245"/>
      <c r="CR106" s="1245"/>
      <c r="CS106" s="1245"/>
      <c r="CT106" s="1245"/>
      <c r="CU106" s="1245"/>
      <c r="CV106" s="1245"/>
      <c r="CW106" s="1245"/>
      <c r="CX106" s="1245"/>
      <c r="CY106" s="1301"/>
    </row>
    <row r="107" spans="1:103" ht="37.15" customHeight="1" x14ac:dyDescent="0.2">
      <c r="A107" s="1283" t="s">
        <v>384</v>
      </c>
      <c r="B107" s="1284"/>
      <c r="C107" s="1284"/>
      <c r="D107" s="1284"/>
      <c r="E107" s="1284"/>
      <c r="F107" s="1284"/>
      <c r="G107" s="1284"/>
      <c r="H107" s="1284"/>
      <c r="I107" s="1284"/>
      <c r="J107" s="1284"/>
      <c r="K107" s="1284"/>
      <c r="L107" s="1284"/>
      <c r="M107" s="1284"/>
      <c r="N107" s="1284"/>
      <c r="O107" s="1284"/>
      <c r="P107" s="1284"/>
      <c r="Q107" s="1284"/>
      <c r="R107" s="1284"/>
      <c r="S107" s="1284"/>
      <c r="T107" s="1284"/>
      <c r="U107" s="1284"/>
      <c r="V107" s="1284"/>
      <c r="W107" s="1284"/>
      <c r="X107" s="1284"/>
      <c r="Y107" s="1284"/>
      <c r="Z107" s="1284"/>
      <c r="AA107" s="1284"/>
      <c r="AB107" s="1284"/>
      <c r="AC107" s="1284"/>
      <c r="AD107" s="1284"/>
      <c r="AE107" s="1284"/>
      <c r="AF107" s="1284"/>
      <c r="AG107" s="1284"/>
      <c r="AH107" s="1284"/>
      <c r="AI107" s="1284"/>
      <c r="AJ107" s="1284"/>
      <c r="AK107" s="1284"/>
      <c r="AL107" s="1284"/>
      <c r="AM107" s="1284"/>
      <c r="AN107" s="1284"/>
      <c r="AO107" s="1284"/>
      <c r="AP107" s="1285" t="s">
        <v>385</v>
      </c>
      <c r="AQ107" s="1286"/>
      <c r="AR107" s="1286"/>
      <c r="AS107" s="1286"/>
      <c r="AT107" s="1286"/>
      <c r="AU107" s="1286"/>
      <c r="AV107" s="1286"/>
      <c r="AW107" s="1287"/>
      <c r="AX107" s="1285" t="s">
        <v>3</v>
      </c>
      <c r="AY107" s="1286"/>
      <c r="AZ107" s="1286"/>
      <c r="BA107" s="1286"/>
      <c r="BB107" s="1286"/>
      <c r="BC107" s="1286"/>
      <c r="BD107" s="1286"/>
      <c r="BE107" s="1286"/>
      <c r="BF107" s="1286"/>
      <c r="BG107" s="1286"/>
      <c r="BH107" s="1286"/>
      <c r="BI107" s="1286"/>
      <c r="BJ107" s="1287"/>
      <c r="BK107" s="1288"/>
      <c r="BL107" s="1288"/>
      <c r="BM107" s="1288"/>
      <c r="BN107" s="1288"/>
      <c r="BO107" s="1288"/>
      <c r="BP107" s="1288"/>
      <c r="BQ107" s="1288"/>
      <c r="BR107" s="1288"/>
      <c r="BS107" s="1288"/>
      <c r="BT107" s="1288"/>
      <c r="BU107" s="1288"/>
      <c r="BV107" s="1288"/>
      <c r="BW107" s="1288"/>
      <c r="BX107" s="795"/>
      <c r="BY107" s="896"/>
      <c r="BZ107" s="896"/>
      <c r="CA107" s="896"/>
      <c r="CB107" s="833"/>
      <c r="CC107" s="897"/>
      <c r="CD107" s="896"/>
      <c r="CE107" s="896"/>
      <c r="CF107" s="896"/>
      <c r="CG107" s="833"/>
      <c r="CH107" s="898"/>
      <c r="CI107" s="896"/>
      <c r="CJ107" s="896"/>
      <c r="CK107" s="896"/>
      <c r="CL107" s="795"/>
      <c r="CM107" s="1244"/>
      <c r="CN107" s="1245"/>
      <c r="CO107" s="1245"/>
      <c r="CP107" s="1245"/>
      <c r="CQ107" s="1245"/>
      <c r="CR107" s="1245"/>
      <c r="CS107" s="1245"/>
      <c r="CT107" s="1245"/>
      <c r="CU107" s="1245"/>
      <c r="CV107" s="1245"/>
      <c r="CW107" s="1245"/>
      <c r="CX107" s="1245"/>
      <c r="CY107" s="1301"/>
    </row>
    <row r="108" spans="1:103" ht="27" customHeight="1" x14ac:dyDescent="0.2">
      <c r="A108" s="1283" t="s">
        <v>1116</v>
      </c>
      <c r="B108" s="1284"/>
      <c r="C108" s="1284"/>
      <c r="D108" s="1284"/>
      <c r="E108" s="1284"/>
      <c r="F108" s="1284"/>
      <c r="G108" s="1284"/>
      <c r="H108" s="1284"/>
      <c r="I108" s="1284"/>
      <c r="J108" s="1284"/>
      <c r="K108" s="1284"/>
      <c r="L108" s="1284"/>
      <c r="M108" s="1284"/>
      <c r="N108" s="1284"/>
      <c r="O108" s="1284"/>
      <c r="P108" s="1284"/>
      <c r="Q108" s="1284"/>
      <c r="R108" s="1284"/>
      <c r="S108" s="1284"/>
      <c r="T108" s="1284"/>
      <c r="U108" s="1284"/>
      <c r="V108" s="1284"/>
      <c r="W108" s="1284"/>
      <c r="X108" s="1284"/>
      <c r="Y108" s="1284"/>
      <c r="Z108" s="1284"/>
      <c r="AA108" s="1284"/>
      <c r="AB108" s="1284"/>
      <c r="AC108" s="1284"/>
      <c r="AD108" s="1284"/>
      <c r="AE108" s="1284"/>
      <c r="AF108" s="1284"/>
      <c r="AG108" s="1284"/>
      <c r="AH108" s="1284"/>
      <c r="AI108" s="1284"/>
      <c r="AJ108" s="1284"/>
      <c r="AK108" s="1284"/>
      <c r="AL108" s="1284"/>
      <c r="AM108" s="1284"/>
      <c r="AN108" s="1284"/>
      <c r="AO108" s="1284"/>
      <c r="AP108" s="1285" t="s">
        <v>386</v>
      </c>
      <c r="AQ108" s="1286"/>
      <c r="AR108" s="1286"/>
      <c r="AS108" s="1286"/>
      <c r="AT108" s="1286"/>
      <c r="AU108" s="1286"/>
      <c r="AV108" s="1286"/>
      <c r="AW108" s="1287"/>
      <c r="AX108" s="1285" t="s">
        <v>1117</v>
      </c>
      <c r="AY108" s="1286"/>
      <c r="AZ108" s="1286"/>
      <c r="BA108" s="1286"/>
      <c r="BB108" s="1286"/>
      <c r="BC108" s="1286"/>
      <c r="BD108" s="1286"/>
      <c r="BE108" s="1286"/>
      <c r="BF108" s="1286"/>
      <c r="BG108" s="1286"/>
      <c r="BH108" s="1286"/>
      <c r="BI108" s="1286"/>
      <c r="BJ108" s="1287"/>
      <c r="BK108" s="1288"/>
      <c r="BL108" s="1288"/>
      <c r="BM108" s="1288"/>
      <c r="BN108" s="1288"/>
      <c r="BO108" s="1288"/>
      <c r="BP108" s="1288"/>
      <c r="BQ108" s="1288"/>
      <c r="BR108" s="1288"/>
      <c r="BS108" s="1288"/>
      <c r="BT108" s="1288"/>
      <c r="BU108" s="1288"/>
      <c r="BV108" s="1288"/>
      <c r="BW108" s="1288"/>
      <c r="BX108" s="795"/>
      <c r="BY108" s="896"/>
      <c r="BZ108" s="896"/>
      <c r="CA108" s="896"/>
      <c r="CB108" s="833"/>
      <c r="CC108" s="897"/>
      <c r="CD108" s="896"/>
      <c r="CE108" s="896"/>
      <c r="CF108" s="896"/>
      <c r="CG108" s="833"/>
      <c r="CH108" s="898"/>
      <c r="CI108" s="896"/>
      <c r="CJ108" s="896"/>
      <c r="CK108" s="896"/>
      <c r="CL108" s="795"/>
      <c r="CM108" s="1244"/>
      <c r="CN108" s="1245"/>
      <c r="CO108" s="1245"/>
      <c r="CP108" s="1245"/>
      <c r="CQ108" s="1245"/>
      <c r="CR108" s="1245"/>
      <c r="CS108" s="1245"/>
      <c r="CT108" s="1245"/>
      <c r="CU108" s="1245"/>
      <c r="CV108" s="1245"/>
      <c r="CW108" s="1245"/>
      <c r="CX108" s="1245"/>
      <c r="CY108" s="1301"/>
    </row>
    <row r="109" spans="1:103" ht="25.5" customHeight="1" x14ac:dyDescent="0.2">
      <c r="A109" s="1283" t="s">
        <v>1118</v>
      </c>
      <c r="B109" s="1284"/>
      <c r="C109" s="1284"/>
      <c r="D109" s="1284"/>
      <c r="E109" s="1284"/>
      <c r="F109" s="1284"/>
      <c r="G109" s="1284"/>
      <c r="H109" s="1284"/>
      <c r="I109" s="1284"/>
      <c r="J109" s="1284"/>
      <c r="K109" s="1284"/>
      <c r="L109" s="1284"/>
      <c r="M109" s="1284"/>
      <c r="N109" s="1284"/>
      <c r="O109" s="1284"/>
      <c r="P109" s="1284"/>
      <c r="Q109" s="1284"/>
      <c r="R109" s="1284"/>
      <c r="S109" s="1284"/>
      <c r="T109" s="1284"/>
      <c r="U109" s="1284"/>
      <c r="V109" s="1284"/>
      <c r="W109" s="1284"/>
      <c r="X109" s="1284"/>
      <c r="Y109" s="1284"/>
      <c r="Z109" s="1284"/>
      <c r="AA109" s="1284"/>
      <c r="AB109" s="1284"/>
      <c r="AC109" s="1284"/>
      <c r="AD109" s="1284"/>
      <c r="AE109" s="1284"/>
      <c r="AF109" s="1284"/>
      <c r="AG109" s="1284"/>
      <c r="AH109" s="1284"/>
      <c r="AI109" s="1284"/>
      <c r="AJ109" s="1284"/>
      <c r="AK109" s="1284"/>
      <c r="AL109" s="1284"/>
      <c r="AM109" s="1284"/>
      <c r="AN109" s="1284"/>
      <c r="AO109" s="1284"/>
      <c r="AP109" s="1285" t="s">
        <v>387</v>
      </c>
      <c r="AQ109" s="1286"/>
      <c r="AR109" s="1286"/>
      <c r="AS109" s="1286"/>
      <c r="AT109" s="1286"/>
      <c r="AU109" s="1286"/>
      <c r="AV109" s="1286"/>
      <c r="AW109" s="1287"/>
      <c r="AX109" s="1285" t="s">
        <v>1119</v>
      </c>
      <c r="AY109" s="1286"/>
      <c r="AZ109" s="1286"/>
      <c r="BA109" s="1286"/>
      <c r="BB109" s="1286"/>
      <c r="BC109" s="1286"/>
      <c r="BD109" s="1286"/>
      <c r="BE109" s="1286"/>
      <c r="BF109" s="1286"/>
      <c r="BG109" s="1286"/>
      <c r="BH109" s="1286"/>
      <c r="BI109" s="1286"/>
      <c r="BJ109" s="1287"/>
      <c r="BK109" s="1288"/>
      <c r="BL109" s="1288"/>
      <c r="BM109" s="1288"/>
      <c r="BN109" s="1288"/>
      <c r="BO109" s="1288"/>
      <c r="BP109" s="1288"/>
      <c r="BQ109" s="1288"/>
      <c r="BR109" s="1288"/>
      <c r="BS109" s="1288"/>
      <c r="BT109" s="1288"/>
      <c r="BU109" s="1288"/>
      <c r="BV109" s="1288"/>
      <c r="BW109" s="1288"/>
      <c r="BX109" s="795"/>
      <c r="BY109" s="896"/>
      <c r="BZ109" s="896"/>
      <c r="CA109" s="896"/>
      <c r="CB109" s="833"/>
      <c r="CC109" s="897"/>
      <c r="CD109" s="896"/>
      <c r="CE109" s="896"/>
      <c r="CF109" s="896"/>
      <c r="CG109" s="833"/>
      <c r="CH109" s="898"/>
      <c r="CI109" s="896"/>
      <c r="CJ109" s="896"/>
      <c r="CK109" s="896"/>
      <c r="CL109" s="795"/>
      <c r="CM109" s="1244"/>
      <c r="CN109" s="1245"/>
      <c r="CO109" s="1245"/>
      <c r="CP109" s="1245"/>
      <c r="CQ109" s="1245"/>
      <c r="CR109" s="1245"/>
      <c r="CS109" s="1245"/>
      <c r="CT109" s="1245"/>
      <c r="CU109" s="1245"/>
      <c r="CV109" s="1245"/>
      <c r="CW109" s="1245"/>
      <c r="CX109" s="1245"/>
      <c r="CY109" s="1301"/>
    </row>
    <row r="110" spans="1:103" ht="40.9" customHeight="1" x14ac:dyDescent="0.2">
      <c r="A110" s="1283" t="s">
        <v>1120</v>
      </c>
      <c r="B110" s="1284"/>
      <c r="C110" s="1284"/>
      <c r="D110" s="1284"/>
      <c r="E110" s="1284"/>
      <c r="F110" s="1284"/>
      <c r="G110" s="1284"/>
      <c r="H110" s="1284"/>
      <c r="I110" s="1284"/>
      <c r="J110" s="1284"/>
      <c r="K110" s="1284"/>
      <c r="L110" s="1284"/>
      <c r="M110" s="1284"/>
      <c r="N110" s="1284"/>
      <c r="O110" s="1284"/>
      <c r="P110" s="1284"/>
      <c r="Q110" s="1284"/>
      <c r="R110" s="1284"/>
      <c r="S110" s="1284"/>
      <c r="T110" s="1284"/>
      <c r="U110" s="1284"/>
      <c r="V110" s="1284"/>
      <c r="W110" s="1284"/>
      <c r="X110" s="1284"/>
      <c r="Y110" s="1284"/>
      <c r="Z110" s="1284"/>
      <c r="AA110" s="1284"/>
      <c r="AB110" s="1284"/>
      <c r="AC110" s="1284"/>
      <c r="AD110" s="1284"/>
      <c r="AE110" s="1284"/>
      <c r="AF110" s="1284"/>
      <c r="AG110" s="1284"/>
      <c r="AH110" s="1284"/>
      <c r="AI110" s="1284"/>
      <c r="AJ110" s="1284"/>
      <c r="AK110" s="1284"/>
      <c r="AL110" s="1284"/>
      <c r="AM110" s="1284"/>
      <c r="AN110" s="1284"/>
      <c r="AO110" s="1284"/>
      <c r="AP110" s="1285" t="s">
        <v>388</v>
      </c>
      <c r="AQ110" s="1286"/>
      <c r="AR110" s="1286"/>
      <c r="AS110" s="1286"/>
      <c r="AT110" s="1286"/>
      <c r="AU110" s="1286"/>
      <c r="AV110" s="1286"/>
      <c r="AW110" s="1287"/>
      <c r="AX110" s="1285" t="s">
        <v>1121</v>
      </c>
      <c r="AY110" s="1286"/>
      <c r="AZ110" s="1286"/>
      <c r="BA110" s="1286"/>
      <c r="BB110" s="1286"/>
      <c r="BC110" s="1286"/>
      <c r="BD110" s="1286"/>
      <c r="BE110" s="1286"/>
      <c r="BF110" s="1286"/>
      <c r="BG110" s="1286"/>
      <c r="BH110" s="1286"/>
      <c r="BI110" s="1286"/>
      <c r="BJ110" s="1287"/>
      <c r="BK110" s="1288"/>
      <c r="BL110" s="1288"/>
      <c r="BM110" s="1288"/>
      <c r="BN110" s="1288"/>
      <c r="BO110" s="1288"/>
      <c r="BP110" s="1288"/>
      <c r="BQ110" s="1288"/>
      <c r="BR110" s="1288"/>
      <c r="BS110" s="1288"/>
      <c r="BT110" s="1288"/>
      <c r="BU110" s="1288"/>
      <c r="BV110" s="1288"/>
      <c r="BW110" s="1288"/>
      <c r="BX110" s="795"/>
      <c r="BY110" s="896"/>
      <c r="BZ110" s="896"/>
      <c r="CA110" s="896"/>
      <c r="CB110" s="833"/>
      <c r="CC110" s="897"/>
      <c r="CD110" s="896"/>
      <c r="CE110" s="896"/>
      <c r="CF110" s="896"/>
      <c r="CG110" s="833"/>
      <c r="CH110" s="898"/>
      <c r="CI110" s="896"/>
      <c r="CJ110" s="896"/>
      <c r="CK110" s="896"/>
      <c r="CL110" s="795"/>
      <c r="CM110" s="1244"/>
      <c r="CN110" s="1245"/>
      <c r="CO110" s="1245"/>
      <c r="CP110" s="1245"/>
      <c r="CQ110" s="1245"/>
      <c r="CR110" s="1245"/>
      <c r="CS110" s="1245"/>
      <c r="CT110" s="1245"/>
      <c r="CU110" s="1245"/>
      <c r="CV110" s="1245"/>
      <c r="CW110" s="1245"/>
      <c r="CX110" s="1245"/>
      <c r="CY110" s="1301"/>
    </row>
    <row r="111" spans="1:103" ht="36.75" customHeight="1" x14ac:dyDescent="0.2">
      <c r="A111" s="1283" t="s">
        <v>1122</v>
      </c>
      <c r="B111" s="1284"/>
      <c r="C111" s="1284"/>
      <c r="D111" s="1284"/>
      <c r="E111" s="1284"/>
      <c r="F111" s="1284"/>
      <c r="G111" s="1284"/>
      <c r="H111" s="1284"/>
      <c r="I111" s="1284"/>
      <c r="J111" s="1284"/>
      <c r="K111" s="1284"/>
      <c r="L111" s="1284"/>
      <c r="M111" s="1284"/>
      <c r="N111" s="1284"/>
      <c r="O111" s="1284"/>
      <c r="P111" s="1284"/>
      <c r="Q111" s="1284"/>
      <c r="R111" s="1284"/>
      <c r="S111" s="1284"/>
      <c r="T111" s="1284"/>
      <c r="U111" s="1284"/>
      <c r="V111" s="1284"/>
      <c r="W111" s="1284"/>
      <c r="X111" s="1284"/>
      <c r="Y111" s="1284"/>
      <c r="Z111" s="1284"/>
      <c r="AA111" s="1284"/>
      <c r="AB111" s="1284"/>
      <c r="AC111" s="1284"/>
      <c r="AD111" s="1284"/>
      <c r="AE111" s="1284"/>
      <c r="AF111" s="1284"/>
      <c r="AG111" s="1284"/>
      <c r="AH111" s="1284"/>
      <c r="AI111" s="1284"/>
      <c r="AJ111" s="1284"/>
      <c r="AK111" s="1284"/>
      <c r="AL111" s="1284"/>
      <c r="AM111" s="1284"/>
      <c r="AN111" s="1284"/>
      <c r="AO111" s="1284"/>
      <c r="AP111" s="1285" t="s">
        <v>1123</v>
      </c>
      <c r="AQ111" s="1286"/>
      <c r="AR111" s="1286"/>
      <c r="AS111" s="1286"/>
      <c r="AT111" s="1286"/>
      <c r="AU111" s="1286"/>
      <c r="AV111" s="1286"/>
      <c r="AW111" s="1287"/>
      <c r="AX111" s="1285" t="s">
        <v>389</v>
      </c>
      <c r="AY111" s="1286"/>
      <c r="AZ111" s="1286"/>
      <c r="BA111" s="1286"/>
      <c r="BB111" s="1286"/>
      <c r="BC111" s="1286"/>
      <c r="BD111" s="1286"/>
      <c r="BE111" s="1286"/>
      <c r="BF111" s="1286"/>
      <c r="BG111" s="1286"/>
      <c r="BH111" s="1286"/>
      <c r="BI111" s="1286"/>
      <c r="BJ111" s="1287"/>
      <c r="BK111" s="1288"/>
      <c r="BL111" s="1288"/>
      <c r="BM111" s="1288"/>
      <c r="BN111" s="1288"/>
      <c r="BO111" s="1288"/>
      <c r="BP111" s="1288"/>
      <c r="BQ111" s="1288"/>
      <c r="BR111" s="1288"/>
      <c r="BS111" s="1288"/>
      <c r="BT111" s="1288"/>
      <c r="BU111" s="1288"/>
      <c r="BV111" s="1288"/>
      <c r="BW111" s="1288"/>
      <c r="BX111" s="795"/>
      <c r="BY111" s="896"/>
      <c r="BZ111" s="896"/>
      <c r="CA111" s="896"/>
      <c r="CB111" s="833"/>
      <c r="CC111" s="897"/>
      <c r="CD111" s="896"/>
      <c r="CE111" s="896"/>
      <c r="CF111" s="896"/>
      <c r="CG111" s="833"/>
      <c r="CH111" s="898"/>
      <c r="CI111" s="896"/>
      <c r="CJ111" s="896"/>
      <c r="CK111" s="896"/>
      <c r="CL111" s="795"/>
      <c r="CM111" s="1244"/>
      <c r="CN111" s="1245"/>
      <c r="CO111" s="1245"/>
      <c r="CP111" s="1245"/>
      <c r="CQ111" s="1245"/>
      <c r="CR111" s="1245"/>
      <c r="CS111" s="1245"/>
      <c r="CT111" s="1245"/>
      <c r="CU111" s="1245"/>
      <c r="CV111" s="1245"/>
      <c r="CW111" s="1245"/>
      <c r="CX111" s="1245"/>
      <c r="CY111" s="1301"/>
    </row>
    <row r="112" spans="1:103" ht="30.75" customHeight="1" x14ac:dyDescent="0.2">
      <c r="A112" s="1283" t="s">
        <v>1124</v>
      </c>
      <c r="B112" s="1284"/>
      <c r="C112" s="1284"/>
      <c r="D112" s="1284"/>
      <c r="E112" s="1284"/>
      <c r="F112" s="1284"/>
      <c r="G112" s="1284"/>
      <c r="H112" s="1284"/>
      <c r="I112" s="1284"/>
      <c r="J112" s="1284"/>
      <c r="K112" s="1284"/>
      <c r="L112" s="1284"/>
      <c r="M112" s="1284"/>
      <c r="N112" s="1284"/>
      <c r="O112" s="1284"/>
      <c r="P112" s="1284"/>
      <c r="Q112" s="1284"/>
      <c r="R112" s="1284"/>
      <c r="S112" s="1284"/>
      <c r="T112" s="1284"/>
      <c r="U112" s="1284"/>
      <c r="V112" s="1284"/>
      <c r="W112" s="1284"/>
      <c r="X112" s="1284"/>
      <c r="Y112" s="1284"/>
      <c r="Z112" s="1284"/>
      <c r="AA112" s="1284"/>
      <c r="AB112" s="1284"/>
      <c r="AC112" s="1284"/>
      <c r="AD112" s="1284"/>
      <c r="AE112" s="1284"/>
      <c r="AF112" s="1284"/>
      <c r="AG112" s="1284"/>
      <c r="AH112" s="1284"/>
      <c r="AI112" s="1284"/>
      <c r="AJ112" s="1284"/>
      <c r="AK112" s="1284"/>
      <c r="AL112" s="1284"/>
      <c r="AM112" s="1284"/>
      <c r="AN112" s="1284"/>
      <c r="AO112" s="1284"/>
      <c r="AP112" s="1285" t="s">
        <v>1125</v>
      </c>
      <c r="AQ112" s="1286"/>
      <c r="AR112" s="1286"/>
      <c r="AS112" s="1286"/>
      <c r="AT112" s="1286"/>
      <c r="AU112" s="1286"/>
      <c r="AV112" s="1286"/>
      <c r="AW112" s="1287"/>
      <c r="AX112" s="1285" t="s">
        <v>390</v>
      </c>
      <c r="AY112" s="1286"/>
      <c r="AZ112" s="1286"/>
      <c r="BA112" s="1286"/>
      <c r="BB112" s="1286"/>
      <c r="BC112" s="1286"/>
      <c r="BD112" s="1286"/>
      <c r="BE112" s="1286"/>
      <c r="BF112" s="1286"/>
      <c r="BG112" s="1286"/>
      <c r="BH112" s="1286"/>
      <c r="BI112" s="1286"/>
      <c r="BJ112" s="1287"/>
      <c r="BK112" s="1288"/>
      <c r="BL112" s="1288"/>
      <c r="BM112" s="1288"/>
      <c r="BN112" s="1288"/>
      <c r="BO112" s="1288"/>
      <c r="BP112" s="1288"/>
      <c r="BQ112" s="1288"/>
      <c r="BR112" s="1288"/>
      <c r="BS112" s="1288"/>
      <c r="BT112" s="1288"/>
      <c r="BU112" s="1288"/>
      <c r="BV112" s="1288"/>
      <c r="BW112" s="1288"/>
      <c r="BX112" s="795"/>
      <c r="BY112" s="896"/>
      <c r="BZ112" s="896"/>
      <c r="CA112" s="896"/>
      <c r="CB112" s="833"/>
      <c r="CC112" s="897"/>
      <c r="CD112" s="896"/>
      <c r="CE112" s="896"/>
      <c r="CF112" s="896"/>
      <c r="CG112" s="833"/>
      <c r="CH112" s="898"/>
      <c r="CI112" s="896"/>
      <c r="CJ112" s="896"/>
      <c r="CK112" s="896"/>
      <c r="CL112" s="795"/>
      <c r="CM112" s="1244"/>
      <c r="CN112" s="1245"/>
      <c r="CO112" s="1245"/>
      <c r="CP112" s="1245"/>
      <c r="CQ112" s="1245"/>
      <c r="CR112" s="1245"/>
      <c r="CS112" s="1245"/>
      <c r="CT112" s="1245"/>
      <c r="CU112" s="1245"/>
      <c r="CV112" s="1245"/>
      <c r="CW112" s="1245"/>
      <c r="CX112" s="1245"/>
      <c r="CY112" s="1301"/>
    </row>
    <row r="113" spans="1:136" ht="52.15" customHeight="1" x14ac:dyDescent="0.2">
      <c r="A113" s="1283" t="s">
        <v>391</v>
      </c>
      <c r="B113" s="1284"/>
      <c r="C113" s="1284"/>
      <c r="D113" s="1284"/>
      <c r="E113" s="1284"/>
      <c r="F113" s="1284"/>
      <c r="G113" s="1284"/>
      <c r="H113" s="1284"/>
      <c r="I113" s="1284"/>
      <c r="J113" s="1284"/>
      <c r="K113" s="1284"/>
      <c r="L113" s="1284"/>
      <c r="M113" s="1284"/>
      <c r="N113" s="1284"/>
      <c r="O113" s="1284"/>
      <c r="P113" s="1284"/>
      <c r="Q113" s="1284"/>
      <c r="R113" s="1284"/>
      <c r="S113" s="1284"/>
      <c r="T113" s="1284"/>
      <c r="U113" s="1284"/>
      <c r="V113" s="1284"/>
      <c r="W113" s="1284"/>
      <c r="X113" s="1284"/>
      <c r="Y113" s="1284"/>
      <c r="Z113" s="1284"/>
      <c r="AA113" s="1284"/>
      <c r="AB113" s="1284"/>
      <c r="AC113" s="1284"/>
      <c r="AD113" s="1284"/>
      <c r="AE113" s="1284"/>
      <c r="AF113" s="1284"/>
      <c r="AG113" s="1284"/>
      <c r="AH113" s="1284"/>
      <c r="AI113" s="1284"/>
      <c r="AJ113" s="1284"/>
      <c r="AK113" s="1284"/>
      <c r="AL113" s="1284"/>
      <c r="AM113" s="1284"/>
      <c r="AN113" s="1284"/>
      <c r="AO113" s="1284"/>
      <c r="AP113" s="1285" t="s">
        <v>1126</v>
      </c>
      <c r="AQ113" s="1286"/>
      <c r="AR113" s="1286"/>
      <c r="AS113" s="1286"/>
      <c r="AT113" s="1286"/>
      <c r="AU113" s="1286"/>
      <c r="AV113" s="1286"/>
      <c r="AW113" s="1287"/>
      <c r="AX113" s="1285" t="s">
        <v>392</v>
      </c>
      <c r="AY113" s="1286"/>
      <c r="AZ113" s="1286"/>
      <c r="BA113" s="1286"/>
      <c r="BB113" s="1286"/>
      <c r="BC113" s="1286"/>
      <c r="BD113" s="1286"/>
      <c r="BE113" s="1286"/>
      <c r="BF113" s="1286"/>
      <c r="BG113" s="1286"/>
      <c r="BH113" s="1286"/>
      <c r="BI113" s="1286"/>
      <c r="BJ113" s="1287"/>
      <c r="BK113" s="1288"/>
      <c r="BL113" s="1288"/>
      <c r="BM113" s="1288"/>
      <c r="BN113" s="1288"/>
      <c r="BO113" s="1288"/>
      <c r="BP113" s="1288"/>
      <c r="BQ113" s="1288"/>
      <c r="BR113" s="1288"/>
      <c r="BS113" s="1288"/>
      <c r="BT113" s="1288"/>
      <c r="BU113" s="1288"/>
      <c r="BV113" s="1288"/>
      <c r="BW113" s="1288"/>
      <c r="BX113" s="795"/>
      <c r="BY113" s="896"/>
      <c r="BZ113" s="896"/>
      <c r="CA113" s="896"/>
      <c r="CB113" s="833"/>
      <c r="CC113" s="897"/>
      <c r="CD113" s="896"/>
      <c r="CE113" s="896"/>
      <c r="CF113" s="896"/>
      <c r="CG113" s="833"/>
      <c r="CH113" s="898"/>
      <c r="CI113" s="896"/>
      <c r="CJ113" s="896"/>
      <c r="CK113" s="896"/>
      <c r="CL113" s="795"/>
      <c r="CM113" s="1244"/>
      <c r="CN113" s="1245"/>
      <c r="CO113" s="1245"/>
      <c r="CP113" s="1245"/>
      <c r="CQ113" s="1245"/>
      <c r="CR113" s="1245"/>
      <c r="CS113" s="1245"/>
      <c r="CT113" s="1245"/>
      <c r="CU113" s="1245"/>
      <c r="CV113" s="1245"/>
      <c r="CW113" s="1245"/>
      <c r="CX113" s="1245"/>
      <c r="CY113" s="1301"/>
    </row>
    <row r="114" spans="1:136" ht="29.45" customHeight="1" x14ac:dyDescent="0.2">
      <c r="A114" s="1283" t="s">
        <v>393</v>
      </c>
      <c r="B114" s="1284"/>
      <c r="C114" s="1284"/>
      <c r="D114" s="1284"/>
      <c r="E114" s="1284"/>
      <c r="F114" s="1284"/>
      <c r="G114" s="1284"/>
      <c r="H114" s="1284"/>
      <c r="I114" s="1284"/>
      <c r="J114" s="1284"/>
      <c r="K114" s="1284"/>
      <c r="L114" s="1284"/>
      <c r="M114" s="1284"/>
      <c r="N114" s="1284"/>
      <c r="O114" s="1284"/>
      <c r="P114" s="1284"/>
      <c r="Q114" s="1284"/>
      <c r="R114" s="1284"/>
      <c r="S114" s="1284"/>
      <c r="T114" s="1284"/>
      <c r="U114" s="1284"/>
      <c r="V114" s="1284"/>
      <c r="W114" s="1284"/>
      <c r="X114" s="1284"/>
      <c r="Y114" s="1284"/>
      <c r="Z114" s="1284"/>
      <c r="AA114" s="1284"/>
      <c r="AB114" s="1284"/>
      <c r="AC114" s="1284"/>
      <c r="AD114" s="1284"/>
      <c r="AE114" s="1284"/>
      <c r="AF114" s="1284"/>
      <c r="AG114" s="1284"/>
      <c r="AH114" s="1284"/>
      <c r="AI114" s="1284"/>
      <c r="AJ114" s="1284"/>
      <c r="AK114" s="1284"/>
      <c r="AL114" s="1284"/>
      <c r="AM114" s="1284"/>
      <c r="AN114" s="1284"/>
      <c r="AO114" s="1284"/>
      <c r="AP114" s="1285" t="s">
        <v>394</v>
      </c>
      <c r="AQ114" s="1286"/>
      <c r="AR114" s="1286"/>
      <c r="AS114" s="1286"/>
      <c r="AT114" s="1286"/>
      <c r="AU114" s="1286"/>
      <c r="AV114" s="1286"/>
      <c r="AW114" s="1287"/>
      <c r="AX114" s="1285" t="s">
        <v>3</v>
      </c>
      <c r="AY114" s="1286"/>
      <c r="AZ114" s="1286"/>
      <c r="BA114" s="1286"/>
      <c r="BB114" s="1286"/>
      <c r="BC114" s="1286"/>
      <c r="BD114" s="1286"/>
      <c r="BE114" s="1286"/>
      <c r="BF114" s="1286"/>
      <c r="BG114" s="1286"/>
      <c r="BH114" s="1286"/>
      <c r="BI114" s="1286"/>
      <c r="BJ114" s="1287"/>
      <c r="BK114" s="1288"/>
      <c r="BL114" s="1288"/>
      <c r="BM114" s="1288"/>
      <c r="BN114" s="1288"/>
      <c r="BO114" s="1288"/>
      <c r="BP114" s="1288"/>
      <c r="BQ114" s="1288"/>
      <c r="BR114" s="1288"/>
      <c r="BS114" s="1288"/>
      <c r="BT114" s="1288"/>
      <c r="BU114" s="1288"/>
      <c r="BV114" s="1288"/>
      <c r="BW114" s="1288"/>
      <c r="BX114" s="795"/>
      <c r="BY114" s="896"/>
      <c r="BZ114" s="896"/>
      <c r="CA114" s="896"/>
      <c r="CB114" s="833"/>
      <c r="CC114" s="897"/>
      <c r="CD114" s="896"/>
      <c r="CE114" s="896"/>
      <c r="CF114" s="896"/>
      <c r="CG114" s="833"/>
      <c r="CH114" s="898"/>
      <c r="CI114" s="896"/>
      <c r="CJ114" s="896"/>
      <c r="CK114" s="896"/>
      <c r="CL114" s="795"/>
      <c r="CM114" s="1244"/>
      <c r="CN114" s="1245"/>
      <c r="CO114" s="1245"/>
      <c r="CP114" s="1245"/>
      <c r="CQ114" s="1245"/>
      <c r="CR114" s="1245"/>
      <c r="CS114" s="1245"/>
      <c r="CT114" s="1245"/>
      <c r="CU114" s="1245"/>
      <c r="CV114" s="1245"/>
      <c r="CW114" s="1245"/>
      <c r="CX114" s="1245"/>
      <c r="CY114" s="1301"/>
    </row>
    <row r="115" spans="1:136" ht="57" customHeight="1" x14ac:dyDescent="0.2">
      <c r="A115" s="1283" t="s">
        <v>395</v>
      </c>
      <c r="B115" s="1284"/>
      <c r="C115" s="1284"/>
      <c r="D115" s="1284"/>
      <c r="E115" s="1284"/>
      <c r="F115" s="1284"/>
      <c r="G115" s="1284"/>
      <c r="H115" s="1284"/>
      <c r="I115" s="1284"/>
      <c r="J115" s="1284"/>
      <c r="K115" s="1284"/>
      <c r="L115" s="1284"/>
      <c r="M115" s="1284"/>
      <c r="N115" s="1284"/>
      <c r="O115" s="1284"/>
      <c r="P115" s="1284"/>
      <c r="Q115" s="1284"/>
      <c r="R115" s="1284"/>
      <c r="S115" s="1284"/>
      <c r="T115" s="1284"/>
      <c r="U115" s="1284"/>
      <c r="V115" s="1284"/>
      <c r="W115" s="1284"/>
      <c r="X115" s="1284"/>
      <c r="Y115" s="1284"/>
      <c r="Z115" s="1284"/>
      <c r="AA115" s="1284"/>
      <c r="AB115" s="1284"/>
      <c r="AC115" s="1284"/>
      <c r="AD115" s="1284"/>
      <c r="AE115" s="1284"/>
      <c r="AF115" s="1284"/>
      <c r="AG115" s="1284"/>
      <c r="AH115" s="1284"/>
      <c r="AI115" s="1284"/>
      <c r="AJ115" s="1284"/>
      <c r="AK115" s="1284"/>
      <c r="AL115" s="1284"/>
      <c r="AM115" s="1284"/>
      <c r="AN115" s="1284"/>
      <c r="AO115" s="1284"/>
      <c r="AP115" s="1285" t="s">
        <v>396</v>
      </c>
      <c r="AQ115" s="1286"/>
      <c r="AR115" s="1286"/>
      <c r="AS115" s="1286"/>
      <c r="AT115" s="1286"/>
      <c r="AU115" s="1286"/>
      <c r="AV115" s="1286"/>
      <c r="AW115" s="1287"/>
      <c r="AX115" s="1285" t="s">
        <v>397</v>
      </c>
      <c r="AY115" s="1286"/>
      <c r="AZ115" s="1286"/>
      <c r="BA115" s="1286"/>
      <c r="BB115" s="1286"/>
      <c r="BC115" s="1286"/>
      <c r="BD115" s="1286"/>
      <c r="BE115" s="1286"/>
      <c r="BF115" s="1286"/>
      <c r="BG115" s="1286"/>
      <c r="BH115" s="1286"/>
      <c r="BI115" s="1286"/>
      <c r="BJ115" s="1287"/>
      <c r="BK115" s="1288"/>
      <c r="BL115" s="1288"/>
      <c r="BM115" s="1288"/>
      <c r="BN115" s="1288"/>
      <c r="BO115" s="1288"/>
      <c r="BP115" s="1288"/>
      <c r="BQ115" s="1288"/>
      <c r="BR115" s="1288"/>
      <c r="BS115" s="1288"/>
      <c r="BT115" s="1288"/>
      <c r="BU115" s="1288"/>
      <c r="BV115" s="1288"/>
      <c r="BW115" s="1288"/>
      <c r="BX115" s="795"/>
      <c r="BY115" s="896"/>
      <c r="BZ115" s="896"/>
      <c r="CA115" s="896"/>
      <c r="CB115" s="833"/>
      <c r="CC115" s="897"/>
      <c r="CD115" s="896"/>
      <c r="CE115" s="896"/>
      <c r="CF115" s="896"/>
      <c r="CG115" s="833"/>
      <c r="CH115" s="898"/>
      <c r="CI115" s="896"/>
      <c r="CJ115" s="896"/>
      <c r="CK115" s="896"/>
      <c r="CL115" s="795"/>
      <c r="CM115" s="1244"/>
      <c r="CN115" s="1245"/>
      <c r="CO115" s="1245"/>
      <c r="CP115" s="1245"/>
      <c r="CQ115" s="1245"/>
      <c r="CR115" s="1245"/>
      <c r="CS115" s="1245"/>
      <c r="CT115" s="1245"/>
      <c r="CU115" s="1245"/>
      <c r="CV115" s="1245"/>
      <c r="CW115" s="1245"/>
      <c r="CX115" s="1245"/>
      <c r="CY115" s="1301"/>
    </row>
    <row r="116" spans="1:136" s="93" customFormat="1" ht="26.45" customHeight="1" x14ac:dyDescent="0.2">
      <c r="A116" s="1332" t="s">
        <v>992</v>
      </c>
      <c r="B116" s="1333"/>
      <c r="C116" s="1333"/>
      <c r="D116" s="1333"/>
      <c r="E116" s="1333"/>
      <c r="F116" s="1333"/>
      <c r="G116" s="1333"/>
      <c r="H116" s="1333"/>
      <c r="I116" s="1333"/>
      <c r="J116" s="1333"/>
      <c r="K116" s="1333"/>
      <c r="L116" s="1333"/>
      <c r="M116" s="1333"/>
      <c r="N116" s="1333"/>
      <c r="O116" s="1333"/>
      <c r="P116" s="1333"/>
      <c r="Q116" s="1333"/>
      <c r="R116" s="1333"/>
      <c r="S116" s="1333"/>
      <c r="T116" s="1333"/>
      <c r="U116" s="1333"/>
      <c r="V116" s="1333"/>
      <c r="W116" s="1333"/>
      <c r="X116" s="1333"/>
      <c r="Y116" s="1333"/>
      <c r="Z116" s="1333"/>
      <c r="AA116" s="1333"/>
      <c r="AB116" s="1333"/>
      <c r="AC116" s="1333"/>
      <c r="AD116" s="1333"/>
      <c r="AE116" s="1333"/>
      <c r="AF116" s="1333"/>
      <c r="AG116" s="1333"/>
      <c r="AH116" s="1333"/>
      <c r="AI116" s="1333"/>
      <c r="AJ116" s="1333"/>
      <c r="AK116" s="1333"/>
      <c r="AL116" s="1333"/>
      <c r="AM116" s="1333"/>
      <c r="AN116" s="1333"/>
      <c r="AO116" s="1333"/>
      <c r="AP116" s="1334" t="s">
        <v>993</v>
      </c>
      <c r="AQ116" s="1335"/>
      <c r="AR116" s="1335"/>
      <c r="AS116" s="1335"/>
      <c r="AT116" s="1335"/>
      <c r="AU116" s="1335"/>
      <c r="AV116" s="1335"/>
      <c r="AW116" s="1336"/>
      <c r="AX116" s="1334"/>
      <c r="AY116" s="1335"/>
      <c r="AZ116" s="1335"/>
      <c r="BA116" s="1335"/>
      <c r="BB116" s="1335"/>
      <c r="BC116" s="1335"/>
      <c r="BD116" s="1335"/>
      <c r="BE116" s="1335"/>
      <c r="BF116" s="1335"/>
      <c r="BG116" s="1335"/>
      <c r="BH116" s="1335"/>
      <c r="BI116" s="1335"/>
      <c r="BJ116" s="1336"/>
      <c r="BK116" s="1296"/>
      <c r="BL116" s="1296"/>
      <c r="BM116" s="1296"/>
      <c r="BN116" s="1296"/>
      <c r="BO116" s="1296"/>
      <c r="BP116" s="1296"/>
      <c r="BQ116" s="1296"/>
      <c r="BR116" s="1296"/>
      <c r="BS116" s="1296"/>
      <c r="BT116" s="1296"/>
      <c r="BU116" s="1296"/>
      <c r="BV116" s="1296"/>
      <c r="BW116" s="1296"/>
      <c r="BX116" s="788">
        <f>SUM(BY116:CB116)</f>
        <v>24206241.629999999</v>
      </c>
      <c r="BY116" s="911">
        <f>BY119</f>
        <v>11171058.699999999</v>
      </c>
      <c r="BZ116" s="911">
        <f>BZ119+BZ118</f>
        <v>10591775.32</v>
      </c>
      <c r="CA116" s="911"/>
      <c r="CB116" s="909">
        <f>CB119</f>
        <v>2443407.61</v>
      </c>
      <c r="CC116" s="921">
        <f>CC118+CC119</f>
        <v>35489101.600000001</v>
      </c>
      <c r="CD116" s="911">
        <f>CD119</f>
        <v>10148506.23</v>
      </c>
      <c r="CE116" s="911">
        <f>CE119+CE118</f>
        <v>24114311.109999999</v>
      </c>
      <c r="CF116" s="911"/>
      <c r="CG116" s="909">
        <f t="shared" ref="CG116:CL116" si="7">CG119</f>
        <v>1226284.26</v>
      </c>
      <c r="CH116" s="922">
        <f>CH119</f>
        <v>11337558.549999999</v>
      </c>
      <c r="CI116" s="911">
        <f t="shared" si="7"/>
        <v>10073756.23</v>
      </c>
      <c r="CJ116" s="911">
        <f t="shared" si="7"/>
        <v>3200</v>
      </c>
      <c r="CK116" s="911">
        <f t="shared" si="7"/>
        <v>0</v>
      </c>
      <c r="CL116" s="788">
        <f t="shared" si="7"/>
        <v>1226284.26</v>
      </c>
      <c r="CM116" s="1329"/>
      <c r="CN116" s="1330"/>
      <c r="CO116" s="1330"/>
      <c r="CP116" s="1330"/>
      <c r="CQ116" s="1330"/>
      <c r="CR116" s="1330"/>
      <c r="CS116" s="1330"/>
      <c r="CT116" s="1330"/>
      <c r="CU116" s="1330"/>
      <c r="CV116" s="1330"/>
      <c r="CW116" s="1330"/>
      <c r="CX116" s="1330"/>
      <c r="CY116" s="1331"/>
    </row>
    <row r="117" spans="1:136" ht="36.6" customHeight="1" x14ac:dyDescent="0.2">
      <c r="A117" s="1283" t="s">
        <v>1128</v>
      </c>
      <c r="B117" s="1284"/>
      <c r="C117" s="1284"/>
      <c r="D117" s="1284"/>
      <c r="E117" s="1284"/>
      <c r="F117" s="1284"/>
      <c r="G117" s="1284"/>
      <c r="H117" s="1284"/>
      <c r="I117" s="1284"/>
      <c r="J117" s="1284"/>
      <c r="K117" s="1284"/>
      <c r="L117" s="1284"/>
      <c r="M117" s="1284"/>
      <c r="N117" s="1284"/>
      <c r="O117" s="1284"/>
      <c r="P117" s="1284"/>
      <c r="Q117" s="1284"/>
      <c r="R117" s="1284"/>
      <c r="S117" s="1284"/>
      <c r="T117" s="1284"/>
      <c r="U117" s="1284"/>
      <c r="V117" s="1284"/>
      <c r="W117" s="1284"/>
      <c r="X117" s="1284"/>
      <c r="Y117" s="1284"/>
      <c r="Z117" s="1284"/>
      <c r="AA117" s="1284"/>
      <c r="AB117" s="1284"/>
      <c r="AC117" s="1284"/>
      <c r="AD117" s="1284"/>
      <c r="AE117" s="1284"/>
      <c r="AF117" s="1284"/>
      <c r="AG117" s="1284"/>
      <c r="AH117" s="1284"/>
      <c r="AI117" s="1284"/>
      <c r="AJ117" s="1284"/>
      <c r="AK117" s="1284"/>
      <c r="AL117" s="1284"/>
      <c r="AM117" s="1284"/>
      <c r="AN117" s="1284"/>
      <c r="AO117" s="1284"/>
      <c r="AP117" s="1285" t="s">
        <v>994</v>
      </c>
      <c r="AQ117" s="1286"/>
      <c r="AR117" s="1286"/>
      <c r="AS117" s="1286"/>
      <c r="AT117" s="1286"/>
      <c r="AU117" s="1286"/>
      <c r="AV117" s="1286"/>
      <c r="AW117" s="1287"/>
      <c r="AX117" s="1285" t="s">
        <v>792</v>
      </c>
      <c r="AY117" s="1286"/>
      <c r="AZ117" s="1286"/>
      <c r="BA117" s="1286"/>
      <c r="BB117" s="1286"/>
      <c r="BC117" s="1286"/>
      <c r="BD117" s="1286"/>
      <c r="BE117" s="1286"/>
      <c r="BF117" s="1286"/>
      <c r="BG117" s="1286"/>
      <c r="BH117" s="1286"/>
      <c r="BI117" s="1286"/>
      <c r="BJ117" s="1287"/>
      <c r="BK117" s="1288"/>
      <c r="BL117" s="1288"/>
      <c r="BM117" s="1288"/>
      <c r="BN117" s="1288"/>
      <c r="BO117" s="1288"/>
      <c r="BP117" s="1288"/>
      <c r="BQ117" s="1288"/>
      <c r="BR117" s="1288"/>
      <c r="BS117" s="1288"/>
      <c r="BT117" s="1288"/>
      <c r="BU117" s="1288"/>
      <c r="BV117" s="1288"/>
      <c r="BW117" s="1288"/>
      <c r="BX117" s="795"/>
      <c r="BY117" s="896"/>
      <c r="BZ117" s="896"/>
      <c r="CA117" s="896"/>
      <c r="CB117" s="833"/>
      <c r="CC117" s="897"/>
      <c r="CD117" s="896"/>
      <c r="CE117" s="896"/>
      <c r="CF117" s="896"/>
      <c r="CG117" s="833"/>
      <c r="CH117" s="898"/>
      <c r="CI117" s="896"/>
      <c r="CJ117" s="896"/>
      <c r="CK117" s="896"/>
      <c r="CL117" s="795"/>
      <c r="CM117" s="1244"/>
      <c r="CN117" s="1245"/>
      <c r="CO117" s="1245"/>
      <c r="CP117" s="1245"/>
      <c r="CQ117" s="1245"/>
      <c r="CR117" s="1245"/>
      <c r="CS117" s="1245"/>
      <c r="CT117" s="1245"/>
      <c r="CU117" s="1245"/>
      <c r="CV117" s="1245"/>
      <c r="CW117" s="1245"/>
      <c r="CX117" s="1245"/>
      <c r="CY117" s="1301"/>
    </row>
    <row r="118" spans="1:136" ht="40.9" customHeight="1" x14ac:dyDescent="0.2">
      <c r="A118" s="1283" t="s">
        <v>995</v>
      </c>
      <c r="B118" s="1284"/>
      <c r="C118" s="1284"/>
      <c r="D118" s="1284"/>
      <c r="E118" s="1284"/>
      <c r="F118" s="1284"/>
      <c r="G118" s="1284"/>
      <c r="H118" s="1284"/>
      <c r="I118" s="1284"/>
      <c r="J118" s="1284"/>
      <c r="K118" s="1284"/>
      <c r="L118" s="1284"/>
      <c r="M118" s="1284"/>
      <c r="N118" s="1284"/>
      <c r="O118" s="1284"/>
      <c r="P118" s="1284"/>
      <c r="Q118" s="1284"/>
      <c r="R118" s="1284"/>
      <c r="S118" s="1284"/>
      <c r="T118" s="1284"/>
      <c r="U118" s="1284"/>
      <c r="V118" s="1284"/>
      <c r="W118" s="1284"/>
      <c r="X118" s="1284"/>
      <c r="Y118" s="1284"/>
      <c r="Z118" s="1284"/>
      <c r="AA118" s="1284"/>
      <c r="AB118" s="1284"/>
      <c r="AC118" s="1284"/>
      <c r="AD118" s="1284"/>
      <c r="AE118" s="1284"/>
      <c r="AF118" s="1284"/>
      <c r="AG118" s="1284"/>
      <c r="AH118" s="1284"/>
      <c r="AI118" s="1284"/>
      <c r="AJ118" s="1284"/>
      <c r="AK118" s="1284"/>
      <c r="AL118" s="1284"/>
      <c r="AM118" s="1284"/>
      <c r="AN118" s="1284"/>
      <c r="AO118" s="1284"/>
      <c r="AP118" s="1285" t="s">
        <v>996</v>
      </c>
      <c r="AQ118" s="1286"/>
      <c r="AR118" s="1286"/>
      <c r="AS118" s="1286"/>
      <c r="AT118" s="1286"/>
      <c r="AU118" s="1286"/>
      <c r="AV118" s="1286"/>
      <c r="AW118" s="1287"/>
      <c r="AX118" s="1285" t="s">
        <v>997</v>
      </c>
      <c r="AY118" s="1286"/>
      <c r="AZ118" s="1286"/>
      <c r="BA118" s="1286"/>
      <c r="BB118" s="1286"/>
      <c r="BC118" s="1286"/>
      <c r="BD118" s="1286"/>
      <c r="BE118" s="1286"/>
      <c r="BF118" s="1286"/>
      <c r="BG118" s="1286"/>
      <c r="BH118" s="1286"/>
      <c r="BI118" s="1286"/>
      <c r="BJ118" s="1287"/>
      <c r="BK118" s="1288" t="s">
        <v>412</v>
      </c>
      <c r="BL118" s="1288"/>
      <c r="BM118" s="1288"/>
      <c r="BN118" s="1288"/>
      <c r="BO118" s="1288"/>
      <c r="BP118" s="1288"/>
      <c r="BQ118" s="1288"/>
      <c r="BR118" s="1288"/>
      <c r="BS118" s="1288"/>
      <c r="BT118" s="1288"/>
      <c r="BU118" s="1288"/>
      <c r="BV118" s="1288"/>
      <c r="BW118" s="1288"/>
      <c r="BX118" s="795">
        <v>0</v>
      </c>
      <c r="BY118" s="896"/>
      <c r="BZ118" s="896">
        <v>0</v>
      </c>
      <c r="CA118" s="896"/>
      <c r="CB118" s="833"/>
      <c r="CC118" s="897">
        <f>CE118</f>
        <v>6111111.1100000003</v>
      </c>
      <c r="CD118" s="896"/>
      <c r="CE118" s="896">
        <v>6111111.1100000003</v>
      </c>
      <c r="CF118" s="896"/>
      <c r="CG118" s="833"/>
      <c r="CH118" s="898"/>
      <c r="CI118" s="896"/>
      <c r="CJ118" s="896"/>
      <c r="CK118" s="896"/>
      <c r="CL118" s="795"/>
      <c r="CM118" s="1244"/>
      <c r="CN118" s="1245"/>
      <c r="CO118" s="1245"/>
      <c r="CP118" s="1245"/>
      <c r="CQ118" s="1245"/>
      <c r="CR118" s="1245"/>
      <c r="CS118" s="1245"/>
      <c r="CT118" s="1245"/>
      <c r="CU118" s="1245"/>
      <c r="CV118" s="1245"/>
      <c r="CW118" s="1245"/>
      <c r="CX118" s="1245"/>
      <c r="CY118" s="1301"/>
    </row>
    <row r="119" spans="1:136" ht="26.25" customHeight="1" x14ac:dyDescent="0.2">
      <c r="A119" s="1302" t="s">
        <v>399</v>
      </c>
      <c r="B119" s="1303"/>
      <c r="C119" s="1303"/>
      <c r="D119" s="1303"/>
      <c r="E119" s="1303"/>
      <c r="F119" s="1303"/>
      <c r="G119" s="1303"/>
      <c r="H119" s="1303"/>
      <c r="I119" s="1303"/>
      <c r="J119" s="1303"/>
      <c r="K119" s="1303"/>
      <c r="L119" s="1303"/>
      <c r="M119" s="1303"/>
      <c r="N119" s="1303"/>
      <c r="O119" s="1303"/>
      <c r="P119" s="1303"/>
      <c r="Q119" s="1303"/>
      <c r="R119" s="1303"/>
      <c r="S119" s="1303"/>
      <c r="T119" s="1303"/>
      <c r="U119" s="1303"/>
      <c r="V119" s="1303"/>
      <c r="W119" s="1303"/>
      <c r="X119" s="1303"/>
      <c r="Y119" s="1303"/>
      <c r="Z119" s="1303"/>
      <c r="AA119" s="1303"/>
      <c r="AB119" s="1303"/>
      <c r="AC119" s="1303"/>
      <c r="AD119" s="1303"/>
      <c r="AE119" s="1303"/>
      <c r="AF119" s="1303"/>
      <c r="AG119" s="1303"/>
      <c r="AH119" s="1303"/>
      <c r="AI119" s="1303"/>
      <c r="AJ119" s="1303"/>
      <c r="AK119" s="1303"/>
      <c r="AL119" s="1303"/>
      <c r="AM119" s="1303"/>
      <c r="AN119" s="1303"/>
      <c r="AO119" s="1304"/>
      <c r="AP119" s="1305" t="s">
        <v>400</v>
      </c>
      <c r="AQ119" s="1306"/>
      <c r="AR119" s="1306"/>
      <c r="AS119" s="1306"/>
      <c r="AT119" s="1306"/>
      <c r="AU119" s="1306"/>
      <c r="AV119" s="1306"/>
      <c r="AW119" s="1307"/>
      <c r="AX119" s="1308" t="s">
        <v>403</v>
      </c>
      <c r="AY119" s="1306"/>
      <c r="AZ119" s="1306"/>
      <c r="BA119" s="1306"/>
      <c r="BB119" s="1306"/>
      <c r="BC119" s="1306"/>
      <c r="BD119" s="1306"/>
      <c r="BE119" s="1306"/>
      <c r="BF119" s="1306"/>
      <c r="BG119" s="1306"/>
      <c r="BH119" s="1306"/>
      <c r="BI119" s="1306"/>
      <c r="BJ119" s="1307"/>
      <c r="BK119" s="1309"/>
      <c r="BL119" s="1310"/>
      <c r="BM119" s="1310"/>
      <c r="BN119" s="1310"/>
      <c r="BO119" s="1310"/>
      <c r="BP119" s="1310"/>
      <c r="BQ119" s="1310"/>
      <c r="BR119" s="1310"/>
      <c r="BS119" s="1310"/>
      <c r="BT119" s="1310"/>
      <c r="BU119" s="1310"/>
      <c r="BV119" s="1310"/>
      <c r="BW119" s="1311"/>
      <c r="BX119" s="788">
        <f>BY119+BZ119+CB119</f>
        <v>24206241.629999999</v>
      </c>
      <c r="BY119" s="911">
        <f>SUM(BY121:BY156)</f>
        <v>11171058.699999999</v>
      </c>
      <c r="BZ119" s="911">
        <f>SUM(BZ121:BZ156)</f>
        <v>10591775.32</v>
      </c>
      <c r="CA119" s="911"/>
      <c r="CB119" s="909">
        <f>SUM(CB121:CB156)</f>
        <v>2443407.61</v>
      </c>
      <c r="CC119" s="921">
        <f>CD119+CE119+CG119</f>
        <v>29377990.490000002</v>
      </c>
      <c r="CD119" s="909">
        <f>SUM(CD120:CD156)</f>
        <v>10148506.23</v>
      </c>
      <c r="CE119" s="909">
        <f>SUM(CE120:CE156)</f>
        <v>18003200</v>
      </c>
      <c r="CF119" s="909">
        <f>SUM(CF120:CF156)</f>
        <v>0</v>
      </c>
      <c r="CG119" s="909">
        <f>SUM(CG120:CG156)</f>
        <v>1226284.26</v>
      </c>
      <c r="CH119" s="911">
        <f>SUM(CH121:CH156)</f>
        <v>11337558.549999999</v>
      </c>
      <c r="CI119" s="911">
        <f>SUM(CI121:CI156)</f>
        <v>10073756.23</v>
      </c>
      <c r="CJ119" s="911">
        <f>SUM(CJ121:CJ156)</f>
        <v>3200</v>
      </c>
      <c r="CK119" s="911">
        <f>SUM(CK121:CK156)</f>
        <v>0</v>
      </c>
      <c r="CL119" s="788">
        <f>SUM(CL121:CL156)</f>
        <v>1226284.26</v>
      </c>
      <c r="CM119" s="1312"/>
      <c r="CN119" s="1313"/>
      <c r="CO119" s="1313"/>
      <c r="CP119" s="1313"/>
      <c r="CQ119" s="1313"/>
      <c r="CR119" s="1313"/>
      <c r="CS119" s="1313"/>
      <c r="CT119" s="1313"/>
      <c r="CU119" s="1313"/>
      <c r="CV119" s="1313"/>
      <c r="CW119" s="1313"/>
      <c r="CX119" s="1313"/>
      <c r="CY119" s="1314"/>
    </row>
    <row r="120" spans="1:136" s="357" customFormat="1" ht="18.75" x14ac:dyDescent="0.2">
      <c r="A120" s="1317" t="s">
        <v>401</v>
      </c>
      <c r="B120" s="1318"/>
      <c r="C120" s="1318"/>
      <c r="D120" s="1318"/>
      <c r="E120" s="1318"/>
      <c r="F120" s="1318"/>
      <c r="G120" s="1318"/>
      <c r="H120" s="1318"/>
      <c r="I120" s="1318"/>
      <c r="J120" s="1318"/>
      <c r="K120" s="1318"/>
      <c r="L120" s="1318"/>
      <c r="M120" s="1318"/>
      <c r="N120" s="1318"/>
      <c r="O120" s="1318"/>
      <c r="P120" s="1318"/>
      <c r="Q120" s="1318"/>
      <c r="R120" s="1318"/>
      <c r="S120" s="1318"/>
      <c r="T120" s="1318"/>
      <c r="U120" s="1318"/>
      <c r="V120" s="1318"/>
      <c r="W120" s="1318"/>
      <c r="X120" s="1318"/>
      <c r="Y120" s="1318"/>
      <c r="Z120" s="1318"/>
      <c r="AA120" s="1318"/>
      <c r="AB120" s="1318"/>
      <c r="AC120" s="1318"/>
      <c r="AD120" s="1318"/>
      <c r="AE120" s="1318"/>
      <c r="AF120" s="1318"/>
      <c r="AG120" s="1318"/>
      <c r="AH120" s="1318"/>
      <c r="AI120" s="1318"/>
      <c r="AJ120" s="1318"/>
      <c r="AK120" s="1318"/>
      <c r="AL120" s="1318"/>
      <c r="AM120" s="1318"/>
      <c r="AN120" s="1318"/>
      <c r="AO120" s="1319"/>
      <c r="AP120" s="1282"/>
      <c r="AQ120" s="1280"/>
      <c r="AR120" s="1280"/>
      <c r="AS120" s="1280"/>
      <c r="AT120" s="1280"/>
      <c r="AU120" s="1280"/>
      <c r="AV120" s="1280"/>
      <c r="AW120" s="1281"/>
      <c r="AX120" s="1006"/>
      <c r="AY120" s="1007"/>
      <c r="AZ120" s="1007"/>
      <c r="BA120" s="1007"/>
      <c r="BB120" s="1007"/>
      <c r="BC120" s="1007"/>
      <c r="BD120" s="1007"/>
      <c r="BE120" s="1007"/>
      <c r="BF120" s="1007"/>
      <c r="BG120" s="1007"/>
      <c r="BH120" s="1007"/>
      <c r="BI120" s="1007"/>
      <c r="BJ120" s="1008"/>
      <c r="BK120" s="1320"/>
      <c r="BL120" s="1320"/>
      <c r="BM120" s="1320"/>
      <c r="BN120" s="1320"/>
      <c r="BO120" s="1320"/>
      <c r="BP120" s="1320"/>
      <c r="BQ120" s="1320"/>
      <c r="BR120" s="1320"/>
      <c r="BS120" s="1320"/>
      <c r="BT120" s="1320"/>
      <c r="BU120" s="1320"/>
      <c r="BV120" s="1320"/>
      <c r="BW120" s="1320"/>
      <c r="BX120" s="896"/>
      <c r="BY120" s="832"/>
      <c r="BZ120" s="896"/>
      <c r="CA120" s="896"/>
      <c r="CB120" s="833"/>
      <c r="CC120" s="897"/>
      <c r="CD120" s="896"/>
      <c r="CE120" s="896"/>
      <c r="CF120" s="896"/>
      <c r="CG120" s="833"/>
      <c r="CH120" s="898"/>
      <c r="CI120" s="896"/>
      <c r="CJ120" s="896"/>
      <c r="CK120" s="896"/>
      <c r="CL120" s="795"/>
      <c r="CM120" s="1324"/>
      <c r="CN120" s="1325"/>
      <c r="CO120" s="1325"/>
      <c r="CP120" s="1325"/>
      <c r="CQ120" s="1325"/>
      <c r="CR120" s="1325"/>
      <c r="CS120" s="1325"/>
      <c r="CT120" s="1325"/>
      <c r="CU120" s="1325"/>
      <c r="CV120" s="1325"/>
      <c r="CW120" s="1325"/>
      <c r="CX120" s="1325"/>
      <c r="CY120" s="1326"/>
    </row>
    <row r="121" spans="1:136" ht="18.75" x14ac:dyDescent="0.2">
      <c r="A121" s="1327" t="s">
        <v>402</v>
      </c>
      <c r="B121" s="1328"/>
      <c r="C121" s="1328"/>
      <c r="D121" s="1328"/>
      <c r="E121" s="1328"/>
      <c r="F121" s="1328"/>
      <c r="G121" s="1328"/>
      <c r="H121" s="1328"/>
      <c r="I121" s="1328"/>
      <c r="J121" s="1328"/>
      <c r="K121" s="1328"/>
      <c r="L121" s="1328"/>
      <c r="M121" s="1328"/>
      <c r="N121" s="1328"/>
      <c r="O121" s="1328"/>
      <c r="P121" s="1328"/>
      <c r="Q121" s="1328"/>
      <c r="R121" s="1328"/>
      <c r="S121" s="1328"/>
      <c r="T121" s="1328"/>
      <c r="U121" s="1328"/>
      <c r="V121" s="1328"/>
      <c r="W121" s="1328"/>
      <c r="X121" s="1328"/>
      <c r="Y121" s="1328"/>
      <c r="Z121" s="1328"/>
      <c r="AA121" s="1328"/>
      <c r="AB121" s="1328"/>
      <c r="AC121" s="1328"/>
      <c r="AD121" s="1328"/>
      <c r="AE121" s="1328"/>
      <c r="AF121" s="1328"/>
      <c r="AG121" s="1328"/>
      <c r="AH121" s="1328"/>
      <c r="AI121" s="1328"/>
      <c r="AJ121" s="1328"/>
      <c r="AK121" s="1328"/>
      <c r="AL121" s="1328"/>
      <c r="AM121" s="1328"/>
      <c r="AN121" s="1328"/>
      <c r="AO121" s="1328"/>
      <c r="AP121" s="1282"/>
      <c r="AQ121" s="1280"/>
      <c r="AR121" s="1280"/>
      <c r="AS121" s="1280"/>
      <c r="AT121" s="1280"/>
      <c r="AU121" s="1280"/>
      <c r="AV121" s="1280"/>
      <c r="AW121" s="1281"/>
      <c r="AX121" s="1320" t="s">
        <v>403</v>
      </c>
      <c r="AY121" s="1320"/>
      <c r="AZ121" s="1320"/>
      <c r="BA121" s="1320"/>
      <c r="BB121" s="1320"/>
      <c r="BC121" s="1320"/>
      <c r="BD121" s="1320"/>
      <c r="BE121" s="1320"/>
      <c r="BF121" s="1320"/>
      <c r="BG121" s="1320"/>
      <c r="BH121" s="1320"/>
      <c r="BI121" s="1320"/>
      <c r="BJ121" s="1320"/>
      <c r="BK121" s="1320" t="s">
        <v>404</v>
      </c>
      <c r="BL121" s="1320"/>
      <c r="BM121" s="1320"/>
      <c r="BN121" s="1320"/>
      <c r="BO121" s="1320"/>
      <c r="BP121" s="1320"/>
      <c r="BQ121" s="1320"/>
      <c r="BR121" s="1320"/>
      <c r="BS121" s="1320"/>
      <c r="BT121" s="1320"/>
      <c r="BU121" s="1320"/>
      <c r="BV121" s="1320"/>
      <c r="BW121" s="1320"/>
      <c r="BX121" s="896">
        <f>SUM(BY121:CB121)</f>
        <v>57052.3</v>
      </c>
      <c r="BY121" s="832">
        <v>57052.3</v>
      </c>
      <c r="BZ121" s="896"/>
      <c r="CA121" s="896"/>
      <c r="CB121" s="833"/>
      <c r="CC121" s="899">
        <f>CD121+CE121+CG121</f>
        <v>57052.3</v>
      </c>
      <c r="CD121" s="832">
        <v>57052.3</v>
      </c>
      <c r="CE121" s="832"/>
      <c r="CF121" s="832"/>
      <c r="CG121" s="923"/>
      <c r="CH121" s="900">
        <f>CI121+CJ121+CL121</f>
        <v>57052.3</v>
      </c>
      <c r="CI121" s="832">
        <f>CD121</f>
        <v>57052.3</v>
      </c>
      <c r="CJ121" s="896"/>
      <c r="CK121" s="896"/>
      <c r="CL121" s="795"/>
      <c r="CM121" s="1312"/>
      <c r="CN121" s="1313"/>
      <c r="CO121" s="1313"/>
      <c r="CP121" s="1313"/>
      <c r="CQ121" s="1313"/>
      <c r="CR121" s="1313"/>
      <c r="CS121" s="1313"/>
      <c r="CT121" s="1313"/>
      <c r="CU121" s="1313"/>
      <c r="CV121" s="1313"/>
      <c r="CW121" s="1313"/>
      <c r="CX121" s="1313"/>
      <c r="CY121" s="1314"/>
    </row>
    <row r="122" spans="1:136" ht="18.75" x14ac:dyDescent="0.2">
      <c r="A122" s="1327" t="s">
        <v>402</v>
      </c>
      <c r="B122" s="1328"/>
      <c r="C122" s="1328"/>
      <c r="D122" s="1328"/>
      <c r="E122" s="1328"/>
      <c r="F122" s="1328"/>
      <c r="G122" s="1328"/>
      <c r="H122" s="1328"/>
      <c r="I122" s="1328"/>
      <c r="J122" s="1328"/>
      <c r="K122" s="1328"/>
      <c r="L122" s="1328"/>
      <c r="M122" s="1328"/>
      <c r="N122" s="1328"/>
      <c r="O122" s="1328"/>
      <c r="P122" s="1328"/>
      <c r="Q122" s="1328"/>
      <c r="R122" s="1328"/>
      <c r="S122" s="1328"/>
      <c r="T122" s="1328"/>
      <c r="U122" s="1328"/>
      <c r="V122" s="1328"/>
      <c r="W122" s="1328"/>
      <c r="X122" s="1328"/>
      <c r="Y122" s="1328"/>
      <c r="Z122" s="1328"/>
      <c r="AA122" s="1328"/>
      <c r="AB122" s="1328"/>
      <c r="AC122" s="1328"/>
      <c r="AD122" s="1328"/>
      <c r="AE122" s="1328"/>
      <c r="AF122" s="1328"/>
      <c r="AG122" s="1328"/>
      <c r="AH122" s="1328"/>
      <c r="AI122" s="1328"/>
      <c r="AJ122" s="1328"/>
      <c r="AK122" s="1328"/>
      <c r="AL122" s="1328"/>
      <c r="AM122" s="1328"/>
      <c r="AN122" s="1328"/>
      <c r="AO122" s="1328"/>
      <c r="AP122" s="1282"/>
      <c r="AQ122" s="1280"/>
      <c r="AR122" s="1280"/>
      <c r="AS122" s="1280"/>
      <c r="AT122" s="1280"/>
      <c r="AU122" s="1280"/>
      <c r="AV122" s="1280"/>
      <c r="AW122" s="1281"/>
      <c r="AX122" s="1320" t="s">
        <v>403</v>
      </c>
      <c r="AY122" s="1320"/>
      <c r="AZ122" s="1320"/>
      <c r="BA122" s="1320"/>
      <c r="BB122" s="1320"/>
      <c r="BC122" s="1320"/>
      <c r="BD122" s="1320"/>
      <c r="BE122" s="1320"/>
      <c r="BF122" s="1320"/>
      <c r="BG122" s="1320"/>
      <c r="BH122" s="1320"/>
      <c r="BI122" s="1320"/>
      <c r="BJ122" s="1320"/>
      <c r="BK122" s="1320" t="s">
        <v>405</v>
      </c>
      <c r="BL122" s="1320"/>
      <c r="BM122" s="1320"/>
      <c r="BN122" s="1320"/>
      <c r="BO122" s="1320"/>
      <c r="BP122" s="1320"/>
      <c r="BQ122" s="1320"/>
      <c r="BR122" s="1320"/>
      <c r="BS122" s="1320"/>
      <c r="BT122" s="1320"/>
      <c r="BU122" s="1320"/>
      <c r="BV122" s="1320"/>
      <c r="BW122" s="1320"/>
      <c r="BX122" s="896">
        <f>SUM(BY122:CB122)</f>
        <v>62520.93</v>
      </c>
      <c r="BY122" s="832">
        <v>62520.93</v>
      </c>
      <c r="BZ122" s="896"/>
      <c r="CA122" s="896"/>
      <c r="CB122" s="833"/>
      <c r="CC122" s="899">
        <f>SUM(CD122:CG122)</f>
        <v>85240.93</v>
      </c>
      <c r="CD122" s="832">
        <v>85240.93</v>
      </c>
      <c r="CE122" s="832"/>
      <c r="CF122" s="832"/>
      <c r="CG122" s="923"/>
      <c r="CH122" s="900">
        <f t="shared" ref="CH122:CH150" si="8">CI122+CJ122+CL122</f>
        <v>85240.93</v>
      </c>
      <c r="CI122" s="832">
        <f>CD122</f>
        <v>85240.93</v>
      </c>
      <c r="CJ122" s="896"/>
      <c r="CK122" s="896"/>
      <c r="CL122" s="795"/>
      <c r="CM122" s="1321"/>
      <c r="CN122" s="1322"/>
      <c r="CO122" s="1322"/>
      <c r="CP122" s="1322"/>
      <c r="CQ122" s="1322"/>
      <c r="CR122" s="1322"/>
      <c r="CS122" s="1322"/>
      <c r="CT122" s="1322"/>
      <c r="CU122" s="1322"/>
      <c r="CV122" s="1322"/>
      <c r="CW122" s="1322"/>
      <c r="CX122" s="1322"/>
      <c r="CY122" s="1323"/>
    </row>
    <row r="123" spans="1:136" ht="18.75" x14ac:dyDescent="0.2">
      <c r="A123" s="1315" t="s">
        <v>406</v>
      </c>
      <c r="B123" s="1316"/>
      <c r="C123" s="1316"/>
      <c r="D123" s="1316"/>
      <c r="E123" s="1316"/>
      <c r="F123" s="1316"/>
      <c r="G123" s="1316"/>
      <c r="H123" s="1316"/>
      <c r="I123" s="1316"/>
      <c r="J123" s="1316"/>
      <c r="K123" s="1316"/>
      <c r="L123" s="1316"/>
      <c r="M123" s="1316"/>
      <c r="N123" s="1316"/>
      <c r="O123" s="1316"/>
      <c r="P123" s="1316"/>
      <c r="Q123" s="1316"/>
      <c r="R123" s="1316"/>
      <c r="S123" s="1316"/>
      <c r="T123" s="1316"/>
      <c r="U123" s="1316"/>
      <c r="V123" s="1316"/>
      <c r="W123" s="1316"/>
      <c r="X123" s="1316"/>
      <c r="Y123" s="1316"/>
      <c r="Z123" s="1316"/>
      <c r="AA123" s="1316"/>
      <c r="AB123" s="1316"/>
      <c r="AC123" s="1316"/>
      <c r="AD123" s="1316"/>
      <c r="AE123" s="1316"/>
      <c r="AF123" s="1316"/>
      <c r="AG123" s="1316"/>
      <c r="AH123" s="1316"/>
      <c r="AI123" s="1316"/>
      <c r="AJ123" s="1316"/>
      <c r="AK123" s="1316"/>
      <c r="AL123" s="1316"/>
      <c r="AM123" s="1316"/>
      <c r="AN123" s="1316"/>
      <c r="AO123" s="1316"/>
      <c r="AP123" s="1282"/>
      <c r="AQ123" s="1280"/>
      <c r="AR123" s="1280"/>
      <c r="AS123" s="1280"/>
      <c r="AT123" s="1280"/>
      <c r="AU123" s="1280"/>
      <c r="AV123" s="1280"/>
      <c r="AW123" s="1281"/>
      <c r="AX123" s="1295" t="s">
        <v>403</v>
      </c>
      <c r="AY123" s="1293"/>
      <c r="AZ123" s="1293"/>
      <c r="BA123" s="1293"/>
      <c r="BB123" s="1293"/>
      <c r="BC123" s="1293"/>
      <c r="BD123" s="1293"/>
      <c r="BE123" s="1293"/>
      <c r="BF123" s="1293"/>
      <c r="BG123" s="1293"/>
      <c r="BH123" s="1293"/>
      <c r="BI123" s="1293"/>
      <c r="BJ123" s="1294"/>
      <c r="BK123" s="1295" t="s">
        <v>716</v>
      </c>
      <c r="BL123" s="1293"/>
      <c r="BM123" s="1293"/>
      <c r="BN123" s="1293"/>
      <c r="BO123" s="1293"/>
      <c r="BP123" s="1293"/>
      <c r="BQ123" s="1293"/>
      <c r="BR123" s="1293"/>
      <c r="BS123" s="1293"/>
      <c r="BT123" s="1293"/>
      <c r="BU123" s="1293"/>
      <c r="BV123" s="1293"/>
      <c r="BW123" s="1294"/>
      <c r="BX123" s="896">
        <v>0</v>
      </c>
      <c r="BY123" s="896">
        <v>0</v>
      </c>
      <c r="BZ123" s="896"/>
      <c r="CA123" s="896"/>
      <c r="CB123" s="833">
        <v>0</v>
      </c>
      <c r="CC123" s="899">
        <f>CD123+CG123</f>
        <v>0</v>
      </c>
      <c r="CD123" s="896"/>
      <c r="CE123" s="896"/>
      <c r="CF123" s="896"/>
      <c r="CG123" s="833"/>
      <c r="CH123" s="900">
        <f t="shared" si="8"/>
        <v>0</v>
      </c>
      <c r="CI123" s="896"/>
      <c r="CJ123" s="896"/>
      <c r="CK123" s="896"/>
      <c r="CL123" s="795"/>
      <c r="CM123" s="1321"/>
      <c r="CN123" s="1322"/>
      <c r="CO123" s="1322"/>
      <c r="CP123" s="1322"/>
      <c r="CQ123" s="1322"/>
      <c r="CR123" s="1322"/>
      <c r="CS123" s="1322"/>
      <c r="CT123" s="1322"/>
      <c r="CU123" s="1322"/>
      <c r="CV123" s="1322"/>
      <c r="CW123" s="1322"/>
      <c r="CX123" s="1322"/>
      <c r="CY123" s="1323"/>
    </row>
    <row r="124" spans="1:136" ht="18.75" x14ac:dyDescent="0.2">
      <c r="A124" s="1289" t="s">
        <v>407</v>
      </c>
      <c r="B124" s="1290"/>
      <c r="C124" s="1290"/>
      <c r="D124" s="1290"/>
      <c r="E124" s="1290"/>
      <c r="F124" s="1290"/>
      <c r="G124" s="1290"/>
      <c r="H124" s="1290"/>
      <c r="I124" s="1290"/>
      <c r="J124" s="1290"/>
      <c r="K124" s="1290"/>
      <c r="L124" s="1290"/>
      <c r="M124" s="1290"/>
      <c r="N124" s="1290"/>
      <c r="O124" s="1290"/>
      <c r="P124" s="1290"/>
      <c r="Q124" s="1290"/>
      <c r="R124" s="1290"/>
      <c r="S124" s="1290"/>
      <c r="T124" s="1290"/>
      <c r="U124" s="1290"/>
      <c r="V124" s="1290"/>
      <c r="W124" s="1290"/>
      <c r="X124" s="1290"/>
      <c r="Y124" s="1290"/>
      <c r="Z124" s="1290"/>
      <c r="AA124" s="1290"/>
      <c r="AB124" s="1290"/>
      <c r="AC124" s="1290"/>
      <c r="AD124" s="1290"/>
      <c r="AE124" s="1290"/>
      <c r="AF124" s="1290"/>
      <c r="AG124" s="1290"/>
      <c r="AH124" s="1290"/>
      <c r="AI124" s="1290"/>
      <c r="AJ124" s="1290"/>
      <c r="AK124" s="1290"/>
      <c r="AL124" s="1290"/>
      <c r="AM124" s="1290"/>
      <c r="AN124" s="1290"/>
      <c r="AO124" s="1291"/>
      <c r="AP124" s="1292"/>
      <c r="AQ124" s="1293"/>
      <c r="AR124" s="1293"/>
      <c r="AS124" s="1293"/>
      <c r="AT124" s="1293"/>
      <c r="AU124" s="1293"/>
      <c r="AV124" s="1293"/>
      <c r="AW124" s="1294"/>
      <c r="AX124" s="1295" t="s">
        <v>403</v>
      </c>
      <c r="AY124" s="1293"/>
      <c r="AZ124" s="1293"/>
      <c r="BA124" s="1293"/>
      <c r="BB124" s="1293"/>
      <c r="BC124" s="1293"/>
      <c r="BD124" s="1293"/>
      <c r="BE124" s="1293"/>
      <c r="BF124" s="1293"/>
      <c r="BG124" s="1293"/>
      <c r="BH124" s="1293"/>
      <c r="BI124" s="1293"/>
      <c r="BJ124" s="1294"/>
      <c r="BK124" s="1295" t="s">
        <v>408</v>
      </c>
      <c r="BL124" s="1293"/>
      <c r="BM124" s="1293"/>
      <c r="BN124" s="1293"/>
      <c r="BO124" s="1293"/>
      <c r="BP124" s="1293"/>
      <c r="BQ124" s="1293"/>
      <c r="BR124" s="1293"/>
      <c r="BS124" s="1293"/>
      <c r="BT124" s="1293"/>
      <c r="BU124" s="1293"/>
      <c r="BV124" s="1293"/>
      <c r="BW124" s="1294"/>
      <c r="BX124" s="896">
        <f t="shared" ref="BX124:BX150" si="9">SUM(BY124:CB124)</f>
        <v>192275.83000000002</v>
      </c>
      <c r="BY124" s="832">
        <f>'0701 221,223'!CD35</f>
        <v>192275.83000000002</v>
      </c>
      <c r="BZ124" s="896"/>
      <c r="CA124" s="896"/>
      <c r="CB124" s="833"/>
      <c r="CC124" s="899">
        <f>CD124+CE124+CG124</f>
        <v>371637.53</v>
      </c>
      <c r="CD124" s="832">
        <v>371637.53</v>
      </c>
      <c r="CE124" s="832"/>
      <c r="CF124" s="832"/>
      <c r="CG124" s="923"/>
      <c r="CH124" s="900">
        <f t="shared" si="8"/>
        <v>371637.53</v>
      </c>
      <c r="CI124" s="832">
        <f t="shared" ref="CI124:CI134" si="10">CD124</f>
        <v>371637.53</v>
      </c>
      <c r="CJ124" s="896"/>
      <c r="CK124" s="896"/>
      <c r="CL124" s="795"/>
      <c r="CM124" s="802"/>
      <c r="CN124" s="803"/>
      <c r="CO124" s="803"/>
      <c r="CP124" s="803"/>
      <c r="CQ124" s="803"/>
      <c r="CR124" s="803"/>
      <c r="CS124" s="803"/>
      <c r="CT124" s="803"/>
      <c r="CU124" s="803"/>
      <c r="CV124" s="803"/>
      <c r="CW124" s="803"/>
      <c r="CX124" s="803"/>
      <c r="CY124" s="804"/>
    </row>
    <row r="125" spans="1:136" ht="18.75" x14ac:dyDescent="0.2">
      <c r="A125" s="1289" t="s">
        <v>407</v>
      </c>
      <c r="B125" s="1290"/>
      <c r="C125" s="1290"/>
      <c r="D125" s="1290"/>
      <c r="E125" s="1290"/>
      <c r="F125" s="1290"/>
      <c r="G125" s="1290"/>
      <c r="H125" s="1290"/>
      <c r="I125" s="1290"/>
      <c r="J125" s="1290"/>
      <c r="K125" s="1290"/>
      <c r="L125" s="1290"/>
      <c r="M125" s="1290"/>
      <c r="N125" s="1290"/>
      <c r="O125" s="1290"/>
      <c r="P125" s="1290"/>
      <c r="Q125" s="1290"/>
      <c r="R125" s="1290"/>
      <c r="S125" s="1290"/>
      <c r="T125" s="1290"/>
      <c r="U125" s="1290"/>
      <c r="V125" s="1290"/>
      <c r="W125" s="1290"/>
      <c r="X125" s="1290"/>
      <c r="Y125" s="1290"/>
      <c r="Z125" s="1290"/>
      <c r="AA125" s="1290"/>
      <c r="AB125" s="1290"/>
      <c r="AC125" s="1290"/>
      <c r="AD125" s="1290"/>
      <c r="AE125" s="1290"/>
      <c r="AF125" s="1290"/>
      <c r="AG125" s="1290"/>
      <c r="AH125" s="1290"/>
      <c r="AI125" s="1290"/>
      <c r="AJ125" s="1290"/>
      <c r="AK125" s="1290"/>
      <c r="AL125" s="1290"/>
      <c r="AM125" s="1290"/>
      <c r="AN125" s="1290"/>
      <c r="AO125" s="1291"/>
      <c r="AP125" s="1292"/>
      <c r="AQ125" s="1293"/>
      <c r="AR125" s="1293"/>
      <c r="AS125" s="1293"/>
      <c r="AT125" s="1293"/>
      <c r="AU125" s="1293"/>
      <c r="AV125" s="1293"/>
      <c r="AW125" s="1294"/>
      <c r="AX125" s="1295" t="s">
        <v>403</v>
      </c>
      <c r="AY125" s="1293"/>
      <c r="AZ125" s="1293"/>
      <c r="BA125" s="1293"/>
      <c r="BB125" s="1293"/>
      <c r="BC125" s="1293"/>
      <c r="BD125" s="1293"/>
      <c r="BE125" s="1293"/>
      <c r="BF125" s="1293"/>
      <c r="BG125" s="1293"/>
      <c r="BH125" s="1293"/>
      <c r="BI125" s="1293"/>
      <c r="BJ125" s="1294"/>
      <c r="BK125" s="1295" t="s">
        <v>409</v>
      </c>
      <c r="BL125" s="1293"/>
      <c r="BM125" s="1293"/>
      <c r="BN125" s="1293"/>
      <c r="BO125" s="1293"/>
      <c r="BP125" s="1293"/>
      <c r="BQ125" s="1293"/>
      <c r="BR125" s="1293"/>
      <c r="BS125" s="1293"/>
      <c r="BT125" s="1293"/>
      <c r="BU125" s="1293"/>
      <c r="BV125" s="1293"/>
      <c r="BW125" s="1294"/>
      <c r="BX125" s="896">
        <f t="shared" si="9"/>
        <v>261705.98</v>
      </c>
      <c r="BY125" s="832">
        <f>'0702 221, 223'!CC38+'0702 221, 223'!CD38+'0702 221, 223'!CF38+'0702 221, 223'!CG38</f>
        <v>200258.6</v>
      </c>
      <c r="BZ125" s="896"/>
      <c r="CA125" s="896"/>
      <c r="CB125" s="833">
        <f>'0702 221, 223'!CH21+'0702 221, 223'!CH24+'0702 221, 223'!CH27</f>
        <v>61447.38</v>
      </c>
      <c r="CC125" s="899">
        <f>SUM(CD125:CG125)</f>
        <v>159463.62</v>
      </c>
      <c r="CD125" s="832">
        <v>159463.62</v>
      </c>
      <c r="CE125" s="832"/>
      <c r="CF125" s="832"/>
      <c r="CG125" s="923"/>
      <c r="CH125" s="900">
        <f t="shared" si="8"/>
        <v>159463.62</v>
      </c>
      <c r="CI125" s="832">
        <f t="shared" si="10"/>
        <v>159463.62</v>
      </c>
      <c r="CJ125" s="896"/>
      <c r="CK125" s="896"/>
      <c r="CL125" s="795">
        <f>CG125</f>
        <v>0</v>
      </c>
      <c r="CM125" s="802"/>
      <c r="CN125" s="803"/>
      <c r="CO125" s="803"/>
      <c r="CP125" s="803"/>
      <c r="CQ125" s="803"/>
      <c r="CR125" s="803"/>
      <c r="CS125" s="803"/>
      <c r="CT125" s="803"/>
      <c r="CU125" s="803"/>
      <c r="CV125" s="803"/>
      <c r="CW125" s="803"/>
      <c r="CX125" s="803"/>
      <c r="CY125" s="804"/>
      <c r="EF125" s="592">
        <f>BY123+BY128+BY133+BY149+BY131+6766.2</f>
        <v>297190.59999999998</v>
      </c>
    </row>
    <row r="126" spans="1:136" ht="18.75" x14ac:dyDescent="0.2">
      <c r="A126" s="1289" t="s">
        <v>410</v>
      </c>
      <c r="B126" s="1290"/>
      <c r="C126" s="1290"/>
      <c r="D126" s="1290"/>
      <c r="E126" s="1290"/>
      <c r="F126" s="1290"/>
      <c r="G126" s="1290"/>
      <c r="H126" s="1290"/>
      <c r="I126" s="1290"/>
      <c r="J126" s="1290"/>
      <c r="K126" s="1290"/>
      <c r="L126" s="1290"/>
      <c r="M126" s="1290"/>
      <c r="N126" s="1290"/>
      <c r="O126" s="1290"/>
      <c r="P126" s="1290"/>
      <c r="Q126" s="1290"/>
      <c r="R126" s="1290"/>
      <c r="S126" s="1290"/>
      <c r="T126" s="1290"/>
      <c r="U126" s="1290"/>
      <c r="V126" s="1290"/>
      <c r="W126" s="1290"/>
      <c r="X126" s="1290"/>
      <c r="Y126" s="1290"/>
      <c r="Z126" s="1290"/>
      <c r="AA126" s="1290"/>
      <c r="AB126" s="1290"/>
      <c r="AC126" s="1290"/>
      <c r="AD126" s="1290"/>
      <c r="AE126" s="1290"/>
      <c r="AF126" s="1290"/>
      <c r="AG126" s="1290"/>
      <c r="AH126" s="1290"/>
      <c r="AI126" s="1290"/>
      <c r="AJ126" s="1290"/>
      <c r="AK126" s="1290"/>
      <c r="AL126" s="1290"/>
      <c r="AM126" s="1290"/>
      <c r="AN126" s="1290"/>
      <c r="AO126" s="1291"/>
      <c r="AP126" s="1279"/>
      <c r="AQ126" s="1280"/>
      <c r="AR126" s="1280"/>
      <c r="AS126" s="1280"/>
      <c r="AT126" s="1280"/>
      <c r="AU126" s="1280"/>
      <c r="AV126" s="1280"/>
      <c r="AW126" s="1281"/>
      <c r="AX126" s="1282" t="s">
        <v>403</v>
      </c>
      <c r="AY126" s="1280"/>
      <c r="AZ126" s="1280"/>
      <c r="BA126" s="1280"/>
      <c r="BB126" s="1280"/>
      <c r="BC126" s="1280"/>
      <c r="BD126" s="1280"/>
      <c r="BE126" s="1280"/>
      <c r="BF126" s="1280"/>
      <c r="BG126" s="1280"/>
      <c r="BH126" s="1280"/>
      <c r="BI126" s="1280"/>
      <c r="BJ126" s="1281"/>
      <c r="BK126" s="1282" t="s">
        <v>411</v>
      </c>
      <c r="BL126" s="1280"/>
      <c r="BM126" s="1280"/>
      <c r="BN126" s="1280"/>
      <c r="BO126" s="1280"/>
      <c r="BP126" s="1280"/>
      <c r="BQ126" s="1280"/>
      <c r="BR126" s="1280"/>
      <c r="BS126" s="1280"/>
      <c r="BT126" s="1280"/>
      <c r="BU126" s="1280"/>
      <c r="BV126" s="1280"/>
      <c r="BW126" s="1281"/>
      <c r="BX126" s="896">
        <f>SUM(BY126:CB126)</f>
        <v>4308865.92</v>
      </c>
      <c r="BY126" s="832">
        <f>'0701 225,226,310,341-346'!CC33+'0701 225,226,310,341-346'!CD33</f>
        <v>346036.41</v>
      </c>
      <c r="BZ126" s="896">
        <f>'0701 225,226,310,341-346'!CG33</f>
        <v>3962829.5100000002</v>
      </c>
      <c r="CA126" s="896"/>
      <c r="CB126" s="833"/>
      <c r="CC126" s="899">
        <f>CD126+CE126+CG126</f>
        <v>9263761.8800000008</v>
      </c>
      <c r="CD126" s="832">
        <v>263761.88</v>
      </c>
      <c r="CE126" s="832">
        <v>9000000</v>
      </c>
      <c r="CF126" s="832"/>
      <c r="CG126" s="923"/>
      <c r="CH126" s="900">
        <f t="shared" si="8"/>
        <v>263761.88</v>
      </c>
      <c r="CI126" s="832">
        <f t="shared" si="10"/>
        <v>263761.88</v>
      </c>
      <c r="CJ126" s="896"/>
      <c r="CK126" s="896"/>
      <c r="CL126" s="795"/>
      <c r="CM126" s="802"/>
      <c r="CN126" s="803"/>
      <c r="CO126" s="803"/>
      <c r="CP126" s="803"/>
      <c r="CQ126" s="803"/>
      <c r="CR126" s="803"/>
      <c r="CS126" s="803"/>
      <c r="CT126" s="803"/>
      <c r="CU126" s="803"/>
      <c r="CV126" s="803"/>
      <c r="CW126" s="803"/>
      <c r="CX126" s="803"/>
      <c r="CY126" s="804"/>
    </row>
    <row r="127" spans="1:136" ht="18.75" x14ac:dyDescent="0.2">
      <c r="A127" s="1289" t="s">
        <v>410</v>
      </c>
      <c r="B127" s="1290"/>
      <c r="C127" s="1290"/>
      <c r="D127" s="1290"/>
      <c r="E127" s="1290"/>
      <c r="F127" s="1290"/>
      <c r="G127" s="1290"/>
      <c r="H127" s="1290"/>
      <c r="I127" s="1290"/>
      <c r="J127" s="1290"/>
      <c r="K127" s="1290"/>
      <c r="L127" s="1290"/>
      <c r="M127" s="1290"/>
      <c r="N127" s="1290"/>
      <c r="O127" s="1290"/>
      <c r="P127" s="1290"/>
      <c r="Q127" s="1290"/>
      <c r="R127" s="1290"/>
      <c r="S127" s="1290"/>
      <c r="T127" s="1290"/>
      <c r="U127" s="1290"/>
      <c r="V127" s="1290"/>
      <c r="W127" s="1290"/>
      <c r="X127" s="1290"/>
      <c r="Y127" s="1290"/>
      <c r="Z127" s="1290"/>
      <c r="AA127" s="1290"/>
      <c r="AB127" s="1290"/>
      <c r="AC127" s="1290"/>
      <c r="AD127" s="1290"/>
      <c r="AE127" s="1290"/>
      <c r="AF127" s="1290"/>
      <c r="AG127" s="1290"/>
      <c r="AH127" s="1290"/>
      <c r="AI127" s="1290"/>
      <c r="AJ127" s="1290"/>
      <c r="AK127" s="1290"/>
      <c r="AL127" s="1290"/>
      <c r="AM127" s="1290"/>
      <c r="AN127" s="1290"/>
      <c r="AO127" s="1291"/>
      <c r="AP127" s="1279"/>
      <c r="AQ127" s="1280"/>
      <c r="AR127" s="1280"/>
      <c r="AS127" s="1280"/>
      <c r="AT127" s="1280"/>
      <c r="AU127" s="1280"/>
      <c r="AV127" s="1280"/>
      <c r="AW127" s="1281"/>
      <c r="AX127" s="1282" t="s">
        <v>403</v>
      </c>
      <c r="AY127" s="1280"/>
      <c r="AZ127" s="1280"/>
      <c r="BA127" s="1280"/>
      <c r="BB127" s="1280"/>
      <c r="BC127" s="1280"/>
      <c r="BD127" s="1280"/>
      <c r="BE127" s="1280"/>
      <c r="BF127" s="1280"/>
      <c r="BG127" s="1280"/>
      <c r="BH127" s="1280"/>
      <c r="BI127" s="1280"/>
      <c r="BJ127" s="1281"/>
      <c r="BK127" s="1282" t="s">
        <v>412</v>
      </c>
      <c r="BL127" s="1280"/>
      <c r="BM127" s="1280"/>
      <c r="BN127" s="1280"/>
      <c r="BO127" s="1280"/>
      <c r="BP127" s="1280"/>
      <c r="BQ127" s="1280"/>
      <c r="BR127" s="1280"/>
      <c r="BS127" s="1280"/>
      <c r="BT127" s="1280"/>
      <c r="BU127" s="1280"/>
      <c r="BV127" s="1280"/>
      <c r="BW127" s="1281"/>
      <c r="BX127" s="896">
        <f>SUM(BY127:CB127)</f>
        <v>1951822.35</v>
      </c>
      <c r="BY127" s="832">
        <f>'0702 225,226,227,310,346'!CD47+'0702 225,226,227,310,346'!CC47</f>
        <v>635747.33000000007</v>
      </c>
      <c r="BZ127" s="896">
        <f>'0702 225,226,227,310,346'!CG47</f>
        <v>1316075.02</v>
      </c>
      <c r="CA127" s="896"/>
      <c r="CB127" s="833"/>
      <c r="CC127" s="899">
        <f>SUM(CD127:CG127)</f>
        <v>9549455.8800000008</v>
      </c>
      <c r="CD127" s="832">
        <v>549455.88</v>
      </c>
      <c r="CE127" s="832">
        <f>9000000</f>
        <v>9000000</v>
      </c>
      <c r="CF127" s="832"/>
      <c r="CG127" s="923"/>
      <c r="CH127" s="900">
        <f t="shared" si="8"/>
        <v>549455.88</v>
      </c>
      <c r="CI127" s="832">
        <f t="shared" si="10"/>
        <v>549455.88</v>
      </c>
      <c r="CJ127" s="896"/>
      <c r="CK127" s="896"/>
      <c r="CL127" s="795">
        <f>CG127</f>
        <v>0</v>
      </c>
      <c r="CM127" s="802"/>
      <c r="CN127" s="803"/>
      <c r="CO127" s="803"/>
      <c r="CP127" s="803"/>
      <c r="CQ127" s="803"/>
      <c r="CR127" s="803"/>
      <c r="CS127" s="803"/>
      <c r="CT127" s="803"/>
      <c r="CU127" s="803"/>
      <c r="CV127" s="803"/>
      <c r="CW127" s="803"/>
      <c r="CX127" s="803"/>
      <c r="CY127" s="804"/>
    </row>
    <row r="128" spans="1:136" ht="18.75" x14ac:dyDescent="0.2">
      <c r="A128" s="1289" t="s">
        <v>410</v>
      </c>
      <c r="B128" s="1290"/>
      <c r="C128" s="1290"/>
      <c r="D128" s="1290"/>
      <c r="E128" s="1290"/>
      <c r="F128" s="1290"/>
      <c r="G128" s="1290"/>
      <c r="H128" s="1290"/>
      <c r="I128" s="1290"/>
      <c r="J128" s="1290"/>
      <c r="K128" s="1290"/>
      <c r="L128" s="1290"/>
      <c r="M128" s="1290"/>
      <c r="N128" s="1290"/>
      <c r="O128" s="1290"/>
      <c r="P128" s="1290"/>
      <c r="Q128" s="1290"/>
      <c r="R128" s="1290"/>
      <c r="S128" s="1290"/>
      <c r="T128" s="1290"/>
      <c r="U128" s="1290"/>
      <c r="V128" s="1290"/>
      <c r="W128" s="1290"/>
      <c r="X128" s="1290"/>
      <c r="Y128" s="1290"/>
      <c r="Z128" s="1290"/>
      <c r="AA128" s="1290"/>
      <c r="AB128" s="1290"/>
      <c r="AC128" s="1290"/>
      <c r="AD128" s="1290"/>
      <c r="AE128" s="1290"/>
      <c r="AF128" s="1290"/>
      <c r="AG128" s="1290"/>
      <c r="AH128" s="1290"/>
      <c r="AI128" s="1290"/>
      <c r="AJ128" s="1290"/>
      <c r="AK128" s="1290"/>
      <c r="AL128" s="1290"/>
      <c r="AM128" s="1290"/>
      <c r="AN128" s="1290"/>
      <c r="AO128" s="1291"/>
      <c r="AP128" s="1279"/>
      <c r="AQ128" s="1280"/>
      <c r="AR128" s="1280"/>
      <c r="AS128" s="1280"/>
      <c r="AT128" s="1280"/>
      <c r="AU128" s="1280"/>
      <c r="AV128" s="1280"/>
      <c r="AW128" s="1281"/>
      <c r="AX128" s="1282" t="s">
        <v>403</v>
      </c>
      <c r="AY128" s="1280"/>
      <c r="AZ128" s="1280"/>
      <c r="BA128" s="1280"/>
      <c r="BB128" s="1280"/>
      <c r="BC128" s="1280"/>
      <c r="BD128" s="1280"/>
      <c r="BE128" s="1280"/>
      <c r="BF128" s="1280"/>
      <c r="BG128" s="1280"/>
      <c r="BH128" s="1280"/>
      <c r="BI128" s="1280"/>
      <c r="BJ128" s="1281"/>
      <c r="BK128" s="1282" t="s">
        <v>717</v>
      </c>
      <c r="BL128" s="1280"/>
      <c r="BM128" s="1280"/>
      <c r="BN128" s="1280"/>
      <c r="BO128" s="1280"/>
      <c r="BP128" s="1280"/>
      <c r="BQ128" s="1280"/>
      <c r="BR128" s="1280"/>
      <c r="BS128" s="1280"/>
      <c r="BT128" s="1280"/>
      <c r="BU128" s="1280"/>
      <c r="BV128" s="1280"/>
      <c r="BW128" s="1281"/>
      <c r="BX128" s="896">
        <f t="shared" si="9"/>
        <v>23652.000000000004</v>
      </c>
      <c r="BY128" s="832">
        <f>'0709 222 225 226 227 346 (2)'!CD46</f>
        <v>11086.94</v>
      </c>
      <c r="BZ128" s="896">
        <v>10200</v>
      </c>
      <c r="CA128" s="896"/>
      <c r="CB128" s="833">
        <f>'0709 222 225 226 227 346 (2)'!CH46</f>
        <v>2365.06</v>
      </c>
      <c r="CC128" s="899">
        <f>SUM(CD128:CG128)</f>
        <v>15661.8</v>
      </c>
      <c r="CD128" s="832">
        <v>13296.74</v>
      </c>
      <c r="CE128" s="832"/>
      <c r="CF128" s="832"/>
      <c r="CG128" s="923">
        <v>2365.06</v>
      </c>
      <c r="CH128" s="900">
        <f t="shared" si="8"/>
        <v>15661.8</v>
      </c>
      <c r="CI128" s="832">
        <f t="shared" si="10"/>
        <v>13296.74</v>
      </c>
      <c r="CJ128" s="896">
        <f>CE128</f>
        <v>0</v>
      </c>
      <c r="CK128" s="896"/>
      <c r="CL128" s="795">
        <f>CG128</f>
        <v>2365.06</v>
      </c>
      <c r="CM128" s="802"/>
      <c r="CN128" s="803"/>
      <c r="CO128" s="803"/>
      <c r="CP128" s="803"/>
      <c r="CQ128" s="803"/>
      <c r="CR128" s="803"/>
      <c r="CS128" s="803"/>
      <c r="CT128" s="803"/>
      <c r="CU128" s="803"/>
      <c r="CV128" s="803"/>
      <c r="CW128" s="803"/>
      <c r="CX128" s="803"/>
      <c r="CY128" s="804"/>
    </row>
    <row r="129" spans="1:136" ht="18.75" x14ac:dyDescent="0.2">
      <c r="A129" s="1289" t="s">
        <v>413</v>
      </c>
      <c r="B129" s="1290"/>
      <c r="C129" s="1290"/>
      <c r="D129" s="1290"/>
      <c r="E129" s="1290"/>
      <c r="F129" s="1290"/>
      <c r="G129" s="1290"/>
      <c r="H129" s="1290"/>
      <c r="I129" s="1290"/>
      <c r="J129" s="1290"/>
      <c r="K129" s="1290"/>
      <c r="L129" s="1290"/>
      <c r="M129" s="1290"/>
      <c r="N129" s="1290"/>
      <c r="O129" s="1290"/>
      <c r="P129" s="1290"/>
      <c r="Q129" s="1290"/>
      <c r="R129" s="1290"/>
      <c r="S129" s="1290"/>
      <c r="T129" s="1290"/>
      <c r="U129" s="1290"/>
      <c r="V129" s="1290"/>
      <c r="W129" s="1290"/>
      <c r="X129" s="1290"/>
      <c r="Y129" s="1290"/>
      <c r="Z129" s="1290"/>
      <c r="AA129" s="1290"/>
      <c r="AB129" s="1290"/>
      <c r="AC129" s="1290"/>
      <c r="AD129" s="1290"/>
      <c r="AE129" s="1290"/>
      <c r="AF129" s="1290"/>
      <c r="AG129" s="1290"/>
      <c r="AH129" s="1290"/>
      <c r="AI129" s="1290"/>
      <c r="AJ129" s="1290"/>
      <c r="AK129" s="1290"/>
      <c r="AL129" s="1290"/>
      <c r="AM129" s="1290"/>
      <c r="AN129" s="1290"/>
      <c r="AO129" s="1291"/>
      <c r="AP129" s="1279"/>
      <c r="AQ129" s="1280"/>
      <c r="AR129" s="1280"/>
      <c r="AS129" s="1280"/>
      <c r="AT129" s="1280"/>
      <c r="AU129" s="1280"/>
      <c r="AV129" s="1280"/>
      <c r="AW129" s="1281"/>
      <c r="AX129" s="1282" t="s">
        <v>403</v>
      </c>
      <c r="AY129" s="1280"/>
      <c r="AZ129" s="1280"/>
      <c r="BA129" s="1280"/>
      <c r="BB129" s="1280"/>
      <c r="BC129" s="1280"/>
      <c r="BD129" s="1280"/>
      <c r="BE129" s="1280"/>
      <c r="BF129" s="1280"/>
      <c r="BG129" s="1280"/>
      <c r="BH129" s="1280"/>
      <c r="BI129" s="1280"/>
      <c r="BJ129" s="1281"/>
      <c r="BK129" s="1282" t="s">
        <v>414</v>
      </c>
      <c r="BL129" s="1280"/>
      <c r="BM129" s="1280"/>
      <c r="BN129" s="1280"/>
      <c r="BO129" s="1280"/>
      <c r="BP129" s="1280"/>
      <c r="BQ129" s="1280"/>
      <c r="BR129" s="1280"/>
      <c r="BS129" s="1280"/>
      <c r="BT129" s="1280"/>
      <c r="BU129" s="1280"/>
      <c r="BV129" s="1280"/>
      <c r="BW129" s="1281"/>
      <c r="BX129" s="896">
        <f>SUM(BY129:CB129)</f>
        <v>300737.95999999996</v>
      </c>
      <c r="BY129" s="832">
        <f>'0701 225,226,310,341-346'!CD49</f>
        <v>291737.95999999996</v>
      </c>
      <c r="BZ129" s="896">
        <f>'0701 225,226,310,341-346'!CG49</f>
        <v>0</v>
      </c>
      <c r="CA129" s="896"/>
      <c r="CB129" s="833">
        <f>'0701 225,226,310,341-346'!CH49</f>
        <v>9000</v>
      </c>
      <c r="CC129" s="899">
        <f>CD129+CE129+CG129</f>
        <v>190895.92</v>
      </c>
      <c r="CD129" s="832">
        <v>190895.92</v>
      </c>
      <c r="CE129" s="832"/>
      <c r="CF129" s="832"/>
      <c r="CG129" s="923"/>
      <c r="CH129" s="900">
        <f t="shared" si="8"/>
        <v>190895.92</v>
      </c>
      <c r="CI129" s="832">
        <f t="shared" si="10"/>
        <v>190895.92</v>
      </c>
      <c r="CJ129" s="896"/>
      <c r="CK129" s="896"/>
      <c r="CL129" s="795">
        <f>CG129</f>
        <v>0</v>
      </c>
      <c r="CM129" s="802"/>
      <c r="CN129" s="803"/>
      <c r="CO129" s="803"/>
      <c r="CP129" s="803"/>
      <c r="CQ129" s="803"/>
      <c r="CR129" s="803"/>
      <c r="CS129" s="803"/>
      <c r="CT129" s="803"/>
      <c r="CU129" s="803"/>
      <c r="CV129" s="803"/>
      <c r="CW129" s="803"/>
      <c r="CX129" s="803"/>
      <c r="CY129" s="804"/>
    </row>
    <row r="130" spans="1:136" ht="18.75" x14ac:dyDescent="0.2">
      <c r="A130" s="1289" t="s">
        <v>413</v>
      </c>
      <c r="B130" s="1290"/>
      <c r="C130" s="1290"/>
      <c r="D130" s="1290"/>
      <c r="E130" s="1290"/>
      <c r="F130" s="1290"/>
      <c r="G130" s="1290"/>
      <c r="H130" s="1290"/>
      <c r="I130" s="1290"/>
      <c r="J130" s="1290"/>
      <c r="K130" s="1290"/>
      <c r="L130" s="1290"/>
      <c r="M130" s="1290"/>
      <c r="N130" s="1290"/>
      <c r="O130" s="1290"/>
      <c r="P130" s="1290"/>
      <c r="Q130" s="1290"/>
      <c r="R130" s="1290"/>
      <c r="S130" s="1290"/>
      <c r="T130" s="1290"/>
      <c r="U130" s="1290"/>
      <c r="V130" s="1290"/>
      <c r="W130" s="1290"/>
      <c r="X130" s="1290"/>
      <c r="Y130" s="1290"/>
      <c r="Z130" s="1290"/>
      <c r="AA130" s="1290"/>
      <c r="AB130" s="1290"/>
      <c r="AC130" s="1290"/>
      <c r="AD130" s="1290"/>
      <c r="AE130" s="1290"/>
      <c r="AF130" s="1290"/>
      <c r="AG130" s="1290"/>
      <c r="AH130" s="1290"/>
      <c r="AI130" s="1290"/>
      <c r="AJ130" s="1290"/>
      <c r="AK130" s="1290"/>
      <c r="AL130" s="1290"/>
      <c r="AM130" s="1290"/>
      <c r="AN130" s="1290"/>
      <c r="AO130" s="1291"/>
      <c r="AP130" s="1279"/>
      <c r="AQ130" s="1280"/>
      <c r="AR130" s="1280"/>
      <c r="AS130" s="1280"/>
      <c r="AT130" s="1280"/>
      <c r="AU130" s="1280"/>
      <c r="AV130" s="1280"/>
      <c r="AW130" s="1281"/>
      <c r="AX130" s="1282" t="s">
        <v>403</v>
      </c>
      <c r="AY130" s="1280"/>
      <c r="AZ130" s="1280"/>
      <c r="BA130" s="1280"/>
      <c r="BB130" s="1280"/>
      <c r="BC130" s="1280"/>
      <c r="BD130" s="1280"/>
      <c r="BE130" s="1280"/>
      <c r="BF130" s="1280"/>
      <c r="BG130" s="1280"/>
      <c r="BH130" s="1280"/>
      <c r="BI130" s="1280"/>
      <c r="BJ130" s="1281"/>
      <c r="BK130" s="1282" t="s">
        <v>398</v>
      </c>
      <c r="BL130" s="1280"/>
      <c r="BM130" s="1280"/>
      <c r="BN130" s="1280"/>
      <c r="BO130" s="1280"/>
      <c r="BP130" s="1280"/>
      <c r="BQ130" s="1280"/>
      <c r="BR130" s="1280"/>
      <c r="BS130" s="1280"/>
      <c r="BT130" s="1280"/>
      <c r="BU130" s="1280"/>
      <c r="BV130" s="1280"/>
      <c r="BW130" s="1281"/>
      <c r="BX130" s="896">
        <f t="shared" si="9"/>
        <v>5506355.9900000002</v>
      </c>
      <c r="BY130" s="832">
        <f>'0702 225,226,227,310,346'!CD72+'0702 225,226,227,310,346'!CC72</f>
        <v>444762.2</v>
      </c>
      <c r="BZ130" s="896">
        <f>163101.6+4898492.19</f>
        <v>5061593.79</v>
      </c>
      <c r="CA130" s="896"/>
      <c r="CB130" s="833"/>
      <c r="CC130" s="899">
        <f>SUM(CD130:CG130)</f>
        <v>443550.92</v>
      </c>
      <c r="CD130" s="832">
        <v>443550.92</v>
      </c>
      <c r="CE130" s="832"/>
      <c r="CF130" s="832"/>
      <c r="CG130" s="923"/>
      <c r="CH130" s="900">
        <f t="shared" si="8"/>
        <v>443550.92</v>
      </c>
      <c r="CI130" s="832">
        <f t="shared" si="10"/>
        <v>443550.92</v>
      </c>
      <c r="CJ130" s="896"/>
      <c r="CK130" s="896"/>
      <c r="CL130" s="795"/>
      <c r="CM130" s="802"/>
      <c r="CN130" s="803"/>
      <c r="CO130" s="803"/>
      <c r="CP130" s="803"/>
      <c r="CQ130" s="803"/>
      <c r="CR130" s="803"/>
      <c r="CS130" s="803"/>
      <c r="CT130" s="803"/>
      <c r="CU130" s="803"/>
      <c r="CV130" s="803"/>
      <c r="CW130" s="803"/>
      <c r="CX130" s="803"/>
      <c r="CY130" s="804"/>
    </row>
    <row r="131" spans="1:136" ht="18.75" x14ac:dyDescent="0.2">
      <c r="A131" s="1289" t="s">
        <v>413</v>
      </c>
      <c r="B131" s="1290"/>
      <c r="C131" s="1290"/>
      <c r="D131" s="1290"/>
      <c r="E131" s="1290"/>
      <c r="F131" s="1290"/>
      <c r="G131" s="1290"/>
      <c r="H131" s="1290"/>
      <c r="I131" s="1290"/>
      <c r="J131" s="1290"/>
      <c r="K131" s="1290"/>
      <c r="L131" s="1290"/>
      <c r="M131" s="1290"/>
      <c r="N131" s="1290"/>
      <c r="O131" s="1290"/>
      <c r="P131" s="1290"/>
      <c r="Q131" s="1290"/>
      <c r="R131" s="1290"/>
      <c r="S131" s="1290"/>
      <c r="T131" s="1290"/>
      <c r="U131" s="1290"/>
      <c r="V131" s="1290"/>
      <c r="W131" s="1290"/>
      <c r="X131" s="1290"/>
      <c r="Y131" s="1290"/>
      <c r="Z131" s="1290"/>
      <c r="AA131" s="1290"/>
      <c r="AB131" s="1290"/>
      <c r="AC131" s="1290"/>
      <c r="AD131" s="1290"/>
      <c r="AE131" s="1290"/>
      <c r="AF131" s="1290"/>
      <c r="AG131" s="1290"/>
      <c r="AH131" s="1290"/>
      <c r="AI131" s="1290"/>
      <c r="AJ131" s="1290"/>
      <c r="AK131" s="1290"/>
      <c r="AL131" s="1290"/>
      <c r="AM131" s="1290"/>
      <c r="AN131" s="1290"/>
      <c r="AO131" s="1291"/>
      <c r="AP131" s="1279"/>
      <c r="AQ131" s="1280"/>
      <c r="AR131" s="1280"/>
      <c r="AS131" s="1280"/>
      <c r="AT131" s="1280"/>
      <c r="AU131" s="1280"/>
      <c r="AV131" s="1280"/>
      <c r="AW131" s="1281"/>
      <c r="AX131" s="1282" t="s">
        <v>403</v>
      </c>
      <c r="AY131" s="1280"/>
      <c r="AZ131" s="1280"/>
      <c r="BA131" s="1280"/>
      <c r="BB131" s="1280"/>
      <c r="BC131" s="1280"/>
      <c r="BD131" s="1280"/>
      <c r="BE131" s="1280"/>
      <c r="BF131" s="1280"/>
      <c r="BG131" s="1280"/>
      <c r="BH131" s="1280"/>
      <c r="BI131" s="1280"/>
      <c r="BJ131" s="1281"/>
      <c r="BK131" s="1282" t="s">
        <v>718</v>
      </c>
      <c r="BL131" s="1280"/>
      <c r="BM131" s="1280"/>
      <c r="BN131" s="1280"/>
      <c r="BO131" s="1280"/>
      <c r="BP131" s="1280"/>
      <c r="BQ131" s="1280"/>
      <c r="BR131" s="1280"/>
      <c r="BS131" s="1280"/>
      <c r="BT131" s="1280"/>
      <c r="BU131" s="1280"/>
      <c r="BV131" s="1280"/>
      <c r="BW131" s="1281"/>
      <c r="BX131" s="896">
        <f>SUM(BY131:CB131)</f>
        <v>344155.41999999993</v>
      </c>
      <c r="BY131" s="832">
        <f>'0709 222 225 226 227 346 (2)'!CD92+'0709 222 225 226 227 346 (2)'!CC92</f>
        <v>256966.17999999996</v>
      </c>
      <c r="BZ131" s="896">
        <v>21411</v>
      </c>
      <c r="CA131" s="896"/>
      <c r="CB131" s="833">
        <f>'0709 222 225 226 227 346 (2)'!CH92</f>
        <v>65778.239999999991</v>
      </c>
      <c r="CC131" s="899">
        <f>SUM(CD131:CG131)</f>
        <v>329193.90000000002</v>
      </c>
      <c r="CD131" s="832">
        <f>232413.99+32288.77</f>
        <v>264702.76</v>
      </c>
      <c r="CE131" s="832"/>
      <c r="CF131" s="832"/>
      <c r="CG131" s="923">
        <v>64491.14</v>
      </c>
      <c r="CH131" s="900">
        <f t="shared" si="8"/>
        <v>329193.90000000002</v>
      </c>
      <c r="CI131" s="832">
        <f t="shared" si="10"/>
        <v>264702.76</v>
      </c>
      <c r="CJ131" s="896">
        <f>CE131</f>
        <v>0</v>
      </c>
      <c r="CK131" s="896"/>
      <c r="CL131" s="795">
        <f>CG131</f>
        <v>64491.14</v>
      </c>
      <c r="CM131" s="802"/>
      <c r="CN131" s="803"/>
      <c r="CO131" s="803"/>
      <c r="CP131" s="803"/>
      <c r="CQ131" s="803"/>
      <c r="CR131" s="803"/>
      <c r="CS131" s="803"/>
      <c r="CT131" s="803"/>
      <c r="CU131" s="803"/>
      <c r="CV131" s="803"/>
      <c r="CW131" s="803"/>
      <c r="CX131" s="803"/>
      <c r="CY131" s="804"/>
    </row>
    <row r="132" spans="1:136" ht="18.75" x14ac:dyDescent="0.2">
      <c r="A132" s="1289" t="s">
        <v>415</v>
      </c>
      <c r="B132" s="1290"/>
      <c r="C132" s="1290"/>
      <c r="D132" s="1290"/>
      <c r="E132" s="1290"/>
      <c r="F132" s="1290"/>
      <c r="G132" s="1290"/>
      <c r="H132" s="1290"/>
      <c r="I132" s="1290"/>
      <c r="J132" s="1290"/>
      <c r="K132" s="1290"/>
      <c r="L132" s="1290"/>
      <c r="M132" s="1290"/>
      <c r="N132" s="1290"/>
      <c r="O132" s="1290"/>
      <c r="P132" s="1290"/>
      <c r="Q132" s="1290"/>
      <c r="R132" s="1290"/>
      <c r="S132" s="1290"/>
      <c r="T132" s="1290"/>
      <c r="U132" s="1290"/>
      <c r="V132" s="1290"/>
      <c r="W132" s="1290"/>
      <c r="X132" s="1290"/>
      <c r="Y132" s="1290"/>
      <c r="Z132" s="1290"/>
      <c r="AA132" s="1290"/>
      <c r="AB132" s="1290"/>
      <c r="AC132" s="1290"/>
      <c r="AD132" s="1290"/>
      <c r="AE132" s="1290"/>
      <c r="AF132" s="1290"/>
      <c r="AG132" s="1290"/>
      <c r="AH132" s="1290"/>
      <c r="AI132" s="1290"/>
      <c r="AJ132" s="1290"/>
      <c r="AK132" s="1290"/>
      <c r="AL132" s="1290"/>
      <c r="AM132" s="1290"/>
      <c r="AN132" s="1290"/>
      <c r="AO132" s="1291"/>
      <c r="AP132" s="1279"/>
      <c r="AQ132" s="1280"/>
      <c r="AR132" s="1280"/>
      <c r="AS132" s="1280"/>
      <c r="AT132" s="1280"/>
      <c r="AU132" s="1280"/>
      <c r="AV132" s="1280"/>
      <c r="AW132" s="1281"/>
      <c r="AX132" s="1282" t="s">
        <v>403</v>
      </c>
      <c r="AY132" s="1280"/>
      <c r="AZ132" s="1280"/>
      <c r="BA132" s="1280"/>
      <c r="BB132" s="1280"/>
      <c r="BC132" s="1280"/>
      <c r="BD132" s="1280"/>
      <c r="BE132" s="1280"/>
      <c r="BF132" s="1280"/>
      <c r="BG132" s="1280"/>
      <c r="BH132" s="1280"/>
      <c r="BI132" s="1280"/>
      <c r="BJ132" s="1281"/>
      <c r="BK132" s="1282" t="s">
        <v>416</v>
      </c>
      <c r="BL132" s="1280"/>
      <c r="BM132" s="1280"/>
      <c r="BN132" s="1280"/>
      <c r="BO132" s="1280"/>
      <c r="BP132" s="1280"/>
      <c r="BQ132" s="1280"/>
      <c r="BR132" s="1280"/>
      <c r="BS132" s="1280"/>
      <c r="BT132" s="1280"/>
      <c r="BU132" s="1280"/>
      <c r="BV132" s="1280"/>
      <c r="BW132" s="1281"/>
      <c r="BX132" s="896">
        <f t="shared" si="9"/>
        <v>7874.55</v>
      </c>
      <c r="BY132" s="832">
        <f>'0702 225,226,227,310,346'!CC82+'0702 225,226,227,310,346'!CD82</f>
        <v>7874.55</v>
      </c>
      <c r="BZ132" s="896"/>
      <c r="CA132" s="896"/>
      <c r="CB132" s="833"/>
      <c r="CC132" s="899">
        <f>SUM(CD132:CG132)</f>
        <v>10000</v>
      </c>
      <c r="CD132" s="832">
        <v>10000</v>
      </c>
      <c r="CE132" s="832"/>
      <c r="CF132" s="832"/>
      <c r="CG132" s="923"/>
      <c r="CH132" s="900">
        <f t="shared" si="8"/>
        <v>10000</v>
      </c>
      <c r="CI132" s="832">
        <f t="shared" si="10"/>
        <v>10000</v>
      </c>
      <c r="CJ132" s="896"/>
      <c r="CK132" s="896"/>
      <c r="CL132" s="795"/>
      <c r="CM132" s="802"/>
      <c r="CN132" s="803"/>
      <c r="CO132" s="803"/>
      <c r="CP132" s="803"/>
      <c r="CQ132" s="803"/>
      <c r="CR132" s="803"/>
      <c r="CS132" s="803"/>
      <c r="CT132" s="803"/>
      <c r="CU132" s="803"/>
      <c r="CV132" s="803"/>
      <c r="CW132" s="803"/>
      <c r="CX132" s="803"/>
      <c r="CY132" s="804"/>
    </row>
    <row r="133" spans="1:136" ht="18.75" x14ac:dyDescent="0.2">
      <c r="A133" s="1289" t="s">
        <v>415</v>
      </c>
      <c r="B133" s="1290"/>
      <c r="C133" s="1290"/>
      <c r="D133" s="1290"/>
      <c r="E133" s="1290"/>
      <c r="F133" s="1290"/>
      <c r="G133" s="1290"/>
      <c r="H133" s="1290"/>
      <c r="I133" s="1290"/>
      <c r="J133" s="1290"/>
      <c r="K133" s="1290"/>
      <c r="L133" s="1290"/>
      <c r="M133" s="1290"/>
      <c r="N133" s="1290"/>
      <c r="O133" s="1290"/>
      <c r="P133" s="1290"/>
      <c r="Q133" s="1290"/>
      <c r="R133" s="1290"/>
      <c r="S133" s="1290"/>
      <c r="T133" s="1290"/>
      <c r="U133" s="1290"/>
      <c r="V133" s="1290"/>
      <c r="W133" s="1290"/>
      <c r="X133" s="1290"/>
      <c r="Y133" s="1290"/>
      <c r="Z133" s="1290"/>
      <c r="AA133" s="1290"/>
      <c r="AB133" s="1290"/>
      <c r="AC133" s="1290"/>
      <c r="AD133" s="1290"/>
      <c r="AE133" s="1290"/>
      <c r="AF133" s="1290"/>
      <c r="AG133" s="1290"/>
      <c r="AH133" s="1290"/>
      <c r="AI133" s="1290"/>
      <c r="AJ133" s="1290"/>
      <c r="AK133" s="1290"/>
      <c r="AL133" s="1290"/>
      <c r="AM133" s="1290"/>
      <c r="AN133" s="1290"/>
      <c r="AO133" s="1291"/>
      <c r="AP133" s="1279"/>
      <c r="AQ133" s="1280"/>
      <c r="AR133" s="1280"/>
      <c r="AS133" s="1280"/>
      <c r="AT133" s="1280"/>
      <c r="AU133" s="1280"/>
      <c r="AV133" s="1280"/>
      <c r="AW133" s="1281"/>
      <c r="AX133" s="1282" t="s">
        <v>403</v>
      </c>
      <c r="AY133" s="1280"/>
      <c r="AZ133" s="1280"/>
      <c r="BA133" s="1280"/>
      <c r="BB133" s="1280"/>
      <c r="BC133" s="1280"/>
      <c r="BD133" s="1280"/>
      <c r="BE133" s="1280"/>
      <c r="BF133" s="1280"/>
      <c r="BG133" s="1280"/>
      <c r="BH133" s="1280"/>
      <c r="BI133" s="1280"/>
      <c r="BJ133" s="1281"/>
      <c r="BK133" s="1282" t="s">
        <v>719</v>
      </c>
      <c r="BL133" s="1280"/>
      <c r="BM133" s="1280"/>
      <c r="BN133" s="1280"/>
      <c r="BO133" s="1280"/>
      <c r="BP133" s="1280"/>
      <c r="BQ133" s="1280"/>
      <c r="BR133" s="1280"/>
      <c r="BS133" s="1280"/>
      <c r="BT133" s="1280"/>
      <c r="BU133" s="1280"/>
      <c r="BV133" s="1280"/>
      <c r="BW133" s="1281"/>
      <c r="BX133" s="896">
        <f t="shared" si="9"/>
        <v>1827</v>
      </c>
      <c r="BY133" s="832">
        <v>1551.11</v>
      </c>
      <c r="BZ133" s="896"/>
      <c r="CA133" s="896"/>
      <c r="CB133" s="833">
        <f>'0709 222 225 226 227 346 (2)'!CH101</f>
        <v>275.89</v>
      </c>
      <c r="CC133" s="899">
        <f>BX133</f>
        <v>1827</v>
      </c>
      <c r="CD133" s="832">
        <v>1551.11</v>
      </c>
      <c r="CE133" s="832"/>
      <c r="CF133" s="832"/>
      <c r="CG133" s="923">
        <v>275.89</v>
      </c>
      <c r="CH133" s="900">
        <f t="shared" si="8"/>
        <v>1827</v>
      </c>
      <c r="CI133" s="832">
        <f t="shared" si="10"/>
        <v>1551.11</v>
      </c>
      <c r="CJ133" s="896"/>
      <c r="CK133" s="896"/>
      <c r="CL133" s="795">
        <f>CG133</f>
        <v>275.89</v>
      </c>
      <c r="CM133" s="802"/>
      <c r="CN133" s="803"/>
      <c r="CO133" s="803"/>
      <c r="CP133" s="803"/>
      <c r="CQ133" s="803"/>
      <c r="CR133" s="803"/>
      <c r="CS133" s="803"/>
      <c r="CT133" s="803"/>
      <c r="CU133" s="803"/>
      <c r="CV133" s="803"/>
      <c r="CW133" s="803"/>
      <c r="CX133" s="803"/>
      <c r="CY133" s="804"/>
      <c r="EF133" s="592">
        <f>BX123+BX128+BX131+BX133+BX149+6766.2</f>
        <v>399294.74999999994</v>
      </c>
    </row>
    <row r="134" spans="1:136" ht="18.75" x14ac:dyDescent="0.2">
      <c r="A134" s="1289" t="s">
        <v>417</v>
      </c>
      <c r="B134" s="1290"/>
      <c r="C134" s="1290"/>
      <c r="D134" s="1290"/>
      <c r="E134" s="1290"/>
      <c r="F134" s="1290"/>
      <c r="G134" s="1290"/>
      <c r="H134" s="1290"/>
      <c r="I134" s="1290"/>
      <c r="J134" s="1290"/>
      <c r="K134" s="1290"/>
      <c r="L134" s="1290"/>
      <c r="M134" s="1290"/>
      <c r="N134" s="1290"/>
      <c r="O134" s="1290"/>
      <c r="P134" s="1290"/>
      <c r="Q134" s="1290"/>
      <c r="R134" s="1290"/>
      <c r="S134" s="1290"/>
      <c r="T134" s="1290"/>
      <c r="U134" s="1290"/>
      <c r="V134" s="1290"/>
      <c r="W134" s="1290"/>
      <c r="X134" s="1290"/>
      <c r="Y134" s="1290"/>
      <c r="Z134" s="1290"/>
      <c r="AA134" s="1290"/>
      <c r="AB134" s="1290"/>
      <c r="AC134" s="1290"/>
      <c r="AD134" s="1290"/>
      <c r="AE134" s="1290"/>
      <c r="AF134" s="1290"/>
      <c r="AG134" s="1290"/>
      <c r="AH134" s="1290"/>
      <c r="AI134" s="1290"/>
      <c r="AJ134" s="1290"/>
      <c r="AK134" s="1290"/>
      <c r="AL134" s="1290"/>
      <c r="AM134" s="1290"/>
      <c r="AN134" s="1290"/>
      <c r="AO134" s="1291"/>
      <c r="AP134" s="1279"/>
      <c r="AQ134" s="1280"/>
      <c r="AR134" s="1280"/>
      <c r="AS134" s="1280"/>
      <c r="AT134" s="1280"/>
      <c r="AU134" s="1280"/>
      <c r="AV134" s="1280"/>
      <c r="AW134" s="1281"/>
      <c r="AX134" s="1282" t="s">
        <v>403</v>
      </c>
      <c r="AY134" s="1280"/>
      <c r="AZ134" s="1280"/>
      <c r="BA134" s="1280"/>
      <c r="BB134" s="1280"/>
      <c r="BC134" s="1280"/>
      <c r="BD134" s="1280"/>
      <c r="BE134" s="1280"/>
      <c r="BF134" s="1280"/>
      <c r="BG134" s="1280"/>
      <c r="BH134" s="1280"/>
      <c r="BI134" s="1280"/>
      <c r="BJ134" s="1281"/>
      <c r="BK134" s="1282" t="s">
        <v>418</v>
      </c>
      <c r="BL134" s="1280"/>
      <c r="BM134" s="1280"/>
      <c r="BN134" s="1280"/>
      <c r="BO134" s="1280"/>
      <c r="BP134" s="1280"/>
      <c r="BQ134" s="1280"/>
      <c r="BR134" s="1280"/>
      <c r="BS134" s="1280"/>
      <c r="BT134" s="1280"/>
      <c r="BU134" s="1280"/>
      <c r="BV134" s="1280"/>
      <c r="BW134" s="1281"/>
      <c r="BX134" s="896">
        <f t="shared" si="9"/>
        <v>760720</v>
      </c>
      <c r="BY134" s="832">
        <f>'0701 225,226,310,341-346'!CC67</f>
        <v>760720</v>
      </c>
      <c r="BZ134" s="896">
        <f>'0701 225,226,310,341-346'!CG67</f>
        <v>0</v>
      </c>
      <c r="CA134" s="896"/>
      <c r="CB134" s="833"/>
      <c r="CC134" s="899">
        <f>CD134</f>
        <v>0</v>
      </c>
      <c r="CD134" s="832"/>
      <c r="CE134" s="832"/>
      <c r="CF134" s="832"/>
      <c r="CG134" s="923"/>
      <c r="CH134" s="900">
        <f t="shared" si="8"/>
        <v>0</v>
      </c>
      <c r="CI134" s="832">
        <f t="shared" si="10"/>
        <v>0</v>
      </c>
      <c r="CJ134" s="896"/>
      <c r="CK134" s="896"/>
      <c r="CL134" s="795"/>
      <c r="CM134" s="802"/>
      <c r="CN134" s="803"/>
      <c r="CO134" s="803"/>
      <c r="CP134" s="803"/>
      <c r="CQ134" s="803"/>
      <c r="CR134" s="803"/>
      <c r="CS134" s="803"/>
      <c r="CT134" s="803"/>
      <c r="CU134" s="803"/>
      <c r="CV134" s="803"/>
      <c r="CW134" s="803"/>
      <c r="CX134" s="803"/>
      <c r="CY134" s="804"/>
      <c r="EF134" s="592"/>
    </row>
    <row r="135" spans="1:136" ht="18.75" x14ac:dyDescent="0.2">
      <c r="A135" s="1289" t="s">
        <v>417</v>
      </c>
      <c r="B135" s="1290"/>
      <c r="C135" s="1290"/>
      <c r="D135" s="1290"/>
      <c r="E135" s="1290"/>
      <c r="F135" s="1290"/>
      <c r="G135" s="1290"/>
      <c r="H135" s="1290"/>
      <c r="I135" s="1290"/>
      <c r="J135" s="1290"/>
      <c r="K135" s="1290"/>
      <c r="L135" s="1290"/>
      <c r="M135" s="1290"/>
      <c r="N135" s="1290"/>
      <c r="O135" s="1290"/>
      <c r="P135" s="1290"/>
      <c r="Q135" s="1290"/>
      <c r="R135" s="1290"/>
      <c r="S135" s="1290"/>
      <c r="T135" s="1290"/>
      <c r="U135" s="1290"/>
      <c r="V135" s="1290"/>
      <c r="W135" s="1290"/>
      <c r="X135" s="1290"/>
      <c r="Y135" s="1290"/>
      <c r="Z135" s="1290"/>
      <c r="AA135" s="1290"/>
      <c r="AB135" s="1290"/>
      <c r="AC135" s="1290"/>
      <c r="AD135" s="1290"/>
      <c r="AE135" s="1290"/>
      <c r="AF135" s="1290"/>
      <c r="AG135" s="1290"/>
      <c r="AH135" s="1290"/>
      <c r="AI135" s="1290"/>
      <c r="AJ135" s="1290"/>
      <c r="AK135" s="1290"/>
      <c r="AL135" s="1290"/>
      <c r="AM135" s="1290"/>
      <c r="AN135" s="1290"/>
      <c r="AO135" s="1291"/>
      <c r="AP135" s="1279"/>
      <c r="AQ135" s="1280"/>
      <c r="AR135" s="1280"/>
      <c r="AS135" s="1280"/>
      <c r="AT135" s="1280"/>
      <c r="AU135" s="1280"/>
      <c r="AV135" s="1280"/>
      <c r="AW135" s="1281"/>
      <c r="AX135" s="1282" t="s">
        <v>403</v>
      </c>
      <c r="AY135" s="1280"/>
      <c r="AZ135" s="1280"/>
      <c r="BA135" s="1280"/>
      <c r="BB135" s="1280"/>
      <c r="BC135" s="1280"/>
      <c r="BD135" s="1280"/>
      <c r="BE135" s="1280"/>
      <c r="BF135" s="1280"/>
      <c r="BG135" s="1280"/>
      <c r="BH135" s="1280"/>
      <c r="BI135" s="1280"/>
      <c r="BJ135" s="1281"/>
      <c r="BK135" s="1282" t="s">
        <v>419</v>
      </c>
      <c r="BL135" s="1280"/>
      <c r="BM135" s="1280"/>
      <c r="BN135" s="1280"/>
      <c r="BO135" s="1280"/>
      <c r="BP135" s="1280"/>
      <c r="BQ135" s="1280"/>
      <c r="BR135" s="1280"/>
      <c r="BS135" s="1280"/>
      <c r="BT135" s="1280"/>
      <c r="BU135" s="1280"/>
      <c r="BV135" s="1280"/>
      <c r="BW135" s="1281"/>
      <c r="BX135" s="896">
        <f>SUM(BY135:CB135)</f>
        <v>1076077.17</v>
      </c>
      <c r="BY135" s="832">
        <f>'0702 225,226,227,310,346'!CC105</f>
        <v>834546.17</v>
      </c>
      <c r="BZ135" s="896">
        <v>202431</v>
      </c>
      <c r="CA135" s="896"/>
      <c r="CB135" s="833">
        <f>'0702 225,226,227,310,346'!CH105</f>
        <v>39100</v>
      </c>
      <c r="CC135" s="899">
        <f>SUM(CD135:CG135)</f>
        <v>757000</v>
      </c>
      <c r="CD135" s="832">
        <v>757000</v>
      </c>
      <c r="CE135" s="832"/>
      <c r="CF135" s="832"/>
      <c r="CG135" s="923"/>
      <c r="CH135" s="900">
        <f t="shared" si="8"/>
        <v>757000</v>
      </c>
      <c r="CI135" s="832">
        <v>757000</v>
      </c>
      <c r="CJ135" s="896">
        <f>CE135</f>
        <v>0</v>
      </c>
      <c r="CK135" s="896"/>
      <c r="CL135" s="795"/>
      <c r="CM135" s="802"/>
      <c r="CN135" s="803"/>
      <c r="CO135" s="803"/>
      <c r="CP135" s="803"/>
      <c r="CQ135" s="803"/>
      <c r="CR135" s="803"/>
      <c r="CS135" s="803"/>
      <c r="CT135" s="803"/>
      <c r="CU135" s="803"/>
      <c r="CV135" s="803"/>
      <c r="CW135" s="803"/>
      <c r="CX135" s="803"/>
      <c r="CY135" s="804"/>
    </row>
    <row r="136" spans="1:136" ht="18.75" x14ac:dyDescent="0.2">
      <c r="A136" s="1289" t="s">
        <v>417</v>
      </c>
      <c r="B136" s="1290"/>
      <c r="C136" s="1290"/>
      <c r="D136" s="1290"/>
      <c r="E136" s="1290"/>
      <c r="F136" s="1290"/>
      <c r="G136" s="1290"/>
      <c r="H136" s="1290"/>
      <c r="I136" s="1290"/>
      <c r="J136" s="1290"/>
      <c r="K136" s="1290"/>
      <c r="L136" s="1290"/>
      <c r="M136" s="1290"/>
      <c r="N136" s="1290"/>
      <c r="O136" s="1290"/>
      <c r="P136" s="1290"/>
      <c r="Q136" s="1290"/>
      <c r="R136" s="1290"/>
      <c r="S136" s="1290"/>
      <c r="T136" s="1290"/>
      <c r="U136" s="1290"/>
      <c r="V136" s="1290"/>
      <c r="W136" s="1290"/>
      <c r="X136" s="1290"/>
      <c r="Y136" s="1290"/>
      <c r="Z136" s="1290"/>
      <c r="AA136" s="1290"/>
      <c r="AB136" s="1290"/>
      <c r="AC136" s="1290"/>
      <c r="AD136" s="1290"/>
      <c r="AE136" s="1290"/>
      <c r="AF136" s="1290"/>
      <c r="AG136" s="1290"/>
      <c r="AH136" s="1290"/>
      <c r="AI136" s="1290"/>
      <c r="AJ136" s="1290"/>
      <c r="AK136" s="1290"/>
      <c r="AL136" s="1290"/>
      <c r="AM136" s="1290"/>
      <c r="AN136" s="1290"/>
      <c r="AO136" s="1291"/>
      <c r="AP136" s="1279"/>
      <c r="AQ136" s="1280"/>
      <c r="AR136" s="1280"/>
      <c r="AS136" s="1280"/>
      <c r="AT136" s="1280"/>
      <c r="AU136" s="1280"/>
      <c r="AV136" s="1280"/>
      <c r="AW136" s="1281"/>
      <c r="AX136" s="1282" t="s">
        <v>403</v>
      </c>
      <c r="AY136" s="1280"/>
      <c r="AZ136" s="1280"/>
      <c r="BA136" s="1280"/>
      <c r="BB136" s="1280"/>
      <c r="BC136" s="1280"/>
      <c r="BD136" s="1280"/>
      <c r="BE136" s="1280"/>
      <c r="BF136" s="1280"/>
      <c r="BG136" s="1280"/>
      <c r="BH136" s="1280"/>
      <c r="BI136" s="1280"/>
      <c r="BJ136" s="1281"/>
      <c r="BK136" s="1282" t="s">
        <v>420</v>
      </c>
      <c r="BL136" s="1280"/>
      <c r="BM136" s="1280"/>
      <c r="BN136" s="1280"/>
      <c r="BO136" s="1280"/>
      <c r="BP136" s="1280"/>
      <c r="BQ136" s="1280"/>
      <c r="BR136" s="1280"/>
      <c r="BS136" s="1280"/>
      <c r="BT136" s="1280"/>
      <c r="BU136" s="1280"/>
      <c r="BV136" s="1280"/>
      <c r="BW136" s="1281"/>
      <c r="BX136" s="896">
        <f>SUM(BY136:CB136)</f>
        <v>0</v>
      </c>
      <c r="BY136" s="832"/>
      <c r="BZ136" s="896"/>
      <c r="CA136" s="896"/>
      <c r="CB136" s="833"/>
      <c r="CC136" s="899">
        <f>SUM(CD136:CG136)</f>
        <v>0</v>
      </c>
      <c r="CD136" s="832"/>
      <c r="CE136" s="832"/>
      <c r="CF136" s="832"/>
      <c r="CG136" s="923"/>
      <c r="CH136" s="900">
        <f>CI136+CJ136+CL136</f>
        <v>0</v>
      </c>
      <c r="CI136" s="832"/>
      <c r="CJ136" s="896"/>
      <c r="CK136" s="896"/>
      <c r="CL136" s="795"/>
      <c r="CM136" s="802"/>
      <c r="CN136" s="803"/>
      <c r="CO136" s="803"/>
      <c r="CP136" s="803"/>
      <c r="CQ136" s="803"/>
      <c r="CR136" s="803"/>
      <c r="CS136" s="803"/>
      <c r="CT136" s="803"/>
      <c r="CU136" s="803"/>
      <c r="CV136" s="803"/>
      <c r="CW136" s="803"/>
      <c r="CX136" s="803"/>
      <c r="CY136" s="804"/>
    </row>
    <row r="137" spans="1:136" ht="36.75" customHeight="1" x14ac:dyDescent="0.2">
      <c r="A137" s="1276" t="s">
        <v>421</v>
      </c>
      <c r="B137" s="1277"/>
      <c r="C137" s="1277"/>
      <c r="D137" s="1277"/>
      <c r="E137" s="1277"/>
      <c r="F137" s="1277"/>
      <c r="G137" s="1277"/>
      <c r="H137" s="1277"/>
      <c r="I137" s="1277"/>
      <c r="J137" s="1277"/>
      <c r="K137" s="1277"/>
      <c r="L137" s="1277"/>
      <c r="M137" s="1277"/>
      <c r="N137" s="1277"/>
      <c r="O137" s="1277"/>
      <c r="P137" s="1277"/>
      <c r="Q137" s="1277"/>
      <c r="R137" s="1277"/>
      <c r="S137" s="1277"/>
      <c r="T137" s="1277"/>
      <c r="U137" s="1277"/>
      <c r="V137" s="1277"/>
      <c r="W137" s="1277"/>
      <c r="X137" s="1277"/>
      <c r="Y137" s="1277"/>
      <c r="Z137" s="1277"/>
      <c r="AA137" s="1277"/>
      <c r="AB137" s="1277"/>
      <c r="AC137" s="1277"/>
      <c r="AD137" s="1277"/>
      <c r="AE137" s="1277"/>
      <c r="AF137" s="1277"/>
      <c r="AG137" s="1277"/>
      <c r="AH137" s="1277"/>
      <c r="AI137" s="1277"/>
      <c r="AJ137" s="1277"/>
      <c r="AK137" s="1277"/>
      <c r="AL137" s="1277"/>
      <c r="AM137" s="1277"/>
      <c r="AN137" s="1277"/>
      <c r="AO137" s="1278"/>
      <c r="AP137" s="1279"/>
      <c r="AQ137" s="1280"/>
      <c r="AR137" s="1280"/>
      <c r="AS137" s="1280"/>
      <c r="AT137" s="1280"/>
      <c r="AU137" s="1280"/>
      <c r="AV137" s="1280"/>
      <c r="AW137" s="1281"/>
      <c r="AX137" s="1282" t="s">
        <v>403</v>
      </c>
      <c r="AY137" s="1280"/>
      <c r="AZ137" s="1280"/>
      <c r="BA137" s="1280"/>
      <c r="BB137" s="1280"/>
      <c r="BC137" s="1280"/>
      <c r="BD137" s="1280"/>
      <c r="BE137" s="1280"/>
      <c r="BF137" s="1280"/>
      <c r="BG137" s="1280"/>
      <c r="BH137" s="1280"/>
      <c r="BI137" s="1280"/>
      <c r="BJ137" s="1281"/>
      <c r="BK137" s="1282" t="s">
        <v>422</v>
      </c>
      <c r="BL137" s="1280"/>
      <c r="BM137" s="1280"/>
      <c r="BN137" s="1280"/>
      <c r="BO137" s="1280"/>
      <c r="BP137" s="1280"/>
      <c r="BQ137" s="1280"/>
      <c r="BR137" s="1280"/>
      <c r="BS137" s="1280"/>
      <c r="BT137" s="1280"/>
      <c r="BU137" s="1280"/>
      <c r="BV137" s="1280"/>
      <c r="BW137" s="1281"/>
      <c r="BX137" s="896">
        <f>BY137+BZ137</f>
        <v>0</v>
      </c>
      <c r="BY137" s="832">
        <v>0</v>
      </c>
      <c r="BZ137" s="896">
        <f>'0701 225,226,310,341-346'!CG78</f>
        <v>0</v>
      </c>
      <c r="CA137" s="896"/>
      <c r="CB137" s="833"/>
      <c r="CC137" s="899">
        <f>CD137+CE137+CG137</f>
        <v>0</v>
      </c>
      <c r="CD137" s="832"/>
      <c r="CE137" s="832"/>
      <c r="CF137" s="832"/>
      <c r="CG137" s="923"/>
      <c r="CH137" s="900">
        <f t="shared" si="8"/>
        <v>0</v>
      </c>
      <c r="CI137" s="832">
        <f>CD137</f>
        <v>0</v>
      </c>
      <c r="CJ137" s="896"/>
      <c r="CK137" s="896"/>
      <c r="CL137" s="795"/>
      <c r="CM137" s="802"/>
      <c r="CN137" s="803"/>
      <c r="CO137" s="803"/>
      <c r="CP137" s="803"/>
      <c r="CQ137" s="803"/>
      <c r="CR137" s="803"/>
      <c r="CS137" s="803"/>
      <c r="CT137" s="803"/>
      <c r="CU137" s="803"/>
      <c r="CV137" s="803"/>
      <c r="CW137" s="803"/>
      <c r="CX137" s="803"/>
      <c r="CY137" s="804"/>
      <c r="DX137" s="592"/>
      <c r="EF137" s="592">
        <f>BY126+BY129+BY134+BY146+BY137+BY141+BY144</f>
        <v>2436485.0199999996</v>
      </c>
    </row>
    <row r="138" spans="1:136" ht="36.75" customHeight="1" x14ac:dyDescent="0.2">
      <c r="A138" s="1276" t="s">
        <v>1292</v>
      </c>
      <c r="B138" s="1277"/>
      <c r="C138" s="1277"/>
      <c r="D138" s="1277"/>
      <c r="E138" s="1277"/>
      <c r="F138" s="1277"/>
      <c r="G138" s="1277"/>
      <c r="H138" s="1277"/>
      <c r="I138" s="1277"/>
      <c r="J138" s="1277"/>
      <c r="K138" s="1277"/>
      <c r="L138" s="1277"/>
      <c r="M138" s="1277"/>
      <c r="N138" s="1277"/>
      <c r="O138" s="1277"/>
      <c r="P138" s="1277"/>
      <c r="Q138" s="1277"/>
      <c r="R138" s="1277"/>
      <c r="S138" s="1277"/>
      <c r="T138" s="1277"/>
      <c r="U138" s="1277"/>
      <c r="V138" s="1277"/>
      <c r="W138" s="1277"/>
      <c r="X138" s="1277"/>
      <c r="Y138" s="1277"/>
      <c r="Z138" s="1277"/>
      <c r="AA138" s="1277"/>
      <c r="AB138" s="1277"/>
      <c r="AC138" s="1277"/>
      <c r="AD138" s="1277"/>
      <c r="AE138" s="1277"/>
      <c r="AF138" s="1277"/>
      <c r="AG138" s="1277"/>
      <c r="AH138" s="1277"/>
      <c r="AI138" s="1277"/>
      <c r="AJ138" s="1277"/>
      <c r="AK138" s="1277"/>
      <c r="AL138" s="1277"/>
      <c r="AM138" s="1277"/>
      <c r="AN138" s="1277"/>
      <c r="AO138" s="1278"/>
      <c r="AP138" s="1279"/>
      <c r="AQ138" s="1280"/>
      <c r="AR138" s="1280"/>
      <c r="AS138" s="1280"/>
      <c r="AT138" s="1280"/>
      <c r="AU138" s="1280"/>
      <c r="AV138" s="1280"/>
      <c r="AW138" s="1281"/>
      <c r="AX138" s="1282" t="s">
        <v>403</v>
      </c>
      <c r="AY138" s="1280"/>
      <c r="AZ138" s="1280"/>
      <c r="BA138" s="1280"/>
      <c r="BB138" s="1280"/>
      <c r="BC138" s="1280"/>
      <c r="BD138" s="1280"/>
      <c r="BE138" s="1280"/>
      <c r="BF138" s="1280"/>
      <c r="BG138" s="1280"/>
      <c r="BH138" s="1280"/>
      <c r="BI138" s="1280"/>
      <c r="BJ138" s="1281"/>
      <c r="BK138" s="1282" t="s">
        <v>1147</v>
      </c>
      <c r="BL138" s="1280"/>
      <c r="BM138" s="1280"/>
      <c r="BN138" s="1280"/>
      <c r="BO138" s="1280"/>
      <c r="BP138" s="1280"/>
      <c r="BQ138" s="1280"/>
      <c r="BR138" s="1280"/>
      <c r="BS138" s="1280"/>
      <c r="BT138" s="1280"/>
      <c r="BU138" s="1280"/>
      <c r="BV138" s="1280"/>
      <c r="BW138" s="1281"/>
      <c r="BX138" s="896">
        <f>BY138+BZ138</f>
        <v>27315</v>
      </c>
      <c r="BY138" s="832">
        <f>'0702 225,226,227,310,346'!CD114+'0702 225,226,227,310,346'!CC114</f>
        <v>13280</v>
      </c>
      <c r="BZ138" s="896">
        <v>14035</v>
      </c>
      <c r="CA138" s="896"/>
      <c r="CB138" s="833"/>
      <c r="CC138" s="899">
        <f>CD138+CE138+CG138</f>
        <v>10000</v>
      </c>
      <c r="CD138" s="832">
        <v>10000</v>
      </c>
      <c r="CE138" s="832"/>
      <c r="CF138" s="832"/>
      <c r="CG138" s="923"/>
      <c r="CH138" s="900">
        <f t="shared" ref="CH138" si="11">CI138+CJ138+CL138</f>
        <v>10000</v>
      </c>
      <c r="CI138" s="832">
        <f>CD138</f>
        <v>10000</v>
      </c>
      <c r="CJ138" s="896"/>
      <c r="CK138" s="896"/>
      <c r="CL138" s="795"/>
      <c r="CM138" s="802"/>
      <c r="CN138" s="803"/>
      <c r="CO138" s="803"/>
      <c r="CP138" s="803"/>
      <c r="CQ138" s="803"/>
      <c r="CR138" s="803"/>
      <c r="CS138" s="803"/>
      <c r="CT138" s="803"/>
      <c r="CU138" s="803"/>
      <c r="CV138" s="803"/>
      <c r="CW138" s="803"/>
      <c r="CX138" s="803"/>
      <c r="CY138" s="804"/>
    </row>
    <row r="139" spans="1:136" ht="18.75" x14ac:dyDescent="0.2">
      <c r="A139" s="1327" t="s">
        <v>423</v>
      </c>
      <c r="B139" s="1328"/>
      <c r="C139" s="1328"/>
      <c r="D139" s="1328"/>
      <c r="E139" s="1328"/>
      <c r="F139" s="1328"/>
      <c r="G139" s="1328"/>
      <c r="H139" s="1328"/>
      <c r="I139" s="1328"/>
      <c r="J139" s="1328"/>
      <c r="K139" s="1328"/>
      <c r="L139" s="1328"/>
      <c r="M139" s="1328"/>
      <c r="N139" s="1328"/>
      <c r="O139" s="1328"/>
      <c r="P139" s="1328"/>
      <c r="Q139" s="1328"/>
      <c r="R139" s="1328"/>
      <c r="S139" s="1328"/>
      <c r="T139" s="1328"/>
      <c r="U139" s="1328"/>
      <c r="V139" s="1328"/>
      <c r="W139" s="1328"/>
      <c r="X139" s="1328"/>
      <c r="Y139" s="1328"/>
      <c r="Z139" s="1328"/>
      <c r="AA139" s="1328"/>
      <c r="AB139" s="1328"/>
      <c r="AC139" s="1328"/>
      <c r="AD139" s="1328"/>
      <c r="AE139" s="1328"/>
      <c r="AF139" s="1328"/>
      <c r="AG139" s="1328"/>
      <c r="AH139" s="1328"/>
      <c r="AI139" s="1328"/>
      <c r="AJ139" s="1328"/>
      <c r="AK139" s="1328"/>
      <c r="AL139" s="1328"/>
      <c r="AM139" s="1328"/>
      <c r="AN139" s="1328"/>
      <c r="AO139" s="1429"/>
      <c r="AP139" s="1279"/>
      <c r="AQ139" s="1280"/>
      <c r="AR139" s="1280"/>
      <c r="AS139" s="1280"/>
      <c r="AT139" s="1280"/>
      <c r="AU139" s="1280"/>
      <c r="AV139" s="1280"/>
      <c r="AW139" s="1281"/>
      <c r="AX139" s="1282" t="s">
        <v>403</v>
      </c>
      <c r="AY139" s="1280"/>
      <c r="AZ139" s="1280"/>
      <c r="BA139" s="1280"/>
      <c r="BB139" s="1280"/>
      <c r="BC139" s="1280"/>
      <c r="BD139" s="1280"/>
      <c r="BE139" s="1280"/>
      <c r="BF139" s="1280"/>
      <c r="BG139" s="1280"/>
      <c r="BH139" s="1280"/>
      <c r="BI139" s="1280"/>
      <c r="BJ139" s="1281"/>
      <c r="BK139" s="1282" t="s">
        <v>424</v>
      </c>
      <c r="BL139" s="1280"/>
      <c r="BM139" s="1280"/>
      <c r="BN139" s="1280"/>
      <c r="BO139" s="1280"/>
      <c r="BP139" s="1280"/>
      <c r="BQ139" s="1280"/>
      <c r="BR139" s="1280"/>
      <c r="BS139" s="1280"/>
      <c r="BT139" s="1280"/>
      <c r="BU139" s="1280"/>
      <c r="BV139" s="1280"/>
      <c r="BW139" s="1281"/>
      <c r="BX139" s="896">
        <f t="shared" si="9"/>
        <v>1623895.72</v>
      </c>
      <c r="BY139" s="832">
        <f>'расчет по питанию 11 месяцев.'!J12</f>
        <v>671438.72</v>
      </c>
      <c r="BZ139" s="896"/>
      <c r="CA139" s="896"/>
      <c r="CB139" s="833">
        <f>'расчет по питанию 11 месяцев.'!O30</f>
        <v>952457</v>
      </c>
      <c r="CC139" s="899">
        <f>CD139+CE139+CG139</f>
        <v>2177997.41</v>
      </c>
      <c r="CD139" s="832">
        <f>989218.6+18000+13148.81</f>
        <v>1020367.41</v>
      </c>
      <c r="CE139" s="832"/>
      <c r="CF139" s="832"/>
      <c r="CG139" s="833">
        <v>1157630</v>
      </c>
      <c r="CH139" s="900">
        <f t="shared" si="8"/>
        <v>2177997.41</v>
      </c>
      <c r="CI139" s="832">
        <f>CD139</f>
        <v>1020367.41</v>
      </c>
      <c r="CJ139" s="896"/>
      <c r="CK139" s="896"/>
      <c r="CL139" s="795">
        <f>CG139</f>
        <v>1157630</v>
      </c>
      <c r="CM139" s="802"/>
      <c r="CN139" s="803"/>
      <c r="CO139" s="803"/>
      <c r="CP139" s="803"/>
      <c r="CQ139" s="803"/>
      <c r="CR139" s="803"/>
      <c r="CS139" s="803"/>
      <c r="CT139" s="803"/>
      <c r="CU139" s="803"/>
      <c r="CV139" s="803"/>
      <c r="CW139" s="803"/>
      <c r="CX139" s="803"/>
      <c r="CY139" s="804"/>
    </row>
    <row r="140" spans="1:136" ht="18.75" x14ac:dyDescent="0.2">
      <c r="A140" s="1327" t="s">
        <v>423</v>
      </c>
      <c r="B140" s="1328"/>
      <c r="C140" s="1328"/>
      <c r="D140" s="1328"/>
      <c r="E140" s="1328"/>
      <c r="F140" s="1328"/>
      <c r="G140" s="1328"/>
      <c r="H140" s="1328"/>
      <c r="I140" s="1328"/>
      <c r="J140" s="1328"/>
      <c r="K140" s="1328"/>
      <c r="L140" s="1328"/>
      <c r="M140" s="1328"/>
      <c r="N140" s="1328"/>
      <c r="O140" s="1328"/>
      <c r="P140" s="1328"/>
      <c r="Q140" s="1328"/>
      <c r="R140" s="1328"/>
      <c r="S140" s="1328"/>
      <c r="T140" s="1328"/>
      <c r="U140" s="1328"/>
      <c r="V140" s="1328"/>
      <c r="W140" s="1328"/>
      <c r="X140" s="1328"/>
      <c r="Y140" s="1328"/>
      <c r="Z140" s="1328"/>
      <c r="AA140" s="1328"/>
      <c r="AB140" s="1328"/>
      <c r="AC140" s="1328"/>
      <c r="AD140" s="1328"/>
      <c r="AE140" s="1328"/>
      <c r="AF140" s="1328"/>
      <c r="AG140" s="1328"/>
      <c r="AH140" s="1328"/>
      <c r="AI140" s="1328"/>
      <c r="AJ140" s="1328"/>
      <c r="AK140" s="1328"/>
      <c r="AL140" s="1328"/>
      <c r="AM140" s="1328"/>
      <c r="AN140" s="1328"/>
      <c r="AO140" s="1429"/>
      <c r="AP140" s="1279"/>
      <c r="AQ140" s="1280"/>
      <c r="AR140" s="1280"/>
      <c r="AS140" s="1280"/>
      <c r="AT140" s="1280"/>
      <c r="AU140" s="1280"/>
      <c r="AV140" s="1280"/>
      <c r="AW140" s="1281"/>
      <c r="AX140" s="1282" t="s">
        <v>403</v>
      </c>
      <c r="AY140" s="1280"/>
      <c r="AZ140" s="1280"/>
      <c r="BA140" s="1280"/>
      <c r="BB140" s="1280"/>
      <c r="BC140" s="1280"/>
      <c r="BD140" s="1280"/>
      <c r="BE140" s="1280"/>
      <c r="BF140" s="1280"/>
      <c r="BG140" s="1280"/>
      <c r="BH140" s="1280"/>
      <c r="BI140" s="1280"/>
      <c r="BJ140" s="1281"/>
      <c r="BK140" s="1282" t="s">
        <v>425</v>
      </c>
      <c r="BL140" s="1280"/>
      <c r="BM140" s="1280"/>
      <c r="BN140" s="1280"/>
      <c r="BO140" s="1280"/>
      <c r="BP140" s="1280"/>
      <c r="BQ140" s="1280"/>
      <c r="BR140" s="1280"/>
      <c r="BS140" s="1280"/>
      <c r="BT140" s="1280"/>
      <c r="BU140" s="1280"/>
      <c r="BV140" s="1280"/>
      <c r="BW140" s="1281"/>
      <c r="BX140" s="896">
        <f t="shared" si="9"/>
        <v>510000</v>
      </c>
      <c r="BY140" s="832">
        <f>'0701 225,226,310,341-346'!CC101+'0701 225,226,310,341-346'!CD101</f>
        <v>510000</v>
      </c>
      <c r="BZ140" s="896"/>
      <c r="CA140" s="896"/>
      <c r="CB140" s="833"/>
      <c r="CC140" s="899">
        <f>CD140</f>
        <v>600000</v>
      </c>
      <c r="CD140" s="832">
        <v>600000</v>
      </c>
      <c r="CE140" s="832"/>
      <c r="CF140" s="832"/>
      <c r="CG140" s="923"/>
      <c r="CH140" s="900">
        <f t="shared" si="8"/>
        <v>600000</v>
      </c>
      <c r="CI140" s="832">
        <v>600000</v>
      </c>
      <c r="CJ140" s="896"/>
      <c r="CK140" s="896"/>
      <c r="CL140" s="795"/>
      <c r="CM140" s="802"/>
      <c r="CN140" s="803"/>
      <c r="CO140" s="803"/>
      <c r="CP140" s="803"/>
      <c r="CQ140" s="803"/>
      <c r="CR140" s="803"/>
      <c r="CS140" s="803"/>
      <c r="CT140" s="803"/>
      <c r="CU140" s="803"/>
      <c r="CV140" s="803"/>
      <c r="CW140" s="803"/>
      <c r="CX140" s="803"/>
      <c r="CY140" s="804"/>
    </row>
    <row r="141" spans="1:136" ht="18.75" x14ac:dyDescent="0.2">
      <c r="A141" s="1327" t="s">
        <v>848</v>
      </c>
      <c r="B141" s="1328"/>
      <c r="C141" s="1328"/>
      <c r="D141" s="1328"/>
      <c r="E141" s="1328"/>
      <c r="F141" s="1328"/>
      <c r="G141" s="1328"/>
      <c r="H141" s="1328"/>
      <c r="I141" s="1328"/>
      <c r="J141" s="1328"/>
      <c r="K141" s="1328"/>
      <c r="L141" s="1328"/>
      <c r="M141" s="1328"/>
      <c r="N141" s="1328"/>
      <c r="O141" s="1328"/>
      <c r="P141" s="1328"/>
      <c r="Q141" s="1328"/>
      <c r="R141" s="1328"/>
      <c r="S141" s="1328"/>
      <c r="T141" s="1328"/>
      <c r="U141" s="1328"/>
      <c r="V141" s="1328"/>
      <c r="W141" s="1328"/>
      <c r="X141" s="1328"/>
      <c r="Y141" s="1328"/>
      <c r="Z141" s="1328"/>
      <c r="AA141" s="1328"/>
      <c r="AB141" s="1328"/>
      <c r="AC141" s="1328"/>
      <c r="AD141" s="1328"/>
      <c r="AE141" s="1328"/>
      <c r="AF141" s="1328"/>
      <c r="AG141" s="1328"/>
      <c r="AH141" s="1328"/>
      <c r="AI141" s="1328"/>
      <c r="AJ141" s="1328"/>
      <c r="AK141" s="1328"/>
      <c r="AL141" s="1328"/>
      <c r="AM141" s="1328"/>
      <c r="AN141" s="1328"/>
      <c r="AO141" s="1429"/>
      <c r="AP141" s="1292"/>
      <c r="AQ141" s="1293"/>
      <c r="AR141" s="1293"/>
      <c r="AS141" s="1293"/>
      <c r="AT141" s="1293"/>
      <c r="AU141" s="1293"/>
      <c r="AV141" s="1293"/>
      <c r="AW141" s="1294"/>
      <c r="AX141" s="1295" t="s">
        <v>403</v>
      </c>
      <c r="AY141" s="1293"/>
      <c r="AZ141" s="1293"/>
      <c r="BA141" s="1293"/>
      <c r="BB141" s="1293"/>
      <c r="BC141" s="1293"/>
      <c r="BD141" s="1293"/>
      <c r="BE141" s="1293"/>
      <c r="BF141" s="1293"/>
      <c r="BG141" s="1293"/>
      <c r="BH141" s="1293"/>
      <c r="BI141" s="1293"/>
      <c r="BJ141" s="1294"/>
      <c r="BK141" s="1282" t="s">
        <v>1108</v>
      </c>
      <c r="BL141" s="1280"/>
      <c r="BM141" s="1280"/>
      <c r="BN141" s="1280"/>
      <c r="BO141" s="1280"/>
      <c r="BP141" s="1280"/>
      <c r="BQ141" s="1280"/>
      <c r="BR141" s="1280"/>
      <c r="BS141" s="1280"/>
      <c r="BT141" s="1280"/>
      <c r="BU141" s="1280"/>
      <c r="BV141" s="1280"/>
      <c r="BW141" s="1281"/>
      <c r="BX141" s="896">
        <f t="shared" ref="BX141" si="12">SUM(BY141:CB141)</f>
        <v>256</v>
      </c>
      <c r="BY141" s="832">
        <v>256</v>
      </c>
      <c r="BZ141" s="896"/>
      <c r="CA141" s="896"/>
      <c r="CB141" s="923"/>
      <c r="CC141" s="899">
        <f>CD141</f>
        <v>1000</v>
      </c>
      <c r="CD141" s="832">
        <v>1000</v>
      </c>
      <c r="CE141" s="832"/>
      <c r="CF141" s="832"/>
      <c r="CG141" s="923"/>
      <c r="CH141" s="900">
        <f t="shared" ref="CH141" si="13">CI141+CJ141+CL141</f>
        <v>1000</v>
      </c>
      <c r="CI141" s="832">
        <f>CD141</f>
        <v>1000</v>
      </c>
      <c r="CJ141" s="896"/>
      <c r="CK141" s="896"/>
      <c r="CL141" s="795"/>
      <c r="CM141" s="802"/>
      <c r="CN141" s="803"/>
      <c r="CO141" s="803"/>
      <c r="CP141" s="803"/>
      <c r="CQ141" s="803"/>
      <c r="CR141" s="803"/>
      <c r="CS141" s="803"/>
      <c r="CT141" s="803"/>
      <c r="CU141" s="803"/>
      <c r="CV141" s="803"/>
      <c r="CW141" s="803"/>
      <c r="CX141" s="803"/>
      <c r="CY141" s="804"/>
    </row>
    <row r="142" spans="1:136" ht="18.75" x14ac:dyDescent="0.2">
      <c r="A142" s="1327" t="s">
        <v>848</v>
      </c>
      <c r="B142" s="1328"/>
      <c r="C142" s="1328"/>
      <c r="D142" s="1328"/>
      <c r="E142" s="1328"/>
      <c r="F142" s="1328"/>
      <c r="G142" s="1328"/>
      <c r="H142" s="1328"/>
      <c r="I142" s="1328"/>
      <c r="J142" s="1328"/>
      <c r="K142" s="1328"/>
      <c r="L142" s="1328"/>
      <c r="M142" s="1328"/>
      <c r="N142" s="1328"/>
      <c r="O142" s="1328"/>
      <c r="P142" s="1328"/>
      <c r="Q142" s="1328"/>
      <c r="R142" s="1328"/>
      <c r="S142" s="1328"/>
      <c r="T142" s="1328"/>
      <c r="U142" s="1328"/>
      <c r="V142" s="1328"/>
      <c r="W142" s="1328"/>
      <c r="X142" s="1328"/>
      <c r="Y142" s="1328"/>
      <c r="Z142" s="1328"/>
      <c r="AA142" s="1328"/>
      <c r="AB142" s="1328"/>
      <c r="AC142" s="1328"/>
      <c r="AD142" s="1328"/>
      <c r="AE142" s="1328"/>
      <c r="AF142" s="1328"/>
      <c r="AG142" s="1328"/>
      <c r="AH142" s="1328"/>
      <c r="AI142" s="1328"/>
      <c r="AJ142" s="1328"/>
      <c r="AK142" s="1328"/>
      <c r="AL142" s="1328"/>
      <c r="AM142" s="1328"/>
      <c r="AN142" s="1328"/>
      <c r="AO142" s="1429"/>
      <c r="AP142" s="1292"/>
      <c r="AQ142" s="1293"/>
      <c r="AR142" s="1293"/>
      <c r="AS142" s="1293"/>
      <c r="AT142" s="1293"/>
      <c r="AU142" s="1293"/>
      <c r="AV142" s="1293"/>
      <c r="AW142" s="1294"/>
      <c r="AX142" s="1295" t="s">
        <v>403</v>
      </c>
      <c r="AY142" s="1293"/>
      <c r="AZ142" s="1293"/>
      <c r="BA142" s="1293"/>
      <c r="BB142" s="1293"/>
      <c r="BC142" s="1293"/>
      <c r="BD142" s="1293"/>
      <c r="BE142" s="1293"/>
      <c r="BF142" s="1293"/>
      <c r="BG142" s="1293"/>
      <c r="BH142" s="1293"/>
      <c r="BI142" s="1293"/>
      <c r="BJ142" s="1294"/>
      <c r="BK142" s="1282" t="s">
        <v>426</v>
      </c>
      <c r="BL142" s="1280"/>
      <c r="BM142" s="1280"/>
      <c r="BN142" s="1280"/>
      <c r="BO142" s="1280"/>
      <c r="BP142" s="1280"/>
      <c r="BQ142" s="1280"/>
      <c r="BR142" s="1280"/>
      <c r="BS142" s="1280"/>
      <c r="BT142" s="1280"/>
      <c r="BU142" s="1280"/>
      <c r="BV142" s="1280"/>
      <c r="BW142" s="1281"/>
      <c r="BX142" s="896">
        <f t="shared" si="9"/>
        <v>360262</v>
      </c>
      <c r="BY142" s="832">
        <f>'0702 225,226,227,310,346'!CC116+'0702 225,226,227,310,346'!CD116+'0702 225,226,227,310,346'!CF116+'0702 225,226,227,310,346'!CG116</f>
        <v>360262</v>
      </c>
      <c r="BZ142" s="896"/>
      <c r="CA142" s="896"/>
      <c r="CB142" s="923"/>
      <c r="CC142" s="899">
        <f>CD142</f>
        <v>210000</v>
      </c>
      <c r="CD142" s="832">
        <v>210000</v>
      </c>
      <c r="CE142" s="832"/>
      <c r="CF142" s="832"/>
      <c r="CG142" s="923"/>
      <c r="CH142" s="900">
        <f t="shared" si="8"/>
        <v>210000</v>
      </c>
      <c r="CI142" s="832">
        <f>CD142</f>
        <v>210000</v>
      </c>
      <c r="CJ142" s="896"/>
      <c r="CK142" s="896"/>
      <c r="CL142" s="795"/>
      <c r="CM142" s="802"/>
      <c r="CN142" s="803"/>
      <c r="CO142" s="803"/>
      <c r="CP142" s="803"/>
      <c r="CQ142" s="803"/>
      <c r="CR142" s="803"/>
      <c r="CS142" s="803"/>
      <c r="CT142" s="803"/>
      <c r="CU142" s="803"/>
      <c r="CV142" s="803"/>
      <c r="CW142" s="803"/>
      <c r="CX142" s="803"/>
      <c r="CY142" s="804"/>
    </row>
    <row r="143" spans="1:136" ht="18.75" x14ac:dyDescent="0.2">
      <c r="A143" s="1327" t="s">
        <v>427</v>
      </c>
      <c r="B143" s="1328"/>
      <c r="C143" s="1328"/>
      <c r="D143" s="1328"/>
      <c r="E143" s="1328"/>
      <c r="F143" s="1328"/>
      <c r="G143" s="1328"/>
      <c r="H143" s="1328"/>
      <c r="I143" s="1328"/>
      <c r="J143" s="1328"/>
      <c r="K143" s="1328"/>
      <c r="L143" s="1328"/>
      <c r="M143" s="1328"/>
      <c r="N143" s="1328"/>
      <c r="O143" s="1328"/>
      <c r="P143" s="1328"/>
      <c r="Q143" s="1328"/>
      <c r="R143" s="1328"/>
      <c r="S143" s="1328"/>
      <c r="T143" s="1328"/>
      <c r="U143" s="1328"/>
      <c r="V143" s="1328"/>
      <c r="W143" s="1328"/>
      <c r="X143" s="1328"/>
      <c r="Y143" s="1328"/>
      <c r="Z143" s="1328"/>
      <c r="AA143" s="1328"/>
      <c r="AB143" s="1328"/>
      <c r="AC143" s="1328"/>
      <c r="AD143" s="1328"/>
      <c r="AE143" s="1328"/>
      <c r="AF143" s="1328"/>
      <c r="AG143" s="1328"/>
      <c r="AH143" s="1328"/>
      <c r="AI143" s="1328"/>
      <c r="AJ143" s="1328"/>
      <c r="AK143" s="1328"/>
      <c r="AL143" s="1328"/>
      <c r="AM143" s="1328"/>
      <c r="AN143" s="1328"/>
      <c r="AO143" s="1429"/>
      <c r="AP143" s="1292"/>
      <c r="AQ143" s="1293"/>
      <c r="AR143" s="1293"/>
      <c r="AS143" s="1293"/>
      <c r="AT143" s="1293"/>
      <c r="AU143" s="1293"/>
      <c r="AV143" s="1293"/>
      <c r="AW143" s="1294"/>
      <c r="AX143" s="1295" t="s">
        <v>403</v>
      </c>
      <c r="AY143" s="1293"/>
      <c r="AZ143" s="1293"/>
      <c r="BA143" s="1293"/>
      <c r="BB143" s="1293"/>
      <c r="BC143" s="1293"/>
      <c r="BD143" s="1293"/>
      <c r="BE143" s="1293"/>
      <c r="BF143" s="1293"/>
      <c r="BG143" s="1293"/>
      <c r="BH143" s="1293"/>
      <c r="BI143" s="1293"/>
      <c r="BJ143" s="1294"/>
      <c r="BK143" s="1282" t="s">
        <v>428</v>
      </c>
      <c r="BL143" s="1280"/>
      <c r="BM143" s="1280"/>
      <c r="BN143" s="1280"/>
      <c r="BO143" s="1280"/>
      <c r="BP143" s="1280"/>
      <c r="BQ143" s="1280"/>
      <c r="BR143" s="1280"/>
      <c r="BS143" s="1280"/>
      <c r="BT143" s="1280"/>
      <c r="BU143" s="1280"/>
      <c r="BV143" s="1280"/>
      <c r="BW143" s="1281"/>
      <c r="BX143" s="896">
        <f t="shared" si="9"/>
        <v>0</v>
      </c>
      <c r="BY143" s="832">
        <f>'0702 225,226,227,310,346'!CC117+'0702 225,226,227,310,346'!CD117+'0702 225,226,227,310,346'!CF117+'0702 225,226,227,310,346'!CG117</f>
        <v>0</v>
      </c>
      <c r="BZ143" s="896"/>
      <c r="CA143" s="896"/>
      <c r="CB143" s="923"/>
      <c r="CC143" s="899">
        <f>SUM(CD143:CG143)</f>
        <v>20000</v>
      </c>
      <c r="CD143" s="832">
        <v>20000</v>
      </c>
      <c r="CE143" s="832"/>
      <c r="CF143" s="832"/>
      <c r="CG143" s="923"/>
      <c r="CH143" s="900">
        <f t="shared" si="8"/>
        <v>20000</v>
      </c>
      <c r="CI143" s="832">
        <f>CD143</f>
        <v>20000</v>
      </c>
      <c r="CJ143" s="896"/>
      <c r="CK143" s="896"/>
      <c r="CL143" s="795"/>
      <c r="CM143" s="802"/>
      <c r="CN143" s="803"/>
      <c r="CO143" s="803"/>
      <c r="CP143" s="803"/>
      <c r="CQ143" s="803"/>
      <c r="CR143" s="803"/>
      <c r="CS143" s="803"/>
      <c r="CT143" s="803"/>
      <c r="CU143" s="803"/>
      <c r="CV143" s="803"/>
      <c r="CW143" s="803"/>
      <c r="CX143" s="803"/>
      <c r="CY143" s="804"/>
    </row>
    <row r="144" spans="1:136" ht="18.75" x14ac:dyDescent="0.2">
      <c r="A144" s="1327" t="s">
        <v>429</v>
      </c>
      <c r="B144" s="1328"/>
      <c r="C144" s="1328"/>
      <c r="D144" s="1328"/>
      <c r="E144" s="1328"/>
      <c r="F144" s="1328"/>
      <c r="G144" s="1328"/>
      <c r="H144" s="1328"/>
      <c r="I144" s="1328"/>
      <c r="J144" s="1328"/>
      <c r="K144" s="1328"/>
      <c r="L144" s="1328"/>
      <c r="M144" s="1328"/>
      <c r="N144" s="1328"/>
      <c r="O144" s="1328"/>
      <c r="P144" s="1328"/>
      <c r="Q144" s="1328"/>
      <c r="R144" s="1328"/>
      <c r="S144" s="1328"/>
      <c r="T144" s="1328"/>
      <c r="U144" s="1328"/>
      <c r="V144" s="1328"/>
      <c r="W144" s="1328"/>
      <c r="X144" s="1328"/>
      <c r="Y144" s="1328"/>
      <c r="Z144" s="1328"/>
      <c r="AA144" s="1328"/>
      <c r="AB144" s="1328"/>
      <c r="AC144" s="1328"/>
      <c r="AD144" s="1328"/>
      <c r="AE144" s="1328"/>
      <c r="AF144" s="1328"/>
      <c r="AG144" s="1328"/>
      <c r="AH144" s="1328"/>
      <c r="AI144" s="1328"/>
      <c r="AJ144" s="1328"/>
      <c r="AK144" s="1328"/>
      <c r="AL144" s="1328"/>
      <c r="AM144" s="1328"/>
      <c r="AN144" s="1328"/>
      <c r="AO144" s="1429"/>
      <c r="AP144" s="1292"/>
      <c r="AQ144" s="1293"/>
      <c r="AR144" s="1293"/>
      <c r="AS144" s="1293"/>
      <c r="AT144" s="1293"/>
      <c r="AU144" s="1293"/>
      <c r="AV144" s="1293"/>
      <c r="AW144" s="1294"/>
      <c r="AX144" s="1295" t="s">
        <v>403</v>
      </c>
      <c r="AY144" s="1293"/>
      <c r="AZ144" s="1293"/>
      <c r="BA144" s="1293"/>
      <c r="BB144" s="1293"/>
      <c r="BC144" s="1293"/>
      <c r="BD144" s="1293"/>
      <c r="BE144" s="1293"/>
      <c r="BF144" s="1293"/>
      <c r="BG144" s="1293"/>
      <c r="BH144" s="1293"/>
      <c r="BI144" s="1293"/>
      <c r="BJ144" s="1294"/>
      <c r="BK144" s="1282" t="s">
        <v>430</v>
      </c>
      <c r="BL144" s="1280"/>
      <c r="BM144" s="1280"/>
      <c r="BN144" s="1280"/>
      <c r="BO144" s="1280"/>
      <c r="BP144" s="1280"/>
      <c r="BQ144" s="1280"/>
      <c r="BR144" s="1280"/>
      <c r="BS144" s="1280"/>
      <c r="BT144" s="1280"/>
      <c r="BU144" s="1280"/>
      <c r="BV144" s="1280"/>
      <c r="BW144" s="1281"/>
      <c r="BX144" s="896">
        <f t="shared" si="9"/>
        <v>18430</v>
      </c>
      <c r="BY144" s="832">
        <v>0</v>
      </c>
      <c r="BZ144" s="896"/>
      <c r="CA144" s="896"/>
      <c r="CB144" s="923">
        <f>'0701 225,226,310,341-346'!CH85</f>
        <v>18430</v>
      </c>
      <c r="CC144" s="899">
        <f>CD144+CE144+CG144</f>
        <v>0</v>
      </c>
      <c r="CD144" s="832"/>
      <c r="CE144" s="832"/>
      <c r="CF144" s="832"/>
      <c r="CG144" s="923"/>
      <c r="CH144" s="900">
        <f t="shared" si="8"/>
        <v>0</v>
      </c>
      <c r="CI144" s="832">
        <f>CD144</f>
        <v>0</v>
      </c>
      <c r="CJ144" s="896"/>
      <c r="CK144" s="896"/>
      <c r="CL144" s="795"/>
      <c r="CM144" s="802"/>
      <c r="CN144" s="803"/>
      <c r="CO144" s="803"/>
      <c r="CP144" s="803"/>
      <c r="CQ144" s="803"/>
      <c r="CR144" s="803"/>
      <c r="CS144" s="803"/>
      <c r="CT144" s="803"/>
      <c r="CU144" s="803"/>
      <c r="CV144" s="803"/>
      <c r="CW144" s="803"/>
      <c r="CX144" s="803"/>
      <c r="CY144" s="804"/>
    </row>
    <row r="145" spans="1:103" ht="18.75" x14ac:dyDescent="0.2">
      <c r="A145" s="1327" t="s">
        <v>429</v>
      </c>
      <c r="B145" s="1328"/>
      <c r="C145" s="1328"/>
      <c r="D145" s="1328"/>
      <c r="E145" s="1328"/>
      <c r="F145" s="1328"/>
      <c r="G145" s="1328"/>
      <c r="H145" s="1328"/>
      <c r="I145" s="1328"/>
      <c r="J145" s="1328"/>
      <c r="K145" s="1328"/>
      <c r="L145" s="1328"/>
      <c r="M145" s="1328"/>
      <c r="N145" s="1328"/>
      <c r="O145" s="1328"/>
      <c r="P145" s="1328"/>
      <c r="Q145" s="1328"/>
      <c r="R145" s="1328"/>
      <c r="S145" s="1328"/>
      <c r="T145" s="1328"/>
      <c r="U145" s="1328"/>
      <c r="V145" s="1328"/>
      <c r="W145" s="1328"/>
      <c r="X145" s="1328"/>
      <c r="Y145" s="1328"/>
      <c r="Z145" s="1328"/>
      <c r="AA145" s="1328"/>
      <c r="AB145" s="1328"/>
      <c r="AC145" s="1328"/>
      <c r="AD145" s="1328"/>
      <c r="AE145" s="1328"/>
      <c r="AF145" s="1328"/>
      <c r="AG145" s="1328"/>
      <c r="AH145" s="1328"/>
      <c r="AI145" s="1328"/>
      <c r="AJ145" s="1328"/>
      <c r="AK145" s="1328"/>
      <c r="AL145" s="1328"/>
      <c r="AM145" s="1328"/>
      <c r="AN145" s="1328"/>
      <c r="AO145" s="1429"/>
      <c r="AP145" s="1009"/>
      <c r="AQ145" s="1010"/>
      <c r="AR145" s="1010"/>
      <c r="AS145" s="1010"/>
      <c r="AT145" s="1010"/>
      <c r="AU145" s="1010"/>
      <c r="AV145" s="1010"/>
      <c r="AW145" s="1011"/>
      <c r="AX145" s="1295" t="s">
        <v>403</v>
      </c>
      <c r="AY145" s="1293"/>
      <c r="AZ145" s="1293"/>
      <c r="BA145" s="1293"/>
      <c r="BB145" s="1293"/>
      <c r="BC145" s="1293"/>
      <c r="BD145" s="1293"/>
      <c r="BE145" s="1293"/>
      <c r="BF145" s="1293"/>
      <c r="BG145" s="1293"/>
      <c r="BH145" s="1293"/>
      <c r="BI145" s="1293"/>
      <c r="BJ145" s="1294"/>
      <c r="BK145" s="1282" t="s">
        <v>431</v>
      </c>
      <c r="BL145" s="1280"/>
      <c r="BM145" s="1280"/>
      <c r="BN145" s="1280"/>
      <c r="BO145" s="1280"/>
      <c r="BP145" s="1280"/>
      <c r="BQ145" s="1280"/>
      <c r="BR145" s="1280"/>
      <c r="BS145" s="1280"/>
      <c r="BT145" s="1280"/>
      <c r="BU145" s="1280"/>
      <c r="BV145" s="1280"/>
      <c r="BW145" s="1281"/>
      <c r="BX145" s="896">
        <f>BZ145</f>
        <v>0</v>
      </c>
      <c r="BY145" s="832"/>
      <c r="BZ145" s="896"/>
      <c r="CA145" s="896"/>
      <c r="CB145" s="923"/>
      <c r="CC145" s="899">
        <f>BX145</f>
        <v>0</v>
      </c>
      <c r="CD145" s="832"/>
      <c r="CE145" s="832">
        <f>BZ145</f>
        <v>0</v>
      </c>
      <c r="CF145" s="832"/>
      <c r="CG145" s="923"/>
      <c r="CH145" s="900"/>
      <c r="CI145" s="832"/>
      <c r="CJ145" s="896">
        <f>CE145</f>
        <v>0</v>
      </c>
      <c r="CK145" s="896"/>
      <c r="CL145" s="795"/>
      <c r="CM145" s="802"/>
      <c r="CN145" s="803"/>
      <c r="CO145" s="803"/>
      <c r="CP145" s="803"/>
      <c r="CQ145" s="803"/>
      <c r="CR145" s="803"/>
      <c r="CS145" s="803"/>
      <c r="CT145" s="803"/>
      <c r="CU145" s="803"/>
      <c r="CV145" s="803"/>
      <c r="CW145" s="803"/>
      <c r="CX145" s="803"/>
      <c r="CY145" s="804"/>
    </row>
    <row r="146" spans="1:103" ht="37.5" customHeight="1" x14ac:dyDescent="0.2">
      <c r="A146" s="1430" t="s">
        <v>432</v>
      </c>
      <c r="B146" s="1431"/>
      <c r="C146" s="1431"/>
      <c r="D146" s="1431"/>
      <c r="E146" s="1431"/>
      <c r="F146" s="1431"/>
      <c r="G146" s="1431"/>
      <c r="H146" s="1431"/>
      <c r="I146" s="1431"/>
      <c r="J146" s="1431"/>
      <c r="K146" s="1431"/>
      <c r="L146" s="1431"/>
      <c r="M146" s="1431"/>
      <c r="N146" s="1431"/>
      <c r="O146" s="1431"/>
      <c r="P146" s="1431"/>
      <c r="Q146" s="1431"/>
      <c r="R146" s="1431"/>
      <c r="S146" s="1431"/>
      <c r="T146" s="1431"/>
      <c r="U146" s="1431"/>
      <c r="V146" s="1431"/>
      <c r="W146" s="1431"/>
      <c r="X146" s="1431"/>
      <c r="Y146" s="1431"/>
      <c r="Z146" s="1431"/>
      <c r="AA146" s="1431"/>
      <c r="AB146" s="1431"/>
      <c r="AC146" s="1431"/>
      <c r="AD146" s="1431"/>
      <c r="AE146" s="1431"/>
      <c r="AF146" s="1431"/>
      <c r="AG146" s="1431"/>
      <c r="AH146" s="1431"/>
      <c r="AI146" s="1431"/>
      <c r="AJ146" s="1431"/>
      <c r="AK146" s="1431"/>
      <c r="AL146" s="1431"/>
      <c r="AM146" s="1431"/>
      <c r="AN146" s="1431"/>
      <c r="AO146" s="1432"/>
      <c r="AP146" s="1292"/>
      <c r="AQ146" s="1293"/>
      <c r="AR146" s="1293"/>
      <c r="AS146" s="1293"/>
      <c r="AT146" s="1293"/>
      <c r="AU146" s="1293"/>
      <c r="AV146" s="1293"/>
      <c r="AW146" s="1294"/>
      <c r="AX146" s="1295" t="s">
        <v>403</v>
      </c>
      <c r="AY146" s="1293"/>
      <c r="AZ146" s="1293"/>
      <c r="BA146" s="1293"/>
      <c r="BB146" s="1293"/>
      <c r="BC146" s="1293"/>
      <c r="BD146" s="1293"/>
      <c r="BE146" s="1293"/>
      <c r="BF146" s="1293"/>
      <c r="BG146" s="1293"/>
      <c r="BH146" s="1293"/>
      <c r="BI146" s="1293"/>
      <c r="BJ146" s="1294"/>
      <c r="BK146" s="1282" t="s">
        <v>433</v>
      </c>
      <c r="BL146" s="1280"/>
      <c r="BM146" s="1280"/>
      <c r="BN146" s="1280"/>
      <c r="BO146" s="1280"/>
      <c r="BP146" s="1280"/>
      <c r="BQ146" s="1280"/>
      <c r="BR146" s="1280"/>
      <c r="BS146" s="1280"/>
      <c r="BT146" s="1280"/>
      <c r="BU146" s="1280"/>
      <c r="BV146" s="1280"/>
      <c r="BW146" s="1281"/>
      <c r="BX146" s="896">
        <f t="shared" si="9"/>
        <v>1098128.5199999998</v>
      </c>
      <c r="BY146" s="832">
        <f>'0701 225,226,310,341-346'!CD90+'0701 225,226,310,341-346'!CC90</f>
        <v>1037734.6499999997</v>
      </c>
      <c r="BZ146" s="896"/>
      <c r="CA146" s="896"/>
      <c r="CB146" s="923">
        <f>'0701 225,226,310,341-346'!CH90</f>
        <v>60393.87</v>
      </c>
      <c r="CC146" s="899">
        <f>CD146+CE146+CG146</f>
        <v>1159860.0000000002</v>
      </c>
      <c r="CD146" s="832">
        <f>1002367.41+308840-169347.41+18000</f>
        <v>1159860.0000000002</v>
      </c>
      <c r="CE146" s="832"/>
      <c r="CF146" s="832"/>
      <c r="CG146" s="923"/>
      <c r="CH146" s="900">
        <f t="shared" si="8"/>
        <v>1159860.0000000002</v>
      </c>
      <c r="CI146" s="832">
        <f>CD146</f>
        <v>1159860.0000000002</v>
      </c>
      <c r="CJ146" s="896"/>
      <c r="CK146" s="896"/>
      <c r="CL146" s="795"/>
      <c r="CM146" s="802"/>
      <c r="CN146" s="803"/>
      <c r="CO146" s="803"/>
      <c r="CP146" s="803"/>
      <c r="CQ146" s="803"/>
      <c r="CR146" s="803"/>
      <c r="CS146" s="803"/>
      <c r="CT146" s="803"/>
      <c r="CU146" s="803"/>
      <c r="CV146" s="803"/>
      <c r="CW146" s="803"/>
      <c r="CX146" s="803"/>
      <c r="CY146" s="804"/>
    </row>
    <row r="147" spans="1:103" ht="40.5" customHeight="1" x14ac:dyDescent="0.2">
      <c r="A147" s="1430" t="s">
        <v>432</v>
      </c>
      <c r="B147" s="1431"/>
      <c r="C147" s="1431"/>
      <c r="D147" s="1431"/>
      <c r="E147" s="1431"/>
      <c r="F147" s="1431"/>
      <c r="G147" s="1431"/>
      <c r="H147" s="1431"/>
      <c r="I147" s="1431"/>
      <c r="J147" s="1431"/>
      <c r="K147" s="1431"/>
      <c r="L147" s="1431"/>
      <c r="M147" s="1431"/>
      <c r="N147" s="1431"/>
      <c r="O147" s="1431"/>
      <c r="P147" s="1431"/>
      <c r="Q147" s="1431"/>
      <c r="R147" s="1431"/>
      <c r="S147" s="1431"/>
      <c r="T147" s="1431"/>
      <c r="U147" s="1431"/>
      <c r="V147" s="1431"/>
      <c r="W147" s="1431"/>
      <c r="X147" s="1431"/>
      <c r="Y147" s="1431"/>
      <c r="Z147" s="1431"/>
      <c r="AA147" s="1431"/>
      <c r="AB147" s="1431"/>
      <c r="AC147" s="1431"/>
      <c r="AD147" s="1431"/>
      <c r="AE147" s="1431"/>
      <c r="AF147" s="1431"/>
      <c r="AG147" s="1431"/>
      <c r="AH147" s="1431"/>
      <c r="AI147" s="1431"/>
      <c r="AJ147" s="1431"/>
      <c r="AK147" s="1431"/>
      <c r="AL147" s="1431"/>
      <c r="AM147" s="1431"/>
      <c r="AN147" s="1431"/>
      <c r="AO147" s="1432"/>
      <c r="AP147" s="1292"/>
      <c r="AQ147" s="1293"/>
      <c r="AR147" s="1293"/>
      <c r="AS147" s="1293"/>
      <c r="AT147" s="1293"/>
      <c r="AU147" s="1293"/>
      <c r="AV147" s="1293"/>
      <c r="AW147" s="1294"/>
      <c r="AX147" s="1295" t="s">
        <v>403</v>
      </c>
      <c r="AY147" s="1293"/>
      <c r="AZ147" s="1293"/>
      <c r="BA147" s="1293"/>
      <c r="BB147" s="1293"/>
      <c r="BC147" s="1293"/>
      <c r="BD147" s="1293"/>
      <c r="BE147" s="1293"/>
      <c r="BF147" s="1293"/>
      <c r="BG147" s="1293"/>
      <c r="BH147" s="1293"/>
      <c r="BI147" s="1293"/>
      <c r="BJ147" s="1294"/>
      <c r="BK147" s="1282" t="s">
        <v>434</v>
      </c>
      <c r="BL147" s="1280"/>
      <c r="BM147" s="1280"/>
      <c r="BN147" s="1280"/>
      <c r="BO147" s="1280"/>
      <c r="BP147" s="1280"/>
      <c r="BQ147" s="1280"/>
      <c r="BR147" s="1280"/>
      <c r="BS147" s="1280"/>
      <c r="BT147" s="1280"/>
      <c r="BU147" s="1280"/>
      <c r="BV147" s="1280"/>
      <c r="BW147" s="1281"/>
      <c r="BX147" s="896">
        <f t="shared" si="9"/>
        <v>745197.36</v>
      </c>
      <c r="BY147" s="832">
        <f>'0702 225,226,227,310,346'!CC127+'0702 225,226,227,310,346'!CD127</f>
        <v>673289.74</v>
      </c>
      <c r="BZ147" s="896"/>
      <c r="CA147" s="896"/>
      <c r="CB147" s="923">
        <f>'0702 225,226,227,310,346'!CH127</f>
        <v>71907.62</v>
      </c>
      <c r="CC147" s="899">
        <f>SUM(CD147:CG147)</f>
        <v>203232.55</v>
      </c>
      <c r="CD147" s="832">
        <f>203232.69-0.14</f>
        <v>203232.55</v>
      </c>
      <c r="CE147" s="832"/>
      <c r="CF147" s="832"/>
      <c r="CG147" s="923"/>
      <c r="CH147" s="900">
        <f t="shared" si="8"/>
        <v>128482.54999999999</v>
      </c>
      <c r="CI147" s="832">
        <f>CD147-74750</f>
        <v>128482.54999999999</v>
      </c>
      <c r="CJ147" s="896"/>
      <c r="CK147" s="896"/>
      <c r="CL147" s="795"/>
      <c r="CM147" s="802"/>
      <c r="CN147" s="803"/>
      <c r="CO147" s="803"/>
      <c r="CP147" s="803"/>
      <c r="CQ147" s="803"/>
      <c r="CR147" s="803"/>
      <c r="CS147" s="803"/>
      <c r="CT147" s="803"/>
      <c r="CU147" s="803"/>
      <c r="CV147" s="803"/>
      <c r="CW147" s="803"/>
      <c r="CX147" s="803"/>
      <c r="CY147" s="804"/>
    </row>
    <row r="148" spans="1:103" ht="42" customHeight="1" x14ac:dyDescent="0.2">
      <c r="A148" s="1430" t="s">
        <v>432</v>
      </c>
      <c r="B148" s="1431"/>
      <c r="C148" s="1431"/>
      <c r="D148" s="1431"/>
      <c r="E148" s="1431"/>
      <c r="F148" s="1431"/>
      <c r="G148" s="1431"/>
      <c r="H148" s="1431"/>
      <c r="I148" s="1431"/>
      <c r="J148" s="1431"/>
      <c r="K148" s="1431"/>
      <c r="L148" s="1431"/>
      <c r="M148" s="1431"/>
      <c r="N148" s="1431"/>
      <c r="O148" s="1431"/>
      <c r="P148" s="1431"/>
      <c r="Q148" s="1431"/>
      <c r="R148" s="1431"/>
      <c r="S148" s="1431"/>
      <c r="T148" s="1431"/>
      <c r="U148" s="1431"/>
      <c r="V148" s="1431"/>
      <c r="W148" s="1431"/>
      <c r="X148" s="1431"/>
      <c r="Y148" s="1431"/>
      <c r="Z148" s="1431"/>
      <c r="AA148" s="1431"/>
      <c r="AB148" s="1431"/>
      <c r="AC148" s="1431"/>
      <c r="AD148" s="1431"/>
      <c r="AE148" s="1431"/>
      <c r="AF148" s="1431"/>
      <c r="AG148" s="1431"/>
      <c r="AH148" s="1431"/>
      <c r="AI148" s="1431"/>
      <c r="AJ148" s="1431"/>
      <c r="AK148" s="1431"/>
      <c r="AL148" s="1431"/>
      <c r="AM148" s="1431"/>
      <c r="AN148" s="1431"/>
      <c r="AO148" s="1432"/>
      <c r="AP148" s="1292"/>
      <c r="AQ148" s="1293"/>
      <c r="AR148" s="1293"/>
      <c r="AS148" s="1293"/>
      <c r="AT148" s="1293"/>
      <c r="AU148" s="1293"/>
      <c r="AV148" s="1293"/>
      <c r="AW148" s="1294"/>
      <c r="AX148" s="1295" t="s">
        <v>403</v>
      </c>
      <c r="AY148" s="1293"/>
      <c r="AZ148" s="1293"/>
      <c r="BA148" s="1293"/>
      <c r="BB148" s="1293"/>
      <c r="BC148" s="1293"/>
      <c r="BD148" s="1293"/>
      <c r="BE148" s="1293"/>
      <c r="BF148" s="1293"/>
      <c r="BG148" s="1293"/>
      <c r="BH148" s="1293"/>
      <c r="BI148" s="1293"/>
      <c r="BJ148" s="1294"/>
      <c r="BK148" s="1282" t="s">
        <v>435</v>
      </c>
      <c r="BL148" s="1280"/>
      <c r="BM148" s="1280"/>
      <c r="BN148" s="1280"/>
      <c r="BO148" s="1280"/>
      <c r="BP148" s="1280"/>
      <c r="BQ148" s="1280"/>
      <c r="BR148" s="1280"/>
      <c r="BS148" s="1280"/>
      <c r="BT148" s="1280"/>
      <c r="BU148" s="1280"/>
      <c r="BV148" s="1280"/>
      <c r="BW148" s="1281"/>
      <c r="BX148" s="896">
        <f t="shared" si="9"/>
        <v>3200</v>
      </c>
      <c r="BY148" s="832"/>
      <c r="BZ148" s="896">
        <f>'0707 346'!CG9</f>
        <v>3200</v>
      </c>
      <c r="CA148" s="896"/>
      <c r="CB148" s="923"/>
      <c r="CC148" s="899">
        <f>SUM(CD148:CG148)</f>
        <v>3200</v>
      </c>
      <c r="CD148" s="832">
        <f>BY148</f>
        <v>0</v>
      </c>
      <c r="CE148" s="832">
        <f>BZ148</f>
        <v>3200</v>
      </c>
      <c r="CF148" s="832"/>
      <c r="CG148" s="923">
        <f>CB148</f>
        <v>0</v>
      </c>
      <c r="CH148" s="900">
        <f t="shared" si="8"/>
        <v>3200</v>
      </c>
      <c r="CI148" s="832">
        <f>CD148</f>
        <v>0</v>
      </c>
      <c r="CJ148" s="896">
        <f>CE148</f>
        <v>3200</v>
      </c>
      <c r="CK148" s="896"/>
      <c r="CL148" s="795">
        <f>CG148</f>
        <v>0</v>
      </c>
      <c r="CM148" s="802"/>
      <c r="CN148" s="803"/>
      <c r="CO148" s="803"/>
      <c r="CP148" s="803"/>
      <c r="CQ148" s="803"/>
      <c r="CR148" s="803"/>
      <c r="CS148" s="803"/>
      <c r="CT148" s="803"/>
      <c r="CU148" s="803"/>
      <c r="CV148" s="803"/>
      <c r="CW148" s="803"/>
      <c r="CX148" s="803"/>
      <c r="CY148" s="804"/>
    </row>
    <row r="149" spans="1:103" ht="42" customHeight="1" x14ac:dyDescent="0.2">
      <c r="A149" s="1430" t="s">
        <v>432</v>
      </c>
      <c r="B149" s="1431"/>
      <c r="C149" s="1431"/>
      <c r="D149" s="1431"/>
      <c r="E149" s="1431"/>
      <c r="F149" s="1431"/>
      <c r="G149" s="1431"/>
      <c r="H149" s="1431"/>
      <c r="I149" s="1431"/>
      <c r="J149" s="1431"/>
      <c r="K149" s="1431"/>
      <c r="L149" s="1431"/>
      <c r="M149" s="1431"/>
      <c r="N149" s="1431"/>
      <c r="O149" s="1431"/>
      <c r="P149" s="1431"/>
      <c r="Q149" s="1431"/>
      <c r="R149" s="1431"/>
      <c r="S149" s="1431"/>
      <c r="T149" s="1431"/>
      <c r="U149" s="1431"/>
      <c r="V149" s="1431"/>
      <c r="W149" s="1431"/>
      <c r="X149" s="1431"/>
      <c r="Y149" s="1431"/>
      <c r="Z149" s="1431"/>
      <c r="AA149" s="1431"/>
      <c r="AB149" s="1431"/>
      <c r="AC149" s="1431"/>
      <c r="AD149" s="1431"/>
      <c r="AE149" s="1431"/>
      <c r="AF149" s="1431"/>
      <c r="AG149" s="1431"/>
      <c r="AH149" s="1431"/>
      <c r="AI149" s="1431"/>
      <c r="AJ149" s="1431"/>
      <c r="AK149" s="1431"/>
      <c r="AL149" s="1431"/>
      <c r="AM149" s="1431"/>
      <c r="AN149" s="1431"/>
      <c r="AO149" s="1432"/>
      <c r="AP149" s="1292"/>
      <c r="AQ149" s="1293"/>
      <c r="AR149" s="1293"/>
      <c r="AS149" s="1293"/>
      <c r="AT149" s="1293"/>
      <c r="AU149" s="1293"/>
      <c r="AV149" s="1293"/>
      <c r="AW149" s="1294"/>
      <c r="AX149" s="1295" t="s">
        <v>403</v>
      </c>
      <c r="AY149" s="1293"/>
      <c r="AZ149" s="1293"/>
      <c r="BA149" s="1293"/>
      <c r="BB149" s="1293"/>
      <c r="BC149" s="1293"/>
      <c r="BD149" s="1293"/>
      <c r="BE149" s="1293"/>
      <c r="BF149" s="1293"/>
      <c r="BG149" s="1293"/>
      <c r="BH149" s="1293"/>
      <c r="BI149" s="1293"/>
      <c r="BJ149" s="1294"/>
      <c r="BK149" s="1282" t="s">
        <v>720</v>
      </c>
      <c r="BL149" s="1280"/>
      <c r="BM149" s="1280"/>
      <c r="BN149" s="1280"/>
      <c r="BO149" s="1280"/>
      <c r="BP149" s="1280"/>
      <c r="BQ149" s="1280"/>
      <c r="BR149" s="1280"/>
      <c r="BS149" s="1280"/>
      <c r="BT149" s="1280"/>
      <c r="BU149" s="1280"/>
      <c r="BV149" s="1280"/>
      <c r="BW149" s="1281"/>
      <c r="BX149" s="896">
        <f t="shared" ref="BX149" si="14">SUM(BY149:CB149)</f>
        <v>22894.129999999997</v>
      </c>
      <c r="BY149" s="832">
        <f>'0709 222 225 226 227 346 (2)'!CD126+'0709 222 225 226 227 346 (2)'!CC126</f>
        <v>20820.169999999998</v>
      </c>
      <c r="BZ149" s="896"/>
      <c r="CA149" s="896"/>
      <c r="CB149" s="923">
        <f>'0709 222 225 226 227 346 (2)'!CH126</f>
        <v>2073.96</v>
      </c>
      <c r="CC149" s="899">
        <f>SUM(CD149:CG149)</f>
        <v>10080</v>
      </c>
      <c r="CD149" s="832">
        <v>8557.83</v>
      </c>
      <c r="CE149" s="832">
        <f>BZ149</f>
        <v>0</v>
      </c>
      <c r="CF149" s="832"/>
      <c r="CG149" s="923">
        <v>1522.17</v>
      </c>
      <c r="CH149" s="900">
        <f t="shared" ref="CH149" si="15">CI149+CJ149+CL149</f>
        <v>10080</v>
      </c>
      <c r="CI149" s="832">
        <f>CD149</f>
        <v>8557.83</v>
      </c>
      <c r="CJ149" s="896">
        <f>CE149</f>
        <v>0</v>
      </c>
      <c r="CK149" s="896"/>
      <c r="CL149" s="795">
        <f>CG149</f>
        <v>1522.17</v>
      </c>
      <c r="CM149" s="802"/>
      <c r="CN149" s="803"/>
      <c r="CO149" s="803"/>
      <c r="CP149" s="803"/>
      <c r="CQ149" s="803"/>
      <c r="CR149" s="803"/>
      <c r="CS149" s="803"/>
      <c r="CT149" s="803"/>
      <c r="CU149" s="803"/>
      <c r="CV149" s="803"/>
      <c r="CW149" s="803"/>
      <c r="CX149" s="803"/>
      <c r="CY149" s="804"/>
    </row>
    <row r="150" spans="1:103" ht="35.25" customHeight="1" x14ac:dyDescent="0.2">
      <c r="A150" s="1276" t="s">
        <v>436</v>
      </c>
      <c r="B150" s="1277"/>
      <c r="C150" s="1277"/>
      <c r="D150" s="1277"/>
      <c r="E150" s="1277"/>
      <c r="F150" s="1277"/>
      <c r="G150" s="1277"/>
      <c r="H150" s="1277"/>
      <c r="I150" s="1277"/>
      <c r="J150" s="1277"/>
      <c r="K150" s="1277"/>
      <c r="L150" s="1277"/>
      <c r="M150" s="1277"/>
      <c r="N150" s="1277"/>
      <c r="O150" s="1277"/>
      <c r="P150" s="1277"/>
      <c r="Q150" s="1277"/>
      <c r="R150" s="1277"/>
      <c r="S150" s="1277"/>
      <c r="T150" s="1277"/>
      <c r="U150" s="1277"/>
      <c r="V150" s="1277"/>
      <c r="W150" s="1277"/>
      <c r="X150" s="1277"/>
      <c r="Y150" s="1277"/>
      <c r="Z150" s="1277"/>
      <c r="AA150" s="1277"/>
      <c r="AB150" s="1277"/>
      <c r="AC150" s="1277"/>
      <c r="AD150" s="1277"/>
      <c r="AE150" s="1277"/>
      <c r="AF150" s="1277"/>
      <c r="AG150" s="1277"/>
      <c r="AH150" s="1277"/>
      <c r="AI150" s="1277"/>
      <c r="AJ150" s="1277"/>
      <c r="AK150" s="1277"/>
      <c r="AL150" s="1277"/>
      <c r="AM150" s="1277"/>
      <c r="AN150" s="1277"/>
      <c r="AO150" s="1278"/>
      <c r="AP150" s="1292"/>
      <c r="AQ150" s="1293"/>
      <c r="AR150" s="1293"/>
      <c r="AS150" s="1293"/>
      <c r="AT150" s="1293"/>
      <c r="AU150" s="1293"/>
      <c r="AV150" s="1293"/>
      <c r="AW150" s="1294"/>
      <c r="AX150" s="1295" t="s">
        <v>403</v>
      </c>
      <c r="AY150" s="1293"/>
      <c r="AZ150" s="1293"/>
      <c r="BA150" s="1293"/>
      <c r="BB150" s="1293"/>
      <c r="BC150" s="1293"/>
      <c r="BD150" s="1293"/>
      <c r="BE150" s="1293"/>
      <c r="BF150" s="1293"/>
      <c r="BG150" s="1293"/>
      <c r="BH150" s="1293"/>
      <c r="BI150" s="1293"/>
      <c r="BJ150" s="1294"/>
      <c r="BK150" s="1282" t="s">
        <v>437</v>
      </c>
      <c r="BL150" s="1280"/>
      <c r="BM150" s="1280"/>
      <c r="BN150" s="1280"/>
      <c r="BO150" s="1280"/>
      <c r="BP150" s="1280"/>
      <c r="BQ150" s="1280"/>
      <c r="BR150" s="1280"/>
      <c r="BS150" s="1280"/>
      <c r="BT150" s="1280"/>
      <c r="BU150" s="1280"/>
      <c r="BV150" s="1280"/>
      <c r="BW150" s="1281"/>
      <c r="BX150" s="896">
        <f t="shared" si="9"/>
        <v>4644</v>
      </c>
      <c r="BY150" s="832">
        <f>'0702 225,226,227,310,346'!CC128</f>
        <v>4644</v>
      </c>
      <c r="BZ150" s="896"/>
      <c r="CA150" s="896"/>
      <c r="CB150" s="923"/>
      <c r="CC150" s="899">
        <f>SUM(CD150:CG150)</f>
        <v>6000</v>
      </c>
      <c r="CD150" s="832">
        <v>6000</v>
      </c>
      <c r="CE150" s="832"/>
      <c r="CF150" s="832"/>
      <c r="CG150" s="923"/>
      <c r="CH150" s="900">
        <f t="shared" si="8"/>
        <v>6000</v>
      </c>
      <c r="CI150" s="832">
        <v>6000</v>
      </c>
      <c r="CJ150" s="896"/>
      <c r="CK150" s="896"/>
      <c r="CL150" s="795"/>
      <c r="CM150" s="802"/>
      <c r="CN150" s="803"/>
      <c r="CO150" s="803"/>
      <c r="CP150" s="803"/>
      <c r="CQ150" s="803"/>
      <c r="CR150" s="803"/>
      <c r="CS150" s="803"/>
      <c r="CT150" s="803"/>
      <c r="CU150" s="803"/>
      <c r="CV150" s="803"/>
      <c r="CW150" s="803"/>
      <c r="CX150" s="803"/>
      <c r="CY150" s="804"/>
    </row>
    <row r="151" spans="1:103" ht="59.25" hidden="1" customHeight="1" x14ac:dyDescent="0.2">
      <c r="A151" s="1276" t="s">
        <v>438</v>
      </c>
      <c r="B151" s="1290"/>
      <c r="C151" s="1290"/>
      <c r="D151" s="1290"/>
      <c r="E151" s="1290"/>
      <c r="F151" s="1290"/>
      <c r="G151" s="1290"/>
      <c r="H151" s="1290"/>
      <c r="I151" s="1290"/>
      <c r="J151" s="1290"/>
      <c r="K151" s="1290"/>
      <c r="L151" s="1290"/>
      <c r="M151" s="1290"/>
      <c r="N151" s="1290"/>
      <c r="O151" s="1290"/>
      <c r="P151" s="1290"/>
      <c r="Q151" s="1290"/>
      <c r="R151" s="1290"/>
      <c r="S151" s="1290"/>
      <c r="T151" s="1290"/>
      <c r="U151" s="1290"/>
      <c r="V151" s="1290"/>
      <c r="W151" s="1290"/>
      <c r="X151" s="1290"/>
      <c r="Y151" s="1290"/>
      <c r="Z151" s="1290"/>
      <c r="AA151" s="1290"/>
      <c r="AB151" s="1290"/>
      <c r="AC151" s="1290"/>
      <c r="AD151" s="1290"/>
      <c r="AE151" s="1290"/>
      <c r="AF151" s="1290"/>
      <c r="AG151" s="1290"/>
      <c r="AH151" s="1290"/>
      <c r="AI151" s="1290"/>
      <c r="AJ151" s="1290"/>
      <c r="AK151" s="1290"/>
      <c r="AL151" s="1290"/>
      <c r="AM151" s="1290"/>
      <c r="AN151" s="1290"/>
      <c r="AO151" s="1290"/>
      <c r="AP151" s="1279" t="s">
        <v>439</v>
      </c>
      <c r="AQ151" s="1280"/>
      <c r="AR151" s="1280"/>
      <c r="AS151" s="1280"/>
      <c r="AT151" s="1280"/>
      <c r="AU151" s="1280"/>
      <c r="AV151" s="1280"/>
      <c r="AW151" s="1281"/>
      <c r="AX151" s="1282" t="s">
        <v>440</v>
      </c>
      <c r="AY151" s="1280"/>
      <c r="AZ151" s="1280"/>
      <c r="BA151" s="1280"/>
      <c r="BB151" s="1280"/>
      <c r="BC151" s="1280"/>
      <c r="BD151" s="1280"/>
      <c r="BE151" s="1280"/>
      <c r="BF151" s="1280"/>
      <c r="BG151" s="1280"/>
      <c r="BH151" s="1280"/>
      <c r="BI151" s="1280"/>
      <c r="BJ151" s="1281"/>
      <c r="BK151" s="1282"/>
      <c r="BL151" s="1280"/>
      <c r="BM151" s="1280"/>
      <c r="BN151" s="1280"/>
      <c r="BO151" s="1280"/>
      <c r="BP151" s="1280"/>
      <c r="BQ151" s="1280"/>
      <c r="BR151" s="1280"/>
      <c r="BS151" s="1280"/>
      <c r="BT151" s="1280"/>
      <c r="BU151" s="1280"/>
      <c r="BV151" s="1280"/>
      <c r="BW151" s="1281"/>
      <c r="BX151" s="896">
        <f>BY151+BZ151+CA151+CB151</f>
        <v>0</v>
      </c>
      <c r="BY151" s="896"/>
      <c r="BZ151" s="896"/>
      <c r="CA151" s="896"/>
      <c r="CB151" s="833"/>
      <c r="CC151" s="897"/>
      <c r="CD151" s="896"/>
      <c r="CE151" s="896"/>
      <c r="CF151" s="896"/>
      <c r="CG151" s="833"/>
      <c r="CH151" s="898"/>
      <c r="CI151" s="896"/>
      <c r="CJ151" s="896"/>
      <c r="CK151" s="896"/>
      <c r="CL151" s="795"/>
      <c r="CM151" s="1244"/>
      <c r="CN151" s="1245"/>
      <c r="CO151" s="1245"/>
      <c r="CP151" s="1245"/>
      <c r="CQ151" s="1245"/>
      <c r="CR151" s="1245"/>
      <c r="CS151" s="1245"/>
      <c r="CT151" s="1245"/>
      <c r="CU151" s="1245"/>
      <c r="CV151" s="1245"/>
      <c r="CW151" s="1245"/>
      <c r="CX151" s="1245"/>
      <c r="CY151" s="1246"/>
    </row>
    <row r="152" spans="1:103" ht="39.75" hidden="1" customHeight="1" x14ac:dyDescent="0.2">
      <c r="A152" s="1276" t="s">
        <v>441</v>
      </c>
      <c r="B152" s="1290"/>
      <c r="C152" s="1290"/>
      <c r="D152" s="1290"/>
      <c r="E152" s="1290"/>
      <c r="F152" s="1290"/>
      <c r="G152" s="1290"/>
      <c r="H152" s="1290"/>
      <c r="I152" s="1290"/>
      <c r="J152" s="1290"/>
      <c r="K152" s="1290"/>
      <c r="L152" s="1290"/>
      <c r="M152" s="1290"/>
      <c r="N152" s="1290"/>
      <c r="O152" s="1290"/>
      <c r="P152" s="1290"/>
      <c r="Q152" s="1290"/>
      <c r="R152" s="1290"/>
      <c r="S152" s="1290"/>
      <c r="T152" s="1290"/>
      <c r="U152" s="1290"/>
      <c r="V152" s="1290"/>
      <c r="W152" s="1290"/>
      <c r="X152" s="1290"/>
      <c r="Y152" s="1290"/>
      <c r="Z152" s="1290"/>
      <c r="AA152" s="1290"/>
      <c r="AB152" s="1290"/>
      <c r="AC152" s="1290"/>
      <c r="AD152" s="1290"/>
      <c r="AE152" s="1290"/>
      <c r="AF152" s="1290"/>
      <c r="AG152" s="1290"/>
      <c r="AH152" s="1290"/>
      <c r="AI152" s="1290"/>
      <c r="AJ152" s="1290"/>
      <c r="AK152" s="1290"/>
      <c r="AL152" s="1290"/>
      <c r="AM152" s="1290"/>
      <c r="AN152" s="1290"/>
      <c r="AO152" s="1290"/>
      <c r="AP152" s="1279" t="s">
        <v>439</v>
      </c>
      <c r="AQ152" s="1280"/>
      <c r="AR152" s="1280"/>
      <c r="AS152" s="1280"/>
      <c r="AT152" s="1280"/>
      <c r="AU152" s="1280"/>
      <c r="AV152" s="1280"/>
      <c r="AW152" s="1281"/>
      <c r="AX152" s="1282" t="s">
        <v>442</v>
      </c>
      <c r="AY152" s="1280"/>
      <c r="AZ152" s="1280"/>
      <c r="BA152" s="1280"/>
      <c r="BB152" s="1280"/>
      <c r="BC152" s="1280"/>
      <c r="BD152" s="1280"/>
      <c r="BE152" s="1280"/>
      <c r="BF152" s="1280"/>
      <c r="BG152" s="1280"/>
      <c r="BH152" s="1280"/>
      <c r="BI152" s="1280"/>
      <c r="BJ152" s="1281"/>
      <c r="BK152" s="1012"/>
      <c r="BL152" s="1013"/>
      <c r="BM152" s="1013"/>
      <c r="BN152" s="1013"/>
      <c r="BO152" s="1013"/>
      <c r="BP152" s="1013"/>
      <c r="BQ152" s="1013"/>
      <c r="BR152" s="1013"/>
      <c r="BS152" s="1013"/>
      <c r="BT152" s="1013"/>
      <c r="BU152" s="1013"/>
      <c r="BV152" s="1013"/>
      <c r="BW152" s="1014"/>
      <c r="BX152" s="896"/>
      <c r="BY152" s="896"/>
      <c r="BZ152" s="896"/>
      <c r="CA152" s="896"/>
      <c r="CB152" s="833"/>
      <c r="CC152" s="897"/>
      <c r="CD152" s="896"/>
      <c r="CE152" s="896"/>
      <c r="CF152" s="896"/>
      <c r="CG152" s="833"/>
      <c r="CH152" s="898"/>
      <c r="CI152" s="896"/>
      <c r="CJ152" s="896"/>
      <c r="CK152" s="896"/>
      <c r="CL152" s="795"/>
      <c r="CM152" s="792"/>
      <c r="CN152" s="793"/>
      <c r="CO152" s="793"/>
      <c r="CP152" s="793"/>
      <c r="CQ152" s="793"/>
      <c r="CR152" s="793"/>
      <c r="CS152" s="793"/>
      <c r="CT152" s="793"/>
      <c r="CU152" s="793"/>
      <c r="CV152" s="793"/>
      <c r="CW152" s="793"/>
      <c r="CX152" s="793"/>
      <c r="CY152" s="794"/>
    </row>
    <row r="153" spans="1:103" ht="42" hidden="1" customHeight="1" x14ac:dyDescent="0.2">
      <c r="A153" s="1276" t="s">
        <v>443</v>
      </c>
      <c r="B153" s="1290"/>
      <c r="C153" s="1290"/>
      <c r="D153" s="1290"/>
      <c r="E153" s="1290"/>
      <c r="F153" s="1290"/>
      <c r="G153" s="1290"/>
      <c r="H153" s="1290"/>
      <c r="I153" s="1290"/>
      <c r="J153" s="1290"/>
      <c r="K153" s="1290"/>
      <c r="L153" s="1290"/>
      <c r="M153" s="1290"/>
      <c r="N153" s="1290"/>
      <c r="O153" s="1290"/>
      <c r="P153" s="1290"/>
      <c r="Q153" s="1290"/>
      <c r="R153" s="1290"/>
      <c r="S153" s="1290"/>
      <c r="T153" s="1290"/>
      <c r="U153" s="1290"/>
      <c r="V153" s="1290"/>
      <c r="W153" s="1290"/>
      <c r="X153" s="1290"/>
      <c r="Y153" s="1290"/>
      <c r="Z153" s="1290"/>
      <c r="AA153" s="1290"/>
      <c r="AB153" s="1290"/>
      <c r="AC153" s="1290"/>
      <c r="AD153" s="1290"/>
      <c r="AE153" s="1290"/>
      <c r="AF153" s="1290"/>
      <c r="AG153" s="1290"/>
      <c r="AH153" s="1290"/>
      <c r="AI153" s="1290"/>
      <c r="AJ153" s="1290"/>
      <c r="AK153" s="1290"/>
      <c r="AL153" s="1290"/>
      <c r="AM153" s="1290"/>
      <c r="AN153" s="1290"/>
      <c r="AO153" s="1290"/>
      <c r="AP153" s="1279" t="s">
        <v>444</v>
      </c>
      <c r="AQ153" s="1280"/>
      <c r="AR153" s="1280"/>
      <c r="AS153" s="1280"/>
      <c r="AT153" s="1280"/>
      <c r="AU153" s="1280"/>
      <c r="AV153" s="1280"/>
      <c r="AW153" s="1281"/>
      <c r="AX153" s="1282" t="s">
        <v>445</v>
      </c>
      <c r="AY153" s="1280"/>
      <c r="AZ153" s="1280"/>
      <c r="BA153" s="1280"/>
      <c r="BB153" s="1280"/>
      <c r="BC153" s="1280"/>
      <c r="BD153" s="1280"/>
      <c r="BE153" s="1280"/>
      <c r="BF153" s="1280"/>
      <c r="BG153" s="1280"/>
      <c r="BH153" s="1280"/>
      <c r="BI153" s="1280"/>
      <c r="BJ153" s="1281"/>
      <c r="BK153" s="1282"/>
      <c r="BL153" s="1280"/>
      <c r="BM153" s="1280"/>
      <c r="BN153" s="1280"/>
      <c r="BO153" s="1280"/>
      <c r="BP153" s="1280"/>
      <c r="BQ153" s="1280"/>
      <c r="BR153" s="1280"/>
      <c r="BS153" s="1280"/>
      <c r="BT153" s="1280"/>
      <c r="BU153" s="1280"/>
      <c r="BV153" s="1280"/>
      <c r="BW153" s="1281"/>
      <c r="BX153" s="896"/>
      <c r="BY153" s="896"/>
      <c r="BZ153" s="896"/>
      <c r="CA153" s="896"/>
      <c r="CB153" s="833"/>
      <c r="CC153" s="897"/>
      <c r="CD153" s="896"/>
      <c r="CE153" s="896"/>
      <c r="CF153" s="896"/>
      <c r="CG153" s="833"/>
      <c r="CH153" s="898"/>
      <c r="CI153" s="896"/>
      <c r="CJ153" s="896"/>
      <c r="CK153" s="896"/>
      <c r="CL153" s="795"/>
      <c r="CM153" s="1244"/>
      <c r="CN153" s="1245"/>
      <c r="CO153" s="1245"/>
      <c r="CP153" s="1245"/>
      <c r="CQ153" s="1245"/>
      <c r="CR153" s="1245"/>
      <c r="CS153" s="1245"/>
      <c r="CT153" s="1245"/>
      <c r="CU153" s="1245"/>
      <c r="CV153" s="1245"/>
      <c r="CW153" s="1245"/>
      <c r="CX153" s="1245"/>
      <c r="CY153" s="1246"/>
    </row>
    <row r="154" spans="1:103" ht="27.75" hidden="1" customHeight="1" x14ac:dyDescent="0.2">
      <c r="A154" s="1276" t="s">
        <v>446</v>
      </c>
      <c r="B154" s="1290"/>
      <c r="C154" s="1290"/>
      <c r="D154" s="1290"/>
      <c r="E154" s="1290"/>
      <c r="F154" s="1290"/>
      <c r="G154" s="1290"/>
      <c r="H154" s="1290"/>
      <c r="I154" s="1290"/>
      <c r="J154" s="1290"/>
      <c r="K154" s="1290"/>
      <c r="L154" s="1290"/>
      <c r="M154" s="1290"/>
      <c r="N154" s="1290"/>
      <c r="O154" s="1290"/>
      <c r="P154" s="1290"/>
      <c r="Q154" s="1290"/>
      <c r="R154" s="1290"/>
      <c r="S154" s="1290"/>
      <c r="T154" s="1290"/>
      <c r="U154" s="1290"/>
      <c r="V154" s="1290"/>
      <c r="W154" s="1290"/>
      <c r="X154" s="1290"/>
      <c r="Y154" s="1290"/>
      <c r="Z154" s="1290"/>
      <c r="AA154" s="1290"/>
      <c r="AB154" s="1290"/>
      <c r="AC154" s="1290"/>
      <c r="AD154" s="1290"/>
      <c r="AE154" s="1290"/>
      <c r="AF154" s="1290"/>
      <c r="AG154" s="1290"/>
      <c r="AH154" s="1290"/>
      <c r="AI154" s="1290"/>
      <c r="AJ154" s="1290"/>
      <c r="AK154" s="1290"/>
      <c r="AL154" s="1290"/>
      <c r="AM154" s="1290"/>
      <c r="AN154" s="1290"/>
      <c r="AO154" s="1290"/>
      <c r="AP154" s="1279" t="s">
        <v>447</v>
      </c>
      <c r="AQ154" s="1280"/>
      <c r="AR154" s="1280"/>
      <c r="AS154" s="1280"/>
      <c r="AT154" s="1280"/>
      <c r="AU154" s="1280"/>
      <c r="AV154" s="1280"/>
      <c r="AW154" s="1281"/>
      <c r="AX154" s="1282" t="s">
        <v>448</v>
      </c>
      <c r="AY154" s="1280"/>
      <c r="AZ154" s="1280"/>
      <c r="BA154" s="1280"/>
      <c r="BB154" s="1280"/>
      <c r="BC154" s="1280"/>
      <c r="BD154" s="1280"/>
      <c r="BE154" s="1280"/>
      <c r="BF154" s="1280"/>
      <c r="BG154" s="1280"/>
      <c r="BH154" s="1280"/>
      <c r="BI154" s="1280"/>
      <c r="BJ154" s="1281"/>
      <c r="BK154" s="1282"/>
      <c r="BL154" s="1280"/>
      <c r="BM154" s="1280"/>
      <c r="BN154" s="1280"/>
      <c r="BO154" s="1280"/>
      <c r="BP154" s="1280"/>
      <c r="BQ154" s="1280"/>
      <c r="BR154" s="1280"/>
      <c r="BS154" s="1280"/>
      <c r="BT154" s="1280"/>
      <c r="BU154" s="1280"/>
      <c r="BV154" s="1280"/>
      <c r="BW154" s="1281"/>
      <c r="BX154" s="896"/>
      <c r="BY154" s="896"/>
      <c r="BZ154" s="896"/>
      <c r="CA154" s="896"/>
      <c r="CB154" s="833"/>
      <c r="CC154" s="897"/>
      <c r="CD154" s="896"/>
      <c r="CE154" s="896"/>
      <c r="CF154" s="896"/>
      <c r="CG154" s="833"/>
      <c r="CH154" s="898"/>
      <c r="CI154" s="896"/>
      <c r="CJ154" s="896"/>
      <c r="CK154" s="896"/>
      <c r="CL154" s="795"/>
      <c r="CM154" s="1244"/>
      <c r="CN154" s="1245"/>
      <c r="CO154" s="1245"/>
      <c r="CP154" s="1245"/>
      <c r="CQ154" s="1245"/>
      <c r="CR154" s="1245"/>
      <c r="CS154" s="1245"/>
      <c r="CT154" s="1245"/>
      <c r="CU154" s="1245"/>
      <c r="CV154" s="1245"/>
      <c r="CW154" s="1245"/>
      <c r="CX154" s="1245"/>
      <c r="CY154" s="1246"/>
    </row>
    <row r="155" spans="1:103" ht="57.75" customHeight="1" x14ac:dyDescent="0.2">
      <c r="A155" s="1276" t="s">
        <v>1129</v>
      </c>
      <c r="B155" s="1290"/>
      <c r="C155" s="1290"/>
      <c r="D155" s="1290"/>
      <c r="E155" s="1290"/>
      <c r="F155" s="1290"/>
      <c r="G155" s="1290"/>
      <c r="H155" s="1290"/>
      <c r="I155" s="1290"/>
      <c r="J155" s="1290"/>
      <c r="K155" s="1290"/>
      <c r="L155" s="1290"/>
      <c r="M155" s="1290"/>
      <c r="N155" s="1290"/>
      <c r="O155" s="1290"/>
      <c r="P155" s="1290"/>
      <c r="Q155" s="1290"/>
      <c r="R155" s="1290"/>
      <c r="S155" s="1290"/>
      <c r="T155" s="1290"/>
      <c r="U155" s="1290"/>
      <c r="V155" s="1290"/>
      <c r="W155" s="1290"/>
      <c r="X155" s="1290"/>
      <c r="Y155" s="1290"/>
      <c r="Z155" s="1290"/>
      <c r="AA155" s="1290"/>
      <c r="AB155" s="1290"/>
      <c r="AC155" s="1290"/>
      <c r="AD155" s="1290"/>
      <c r="AE155" s="1290"/>
      <c r="AF155" s="1290"/>
      <c r="AG155" s="1290"/>
      <c r="AH155" s="1290"/>
      <c r="AI155" s="1290"/>
      <c r="AJ155" s="1290"/>
      <c r="AK155" s="1290"/>
      <c r="AL155" s="1290"/>
      <c r="AM155" s="1290"/>
      <c r="AN155" s="1290"/>
      <c r="AO155" s="1290"/>
      <c r="AP155" s="1279" t="s">
        <v>439</v>
      </c>
      <c r="AQ155" s="1280"/>
      <c r="AR155" s="1280"/>
      <c r="AS155" s="1280"/>
      <c r="AT155" s="1280"/>
      <c r="AU155" s="1280"/>
      <c r="AV155" s="1280"/>
      <c r="AW155" s="1281"/>
      <c r="AX155" s="1282" t="s">
        <v>442</v>
      </c>
      <c r="AY155" s="1280"/>
      <c r="AZ155" s="1280"/>
      <c r="BA155" s="1280"/>
      <c r="BB155" s="1280"/>
      <c r="BC155" s="1280"/>
      <c r="BD155" s="1280"/>
      <c r="BE155" s="1280"/>
      <c r="BF155" s="1280"/>
      <c r="BG155" s="1280"/>
      <c r="BH155" s="1280"/>
      <c r="BI155" s="1280"/>
      <c r="BJ155" s="1281"/>
      <c r="BK155" s="1282"/>
      <c r="BL155" s="1280"/>
      <c r="BM155" s="1280"/>
      <c r="BN155" s="1280"/>
      <c r="BO155" s="1280"/>
      <c r="BP155" s="1280"/>
      <c r="BQ155" s="1280"/>
      <c r="BR155" s="1280"/>
      <c r="BS155" s="1280"/>
      <c r="BT155" s="1280"/>
      <c r="BU155" s="1280"/>
      <c r="BV155" s="1280"/>
      <c r="BW155" s="1281"/>
      <c r="BX155" s="896"/>
      <c r="BY155" s="896"/>
      <c r="BZ155" s="896"/>
      <c r="CA155" s="896"/>
      <c r="CB155" s="833"/>
      <c r="CC155" s="897"/>
      <c r="CD155" s="896"/>
      <c r="CE155" s="896"/>
      <c r="CF155" s="896"/>
      <c r="CG155" s="833"/>
      <c r="CH155" s="898"/>
      <c r="CI155" s="896"/>
      <c r="CJ155" s="896"/>
      <c r="CK155" s="896"/>
      <c r="CL155" s="795"/>
      <c r="CM155" s="1244"/>
      <c r="CN155" s="1245"/>
      <c r="CO155" s="1245"/>
      <c r="CP155" s="1245"/>
      <c r="CQ155" s="1245"/>
      <c r="CR155" s="1245"/>
      <c r="CS155" s="1245"/>
      <c r="CT155" s="1245"/>
      <c r="CU155" s="1245"/>
      <c r="CV155" s="1245"/>
      <c r="CW155" s="1245"/>
      <c r="CX155" s="1245"/>
      <c r="CY155" s="1246"/>
    </row>
    <row r="156" spans="1:103" ht="27" customHeight="1" x14ac:dyDescent="0.2">
      <c r="A156" s="1433" t="s">
        <v>449</v>
      </c>
      <c r="B156" s="1434"/>
      <c r="C156" s="1434"/>
      <c r="D156" s="1434"/>
      <c r="E156" s="1434"/>
      <c r="F156" s="1434"/>
      <c r="G156" s="1434"/>
      <c r="H156" s="1434"/>
      <c r="I156" s="1434"/>
      <c r="J156" s="1434"/>
      <c r="K156" s="1434"/>
      <c r="L156" s="1434"/>
      <c r="M156" s="1434"/>
      <c r="N156" s="1434"/>
      <c r="O156" s="1434"/>
      <c r="P156" s="1434"/>
      <c r="Q156" s="1434"/>
      <c r="R156" s="1434"/>
      <c r="S156" s="1434"/>
      <c r="T156" s="1434"/>
      <c r="U156" s="1434"/>
      <c r="V156" s="1434"/>
      <c r="W156" s="1434"/>
      <c r="X156" s="1434"/>
      <c r="Y156" s="1434"/>
      <c r="Z156" s="1434"/>
      <c r="AA156" s="1434"/>
      <c r="AB156" s="1434"/>
      <c r="AC156" s="1434"/>
      <c r="AD156" s="1434"/>
      <c r="AE156" s="1434"/>
      <c r="AF156" s="1434"/>
      <c r="AG156" s="1434"/>
      <c r="AH156" s="1434"/>
      <c r="AI156" s="1434"/>
      <c r="AJ156" s="1434"/>
      <c r="AK156" s="1434"/>
      <c r="AL156" s="1434"/>
      <c r="AM156" s="1434"/>
      <c r="AN156" s="1434"/>
      <c r="AO156" s="1434"/>
      <c r="AP156" s="1279" t="s">
        <v>1130</v>
      </c>
      <c r="AQ156" s="1280"/>
      <c r="AR156" s="1280"/>
      <c r="AS156" s="1280"/>
      <c r="AT156" s="1280"/>
      <c r="AU156" s="1280"/>
      <c r="AV156" s="1280"/>
      <c r="AW156" s="1281"/>
      <c r="AX156" s="1282" t="s">
        <v>450</v>
      </c>
      <c r="AY156" s="1280"/>
      <c r="AZ156" s="1280"/>
      <c r="BA156" s="1280"/>
      <c r="BB156" s="1280"/>
      <c r="BC156" s="1280"/>
      <c r="BD156" s="1280"/>
      <c r="BE156" s="1280"/>
      <c r="BF156" s="1280"/>
      <c r="BG156" s="1280"/>
      <c r="BH156" s="1280"/>
      <c r="BI156" s="1280"/>
      <c r="BJ156" s="1281"/>
      <c r="BK156" s="1295"/>
      <c r="BL156" s="1293"/>
      <c r="BM156" s="1293"/>
      <c r="BN156" s="1293"/>
      <c r="BO156" s="1293"/>
      <c r="BP156" s="1293"/>
      <c r="BQ156" s="1293"/>
      <c r="BR156" s="1293"/>
      <c r="BS156" s="1293"/>
      <c r="BT156" s="1293"/>
      <c r="BU156" s="1293"/>
      <c r="BV156" s="1293"/>
      <c r="BW156" s="1294"/>
      <c r="BX156" s="911">
        <f>SUM(BX157:BX158)</f>
        <v>4936375.5</v>
      </c>
      <c r="BY156" s="911">
        <f>SUM(BY157:BY158)</f>
        <v>3776196.9099999997</v>
      </c>
      <c r="BZ156" s="911"/>
      <c r="CA156" s="911"/>
      <c r="CB156" s="909">
        <f>CB158</f>
        <v>1160178.5899999999</v>
      </c>
      <c r="CC156" s="921">
        <f t="shared" ref="CC156:CL156" si="16">SUM(CC157:CC158)</f>
        <v>3741878.85</v>
      </c>
      <c r="CD156" s="911">
        <f>SUM(CD157:CD158)</f>
        <v>3741878.85</v>
      </c>
      <c r="CE156" s="911"/>
      <c r="CF156" s="911"/>
      <c r="CG156" s="909">
        <f t="shared" si="16"/>
        <v>0</v>
      </c>
      <c r="CH156" s="922">
        <f>BY156</f>
        <v>3776196.9099999997</v>
      </c>
      <c r="CI156" s="911">
        <f t="shared" si="16"/>
        <v>3741878.85</v>
      </c>
      <c r="CJ156" s="911"/>
      <c r="CK156" s="911"/>
      <c r="CL156" s="788">
        <f t="shared" si="16"/>
        <v>0</v>
      </c>
      <c r="CM156" s="1244"/>
      <c r="CN156" s="1245"/>
      <c r="CO156" s="1245"/>
      <c r="CP156" s="1245"/>
      <c r="CQ156" s="1245"/>
      <c r="CR156" s="1245"/>
      <c r="CS156" s="1245"/>
      <c r="CT156" s="1245"/>
      <c r="CU156" s="1245"/>
      <c r="CV156" s="1245"/>
      <c r="CW156" s="1245"/>
      <c r="CX156" s="1245"/>
      <c r="CY156" s="1246"/>
    </row>
    <row r="157" spans="1:103" ht="27" customHeight="1" x14ac:dyDescent="0.2">
      <c r="A157" s="1276" t="s">
        <v>407</v>
      </c>
      <c r="B157" s="1290"/>
      <c r="C157" s="1290"/>
      <c r="D157" s="1290"/>
      <c r="E157" s="1290"/>
      <c r="F157" s="1290"/>
      <c r="G157" s="1290"/>
      <c r="H157" s="1290"/>
      <c r="I157" s="1290"/>
      <c r="J157" s="1290"/>
      <c r="K157" s="1290"/>
      <c r="L157" s="1290"/>
      <c r="M157" s="1290"/>
      <c r="N157" s="1290"/>
      <c r="O157" s="1290"/>
      <c r="P157" s="1290"/>
      <c r="Q157" s="1290"/>
      <c r="R157" s="1290"/>
      <c r="S157" s="1290"/>
      <c r="T157" s="1290"/>
      <c r="U157" s="1290"/>
      <c r="V157" s="1290"/>
      <c r="W157" s="1290"/>
      <c r="X157" s="1290"/>
      <c r="Y157" s="1290"/>
      <c r="Z157" s="1290"/>
      <c r="AA157" s="1290"/>
      <c r="AB157" s="1290"/>
      <c r="AC157" s="1290"/>
      <c r="AD157" s="1290"/>
      <c r="AE157" s="1290"/>
      <c r="AF157" s="1290"/>
      <c r="AG157" s="1290"/>
      <c r="AH157" s="1290"/>
      <c r="AI157" s="1290"/>
      <c r="AJ157" s="1290"/>
      <c r="AK157" s="1290"/>
      <c r="AL157" s="1290"/>
      <c r="AM157" s="1290"/>
      <c r="AN157" s="1290"/>
      <c r="AO157" s="1290"/>
      <c r="AP157" s="1279"/>
      <c r="AQ157" s="1280"/>
      <c r="AR157" s="1280"/>
      <c r="AS157" s="1280"/>
      <c r="AT157" s="1280"/>
      <c r="AU157" s="1280"/>
      <c r="AV157" s="1280"/>
      <c r="AW157" s="1281"/>
      <c r="AX157" s="1282" t="s">
        <v>450</v>
      </c>
      <c r="AY157" s="1280"/>
      <c r="AZ157" s="1280"/>
      <c r="BA157" s="1280"/>
      <c r="BB157" s="1280"/>
      <c r="BC157" s="1280"/>
      <c r="BD157" s="1280"/>
      <c r="BE157" s="1280"/>
      <c r="BF157" s="1280"/>
      <c r="BG157" s="1280"/>
      <c r="BH157" s="1280"/>
      <c r="BI157" s="1280"/>
      <c r="BJ157" s="1281"/>
      <c r="BK157" s="1295" t="s">
        <v>408</v>
      </c>
      <c r="BL157" s="1293"/>
      <c r="BM157" s="1293"/>
      <c r="BN157" s="1293"/>
      <c r="BO157" s="1293"/>
      <c r="BP157" s="1293"/>
      <c r="BQ157" s="1293"/>
      <c r="BR157" s="1293"/>
      <c r="BS157" s="1293"/>
      <c r="BT157" s="1293"/>
      <c r="BU157" s="1293"/>
      <c r="BV157" s="1293"/>
      <c r="BW157" s="1294"/>
      <c r="BX157" s="896">
        <f>BY157</f>
        <v>1663161.0099999998</v>
      </c>
      <c r="BY157" s="896">
        <f>'0701 221,223'!CD60</f>
        <v>1663161.0099999998</v>
      </c>
      <c r="BZ157" s="896"/>
      <c r="CA157" s="896"/>
      <c r="CB157" s="833"/>
      <c r="CC157" s="897">
        <f>CD157+CE157+CG157</f>
        <v>1539653.1</v>
      </c>
      <c r="CD157" s="896">
        <v>1539653.1</v>
      </c>
      <c r="CE157" s="896"/>
      <c r="CF157" s="896"/>
      <c r="CG157" s="833"/>
      <c r="CH157" s="898">
        <f>CI157+CJ157+CL157</f>
        <v>1539653.1</v>
      </c>
      <c r="CI157" s="896">
        <f>CD157</f>
        <v>1539653.1</v>
      </c>
      <c r="CJ157" s="896"/>
      <c r="CK157" s="896"/>
      <c r="CL157" s="795"/>
      <c r="CM157" s="1244"/>
      <c r="CN157" s="1245"/>
      <c r="CO157" s="1245"/>
      <c r="CP157" s="1245"/>
      <c r="CQ157" s="1245"/>
      <c r="CR157" s="1245"/>
      <c r="CS157" s="1245"/>
      <c r="CT157" s="1245"/>
      <c r="CU157" s="1245"/>
      <c r="CV157" s="1245"/>
      <c r="CW157" s="1245"/>
      <c r="CX157" s="1245"/>
      <c r="CY157" s="1246"/>
    </row>
    <row r="158" spans="1:103" ht="27" customHeight="1" x14ac:dyDescent="0.2">
      <c r="A158" s="1276" t="s">
        <v>407</v>
      </c>
      <c r="B158" s="1290"/>
      <c r="C158" s="1290"/>
      <c r="D158" s="1290"/>
      <c r="E158" s="1290"/>
      <c r="F158" s="1290"/>
      <c r="G158" s="1290"/>
      <c r="H158" s="1290"/>
      <c r="I158" s="1290"/>
      <c r="J158" s="1290"/>
      <c r="K158" s="1290"/>
      <c r="L158" s="1290"/>
      <c r="M158" s="1290"/>
      <c r="N158" s="1290"/>
      <c r="O158" s="1290"/>
      <c r="P158" s="1290"/>
      <c r="Q158" s="1290"/>
      <c r="R158" s="1290"/>
      <c r="S158" s="1290"/>
      <c r="T158" s="1290"/>
      <c r="U158" s="1290"/>
      <c r="V158" s="1290"/>
      <c r="W158" s="1290"/>
      <c r="X158" s="1290"/>
      <c r="Y158" s="1290"/>
      <c r="Z158" s="1290"/>
      <c r="AA158" s="1290"/>
      <c r="AB158" s="1290"/>
      <c r="AC158" s="1290"/>
      <c r="AD158" s="1290"/>
      <c r="AE158" s="1290"/>
      <c r="AF158" s="1290"/>
      <c r="AG158" s="1290"/>
      <c r="AH158" s="1290"/>
      <c r="AI158" s="1290"/>
      <c r="AJ158" s="1290"/>
      <c r="AK158" s="1290"/>
      <c r="AL158" s="1290"/>
      <c r="AM158" s="1290"/>
      <c r="AN158" s="1290"/>
      <c r="AO158" s="1290"/>
      <c r="AP158" s="1279"/>
      <c r="AQ158" s="1280"/>
      <c r="AR158" s="1280"/>
      <c r="AS158" s="1280"/>
      <c r="AT158" s="1280"/>
      <c r="AU158" s="1280"/>
      <c r="AV158" s="1280"/>
      <c r="AW158" s="1281"/>
      <c r="AX158" s="1282" t="s">
        <v>450</v>
      </c>
      <c r="AY158" s="1280"/>
      <c r="AZ158" s="1280"/>
      <c r="BA158" s="1280"/>
      <c r="BB158" s="1280"/>
      <c r="BC158" s="1280"/>
      <c r="BD158" s="1280"/>
      <c r="BE158" s="1280"/>
      <c r="BF158" s="1280"/>
      <c r="BG158" s="1280"/>
      <c r="BH158" s="1280"/>
      <c r="BI158" s="1280"/>
      <c r="BJ158" s="1281"/>
      <c r="BK158" s="1295" t="s">
        <v>409</v>
      </c>
      <c r="BL158" s="1293"/>
      <c r="BM158" s="1293"/>
      <c r="BN158" s="1293"/>
      <c r="BO158" s="1293"/>
      <c r="BP158" s="1293"/>
      <c r="BQ158" s="1293"/>
      <c r="BR158" s="1293"/>
      <c r="BS158" s="1293"/>
      <c r="BT158" s="1293"/>
      <c r="BU158" s="1293"/>
      <c r="BV158" s="1293"/>
      <c r="BW158" s="1294"/>
      <c r="BX158" s="896">
        <f>BY158+CB158</f>
        <v>3273214.4899999998</v>
      </c>
      <c r="BY158" s="896">
        <f>'0702 221, 223'!CD66</f>
        <v>2113035.9</v>
      </c>
      <c r="BZ158" s="896"/>
      <c r="CA158" s="896"/>
      <c r="CB158" s="833">
        <f>'0702 221, 223'!CH66</f>
        <v>1160178.5899999999</v>
      </c>
      <c r="CC158" s="897">
        <f>CD158+CG158</f>
        <v>2202225.75</v>
      </c>
      <c r="CD158" s="896">
        <v>2202225.75</v>
      </c>
      <c r="CE158" s="896"/>
      <c r="CF158" s="896"/>
      <c r="CG158" s="833"/>
      <c r="CH158" s="898">
        <f>SUM(CI158:CL158)</f>
        <v>2202225.75</v>
      </c>
      <c r="CI158" s="896">
        <f>CD158</f>
        <v>2202225.75</v>
      </c>
      <c r="CJ158" s="896"/>
      <c r="CK158" s="896"/>
      <c r="CL158" s="795">
        <f>CG158</f>
        <v>0</v>
      </c>
      <c r="CM158" s="1244"/>
      <c r="CN158" s="1245"/>
      <c r="CO158" s="1245"/>
      <c r="CP158" s="1245"/>
      <c r="CQ158" s="1245"/>
      <c r="CR158" s="1245"/>
      <c r="CS158" s="1245"/>
      <c r="CT158" s="1245"/>
      <c r="CU158" s="1245"/>
      <c r="CV158" s="1245"/>
      <c r="CW158" s="1245"/>
      <c r="CX158" s="1245"/>
      <c r="CY158" s="1246"/>
    </row>
    <row r="159" spans="1:103" ht="36" customHeight="1" x14ac:dyDescent="0.2">
      <c r="A159" s="1276" t="s">
        <v>438</v>
      </c>
      <c r="B159" s="1290"/>
      <c r="C159" s="1290"/>
      <c r="D159" s="1290"/>
      <c r="E159" s="1290"/>
      <c r="F159" s="1290"/>
      <c r="G159" s="1290"/>
      <c r="H159" s="1290"/>
      <c r="I159" s="1290"/>
      <c r="J159" s="1290"/>
      <c r="K159" s="1290"/>
      <c r="L159" s="1290"/>
      <c r="M159" s="1290"/>
      <c r="N159" s="1290"/>
      <c r="O159" s="1290"/>
      <c r="P159" s="1290"/>
      <c r="Q159" s="1290"/>
      <c r="R159" s="1290"/>
      <c r="S159" s="1290"/>
      <c r="T159" s="1290"/>
      <c r="U159" s="1290"/>
      <c r="V159" s="1290"/>
      <c r="W159" s="1290"/>
      <c r="X159" s="1290"/>
      <c r="Y159" s="1290"/>
      <c r="Z159" s="1290"/>
      <c r="AA159" s="1290"/>
      <c r="AB159" s="1290"/>
      <c r="AC159" s="1290"/>
      <c r="AD159" s="1290"/>
      <c r="AE159" s="1290"/>
      <c r="AF159" s="1290"/>
      <c r="AG159" s="1290"/>
      <c r="AH159" s="1290"/>
      <c r="AI159" s="1290"/>
      <c r="AJ159" s="1290"/>
      <c r="AK159" s="1290"/>
      <c r="AL159" s="1290"/>
      <c r="AM159" s="1290"/>
      <c r="AN159" s="1290"/>
      <c r="AO159" s="1290"/>
      <c r="AP159" s="1279" t="s">
        <v>1131</v>
      </c>
      <c r="AQ159" s="1280"/>
      <c r="AR159" s="1280"/>
      <c r="AS159" s="1280"/>
      <c r="AT159" s="1280"/>
      <c r="AU159" s="1280"/>
      <c r="AV159" s="1280"/>
      <c r="AW159" s="1281"/>
      <c r="AX159" s="1282" t="s">
        <v>440</v>
      </c>
      <c r="AY159" s="1280"/>
      <c r="AZ159" s="1280"/>
      <c r="BA159" s="1280"/>
      <c r="BB159" s="1280"/>
      <c r="BC159" s="1280"/>
      <c r="BD159" s="1280"/>
      <c r="BE159" s="1280"/>
      <c r="BF159" s="1280"/>
      <c r="BG159" s="1280"/>
      <c r="BH159" s="1280"/>
      <c r="BI159" s="1280"/>
      <c r="BJ159" s="1281"/>
      <c r="BK159" s="1282"/>
      <c r="BL159" s="1280"/>
      <c r="BM159" s="1280"/>
      <c r="BN159" s="1280"/>
      <c r="BO159" s="1280"/>
      <c r="BP159" s="1280"/>
      <c r="BQ159" s="1280"/>
      <c r="BR159" s="1280"/>
      <c r="BS159" s="1280"/>
      <c r="BT159" s="1280"/>
      <c r="BU159" s="1280"/>
      <c r="BV159" s="1280"/>
      <c r="BW159" s="1281"/>
      <c r="BX159" s="896"/>
      <c r="BY159" s="896"/>
      <c r="BZ159" s="896"/>
      <c r="CA159" s="896"/>
      <c r="CB159" s="833"/>
      <c r="CC159" s="897"/>
      <c r="CD159" s="896"/>
      <c r="CE159" s="896"/>
      <c r="CF159" s="896"/>
      <c r="CG159" s="833"/>
      <c r="CH159" s="898"/>
      <c r="CI159" s="896"/>
      <c r="CJ159" s="896"/>
      <c r="CK159" s="896"/>
      <c r="CL159" s="795"/>
      <c r="CM159" s="1244"/>
      <c r="CN159" s="1245"/>
      <c r="CO159" s="1245"/>
      <c r="CP159" s="1245"/>
      <c r="CQ159" s="1245"/>
      <c r="CR159" s="1245"/>
      <c r="CS159" s="1245"/>
      <c r="CT159" s="1245"/>
      <c r="CU159" s="1245"/>
      <c r="CV159" s="1245"/>
      <c r="CW159" s="1245"/>
      <c r="CX159" s="1245"/>
      <c r="CY159" s="1246"/>
    </row>
    <row r="160" spans="1:103" ht="60" customHeight="1" x14ac:dyDescent="0.2">
      <c r="A160" s="1276" t="s">
        <v>998</v>
      </c>
      <c r="B160" s="1290"/>
      <c r="C160" s="1290"/>
      <c r="D160" s="1290"/>
      <c r="E160" s="1290"/>
      <c r="F160" s="1290"/>
      <c r="G160" s="1290"/>
      <c r="H160" s="1290"/>
      <c r="I160" s="1290"/>
      <c r="J160" s="1290"/>
      <c r="K160" s="1290"/>
      <c r="L160" s="1290"/>
      <c r="M160" s="1290"/>
      <c r="N160" s="1290"/>
      <c r="O160" s="1290"/>
      <c r="P160" s="1290"/>
      <c r="Q160" s="1290"/>
      <c r="R160" s="1290"/>
      <c r="S160" s="1290"/>
      <c r="T160" s="1290"/>
      <c r="U160" s="1290"/>
      <c r="V160" s="1290"/>
      <c r="W160" s="1290"/>
      <c r="X160" s="1290"/>
      <c r="Y160" s="1290"/>
      <c r="Z160" s="1290"/>
      <c r="AA160" s="1290"/>
      <c r="AB160" s="1290"/>
      <c r="AC160" s="1290"/>
      <c r="AD160" s="1290"/>
      <c r="AE160" s="1290"/>
      <c r="AF160" s="1290"/>
      <c r="AG160" s="1290"/>
      <c r="AH160" s="1290"/>
      <c r="AI160" s="1290"/>
      <c r="AJ160" s="1290"/>
      <c r="AK160" s="1290"/>
      <c r="AL160" s="1290"/>
      <c r="AM160" s="1290"/>
      <c r="AN160" s="1290"/>
      <c r="AO160" s="1290"/>
      <c r="AP160" s="1279" t="s">
        <v>1132</v>
      </c>
      <c r="AQ160" s="1280"/>
      <c r="AR160" s="1280"/>
      <c r="AS160" s="1280"/>
      <c r="AT160" s="1280"/>
      <c r="AU160" s="1280"/>
      <c r="AV160" s="1280"/>
      <c r="AW160" s="1281"/>
      <c r="AX160" s="1282" t="s">
        <v>445</v>
      </c>
      <c r="AY160" s="1280"/>
      <c r="AZ160" s="1280"/>
      <c r="BA160" s="1280"/>
      <c r="BB160" s="1280"/>
      <c r="BC160" s="1280"/>
      <c r="BD160" s="1280"/>
      <c r="BE160" s="1280"/>
      <c r="BF160" s="1280"/>
      <c r="BG160" s="1280"/>
      <c r="BH160" s="1280"/>
      <c r="BI160" s="1280"/>
      <c r="BJ160" s="1281"/>
      <c r="BK160" s="1282"/>
      <c r="BL160" s="1280"/>
      <c r="BM160" s="1280"/>
      <c r="BN160" s="1280"/>
      <c r="BO160" s="1280"/>
      <c r="BP160" s="1280"/>
      <c r="BQ160" s="1280"/>
      <c r="BR160" s="1280"/>
      <c r="BS160" s="1280"/>
      <c r="BT160" s="1280"/>
      <c r="BU160" s="1280"/>
      <c r="BV160" s="1280"/>
      <c r="BW160" s="1281"/>
      <c r="BX160" s="896"/>
      <c r="BY160" s="896"/>
      <c r="BZ160" s="896"/>
      <c r="CA160" s="896"/>
      <c r="CB160" s="833"/>
      <c r="CC160" s="897"/>
      <c r="CD160" s="896"/>
      <c r="CE160" s="896"/>
      <c r="CF160" s="896"/>
      <c r="CG160" s="833"/>
      <c r="CH160" s="898"/>
      <c r="CI160" s="896"/>
      <c r="CJ160" s="896"/>
      <c r="CK160" s="896"/>
      <c r="CL160" s="795"/>
      <c r="CM160" s="1244"/>
      <c r="CN160" s="1245"/>
      <c r="CO160" s="1245"/>
      <c r="CP160" s="1245"/>
      <c r="CQ160" s="1245"/>
      <c r="CR160" s="1245"/>
      <c r="CS160" s="1245"/>
      <c r="CT160" s="1245"/>
      <c r="CU160" s="1245"/>
      <c r="CV160" s="1245"/>
      <c r="CW160" s="1245"/>
      <c r="CX160" s="1245"/>
      <c r="CY160" s="1246"/>
    </row>
    <row r="161" spans="1:103" ht="44.25" customHeight="1" x14ac:dyDescent="0.2">
      <c r="A161" s="1276" t="s">
        <v>1133</v>
      </c>
      <c r="B161" s="1290"/>
      <c r="C161" s="1290"/>
      <c r="D161" s="1290"/>
      <c r="E161" s="1290"/>
      <c r="F161" s="1290"/>
      <c r="G161" s="1290"/>
      <c r="H161" s="1290"/>
      <c r="I161" s="1290"/>
      <c r="J161" s="1290"/>
      <c r="K161" s="1290"/>
      <c r="L161" s="1290"/>
      <c r="M161" s="1290"/>
      <c r="N161" s="1290"/>
      <c r="O161" s="1290"/>
      <c r="P161" s="1290"/>
      <c r="Q161" s="1290"/>
      <c r="R161" s="1290"/>
      <c r="S161" s="1290"/>
      <c r="T161" s="1290"/>
      <c r="U161" s="1290"/>
      <c r="V161" s="1290"/>
      <c r="W161" s="1290"/>
      <c r="X161" s="1290"/>
      <c r="Y161" s="1290"/>
      <c r="Z161" s="1290"/>
      <c r="AA161" s="1290"/>
      <c r="AB161" s="1290"/>
      <c r="AC161" s="1290"/>
      <c r="AD161" s="1290"/>
      <c r="AE161" s="1290"/>
      <c r="AF161" s="1290"/>
      <c r="AG161" s="1290"/>
      <c r="AH161" s="1290"/>
      <c r="AI161" s="1290"/>
      <c r="AJ161" s="1290"/>
      <c r="AK161" s="1290"/>
      <c r="AL161" s="1290"/>
      <c r="AM161" s="1290"/>
      <c r="AN161" s="1290"/>
      <c r="AO161" s="1290"/>
      <c r="AP161" s="1279" t="s">
        <v>1134</v>
      </c>
      <c r="AQ161" s="1280"/>
      <c r="AR161" s="1280"/>
      <c r="AS161" s="1280"/>
      <c r="AT161" s="1280"/>
      <c r="AU161" s="1280"/>
      <c r="AV161" s="1280"/>
      <c r="AW161" s="1281"/>
      <c r="AX161" s="1282" t="s">
        <v>448</v>
      </c>
      <c r="AY161" s="1280"/>
      <c r="AZ161" s="1280"/>
      <c r="BA161" s="1280"/>
      <c r="BB161" s="1280"/>
      <c r="BC161" s="1280"/>
      <c r="BD161" s="1280"/>
      <c r="BE161" s="1280"/>
      <c r="BF161" s="1280"/>
      <c r="BG161" s="1280"/>
      <c r="BH161" s="1280"/>
      <c r="BI161" s="1280"/>
      <c r="BJ161" s="1281"/>
      <c r="BK161" s="1282"/>
      <c r="BL161" s="1280"/>
      <c r="BM161" s="1280"/>
      <c r="BN161" s="1280"/>
      <c r="BO161" s="1280"/>
      <c r="BP161" s="1280"/>
      <c r="BQ161" s="1280"/>
      <c r="BR161" s="1280"/>
      <c r="BS161" s="1280"/>
      <c r="BT161" s="1280"/>
      <c r="BU161" s="1280"/>
      <c r="BV161" s="1280"/>
      <c r="BW161" s="1281"/>
      <c r="BX161" s="896"/>
      <c r="BY161" s="896"/>
      <c r="BZ161" s="896"/>
      <c r="CA161" s="896"/>
      <c r="CB161" s="833"/>
      <c r="CC161" s="897"/>
      <c r="CD161" s="896"/>
      <c r="CE161" s="896"/>
      <c r="CF161" s="896"/>
      <c r="CG161" s="833"/>
      <c r="CH161" s="898"/>
      <c r="CI161" s="896"/>
      <c r="CJ161" s="896"/>
      <c r="CK161" s="896"/>
      <c r="CL161" s="795"/>
      <c r="CM161" s="1244"/>
      <c r="CN161" s="1245"/>
      <c r="CO161" s="1245"/>
      <c r="CP161" s="1245"/>
      <c r="CQ161" s="1245"/>
      <c r="CR161" s="1245"/>
      <c r="CS161" s="1245"/>
      <c r="CT161" s="1245"/>
      <c r="CU161" s="1245"/>
      <c r="CV161" s="1245"/>
      <c r="CW161" s="1245"/>
      <c r="CX161" s="1245"/>
      <c r="CY161" s="1246"/>
    </row>
    <row r="162" spans="1:103" ht="33.75" customHeight="1" x14ac:dyDescent="0.2">
      <c r="A162" s="1276" t="s">
        <v>1136</v>
      </c>
      <c r="B162" s="1290"/>
      <c r="C162" s="1290"/>
      <c r="D162" s="1290"/>
      <c r="E162" s="1290"/>
      <c r="F162" s="1290"/>
      <c r="G162" s="1290"/>
      <c r="H162" s="1290"/>
      <c r="I162" s="1290"/>
      <c r="J162" s="1290"/>
      <c r="K162" s="1290"/>
      <c r="L162" s="1290"/>
      <c r="M162" s="1290"/>
      <c r="N162" s="1290"/>
      <c r="O162" s="1290"/>
      <c r="P162" s="1290"/>
      <c r="Q162" s="1290"/>
      <c r="R162" s="1290"/>
      <c r="S162" s="1290"/>
      <c r="T162" s="1290"/>
      <c r="U162" s="1290"/>
      <c r="V162" s="1290"/>
      <c r="W162" s="1290"/>
      <c r="X162" s="1290"/>
      <c r="Y162" s="1290"/>
      <c r="Z162" s="1290"/>
      <c r="AA162" s="1290"/>
      <c r="AB162" s="1290"/>
      <c r="AC162" s="1290"/>
      <c r="AD162" s="1290"/>
      <c r="AE162" s="1290"/>
      <c r="AF162" s="1290"/>
      <c r="AG162" s="1290"/>
      <c r="AH162" s="1290"/>
      <c r="AI162" s="1290"/>
      <c r="AJ162" s="1290"/>
      <c r="AK162" s="1290"/>
      <c r="AL162" s="1290"/>
      <c r="AM162" s="1290"/>
      <c r="AN162" s="1290"/>
      <c r="AO162" s="1290"/>
      <c r="AP162" s="1279" t="s">
        <v>1137</v>
      </c>
      <c r="AQ162" s="1280"/>
      <c r="AR162" s="1280"/>
      <c r="AS162" s="1280"/>
      <c r="AT162" s="1280"/>
      <c r="AU162" s="1280"/>
      <c r="AV162" s="1280"/>
      <c r="AW162" s="1281"/>
      <c r="AX162" s="1282" t="s">
        <v>1138</v>
      </c>
      <c r="AY162" s="1280"/>
      <c r="AZ162" s="1280"/>
      <c r="BA162" s="1280"/>
      <c r="BB162" s="1280"/>
      <c r="BC162" s="1280"/>
      <c r="BD162" s="1280"/>
      <c r="BE162" s="1280"/>
      <c r="BF162" s="1280"/>
      <c r="BG162" s="1280"/>
      <c r="BH162" s="1280"/>
      <c r="BI162" s="1280"/>
      <c r="BJ162" s="1281"/>
      <c r="BK162" s="1282"/>
      <c r="BL162" s="1280"/>
      <c r="BM162" s="1280"/>
      <c r="BN162" s="1280"/>
      <c r="BO162" s="1280"/>
      <c r="BP162" s="1280"/>
      <c r="BQ162" s="1280"/>
      <c r="BR162" s="1280"/>
      <c r="BS162" s="1280"/>
      <c r="BT162" s="1280"/>
      <c r="BU162" s="1280"/>
      <c r="BV162" s="1280"/>
      <c r="BW162" s="1281"/>
      <c r="BX162" s="896"/>
      <c r="BY162" s="896"/>
      <c r="BZ162" s="896"/>
      <c r="CA162" s="896"/>
      <c r="CB162" s="833"/>
      <c r="CC162" s="897"/>
      <c r="CD162" s="896"/>
      <c r="CE162" s="896"/>
      <c r="CF162" s="896"/>
      <c r="CG162" s="833"/>
      <c r="CH162" s="898"/>
      <c r="CI162" s="896"/>
      <c r="CJ162" s="896"/>
      <c r="CK162" s="896"/>
      <c r="CL162" s="795"/>
      <c r="CM162" s="1244"/>
      <c r="CN162" s="1245"/>
      <c r="CO162" s="1245"/>
      <c r="CP162" s="1245"/>
      <c r="CQ162" s="1245"/>
      <c r="CR162" s="1245"/>
      <c r="CS162" s="1245"/>
      <c r="CT162" s="1245"/>
      <c r="CU162" s="1245"/>
      <c r="CV162" s="1245"/>
      <c r="CW162" s="1245"/>
      <c r="CX162" s="1245"/>
      <c r="CY162" s="1246"/>
    </row>
    <row r="163" spans="1:103" ht="21.75" x14ac:dyDescent="0.2">
      <c r="A163" s="1435" t="s">
        <v>451</v>
      </c>
      <c r="B163" s="1434"/>
      <c r="C163" s="1434"/>
      <c r="D163" s="1434"/>
      <c r="E163" s="1434"/>
      <c r="F163" s="1434"/>
      <c r="G163" s="1434"/>
      <c r="H163" s="1434"/>
      <c r="I163" s="1434"/>
      <c r="J163" s="1434"/>
      <c r="K163" s="1434"/>
      <c r="L163" s="1434"/>
      <c r="M163" s="1434"/>
      <c r="N163" s="1434"/>
      <c r="O163" s="1434"/>
      <c r="P163" s="1434"/>
      <c r="Q163" s="1434"/>
      <c r="R163" s="1434"/>
      <c r="S163" s="1434"/>
      <c r="T163" s="1434"/>
      <c r="U163" s="1434"/>
      <c r="V163" s="1434"/>
      <c r="W163" s="1434"/>
      <c r="X163" s="1434"/>
      <c r="Y163" s="1434"/>
      <c r="Z163" s="1434"/>
      <c r="AA163" s="1434"/>
      <c r="AB163" s="1434"/>
      <c r="AC163" s="1434"/>
      <c r="AD163" s="1434"/>
      <c r="AE163" s="1434"/>
      <c r="AF163" s="1434"/>
      <c r="AG163" s="1434"/>
      <c r="AH163" s="1434"/>
      <c r="AI163" s="1434"/>
      <c r="AJ163" s="1434"/>
      <c r="AK163" s="1434"/>
      <c r="AL163" s="1434"/>
      <c r="AM163" s="1434"/>
      <c r="AN163" s="1434"/>
      <c r="AO163" s="1434"/>
      <c r="AP163" s="1436" t="s">
        <v>452</v>
      </c>
      <c r="AQ163" s="1437"/>
      <c r="AR163" s="1437"/>
      <c r="AS163" s="1437"/>
      <c r="AT163" s="1437"/>
      <c r="AU163" s="1437"/>
      <c r="AV163" s="1437"/>
      <c r="AW163" s="1438"/>
      <c r="AX163" s="1439" t="s">
        <v>453</v>
      </c>
      <c r="AY163" s="1437"/>
      <c r="AZ163" s="1437"/>
      <c r="BA163" s="1437"/>
      <c r="BB163" s="1437"/>
      <c r="BC163" s="1437"/>
      <c r="BD163" s="1437"/>
      <c r="BE163" s="1437"/>
      <c r="BF163" s="1437"/>
      <c r="BG163" s="1437"/>
      <c r="BH163" s="1437"/>
      <c r="BI163" s="1437"/>
      <c r="BJ163" s="1438"/>
      <c r="BK163" s="1282"/>
      <c r="BL163" s="1280"/>
      <c r="BM163" s="1280"/>
      <c r="BN163" s="1280"/>
      <c r="BO163" s="1280"/>
      <c r="BP163" s="1280"/>
      <c r="BQ163" s="1280"/>
      <c r="BR163" s="1280"/>
      <c r="BS163" s="1280"/>
      <c r="BT163" s="1280"/>
      <c r="BU163" s="1280"/>
      <c r="BV163" s="1280"/>
      <c r="BW163" s="1281"/>
      <c r="BX163" s="924">
        <f>CB163</f>
        <v>-12500</v>
      </c>
      <c r="BY163" s="924"/>
      <c r="BZ163" s="924"/>
      <c r="CA163" s="924"/>
      <c r="CB163" s="925">
        <f>CB166</f>
        <v>-12500</v>
      </c>
      <c r="CC163" s="921">
        <f>CC166</f>
        <v>-12500</v>
      </c>
      <c r="CD163" s="896"/>
      <c r="CE163" s="896"/>
      <c r="CF163" s="896"/>
      <c r="CG163" s="833">
        <v>-12500</v>
      </c>
      <c r="CH163" s="922">
        <f>CL163</f>
        <v>-12500</v>
      </c>
      <c r="CI163" s="896"/>
      <c r="CJ163" s="896"/>
      <c r="CK163" s="896"/>
      <c r="CL163" s="795">
        <f>CL166</f>
        <v>-12500</v>
      </c>
      <c r="CM163" s="1244" t="s">
        <v>3</v>
      </c>
      <c r="CN163" s="1245"/>
      <c r="CO163" s="1245"/>
      <c r="CP163" s="1245"/>
      <c r="CQ163" s="1245"/>
      <c r="CR163" s="1245"/>
      <c r="CS163" s="1245"/>
      <c r="CT163" s="1245"/>
      <c r="CU163" s="1245"/>
      <c r="CV163" s="1245"/>
      <c r="CW163" s="1245"/>
      <c r="CX163" s="1245"/>
      <c r="CY163" s="1246"/>
    </row>
    <row r="164" spans="1:103" ht="41.25" customHeight="1" x14ac:dyDescent="0.2">
      <c r="A164" s="1276" t="s">
        <v>454</v>
      </c>
      <c r="B164" s="1290"/>
      <c r="C164" s="1290"/>
      <c r="D164" s="1290"/>
      <c r="E164" s="1290"/>
      <c r="F164" s="1290"/>
      <c r="G164" s="1290"/>
      <c r="H164" s="1290"/>
      <c r="I164" s="1290"/>
      <c r="J164" s="1290"/>
      <c r="K164" s="1290"/>
      <c r="L164" s="1290"/>
      <c r="M164" s="1290"/>
      <c r="N164" s="1290"/>
      <c r="O164" s="1290"/>
      <c r="P164" s="1290"/>
      <c r="Q164" s="1290"/>
      <c r="R164" s="1290"/>
      <c r="S164" s="1290"/>
      <c r="T164" s="1290"/>
      <c r="U164" s="1290"/>
      <c r="V164" s="1290"/>
      <c r="W164" s="1290"/>
      <c r="X164" s="1290"/>
      <c r="Y164" s="1290"/>
      <c r="Z164" s="1290"/>
      <c r="AA164" s="1290"/>
      <c r="AB164" s="1290"/>
      <c r="AC164" s="1290"/>
      <c r="AD164" s="1290"/>
      <c r="AE164" s="1290"/>
      <c r="AF164" s="1290"/>
      <c r="AG164" s="1290"/>
      <c r="AH164" s="1290"/>
      <c r="AI164" s="1290"/>
      <c r="AJ164" s="1290"/>
      <c r="AK164" s="1290"/>
      <c r="AL164" s="1290"/>
      <c r="AM164" s="1290"/>
      <c r="AN164" s="1290"/>
      <c r="AO164" s="1290"/>
      <c r="AP164" s="1279" t="s">
        <v>455</v>
      </c>
      <c r="AQ164" s="1280"/>
      <c r="AR164" s="1280"/>
      <c r="AS164" s="1280"/>
      <c r="AT164" s="1280"/>
      <c r="AU164" s="1280"/>
      <c r="AV164" s="1280"/>
      <c r="AW164" s="1281"/>
      <c r="AX164" s="1282"/>
      <c r="AY164" s="1280"/>
      <c r="AZ164" s="1280"/>
      <c r="BA164" s="1280"/>
      <c r="BB164" s="1280"/>
      <c r="BC164" s="1280"/>
      <c r="BD164" s="1280"/>
      <c r="BE164" s="1280"/>
      <c r="BF164" s="1280"/>
      <c r="BG164" s="1280"/>
      <c r="BH164" s="1280"/>
      <c r="BI164" s="1280"/>
      <c r="BJ164" s="1281"/>
      <c r="BK164" s="1282"/>
      <c r="BL164" s="1280"/>
      <c r="BM164" s="1280"/>
      <c r="BN164" s="1280"/>
      <c r="BO164" s="1280"/>
      <c r="BP164" s="1280"/>
      <c r="BQ164" s="1280"/>
      <c r="BR164" s="1280"/>
      <c r="BS164" s="1280"/>
      <c r="BT164" s="1280"/>
      <c r="BU164" s="1280"/>
      <c r="BV164" s="1280"/>
      <c r="BW164" s="1281"/>
      <c r="BX164" s="927"/>
      <c r="BY164" s="926"/>
      <c r="BZ164" s="924"/>
      <c r="CA164" s="927"/>
      <c r="CB164" s="925"/>
      <c r="CC164" s="928"/>
      <c r="CD164" s="896"/>
      <c r="CE164" s="896"/>
      <c r="CF164" s="896"/>
      <c r="CG164" s="903"/>
      <c r="CH164" s="908"/>
      <c r="CI164" s="904"/>
      <c r="CJ164" s="904"/>
      <c r="CK164" s="904"/>
      <c r="CL164" s="797"/>
      <c r="CM164" s="1244" t="s">
        <v>3</v>
      </c>
      <c r="CN164" s="1245"/>
      <c r="CO164" s="1245"/>
      <c r="CP164" s="1245"/>
      <c r="CQ164" s="1245"/>
      <c r="CR164" s="1245"/>
      <c r="CS164" s="1245"/>
      <c r="CT164" s="1245"/>
      <c r="CU164" s="1245"/>
      <c r="CV164" s="1245"/>
      <c r="CW164" s="1245"/>
      <c r="CX164" s="1245"/>
      <c r="CY164" s="1246"/>
    </row>
    <row r="165" spans="1:103" ht="18.75" x14ac:dyDescent="0.2">
      <c r="A165" s="1276" t="s">
        <v>456</v>
      </c>
      <c r="B165" s="1290"/>
      <c r="C165" s="1290"/>
      <c r="D165" s="1290"/>
      <c r="E165" s="1290"/>
      <c r="F165" s="1290"/>
      <c r="G165" s="1290"/>
      <c r="H165" s="1290"/>
      <c r="I165" s="1290"/>
      <c r="J165" s="1290"/>
      <c r="K165" s="1290"/>
      <c r="L165" s="1290"/>
      <c r="M165" s="1290"/>
      <c r="N165" s="1290"/>
      <c r="O165" s="1290"/>
      <c r="P165" s="1290"/>
      <c r="Q165" s="1290"/>
      <c r="R165" s="1290"/>
      <c r="S165" s="1290"/>
      <c r="T165" s="1290"/>
      <c r="U165" s="1290"/>
      <c r="V165" s="1290"/>
      <c r="W165" s="1290"/>
      <c r="X165" s="1290"/>
      <c r="Y165" s="1290"/>
      <c r="Z165" s="1290"/>
      <c r="AA165" s="1290"/>
      <c r="AB165" s="1290"/>
      <c r="AC165" s="1290"/>
      <c r="AD165" s="1290"/>
      <c r="AE165" s="1290"/>
      <c r="AF165" s="1290"/>
      <c r="AG165" s="1290"/>
      <c r="AH165" s="1290"/>
      <c r="AI165" s="1290"/>
      <c r="AJ165" s="1290"/>
      <c r="AK165" s="1290"/>
      <c r="AL165" s="1290"/>
      <c r="AM165" s="1290"/>
      <c r="AN165" s="1290"/>
      <c r="AO165" s="1290"/>
      <c r="AP165" s="1279" t="s">
        <v>457</v>
      </c>
      <c r="AQ165" s="1280"/>
      <c r="AR165" s="1280"/>
      <c r="AS165" s="1280"/>
      <c r="AT165" s="1280"/>
      <c r="AU165" s="1280"/>
      <c r="AV165" s="1280"/>
      <c r="AW165" s="1281"/>
      <c r="AX165" s="1282"/>
      <c r="AY165" s="1280"/>
      <c r="AZ165" s="1280"/>
      <c r="BA165" s="1280"/>
      <c r="BB165" s="1280"/>
      <c r="BC165" s="1280"/>
      <c r="BD165" s="1280"/>
      <c r="BE165" s="1280"/>
      <c r="BF165" s="1280"/>
      <c r="BG165" s="1280"/>
      <c r="BH165" s="1280"/>
      <c r="BI165" s="1280"/>
      <c r="BJ165" s="1281"/>
      <c r="BK165" s="1282"/>
      <c r="BL165" s="1280"/>
      <c r="BM165" s="1280"/>
      <c r="BN165" s="1280"/>
      <c r="BO165" s="1280"/>
      <c r="BP165" s="1280"/>
      <c r="BQ165" s="1280"/>
      <c r="BR165" s="1280"/>
      <c r="BS165" s="1280"/>
      <c r="BT165" s="1280"/>
      <c r="BU165" s="1280"/>
      <c r="BV165" s="1280"/>
      <c r="BW165" s="1281"/>
      <c r="BX165" s="931"/>
      <c r="BY165" s="929"/>
      <c r="BZ165" s="930"/>
      <c r="CA165" s="931"/>
      <c r="CB165" s="925"/>
      <c r="CC165" s="928"/>
      <c r="CD165" s="896"/>
      <c r="CE165" s="896"/>
      <c r="CF165" s="896"/>
      <c r="CG165" s="903"/>
      <c r="CH165" s="908"/>
      <c r="CI165" s="904"/>
      <c r="CJ165" s="904"/>
      <c r="CK165" s="904"/>
      <c r="CL165" s="797"/>
      <c r="CM165" s="1244" t="s">
        <v>3</v>
      </c>
      <c r="CN165" s="1245"/>
      <c r="CO165" s="1245"/>
      <c r="CP165" s="1245"/>
      <c r="CQ165" s="1245"/>
      <c r="CR165" s="1245"/>
      <c r="CS165" s="1245"/>
      <c r="CT165" s="1245"/>
      <c r="CU165" s="1245"/>
      <c r="CV165" s="1245"/>
      <c r="CW165" s="1245"/>
      <c r="CX165" s="1245"/>
      <c r="CY165" s="1246"/>
    </row>
    <row r="166" spans="1:103" ht="18.75" x14ac:dyDescent="0.2">
      <c r="A166" s="1276" t="s">
        <v>458</v>
      </c>
      <c r="B166" s="1290"/>
      <c r="C166" s="1290"/>
      <c r="D166" s="1290"/>
      <c r="E166" s="1290"/>
      <c r="F166" s="1290"/>
      <c r="G166" s="1290"/>
      <c r="H166" s="1290"/>
      <c r="I166" s="1290"/>
      <c r="J166" s="1290"/>
      <c r="K166" s="1290"/>
      <c r="L166" s="1290"/>
      <c r="M166" s="1290"/>
      <c r="N166" s="1290"/>
      <c r="O166" s="1290"/>
      <c r="P166" s="1290"/>
      <c r="Q166" s="1290"/>
      <c r="R166" s="1290"/>
      <c r="S166" s="1290"/>
      <c r="T166" s="1290"/>
      <c r="U166" s="1290"/>
      <c r="V166" s="1290"/>
      <c r="W166" s="1290"/>
      <c r="X166" s="1290"/>
      <c r="Y166" s="1290"/>
      <c r="Z166" s="1290"/>
      <c r="AA166" s="1290"/>
      <c r="AB166" s="1290"/>
      <c r="AC166" s="1290"/>
      <c r="AD166" s="1290"/>
      <c r="AE166" s="1290"/>
      <c r="AF166" s="1290"/>
      <c r="AG166" s="1290"/>
      <c r="AH166" s="1290"/>
      <c r="AI166" s="1290"/>
      <c r="AJ166" s="1290"/>
      <c r="AK166" s="1290"/>
      <c r="AL166" s="1290"/>
      <c r="AM166" s="1290"/>
      <c r="AN166" s="1290"/>
      <c r="AO166" s="1290"/>
      <c r="AP166" s="1279" t="s">
        <v>459</v>
      </c>
      <c r="AQ166" s="1280"/>
      <c r="AR166" s="1280"/>
      <c r="AS166" s="1280"/>
      <c r="AT166" s="1280"/>
      <c r="AU166" s="1280"/>
      <c r="AV166" s="1280"/>
      <c r="AW166" s="1281"/>
      <c r="AX166" s="1282"/>
      <c r="AY166" s="1280"/>
      <c r="AZ166" s="1280"/>
      <c r="BA166" s="1280"/>
      <c r="BB166" s="1280"/>
      <c r="BC166" s="1280"/>
      <c r="BD166" s="1280"/>
      <c r="BE166" s="1280"/>
      <c r="BF166" s="1280"/>
      <c r="BG166" s="1280"/>
      <c r="BH166" s="1280"/>
      <c r="BI166" s="1280"/>
      <c r="BJ166" s="1281"/>
      <c r="BK166" s="1282" t="s">
        <v>460</v>
      </c>
      <c r="BL166" s="1280"/>
      <c r="BM166" s="1280"/>
      <c r="BN166" s="1280"/>
      <c r="BO166" s="1280"/>
      <c r="BP166" s="1280"/>
      <c r="BQ166" s="1280"/>
      <c r="BR166" s="1280"/>
      <c r="BS166" s="1280"/>
      <c r="BT166" s="1280"/>
      <c r="BU166" s="1280"/>
      <c r="BV166" s="1280"/>
      <c r="BW166" s="1281"/>
      <c r="BX166" s="927">
        <v>-12500</v>
      </c>
      <c r="BY166" s="929"/>
      <c r="BZ166" s="930"/>
      <c r="CA166" s="931"/>
      <c r="CB166" s="925">
        <v>-12500</v>
      </c>
      <c r="CC166" s="928">
        <f>CG166</f>
        <v>-12500</v>
      </c>
      <c r="CD166" s="896"/>
      <c r="CE166" s="896"/>
      <c r="CF166" s="896"/>
      <c r="CG166" s="903">
        <v>-12500</v>
      </c>
      <c r="CH166" s="908">
        <f>CL166</f>
        <v>-12500</v>
      </c>
      <c r="CI166" s="904"/>
      <c r="CJ166" s="904"/>
      <c r="CK166" s="904"/>
      <c r="CL166" s="797">
        <f>-12500</f>
        <v>-12500</v>
      </c>
      <c r="CM166" s="1244" t="s">
        <v>3</v>
      </c>
      <c r="CN166" s="1245"/>
      <c r="CO166" s="1245"/>
      <c r="CP166" s="1245"/>
      <c r="CQ166" s="1245"/>
      <c r="CR166" s="1245"/>
      <c r="CS166" s="1245"/>
      <c r="CT166" s="1245"/>
      <c r="CU166" s="1245"/>
      <c r="CV166" s="1245"/>
      <c r="CW166" s="1245"/>
      <c r="CX166" s="1245"/>
      <c r="CY166" s="1246"/>
    </row>
    <row r="167" spans="1:103" s="93" customFormat="1" ht="21.75" x14ac:dyDescent="0.2">
      <c r="A167" s="1435" t="s">
        <v>461</v>
      </c>
      <c r="B167" s="1434"/>
      <c r="C167" s="1434"/>
      <c r="D167" s="1434"/>
      <c r="E167" s="1434"/>
      <c r="F167" s="1434"/>
      <c r="G167" s="1434"/>
      <c r="H167" s="1434"/>
      <c r="I167" s="1434"/>
      <c r="J167" s="1434"/>
      <c r="K167" s="1434"/>
      <c r="L167" s="1434"/>
      <c r="M167" s="1434"/>
      <c r="N167" s="1434"/>
      <c r="O167" s="1434"/>
      <c r="P167" s="1434"/>
      <c r="Q167" s="1434"/>
      <c r="R167" s="1434"/>
      <c r="S167" s="1434"/>
      <c r="T167" s="1434"/>
      <c r="U167" s="1434"/>
      <c r="V167" s="1434"/>
      <c r="W167" s="1434"/>
      <c r="X167" s="1434"/>
      <c r="Y167" s="1434"/>
      <c r="Z167" s="1434"/>
      <c r="AA167" s="1434"/>
      <c r="AB167" s="1434"/>
      <c r="AC167" s="1434"/>
      <c r="AD167" s="1434"/>
      <c r="AE167" s="1434"/>
      <c r="AF167" s="1434"/>
      <c r="AG167" s="1434"/>
      <c r="AH167" s="1434"/>
      <c r="AI167" s="1434"/>
      <c r="AJ167" s="1434"/>
      <c r="AK167" s="1434"/>
      <c r="AL167" s="1434"/>
      <c r="AM167" s="1434"/>
      <c r="AN167" s="1434"/>
      <c r="AO167" s="1434"/>
      <c r="AP167" s="1436" t="s">
        <v>462</v>
      </c>
      <c r="AQ167" s="1437"/>
      <c r="AR167" s="1437"/>
      <c r="AS167" s="1437"/>
      <c r="AT167" s="1437"/>
      <c r="AU167" s="1437"/>
      <c r="AV167" s="1437"/>
      <c r="AW167" s="1438"/>
      <c r="AX167" s="1439" t="s">
        <v>3</v>
      </c>
      <c r="AY167" s="1437"/>
      <c r="AZ167" s="1437"/>
      <c r="BA167" s="1437"/>
      <c r="BB167" s="1437"/>
      <c r="BC167" s="1437"/>
      <c r="BD167" s="1437"/>
      <c r="BE167" s="1437"/>
      <c r="BF167" s="1437"/>
      <c r="BG167" s="1437"/>
      <c r="BH167" s="1437"/>
      <c r="BI167" s="1437"/>
      <c r="BJ167" s="1438"/>
      <c r="BK167" s="1439"/>
      <c r="BL167" s="1437"/>
      <c r="BM167" s="1437"/>
      <c r="BN167" s="1437"/>
      <c r="BO167" s="1437"/>
      <c r="BP167" s="1437"/>
      <c r="BQ167" s="1437"/>
      <c r="BR167" s="1437"/>
      <c r="BS167" s="1437"/>
      <c r="BT167" s="1437"/>
      <c r="BU167" s="1437"/>
      <c r="BV167" s="1437"/>
      <c r="BW167" s="1438"/>
      <c r="BX167" s="927">
        <f>BX168</f>
        <v>142385.88</v>
      </c>
      <c r="BY167" s="926">
        <f>BY168</f>
        <v>142385.88</v>
      </c>
      <c r="BZ167" s="924"/>
      <c r="CA167" s="927"/>
      <c r="CB167" s="932"/>
      <c r="CC167" s="928"/>
      <c r="CD167" s="911"/>
      <c r="CE167" s="911"/>
      <c r="CF167" s="911"/>
      <c r="CG167" s="912"/>
      <c r="CH167" s="908"/>
      <c r="CI167" s="914"/>
      <c r="CJ167" s="914"/>
      <c r="CK167" s="914"/>
      <c r="CL167" s="799"/>
      <c r="CM167" s="1329" t="s">
        <v>3</v>
      </c>
      <c r="CN167" s="1330"/>
      <c r="CO167" s="1330"/>
      <c r="CP167" s="1330"/>
      <c r="CQ167" s="1330"/>
      <c r="CR167" s="1330"/>
      <c r="CS167" s="1330"/>
      <c r="CT167" s="1330"/>
      <c r="CU167" s="1330"/>
      <c r="CV167" s="1330"/>
      <c r="CW167" s="1330"/>
      <c r="CX167" s="1330"/>
      <c r="CY167" s="1452"/>
    </row>
    <row r="168" spans="1:103" ht="42" customHeight="1" x14ac:dyDescent="0.2">
      <c r="A168" s="1276" t="s">
        <v>463</v>
      </c>
      <c r="B168" s="1290"/>
      <c r="C168" s="1290"/>
      <c r="D168" s="1290"/>
      <c r="E168" s="1290"/>
      <c r="F168" s="1290"/>
      <c r="G168" s="1290"/>
      <c r="H168" s="1290"/>
      <c r="I168" s="1290"/>
      <c r="J168" s="1290"/>
      <c r="K168" s="1290"/>
      <c r="L168" s="1290"/>
      <c r="M168" s="1290"/>
      <c r="N168" s="1290"/>
      <c r="O168" s="1290"/>
      <c r="P168" s="1290"/>
      <c r="Q168" s="1290"/>
      <c r="R168" s="1290"/>
      <c r="S168" s="1290"/>
      <c r="T168" s="1290"/>
      <c r="U168" s="1290"/>
      <c r="V168" s="1290"/>
      <c r="W168" s="1290"/>
      <c r="X168" s="1290"/>
      <c r="Y168" s="1290"/>
      <c r="Z168" s="1290"/>
      <c r="AA168" s="1290"/>
      <c r="AB168" s="1290"/>
      <c r="AC168" s="1290"/>
      <c r="AD168" s="1290"/>
      <c r="AE168" s="1290"/>
      <c r="AF168" s="1290"/>
      <c r="AG168" s="1290"/>
      <c r="AH168" s="1290"/>
      <c r="AI168" s="1290"/>
      <c r="AJ168" s="1290"/>
      <c r="AK168" s="1290"/>
      <c r="AL168" s="1290"/>
      <c r="AM168" s="1290"/>
      <c r="AN168" s="1290"/>
      <c r="AO168" s="1290"/>
      <c r="AP168" s="1279" t="s">
        <v>464</v>
      </c>
      <c r="AQ168" s="1280"/>
      <c r="AR168" s="1280"/>
      <c r="AS168" s="1280"/>
      <c r="AT168" s="1280"/>
      <c r="AU168" s="1280"/>
      <c r="AV168" s="1280"/>
      <c r="AW168" s="1281"/>
      <c r="AX168" s="1282" t="s">
        <v>465</v>
      </c>
      <c r="AY168" s="1280"/>
      <c r="AZ168" s="1280"/>
      <c r="BA168" s="1280"/>
      <c r="BB168" s="1280"/>
      <c r="BC168" s="1280"/>
      <c r="BD168" s="1280"/>
      <c r="BE168" s="1280"/>
      <c r="BF168" s="1280"/>
      <c r="BG168" s="1280"/>
      <c r="BH168" s="1280"/>
      <c r="BI168" s="1280"/>
      <c r="BJ168" s="1281"/>
      <c r="BK168" s="1282"/>
      <c r="BL168" s="1280"/>
      <c r="BM168" s="1280"/>
      <c r="BN168" s="1280"/>
      <c r="BO168" s="1280"/>
      <c r="BP168" s="1280"/>
      <c r="BQ168" s="1280"/>
      <c r="BR168" s="1280"/>
      <c r="BS168" s="1280"/>
      <c r="BT168" s="1280"/>
      <c r="BU168" s="1280"/>
      <c r="BV168" s="1280"/>
      <c r="BW168" s="1281"/>
      <c r="BX168" s="901">
        <f>BY168</f>
        <v>142385.88</v>
      </c>
      <c r="BY168" s="904">
        <v>142385.88</v>
      </c>
      <c r="BZ168" s="896"/>
      <c r="CA168" s="901"/>
      <c r="CB168" s="833"/>
      <c r="CC168" s="905"/>
      <c r="CD168" s="896"/>
      <c r="CE168" s="896"/>
      <c r="CF168" s="896"/>
      <c r="CG168" s="903"/>
      <c r="CH168" s="901"/>
      <c r="CI168" s="904"/>
      <c r="CJ168" s="904"/>
      <c r="CK168" s="904"/>
      <c r="CL168" s="797"/>
      <c r="CM168" s="1244" t="s">
        <v>3</v>
      </c>
      <c r="CN168" s="1245"/>
      <c r="CO168" s="1245"/>
      <c r="CP168" s="1245"/>
      <c r="CQ168" s="1245"/>
      <c r="CR168" s="1245"/>
      <c r="CS168" s="1245"/>
      <c r="CT168" s="1245"/>
      <c r="CU168" s="1245"/>
      <c r="CV168" s="1245"/>
      <c r="CW168" s="1245"/>
      <c r="CX168" s="1245"/>
      <c r="CY168" s="1246"/>
    </row>
    <row r="169" spans="1:103" ht="19.5" thickBot="1" x14ac:dyDescent="0.25">
      <c r="A169" s="1443"/>
      <c r="B169" s="1444"/>
      <c r="C169" s="1444"/>
      <c r="D169" s="1444"/>
      <c r="E169" s="1444"/>
      <c r="F169" s="1444"/>
      <c r="G169" s="1444"/>
      <c r="H169" s="1444"/>
      <c r="I169" s="1444"/>
      <c r="J169" s="1444"/>
      <c r="K169" s="1444"/>
      <c r="L169" s="1444"/>
      <c r="M169" s="1444"/>
      <c r="N169" s="1444"/>
      <c r="O169" s="1444"/>
      <c r="P169" s="1444"/>
      <c r="Q169" s="1444"/>
      <c r="R169" s="1444"/>
      <c r="S169" s="1444"/>
      <c r="T169" s="1444"/>
      <c r="U169" s="1444"/>
      <c r="V169" s="1444"/>
      <c r="W169" s="1444"/>
      <c r="X169" s="1444"/>
      <c r="Y169" s="1444"/>
      <c r="Z169" s="1444"/>
      <c r="AA169" s="1444"/>
      <c r="AB169" s="1444"/>
      <c r="AC169" s="1444"/>
      <c r="AD169" s="1444"/>
      <c r="AE169" s="1444"/>
      <c r="AF169" s="1444"/>
      <c r="AG169" s="1444"/>
      <c r="AH169" s="1444"/>
      <c r="AI169" s="1444"/>
      <c r="AJ169" s="1444"/>
      <c r="AK169" s="1444"/>
      <c r="AL169" s="1444"/>
      <c r="AM169" s="1444"/>
      <c r="AN169" s="1444"/>
      <c r="AO169" s="1444"/>
      <c r="AP169" s="1445"/>
      <c r="AQ169" s="1446"/>
      <c r="AR169" s="1446"/>
      <c r="AS169" s="1446"/>
      <c r="AT169" s="1446"/>
      <c r="AU169" s="1446"/>
      <c r="AV169" s="1446"/>
      <c r="AW169" s="1447"/>
      <c r="AX169" s="1448"/>
      <c r="AY169" s="1446"/>
      <c r="AZ169" s="1446"/>
      <c r="BA169" s="1446"/>
      <c r="BB169" s="1446"/>
      <c r="BC169" s="1446"/>
      <c r="BD169" s="1446"/>
      <c r="BE169" s="1446"/>
      <c r="BF169" s="1446"/>
      <c r="BG169" s="1446"/>
      <c r="BH169" s="1446"/>
      <c r="BI169" s="1446"/>
      <c r="BJ169" s="1447"/>
      <c r="BK169" s="1448"/>
      <c r="BL169" s="1446"/>
      <c r="BM169" s="1446"/>
      <c r="BN169" s="1446"/>
      <c r="BO169" s="1446"/>
      <c r="BP169" s="1446"/>
      <c r="BQ169" s="1446"/>
      <c r="BR169" s="1446"/>
      <c r="BS169" s="1446"/>
      <c r="BT169" s="1446"/>
      <c r="BU169" s="1446"/>
      <c r="BV169" s="1446"/>
      <c r="BW169" s="1447"/>
      <c r="BX169" s="935"/>
      <c r="BY169" s="933"/>
      <c r="BZ169" s="934"/>
      <c r="CA169" s="935"/>
      <c r="CB169" s="936"/>
      <c r="CC169" s="937"/>
      <c r="CD169" s="934"/>
      <c r="CE169" s="934"/>
      <c r="CF169" s="934"/>
      <c r="CG169" s="938"/>
      <c r="CH169" s="935"/>
      <c r="CI169" s="933"/>
      <c r="CJ169" s="933"/>
      <c r="CK169" s="933"/>
      <c r="CL169" s="805"/>
      <c r="CM169" s="1449"/>
      <c r="CN169" s="1450"/>
      <c r="CO169" s="1450"/>
      <c r="CP169" s="1450"/>
      <c r="CQ169" s="1450"/>
      <c r="CR169" s="1450"/>
      <c r="CS169" s="1450"/>
      <c r="CT169" s="1450"/>
      <c r="CU169" s="1450"/>
      <c r="CV169" s="1450"/>
      <c r="CW169" s="1450"/>
      <c r="CX169" s="1450"/>
      <c r="CY169" s="1451"/>
    </row>
    <row r="170" spans="1:103" ht="22.5" customHeight="1" x14ac:dyDescent="0.2">
      <c r="A170" s="1015"/>
      <c r="B170" s="1015"/>
      <c r="C170" s="1015"/>
      <c r="D170" s="1015"/>
      <c r="E170" s="1015"/>
      <c r="F170" s="1015"/>
      <c r="G170" s="1015"/>
      <c r="H170" s="1015"/>
      <c r="I170" s="1015"/>
      <c r="J170" s="1015"/>
      <c r="K170" s="1015"/>
      <c r="L170" s="1015"/>
      <c r="M170" s="1015"/>
      <c r="N170" s="1015"/>
      <c r="O170" s="1015"/>
      <c r="P170" s="1015"/>
      <c r="Q170" s="1015"/>
      <c r="R170" s="1015"/>
      <c r="S170" s="1015"/>
      <c r="T170" s="1015"/>
      <c r="U170" s="1015"/>
      <c r="V170" s="1015"/>
      <c r="W170" s="1015"/>
      <c r="X170" s="1015"/>
      <c r="Y170" s="1015"/>
      <c r="Z170" s="1015"/>
      <c r="AA170" s="1015"/>
      <c r="AB170" s="1015"/>
      <c r="AC170" s="1015"/>
      <c r="AD170" s="1015"/>
      <c r="AE170" s="1015"/>
      <c r="AF170" s="1015"/>
      <c r="AG170" s="1015"/>
      <c r="AH170" s="1015"/>
      <c r="AI170" s="1015"/>
      <c r="AJ170" s="1015"/>
      <c r="AK170" s="1015"/>
      <c r="AL170" s="1015"/>
      <c r="AM170" s="1015"/>
      <c r="AN170" s="1015"/>
      <c r="AO170" s="1015"/>
      <c r="AP170" s="1015"/>
      <c r="AQ170" s="1015"/>
      <c r="AR170" s="1015"/>
      <c r="AS170" s="1015"/>
      <c r="AT170" s="1015"/>
      <c r="AU170" s="1015"/>
      <c r="AV170" s="1015"/>
      <c r="AW170" s="1015"/>
      <c r="AX170" s="1015"/>
      <c r="AY170" s="1015"/>
      <c r="AZ170" s="1015"/>
      <c r="BA170" s="1015"/>
      <c r="BB170" s="1015"/>
      <c r="BC170" s="1015"/>
      <c r="BD170" s="1015"/>
      <c r="BE170" s="1015"/>
      <c r="BF170" s="1015"/>
      <c r="BG170" s="1015"/>
      <c r="BH170" s="1015"/>
      <c r="BI170" s="1015"/>
      <c r="BJ170" s="1015"/>
      <c r="BK170" s="1015"/>
      <c r="BL170" s="1015"/>
      <c r="BM170" s="1015"/>
      <c r="BN170" s="1015"/>
      <c r="BO170" s="1015"/>
      <c r="BP170" s="1015"/>
      <c r="BQ170" s="1015"/>
      <c r="BR170" s="1015"/>
      <c r="BS170" s="1015"/>
      <c r="BT170" s="1015"/>
      <c r="BU170" s="1015"/>
      <c r="BV170" s="1015"/>
      <c r="BW170" s="1015"/>
      <c r="BX170" s="939">
        <f>BX30+BX32-BX70+BX166-BX167</f>
        <v>2.5029294192790985E-8</v>
      </c>
      <c r="BY170" s="939">
        <f>BY30+BY32-BY70+BY166-BY168</f>
        <v>2.6775524020195007E-9</v>
      </c>
      <c r="BZ170" s="939">
        <f t="shared" ref="BZ170:CL170" si="17">BZ30+BZ32-BZ70+BZ166</f>
        <v>0</v>
      </c>
      <c r="CA170" s="939">
        <f t="shared" si="17"/>
        <v>0</v>
      </c>
      <c r="CB170" s="939">
        <f t="shared" si="17"/>
        <v>0</v>
      </c>
      <c r="CC170" s="939">
        <f t="shared" si="17"/>
        <v>1.4901161193847656E-8</v>
      </c>
      <c r="CD170" s="939">
        <f t="shared" si="17"/>
        <v>7.4505805969238281E-9</v>
      </c>
      <c r="CE170" s="939">
        <f t="shared" si="17"/>
        <v>0</v>
      </c>
      <c r="CF170" s="939">
        <f t="shared" si="17"/>
        <v>0</v>
      </c>
      <c r="CG170" s="939">
        <f t="shared" si="17"/>
        <v>0</v>
      </c>
      <c r="CH170" s="939">
        <f t="shared" si="17"/>
        <v>0</v>
      </c>
      <c r="CI170" s="939">
        <f t="shared" si="17"/>
        <v>0</v>
      </c>
      <c r="CJ170" s="939">
        <f t="shared" si="17"/>
        <v>0</v>
      </c>
      <c r="CK170" s="939">
        <f t="shared" si="17"/>
        <v>0</v>
      </c>
      <c r="CL170" s="807">
        <f t="shared" si="17"/>
        <v>0</v>
      </c>
      <c r="CM170" s="806"/>
      <c r="CN170" s="806"/>
      <c r="CO170" s="806"/>
      <c r="CP170" s="806"/>
      <c r="CQ170" s="806"/>
      <c r="CR170" s="806"/>
      <c r="CS170" s="806"/>
      <c r="CT170" s="806"/>
      <c r="CU170" s="806"/>
      <c r="CV170" s="806"/>
      <c r="CW170" s="806"/>
      <c r="CX170" s="806"/>
      <c r="CY170" s="806"/>
    </row>
    <row r="171" spans="1:103" ht="18.75" x14ac:dyDescent="0.2">
      <c r="A171" s="92" t="s">
        <v>466</v>
      </c>
      <c r="BY171" s="808"/>
      <c r="BZ171" s="808"/>
      <c r="CA171" s="808"/>
      <c r="CB171" s="808"/>
      <c r="CD171" s="808"/>
      <c r="CH171" s="592"/>
      <c r="CI171" s="808"/>
    </row>
    <row r="172" spans="1:103" ht="18.75" x14ac:dyDescent="0.2">
      <c r="A172" s="92" t="s">
        <v>467</v>
      </c>
      <c r="BY172" s="808"/>
      <c r="BZ172" s="808"/>
      <c r="CA172" s="808"/>
      <c r="CB172" s="808"/>
      <c r="CC172" s="808"/>
    </row>
    <row r="173" spans="1:103" ht="18.75" x14ac:dyDescent="0.2">
      <c r="A173" s="92" t="s">
        <v>468</v>
      </c>
      <c r="BY173" s="808"/>
      <c r="BZ173" s="808"/>
      <c r="CA173" s="809"/>
      <c r="CB173" s="808"/>
      <c r="CD173" s="808"/>
    </row>
    <row r="174" spans="1:103" ht="15.75" x14ac:dyDescent="0.2">
      <c r="A174" s="92" t="s">
        <v>469</v>
      </c>
      <c r="BZ174" s="808"/>
      <c r="CA174" s="808"/>
      <c r="CB174" s="808"/>
    </row>
    <row r="175" spans="1:103" ht="15.75" x14ac:dyDescent="0.2">
      <c r="A175" s="92" t="s">
        <v>470</v>
      </c>
    </row>
    <row r="176" spans="1:103" ht="15.75" x14ac:dyDescent="0.2">
      <c r="A176" s="92" t="s">
        <v>1139</v>
      </c>
      <c r="BZ176" s="810"/>
      <c r="CA176" s="808">
        <f>BZ176-BY176</f>
        <v>0</v>
      </c>
    </row>
    <row r="177" spans="1:103" ht="15.75" x14ac:dyDescent="0.2">
      <c r="A177" s="1442" t="s">
        <v>471</v>
      </c>
      <c r="B177" s="1442"/>
      <c r="C177" s="1442"/>
      <c r="D177" s="1442"/>
      <c r="E177" s="1442"/>
      <c r="F177" s="1442"/>
      <c r="G177" s="1442"/>
      <c r="H177" s="1442"/>
      <c r="I177" s="1442"/>
      <c r="J177" s="1442"/>
      <c r="K177" s="1442"/>
      <c r="L177" s="1442"/>
      <c r="M177" s="1442"/>
      <c r="N177" s="1442"/>
      <c r="O177" s="1442"/>
      <c r="P177" s="1442"/>
      <c r="Q177" s="1442"/>
      <c r="R177" s="1442"/>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c r="BB177" s="1442"/>
      <c r="BC177" s="1442"/>
      <c r="BD177" s="1442"/>
      <c r="BE177" s="1442"/>
      <c r="BF177" s="1442"/>
      <c r="BG177" s="1442"/>
      <c r="BH177" s="1442"/>
      <c r="BI177" s="1442"/>
      <c r="BJ177" s="1442"/>
      <c r="BK177" s="1442"/>
      <c r="BL177" s="1442"/>
      <c r="BM177" s="1442"/>
      <c r="BN177" s="1442"/>
      <c r="BO177" s="1442"/>
      <c r="BP177" s="1442"/>
      <c r="BQ177" s="1442"/>
      <c r="BR177" s="1442"/>
      <c r="BS177" s="1442"/>
      <c r="BT177" s="1442"/>
      <c r="BU177" s="1442"/>
      <c r="BV177" s="1442"/>
      <c r="BW177" s="1442"/>
      <c r="BX177" s="1442"/>
      <c r="BY177" s="1442"/>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row>
    <row r="178" spans="1:103" ht="15.75" x14ac:dyDescent="0.2">
      <c r="A178" s="92" t="s">
        <v>472</v>
      </c>
    </row>
    <row r="179" spans="1:103" ht="15.75" x14ac:dyDescent="0.2">
      <c r="A179" s="1442" t="s">
        <v>473</v>
      </c>
      <c r="B179" s="1442"/>
      <c r="C179" s="1442"/>
      <c r="D179" s="1442"/>
      <c r="E179" s="1442"/>
      <c r="F179" s="1442"/>
      <c r="G179" s="1442"/>
      <c r="H179" s="1442"/>
      <c r="I179" s="1442"/>
      <c r="J179" s="1442"/>
      <c r="K179" s="1442"/>
      <c r="L179" s="1442"/>
      <c r="M179" s="1442"/>
      <c r="N179" s="1442"/>
      <c r="O179" s="1442"/>
      <c r="P179" s="1442"/>
      <c r="Q179" s="1442"/>
      <c r="R179" s="1442"/>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c r="BB179" s="1442"/>
      <c r="BC179" s="1442"/>
      <c r="BD179" s="1442"/>
      <c r="BE179" s="1442"/>
      <c r="BF179" s="1442"/>
      <c r="BG179" s="1442"/>
      <c r="BH179" s="1442"/>
      <c r="BI179" s="1442"/>
      <c r="BJ179" s="1442"/>
      <c r="BK179" s="1442"/>
      <c r="BL179" s="1442"/>
      <c r="BM179" s="1442"/>
      <c r="BN179" s="1442"/>
      <c r="BO179" s="1442"/>
      <c r="BP179" s="1442"/>
      <c r="BQ179" s="1442"/>
      <c r="BR179" s="1442"/>
      <c r="BS179" s="1442"/>
      <c r="BT179" s="1442"/>
      <c r="BU179" s="1442"/>
      <c r="BV179" s="1442"/>
      <c r="BW179" s="1442"/>
      <c r="BX179" s="1442"/>
      <c r="BY179" s="1442"/>
      <c r="BZ179" s="1442"/>
      <c r="CA179" s="1442"/>
      <c r="CB179" s="1442"/>
      <c r="CC179" s="1442"/>
      <c r="CD179" s="1442"/>
      <c r="CE179" s="1442"/>
      <c r="CF179" s="1442"/>
      <c r="CG179" s="1442"/>
      <c r="CH179" s="1442"/>
      <c r="CI179" s="1442"/>
      <c r="CJ179" s="1442"/>
      <c r="CK179" s="1442"/>
      <c r="CL179" s="1442"/>
      <c r="CM179" s="1442"/>
      <c r="CN179" s="1442"/>
      <c r="CO179" s="1442"/>
      <c r="CP179" s="1442"/>
      <c r="CQ179" s="1442"/>
      <c r="CR179" s="1442"/>
      <c r="CS179" s="1442"/>
      <c r="CT179" s="1442"/>
      <c r="CU179" s="1442"/>
      <c r="CV179" s="1442"/>
      <c r="CW179" s="1442"/>
      <c r="CX179" s="1442"/>
      <c r="CY179" s="1442"/>
    </row>
    <row r="180" spans="1:103" ht="15.75" x14ac:dyDescent="0.2">
      <c r="A180" s="1442" t="s">
        <v>474</v>
      </c>
      <c r="B180" s="1442"/>
      <c r="C180" s="1442"/>
      <c r="D180" s="1442"/>
      <c r="E180" s="1442"/>
      <c r="F180" s="1442"/>
      <c r="G180" s="1442"/>
      <c r="H180" s="1442"/>
      <c r="I180" s="1442"/>
      <c r="J180" s="1442"/>
      <c r="K180" s="1442"/>
      <c r="L180" s="1442"/>
      <c r="M180" s="1442"/>
      <c r="N180" s="1442"/>
      <c r="O180" s="1442"/>
      <c r="P180" s="1442"/>
      <c r="Q180" s="1442"/>
      <c r="R180" s="1442"/>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c r="BA180" s="1442"/>
      <c r="BB180" s="1442"/>
      <c r="BC180" s="1442"/>
      <c r="BD180" s="1442"/>
      <c r="BE180" s="1442"/>
      <c r="BF180" s="1442"/>
      <c r="BG180" s="1442"/>
      <c r="BH180" s="1442"/>
      <c r="BI180" s="1442"/>
      <c r="BJ180" s="1442"/>
      <c r="BK180" s="1442"/>
      <c r="BL180" s="1442"/>
      <c r="BM180" s="1442"/>
      <c r="BN180" s="1442"/>
      <c r="BO180" s="1442"/>
      <c r="BP180" s="1442"/>
      <c r="BQ180" s="1442"/>
      <c r="BR180" s="1442"/>
      <c r="BS180" s="1442"/>
      <c r="BT180" s="1442"/>
      <c r="BU180" s="1442"/>
      <c r="BV180" s="1442"/>
      <c r="BW180" s="1442"/>
      <c r="BX180" s="1442"/>
      <c r="BY180" s="1442"/>
      <c r="BZ180" s="1442"/>
      <c r="CA180" s="1442"/>
      <c r="CB180" s="1442"/>
      <c r="CC180" s="1442"/>
      <c r="CD180" s="1442"/>
      <c r="CE180" s="1442"/>
      <c r="CF180" s="1442"/>
      <c r="CG180" s="1442"/>
      <c r="CH180" s="1442"/>
      <c r="CI180" s="1442"/>
      <c r="CJ180" s="1442"/>
      <c r="CK180" s="1442"/>
      <c r="CL180" s="1442"/>
      <c r="CM180" s="1442"/>
      <c r="CN180" s="1442"/>
      <c r="CO180" s="1442"/>
      <c r="CP180" s="1442"/>
      <c r="CQ180" s="1442"/>
      <c r="CR180" s="1442"/>
      <c r="CS180" s="1442"/>
      <c r="CT180" s="1442"/>
      <c r="CU180" s="1442"/>
      <c r="CV180" s="1442"/>
      <c r="CW180" s="1442"/>
      <c r="CX180" s="1442"/>
      <c r="CY180" s="1442"/>
    </row>
    <row r="181" spans="1:103" ht="15.75" x14ac:dyDescent="0.2">
      <c r="A181" s="1442" t="s">
        <v>475</v>
      </c>
      <c r="B181" s="1442"/>
      <c r="C181" s="1442"/>
      <c r="D181" s="1442"/>
      <c r="E181" s="1442"/>
      <c r="F181" s="1442"/>
      <c r="G181" s="1442"/>
      <c r="H181" s="1442"/>
      <c r="I181" s="1442"/>
      <c r="J181" s="1442"/>
      <c r="K181" s="1442"/>
      <c r="L181" s="1442"/>
      <c r="M181" s="1442"/>
      <c r="N181" s="1442"/>
      <c r="O181" s="1442"/>
      <c r="P181" s="1442"/>
      <c r="Q181" s="1442"/>
      <c r="R181" s="1442"/>
      <c r="S181" s="1442"/>
      <c r="T181" s="1442"/>
      <c r="U181" s="1442"/>
      <c r="V181" s="1442"/>
      <c r="W181" s="1442"/>
      <c r="X181" s="1442"/>
      <c r="Y181" s="1442"/>
      <c r="Z181" s="1442"/>
      <c r="AA181" s="1442"/>
      <c r="AB181" s="1442"/>
      <c r="AC181" s="1442"/>
      <c r="AD181" s="1442"/>
      <c r="AE181" s="1442"/>
      <c r="AF181" s="1442"/>
      <c r="AG181" s="1442"/>
      <c r="AH181" s="1442"/>
      <c r="AI181" s="1442"/>
      <c r="AJ181" s="1442"/>
      <c r="AK181" s="1442"/>
      <c r="AL181" s="1442"/>
      <c r="AM181" s="1442"/>
      <c r="AN181" s="1442"/>
      <c r="AO181" s="1442"/>
      <c r="AP181" s="1442"/>
      <c r="AQ181" s="1442"/>
      <c r="AR181" s="1442"/>
      <c r="AS181" s="1442"/>
      <c r="AT181" s="1442"/>
      <c r="AU181" s="1442"/>
      <c r="AV181" s="1442"/>
      <c r="AW181" s="1442"/>
      <c r="AX181" s="1442"/>
      <c r="AY181" s="1442"/>
      <c r="AZ181" s="1442"/>
      <c r="BA181" s="1442"/>
      <c r="BB181" s="1442"/>
      <c r="BC181" s="1442"/>
      <c r="BD181" s="1442"/>
      <c r="BE181" s="1442"/>
      <c r="BF181" s="1442"/>
      <c r="BG181" s="1442"/>
      <c r="BH181" s="1442"/>
      <c r="BI181" s="1442"/>
      <c r="BJ181" s="1442"/>
      <c r="BK181" s="1442"/>
      <c r="BL181" s="1442"/>
      <c r="BM181" s="1442"/>
      <c r="BN181" s="1442"/>
      <c r="BO181" s="1442"/>
      <c r="BP181" s="1442"/>
      <c r="BQ181" s="1442"/>
      <c r="BR181" s="1442"/>
      <c r="BS181" s="1442"/>
      <c r="BT181" s="1442"/>
      <c r="BU181" s="1442"/>
      <c r="BV181" s="1442"/>
      <c r="BW181" s="1442"/>
      <c r="BX181" s="1442"/>
      <c r="BY181" s="1442"/>
      <c r="BZ181" s="1442"/>
      <c r="CA181" s="1442"/>
      <c r="CB181" s="1442"/>
      <c r="CC181" s="1442"/>
      <c r="CD181" s="1442"/>
      <c r="CE181" s="1442"/>
      <c r="CF181" s="1442"/>
      <c r="CG181" s="1442"/>
      <c r="CH181" s="1442"/>
      <c r="CI181" s="1442"/>
      <c r="CJ181" s="1442"/>
      <c r="CK181" s="1442"/>
      <c r="CL181" s="1442"/>
      <c r="CM181" s="1442"/>
      <c r="CN181" s="1442"/>
      <c r="CO181" s="1442"/>
      <c r="CP181" s="1442"/>
      <c r="CQ181" s="1442"/>
      <c r="CR181" s="1442"/>
      <c r="CS181" s="1442"/>
      <c r="CT181" s="1442"/>
      <c r="CU181" s="1442"/>
      <c r="CV181" s="1442"/>
      <c r="CW181" s="1442"/>
      <c r="CX181" s="1442"/>
      <c r="CY181" s="1442"/>
    </row>
    <row r="182" spans="1:103" ht="18.75" x14ac:dyDescent="0.2">
      <c r="A182" s="92" t="s">
        <v>1135</v>
      </c>
    </row>
    <row r="183" spans="1:103" ht="18.75" x14ac:dyDescent="0.2">
      <c r="A183" s="92" t="s">
        <v>476</v>
      </c>
    </row>
    <row r="184" spans="1:103" ht="15.75" x14ac:dyDescent="0.2">
      <c r="A184" s="1442" t="s">
        <v>477</v>
      </c>
      <c r="B184" s="1442"/>
      <c r="C184" s="1442"/>
      <c r="D184" s="1442"/>
      <c r="E184" s="1442"/>
      <c r="F184" s="1442"/>
      <c r="G184" s="1442"/>
      <c r="H184" s="1442"/>
      <c r="I184" s="1442"/>
      <c r="J184" s="1442"/>
      <c r="K184" s="1442"/>
      <c r="L184" s="1442"/>
      <c r="M184" s="1442"/>
      <c r="N184" s="1442"/>
      <c r="O184" s="1442"/>
      <c r="P184" s="1442"/>
      <c r="Q184" s="1442"/>
      <c r="R184" s="1442"/>
      <c r="S184" s="1442"/>
      <c r="T184" s="1442"/>
      <c r="U184" s="1442"/>
      <c r="V184" s="1442"/>
      <c r="W184" s="1442"/>
      <c r="X184" s="1442"/>
      <c r="Y184" s="1442"/>
      <c r="Z184" s="1442"/>
      <c r="AA184" s="1442"/>
      <c r="AB184" s="1442"/>
      <c r="AC184" s="1442"/>
      <c r="AD184" s="1442"/>
      <c r="AE184" s="1442"/>
      <c r="AF184" s="1442"/>
      <c r="AG184" s="1442"/>
      <c r="AH184" s="1442"/>
      <c r="AI184" s="1442"/>
      <c r="AJ184" s="1442"/>
      <c r="AK184" s="1442"/>
      <c r="AL184" s="1442"/>
      <c r="AM184" s="1442"/>
      <c r="AN184" s="1442"/>
      <c r="AO184" s="1442"/>
      <c r="AP184" s="1442"/>
      <c r="AQ184" s="1442"/>
      <c r="AR184" s="1442"/>
      <c r="AS184" s="1442"/>
      <c r="AT184" s="1442"/>
      <c r="AU184" s="1442"/>
      <c r="AV184" s="1442"/>
      <c r="AW184" s="1442"/>
      <c r="AX184" s="1442"/>
      <c r="AY184" s="1442"/>
      <c r="AZ184" s="1442"/>
      <c r="BA184" s="1442"/>
      <c r="BB184" s="1442"/>
      <c r="BC184" s="1442"/>
      <c r="BD184" s="1442"/>
      <c r="BE184" s="1442"/>
      <c r="BF184" s="1442"/>
      <c r="BG184" s="1442"/>
      <c r="BH184" s="1442"/>
      <c r="BI184" s="1442"/>
      <c r="BJ184" s="1442"/>
      <c r="BK184" s="1442"/>
      <c r="BL184" s="1442"/>
      <c r="BM184" s="1442"/>
      <c r="BN184" s="1442"/>
      <c r="BO184" s="1442"/>
      <c r="BP184" s="1442"/>
      <c r="BQ184" s="1442"/>
      <c r="BR184" s="1442"/>
      <c r="BS184" s="1442"/>
      <c r="BT184" s="1442"/>
      <c r="BU184" s="1442"/>
      <c r="BV184" s="1442"/>
      <c r="BW184" s="1442"/>
      <c r="BX184" s="1442"/>
      <c r="BY184" s="1442"/>
      <c r="BZ184" s="1442"/>
      <c r="CA184" s="1442"/>
      <c r="CB184" s="1442"/>
      <c r="CC184" s="1442"/>
      <c r="CD184" s="1442"/>
      <c r="CE184" s="1442"/>
      <c r="CF184" s="1442"/>
      <c r="CG184" s="1442"/>
      <c r="CH184" s="1442"/>
      <c r="CI184" s="1442"/>
      <c r="CJ184" s="1442"/>
      <c r="CK184" s="1442"/>
      <c r="CL184" s="1442"/>
      <c r="CM184" s="1442"/>
      <c r="CN184" s="1442"/>
      <c r="CO184" s="1442"/>
      <c r="CP184" s="1442"/>
      <c r="CQ184" s="1442"/>
      <c r="CR184" s="1442"/>
      <c r="CS184" s="1442"/>
      <c r="CT184" s="1442"/>
      <c r="CU184" s="1442"/>
      <c r="CV184" s="1442"/>
      <c r="CW184" s="1442"/>
      <c r="CX184" s="1442"/>
      <c r="CY184" s="1442"/>
    </row>
    <row r="185" spans="1:103" ht="15.75" x14ac:dyDescent="0.2"/>
  </sheetData>
  <mergeCells count="719">
    <mergeCell ref="A179:CY179"/>
    <mergeCell ref="A180:CY180"/>
    <mergeCell ref="A181:CY181"/>
    <mergeCell ref="A184:CY184"/>
    <mergeCell ref="B12:BW12"/>
    <mergeCell ref="A169:AO169"/>
    <mergeCell ref="AP169:AW169"/>
    <mergeCell ref="AX169:BJ169"/>
    <mergeCell ref="BK169:BW169"/>
    <mergeCell ref="CM169:CY169"/>
    <mergeCell ref="A177:CY177"/>
    <mergeCell ref="A167:AO167"/>
    <mergeCell ref="AP167:AW167"/>
    <mergeCell ref="AX167:BJ167"/>
    <mergeCell ref="BK167:BW167"/>
    <mergeCell ref="CM167:CY167"/>
    <mergeCell ref="A168:AO168"/>
    <mergeCell ref="AP168:AW168"/>
    <mergeCell ref="AX168:BJ168"/>
    <mergeCell ref="BK168:BW168"/>
    <mergeCell ref="CM168:CY168"/>
    <mergeCell ref="BK65:BW65"/>
    <mergeCell ref="A158:AO158"/>
    <mergeCell ref="AP158:AW158"/>
    <mergeCell ref="AX158:BJ158"/>
    <mergeCell ref="BK158:BW158"/>
    <mergeCell ref="CM158:CY158"/>
    <mergeCell ref="A159:AO159"/>
    <mergeCell ref="AP159:AW159"/>
    <mergeCell ref="AX159:BJ159"/>
    <mergeCell ref="AP65:AW65"/>
    <mergeCell ref="AX65:BJ65"/>
    <mergeCell ref="A66:AO66"/>
    <mergeCell ref="AP66:AW66"/>
    <mergeCell ref="AX66:BJ66"/>
    <mergeCell ref="BK66:BW66"/>
    <mergeCell ref="CM66:CY66"/>
    <mergeCell ref="BK159:BW159"/>
    <mergeCell ref="CM159:CY159"/>
    <mergeCell ref="CM156:CY156"/>
    <mergeCell ref="A157:AO157"/>
    <mergeCell ref="AP157:AW157"/>
    <mergeCell ref="AX157:BJ157"/>
    <mergeCell ref="BK157:BW157"/>
    <mergeCell ref="CM157:CY157"/>
    <mergeCell ref="A153:AO153"/>
    <mergeCell ref="BK154:BW154"/>
    <mergeCell ref="CM154:CY154"/>
    <mergeCell ref="A162:AO162"/>
    <mergeCell ref="A160:AO160"/>
    <mergeCell ref="AP160:AW160"/>
    <mergeCell ref="AX160:BJ160"/>
    <mergeCell ref="BK160:BW160"/>
    <mergeCell ref="CM160:CY160"/>
    <mergeCell ref="AP162:AW162"/>
    <mergeCell ref="AX162:BJ162"/>
    <mergeCell ref="BK162:BW162"/>
    <mergeCell ref="CM162:CY162"/>
    <mergeCell ref="A161:AO161"/>
    <mergeCell ref="AP161:AW161"/>
    <mergeCell ref="AX161:BJ161"/>
    <mergeCell ref="BK161:BW161"/>
    <mergeCell ref="CM161:CY161"/>
    <mergeCell ref="A166:AO166"/>
    <mergeCell ref="AP166:AW166"/>
    <mergeCell ref="AX166:BJ166"/>
    <mergeCell ref="BK166:BW166"/>
    <mergeCell ref="CM166:CY166"/>
    <mergeCell ref="A163:AO163"/>
    <mergeCell ref="AP163:AW163"/>
    <mergeCell ref="AX163:BJ163"/>
    <mergeCell ref="BK163:BW163"/>
    <mergeCell ref="CM163:CY163"/>
    <mergeCell ref="A164:AO164"/>
    <mergeCell ref="AP164:AW164"/>
    <mergeCell ref="AX164:BJ164"/>
    <mergeCell ref="BK164:BW164"/>
    <mergeCell ref="CM164:CY164"/>
    <mergeCell ref="A165:AO165"/>
    <mergeCell ref="AP165:AW165"/>
    <mergeCell ref="AX165:BJ165"/>
    <mergeCell ref="BK165:BW165"/>
    <mergeCell ref="CM165:CY165"/>
    <mergeCell ref="AP156:AW156"/>
    <mergeCell ref="AX156:BJ156"/>
    <mergeCell ref="A151:AO151"/>
    <mergeCell ref="AP151:AW151"/>
    <mergeCell ref="AX151:BJ151"/>
    <mergeCell ref="BK151:BW151"/>
    <mergeCell ref="CM151:CY151"/>
    <mergeCell ref="A152:AO152"/>
    <mergeCell ref="AP152:AW152"/>
    <mergeCell ref="AX152:BJ152"/>
    <mergeCell ref="BK156:BW156"/>
    <mergeCell ref="AP153:AW153"/>
    <mergeCell ref="AX153:BJ153"/>
    <mergeCell ref="BK153:BW153"/>
    <mergeCell ref="CM153:CY153"/>
    <mergeCell ref="A154:AO154"/>
    <mergeCell ref="AP154:AW154"/>
    <mergeCell ref="AX154:BJ154"/>
    <mergeCell ref="A155:AO155"/>
    <mergeCell ref="AP155:AW155"/>
    <mergeCell ref="AX155:BJ155"/>
    <mergeCell ref="BK155:BW155"/>
    <mergeCell ref="CM155:CY155"/>
    <mergeCell ref="A156:AO156"/>
    <mergeCell ref="A148:AO148"/>
    <mergeCell ref="AP148:AW148"/>
    <mergeCell ref="AX148:BJ148"/>
    <mergeCell ref="BK148:BW148"/>
    <mergeCell ref="A150:AO150"/>
    <mergeCell ref="AP150:AW150"/>
    <mergeCell ref="AX150:BJ150"/>
    <mergeCell ref="BK150:BW150"/>
    <mergeCell ref="A149:AO149"/>
    <mergeCell ref="AP149:AW149"/>
    <mergeCell ref="AX149:BJ149"/>
    <mergeCell ref="BK149:BW149"/>
    <mergeCell ref="A146:AO146"/>
    <mergeCell ref="AP146:AW146"/>
    <mergeCell ref="AX146:BJ146"/>
    <mergeCell ref="BK146:BW146"/>
    <mergeCell ref="A147:AO147"/>
    <mergeCell ref="AP147:AW147"/>
    <mergeCell ref="AX147:BJ147"/>
    <mergeCell ref="BK147:BW147"/>
    <mergeCell ref="A144:AO144"/>
    <mergeCell ref="AP144:AW144"/>
    <mergeCell ref="AX144:BJ144"/>
    <mergeCell ref="BK144:BW144"/>
    <mergeCell ref="A145:AO145"/>
    <mergeCell ref="AX145:BJ145"/>
    <mergeCell ref="BK145:BW145"/>
    <mergeCell ref="A142:AO142"/>
    <mergeCell ref="AP142:AW142"/>
    <mergeCell ref="AX142:BJ142"/>
    <mergeCell ref="BK142:BW142"/>
    <mergeCell ref="A143:AO143"/>
    <mergeCell ref="AP143:AW143"/>
    <mergeCell ref="AX143:BJ143"/>
    <mergeCell ref="BK143:BW143"/>
    <mergeCell ref="A139:AO139"/>
    <mergeCell ref="AP139:AW139"/>
    <mergeCell ref="AX139:BJ139"/>
    <mergeCell ref="BK139:BW139"/>
    <mergeCell ref="A140:AO140"/>
    <mergeCell ref="AP140:AW140"/>
    <mergeCell ref="AX140:BJ140"/>
    <mergeCell ref="BK140:BW140"/>
    <mergeCell ref="A141:AO141"/>
    <mergeCell ref="AP141:AW141"/>
    <mergeCell ref="AX141:BJ141"/>
    <mergeCell ref="BK141:BW141"/>
    <mergeCell ref="A136:AO136"/>
    <mergeCell ref="AP136:AW136"/>
    <mergeCell ref="AX136:BJ136"/>
    <mergeCell ref="BK136:BW136"/>
    <mergeCell ref="A137:AO137"/>
    <mergeCell ref="AP137:AW137"/>
    <mergeCell ref="AX137:BJ137"/>
    <mergeCell ref="BK137:BW137"/>
    <mergeCell ref="A134:AO134"/>
    <mergeCell ref="AP134:AW134"/>
    <mergeCell ref="AX134:BJ134"/>
    <mergeCell ref="BK134:BW134"/>
    <mergeCell ref="A135:AO135"/>
    <mergeCell ref="AP135:AW135"/>
    <mergeCell ref="AX135:BJ135"/>
    <mergeCell ref="BK135:BW135"/>
    <mergeCell ref="A133:AO133"/>
    <mergeCell ref="AP133:AW133"/>
    <mergeCell ref="AX133:BJ133"/>
    <mergeCell ref="BK133:BW133"/>
    <mergeCell ref="A130:AO130"/>
    <mergeCell ref="AP130:AW130"/>
    <mergeCell ref="AX130:BJ130"/>
    <mergeCell ref="BK130:BW130"/>
    <mergeCell ref="A131:AO131"/>
    <mergeCell ref="AP131:AW131"/>
    <mergeCell ref="AX131:BJ131"/>
    <mergeCell ref="BK131:BW131"/>
    <mergeCell ref="A127:AO127"/>
    <mergeCell ref="AP127:AW127"/>
    <mergeCell ref="AX127:BJ127"/>
    <mergeCell ref="BK127:BW127"/>
    <mergeCell ref="A132:AO132"/>
    <mergeCell ref="AP132:AW132"/>
    <mergeCell ref="AX132:BJ132"/>
    <mergeCell ref="BK132:BW132"/>
    <mergeCell ref="A129:AO129"/>
    <mergeCell ref="AP129:AW129"/>
    <mergeCell ref="AX129:BJ129"/>
    <mergeCell ref="BK129:BW129"/>
    <mergeCell ref="CM109:CY109"/>
    <mergeCell ref="A110:AO110"/>
    <mergeCell ref="AP110:AW110"/>
    <mergeCell ref="AX110:BJ110"/>
    <mergeCell ref="BK110:BW110"/>
    <mergeCell ref="CM110:CY110"/>
    <mergeCell ref="A114:AO114"/>
    <mergeCell ref="AP114:AW114"/>
    <mergeCell ref="AX114:BJ114"/>
    <mergeCell ref="BK114:BW114"/>
    <mergeCell ref="CM114:CY114"/>
    <mergeCell ref="CM106:CY106"/>
    <mergeCell ref="A107:AO107"/>
    <mergeCell ref="AP107:AW107"/>
    <mergeCell ref="AX107:BJ107"/>
    <mergeCell ref="BK107:BW107"/>
    <mergeCell ref="CM107:CY107"/>
    <mergeCell ref="A108:AO108"/>
    <mergeCell ref="AP108:AW108"/>
    <mergeCell ref="AX108:BJ108"/>
    <mergeCell ref="BK108:BW108"/>
    <mergeCell ref="CM108:CY108"/>
    <mergeCell ref="CM103:CY103"/>
    <mergeCell ref="A104:AO104"/>
    <mergeCell ref="AP104:AW104"/>
    <mergeCell ref="AX104:BJ104"/>
    <mergeCell ref="BK104:BW104"/>
    <mergeCell ref="CM104:CY104"/>
    <mergeCell ref="A105:AO105"/>
    <mergeCell ref="AP105:AW105"/>
    <mergeCell ref="AX105:BJ105"/>
    <mergeCell ref="BK105:BW105"/>
    <mergeCell ref="CM105:CY105"/>
    <mergeCell ref="CM100:CY100"/>
    <mergeCell ref="A101:AO101"/>
    <mergeCell ref="AP101:AW101"/>
    <mergeCell ref="AX101:BJ101"/>
    <mergeCell ref="BK101:BW101"/>
    <mergeCell ref="CM101:CY101"/>
    <mergeCell ref="A102:AO102"/>
    <mergeCell ref="AP102:AW102"/>
    <mergeCell ref="AX102:BJ102"/>
    <mergeCell ref="BK102:BW102"/>
    <mergeCell ref="CM102:CY102"/>
    <mergeCell ref="CM97:CY97"/>
    <mergeCell ref="A98:AO98"/>
    <mergeCell ref="AP98:AW98"/>
    <mergeCell ref="AX98:BJ98"/>
    <mergeCell ref="BK98:BW98"/>
    <mergeCell ref="CM98:CY98"/>
    <mergeCell ref="A99:AO99"/>
    <mergeCell ref="AP99:AW99"/>
    <mergeCell ref="AX99:BJ99"/>
    <mergeCell ref="BK99:BW99"/>
    <mergeCell ref="CM99:CY99"/>
    <mergeCell ref="AP91:AW91"/>
    <mergeCell ref="AX91:BJ91"/>
    <mergeCell ref="BK91:BW91"/>
    <mergeCell ref="CM91:CY91"/>
    <mergeCell ref="A92:AO92"/>
    <mergeCell ref="AP92:AW92"/>
    <mergeCell ref="AX92:BJ92"/>
    <mergeCell ref="BK92:BW92"/>
    <mergeCell ref="CM92:CY92"/>
    <mergeCell ref="A91:AO91"/>
    <mergeCell ref="CM86:CY86"/>
    <mergeCell ref="A87:AO87"/>
    <mergeCell ref="AP87:AW87"/>
    <mergeCell ref="AX87:BJ87"/>
    <mergeCell ref="BK87:BW87"/>
    <mergeCell ref="CM87:CY87"/>
    <mergeCell ref="A89:AO89"/>
    <mergeCell ref="AP89:AW89"/>
    <mergeCell ref="AX89:BJ89"/>
    <mergeCell ref="BK89:BW89"/>
    <mergeCell ref="CM89:CY89"/>
    <mergeCell ref="A88:AO88"/>
    <mergeCell ref="AP88:AW88"/>
    <mergeCell ref="AX88:BJ88"/>
    <mergeCell ref="BK88:BW88"/>
    <mergeCell ref="CM83:CY83"/>
    <mergeCell ref="A84:AO84"/>
    <mergeCell ref="AP84:AW84"/>
    <mergeCell ref="AX84:BJ84"/>
    <mergeCell ref="BK84:BW84"/>
    <mergeCell ref="CM84:CY84"/>
    <mergeCell ref="A85:AO85"/>
    <mergeCell ref="AP85:AW85"/>
    <mergeCell ref="AX85:BJ85"/>
    <mergeCell ref="BK85:BW85"/>
    <mergeCell ref="CM85:CY85"/>
    <mergeCell ref="A73:AO73"/>
    <mergeCell ref="AP73:AW73"/>
    <mergeCell ref="AX73:BJ73"/>
    <mergeCell ref="BK73:BW73"/>
    <mergeCell ref="CM73:CY73"/>
    <mergeCell ref="A75:AO75"/>
    <mergeCell ref="AP75:AW75"/>
    <mergeCell ref="AX75:BJ75"/>
    <mergeCell ref="BK75:BW75"/>
    <mergeCell ref="CM75:CY75"/>
    <mergeCell ref="A74:AO74"/>
    <mergeCell ref="AP74:AW74"/>
    <mergeCell ref="AX74:BJ74"/>
    <mergeCell ref="BK74:BW74"/>
    <mergeCell ref="CM74:CY74"/>
    <mergeCell ref="A71:AO71"/>
    <mergeCell ref="AP71:AW71"/>
    <mergeCell ref="AX71:BJ71"/>
    <mergeCell ref="BK71:BW71"/>
    <mergeCell ref="CM71:CY71"/>
    <mergeCell ref="A72:AO72"/>
    <mergeCell ref="AP72:AW72"/>
    <mergeCell ref="AX72:BJ72"/>
    <mergeCell ref="BK72:BW72"/>
    <mergeCell ref="CM72:CY72"/>
    <mergeCell ref="A69:AO69"/>
    <mergeCell ref="AP69:AW69"/>
    <mergeCell ref="AX69:BJ69"/>
    <mergeCell ref="BK69:BW69"/>
    <mergeCell ref="CM69:CY69"/>
    <mergeCell ref="A70:AO70"/>
    <mergeCell ref="AP70:AW70"/>
    <mergeCell ref="AX70:BJ70"/>
    <mergeCell ref="BK70:BW70"/>
    <mergeCell ref="CM70:CY70"/>
    <mergeCell ref="A68:AO68"/>
    <mergeCell ref="AP68:AW68"/>
    <mergeCell ref="AX68:BJ68"/>
    <mergeCell ref="BK68:BW68"/>
    <mergeCell ref="CM68:CY68"/>
    <mergeCell ref="CM65:CY65"/>
    <mergeCell ref="BK63:BW63"/>
    <mergeCell ref="CM63:CY63"/>
    <mergeCell ref="A67:AO67"/>
    <mergeCell ref="AP67:AW67"/>
    <mergeCell ref="AX67:BJ67"/>
    <mergeCell ref="BK67:BW67"/>
    <mergeCell ref="CM67:CY67"/>
    <mergeCell ref="A64:AO64"/>
    <mergeCell ref="AP64:AW64"/>
    <mergeCell ref="AX64:BJ64"/>
    <mergeCell ref="BK64:BW64"/>
    <mergeCell ref="CM64:CY64"/>
    <mergeCell ref="A65:AO65"/>
    <mergeCell ref="A49:AO49"/>
    <mergeCell ref="AP49:AW49"/>
    <mergeCell ref="AX49:BJ49"/>
    <mergeCell ref="BK49:BW49"/>
    <mergeCell ref="A56:AO56"/>
    <mergeCell ref="AP56:AW56"/>
    <mergeCell ref="AX56:BJ56"/>
    <mergeCell ref="BK56:BW56"/>
    <mergeCell ref="A53:AO53"/>
    <mergeCell ref="AP53:AW53"/>
    <mergeCell ref="AX53:BJ53"/>
    <mergeCell ref="BK53:BW53"/>
    <mergeCell ref="A54:AO54"/>
    <mergeCell ref="AP54:AW54"/>
    <mergeCell ref="AX54:BJ54"/>
    <mergeCell ref="BK54:BW54"/>
    <mergeCell ref="AP50:AW50"/>
    <mergeCell ref="AX50:BJ50"/>
    <mergeCell ref="BK50:BW50"/>
    <mergeCell ref="A50:AO50"/>
    <mergeCell ref="A55:AO55"/>
    <mergeCell ref="AP55:AW55"/>
    <mergeCell ref="AX55:BJ55"/>
    <mergeCell ref="BK55:BW55"/>
    <mergeCell ref="AX62:BJ62"/>
    <mergeCell ref="BK62:BW62"/>
    <mergeCell ref="CM62:CY62"/>
    <mergeCell ref="A63:AO63"/>
    <mergeCell ref="AP63:AW63"/>
    <mergeCell ref="AX63:BJ63"/>
    <mergeCell ref="AX59:BJ59"/>
    <mergeCell ref="A60:AO60"/>
    <mergeCell ref="AP60:AW60"/>
    <mergeCell ref="AX60:BJ60"/>
    <mergeCell ref="BK60:BW60"/>
    <mergeCell ref="CM60:CY60"/>
    <mergeCell ref="A61:AO61"/>
    <mergeCell ref="AP61:AW61"/>
    <mergeCell ref="AX61:BJ61"/>
    <mergeCell ref="BK61:BW61"/>
    <mergeCell ref="CM61:CY61"/>
    <mergeCell ref="CM47:CY48"/>
    <mergeCell ref="A48:AO48"/>
    <mergeCell ref="BZ47:BZ48"/>
    <mergeCell ref="CC47:CC48"/>
    <mergeCell ref="CD47:CD48"/>
    <mergeCell ref="CE47:CE48"/>
    <mergeCell ref="CH47:CH48"/>
    <mergeCell ref="CJ47:CJ48"/>
    <mergeCell ref="A47:AO47"/>
    <mergeCell ref="AP47:AW48"/>
    <mergeCell ref="AX47:BJ48"/>
    <mergeCell ref="BK47:BW48"/>
    <mergeCell ref="BX47:BX48"/>
    <mergeCell ref="BY47:BY48"/>
    <mergeCell ref="CA47:CA48"/>
    <mergeCell ref="CB47:CB48"/>
    <mergeCell ref="CI47:CI48"/>
    <mergeCell ref="CF47:CF48"/>
    <mergeCell ref="CG47:CG48"/>
    <mergeCell ref="CH44:CH45"/>
    <mergeCell ref="CM44:CY45"/>
    <mergeCell ref="A45:AO45"/>
    <mergeCell ref="A46:AO46"/>
    <mergeCell ref="AP46:AW46"/>
    <mergeCell ref="AX46:BJ46"/>
    <mergeCell ref="BK46:BW46"/>
    <mergeCell ref="CM46:CY46"/>
    <mergeCell ref="A44:AO44"/>
    <mergeCell ref="AP44:AW45"/>
    <mergeCell ref="AX44:BJ45"/>
    <mergeCell ref="BK44:BW45"/>
    <mergeCell ref="BY44:BY45"/>
    <mergeCell ref="CD44:CD45"/>
    <mergeCell ref="CM42:CY42"/>
    <mergeCell ref="A43:AO43"/>
    <mergeCell ref="AP43:AW43"/>
    <mergeCell ref="AX43:BJ43"/>
    <mergeCell ref="BK43:BW43"/>
    <mergeCell ref="CM43:CY43"/>
    <mergeCell ref="A41:AO41"/>
    <mergeCell ref="AX41:BJ41"/>
    <mergeCell ref="BK41:BW41"/>
    <mergeCell ref="A42:AO42"/>
    <mergeCell ref="AP42:AW42"/>
    <mergeCell ref="AX42:BJ42"/>
    <mergeCell ref="BK42:BW42"/>
    <mergeCell ref="A37:AO37"/>
    <mergeCell ref="AP37:AW37"/>
    <mergeCell ref="AX37:BJ37"/>
    <mergeCell ref="BK37:BW37"/>
    <mergeCell ref="CM37:CY37"/>
    <mergeCell ref="CM39:CY39"/>
    <mergeCell ref="A40:AO40"/>
    <mergeCell ref="AP40:AW40"/>
    <mergeCell ref="AX40:BJ40"/>
    <mergeCell ref="BK40:BW40"/>
    <mergeCell ref="CM40:CY40"/>
    <mergeCell ref="A38:AP38"/>
    <mergeCell ref="AX38:BJ38"/>
    <mergeCell ref="BK38:BW38"/>
    <mergeCell ref="A39:AO39"/>
    <mergeCell ref="AP39:AW39"/>
    <mergeCell ref="AX39:BJ39"/>
    <mergeCell ref="BK39:BW39"/>
    <mergeCell ref="A35:AO35"/>
    <mergeCell ref="AP35:AW35"/>
    <mergeCell ref="AX35:BJ35"/>
    <mergeCell ref="BK35:BW35"/>
    <mergeCell ref="CM35:CY35"/>
    <mergeCell ref="A36:AO36"/>
    <mergeCell ref="AP36:AW36"/>
    <mergeCell ref="AX36:BJ36"/>
    <mergeCell ref="BK36:BW36"/>
    <mergeCell ref="CM36:CY36"/>
    <mergeCell ref="A33:AO33"/>
    <mergeCell ref="AP33:AW33"/>
    <mergeCell ref="AX33:BJ33"/>
    <mergeCell ref="BK33:BW33"/>
    <mergeCell ref="CM33:CY33"/>
    <mergeCell ref="A34:AO34"/>
    <mergeCell ref="AP34:AW34"/>
    <mergeCell ref="AX34:BJ34"/>
    <mergeCell ref="BK34:BW34"/>
    <mergeCell ref="CM34:CY34"/>
    <mergeCell ref="A31:AO31"/>
    <mergeCell ref="AP31:AW31"/>
    <mergeCell ref="AX31:BJ31"/>
    <mergeCell ref="BK31:BW31"/>
    <mergeCell ref="CM31:CY31"/>
    <mergeCell ref="A32:AO32"/>
    <mergeCell ref="AP32:AW32"/>
    <mergeCell ref="AX32:BJ32"/>
    <mergeCell ref="BK32:BW32"/>
    <mergeCell ref="CM32:CY32"/>
    <mergeCell ref="A29:AO29"/>
    <mergeCell ref="AP29:AW29"/>
    <mergeCell ref="AX29:BJ29"/>
    <mergeCell ref="BK29:BW29"/>
    <mergeCell ref="CM29:CY29"/>
    <mergeCell ref="A30:AO30"/>
    <mergeCell ref="AP30:AW30"/>
    <mergeCell ref="AX30:BJ30"/>
    <mergeCell ref="BK30:BW30"/>
    <mergeCell ref="CM30:CY30"/>
    <mergeCell ref="CM19:CY19"/>
    <mergeCell ref="AB20:CJ20"/>
    <mergeCell ref="CM20:CY20"/>
    <mergeCell ref="CM21:CY21"/>
    <mergeCell ref="A23:CY23"/>
    <mergeCell ref="A25:AO28"/>
    <mergeCell ref="AP25:AW28"/>
    <mergeCell ref="AX25:BJ28"/>
    <mergeCell ref="BK25:BW28"/>
    <mergeCell ref="BY25:CY25"/>
    <mergeCell ref="CM26:CY28"/>
    <mergeCell ref="BY27:CB27"/>
    <mergeCell ref="CC27:CG27"/>
    <mergeCell ref="CH27:CL27"/>
    <mergeCell ref="CK17:CL17"/>
    <mergeCell ref="CM17:CY17"/>
    <mergeCell ref="CK18:CL18"/>
    <mergeCell ref="CM18:CY18"/>
    <mergeCell ref="BH13:BP13"/>
    <mergeCell ref="CM13:CY14"/>
    <mergeCell ref="Y15:AB15"/>
    <mergeCell ref="AC15:AE15"/>
    <mergeCell ref="AF15:AG15"/>
    <mergeCell ref="AI15:AW15"/>
    <mergeCell ref="AX15:AZ15"/>
    <mergeCell ref="BA15:BC15"/>
    <mergeCell ref="CM15:CY15"/>
    <mergeCell ref="CK16:CL16"/>
    <mergeCell ref="CM16:CY16"/>
    <mergeCell ref="AB17:CJ17"/>
    <mergeCell ref="CL1:CY1"/>
    <mergeCell ref="CI3:CY3"/>
    <mergeCell ref="CI4:CY4"/>
    <mergeCell ref="CI5:CY5"/>
    <mergeCell ref="CI6:CY6"/>
    <mergeCell ref="Q13:W13"/>
    <mergeCell ref="X13:Z13"/>
    <mergeCell ref="AA13:AV13"/>
    <mergeCell ref="AW13:AY13"/>
    <mergeCell ref="AZ13:BD13"/>
    <mergeCell ref="BE13:BG13"/>
    <mergeCell ref="CI7:CY7"/>
    <mergeCell ref="CL8:CY8"/>
    <mergeCell ref="CI9:CJ9"/>
    <mergeCell ref="CL9:CY9"/>
    <mergeCell ref="CN10:CP10"/>
    <mergeCell ref="CQ10:CS10"/>
    <mergeCell ref="CK10:CL10"/>
    <mergeCell ref="CM90:CY90"/>
    <mergeCell ref="A77:AO77"/>
    <mergeCell ref="AP77:AW77"/>
    <mergeCell ref="AX77:BJ77"/>
    <mergeCell ref="BK77:BW77"/>
    <mergeCell ref="CM77:CY77"/>
    <mergeCell ref="A78:AO78"/>
    <mergeCell ref="AP78:AW78"/>
    <mergeCell ref="AX78:BJ78"/>
    <mergeCell ref="BK78:BW78"/>
    <mergeCell ref="CM78:CY78"/>
    <mergeCell ref="CM79:CY79"/>
    <mergeCell ref="A81:AO81"/>
    <mergeCell ref="AP81:AW81"/>
    <mergeCell ref="AX81:BJ81"/>
    <mergeCell ref="BK81:BW81"/>
    <mergeCell ref="CM81:CY81"/>
    <mergeCell ref="A82:AO82"/>
    <mergeCell ref="AP82:AW82"/>
    <mergeCell ref="AX82:BJ82"/>
    <mergeCell ref="BK82:BW82"/>
    <mergeCell ref="CM82:CY82"/>
    <mergeCell ref="A79:AO79"/>
    <mergeCell ref="AP79:AW79"/>
    <mergeCell ref="CM93:CY93"/>
    <mergeCell ref="A111:AO111"/>
    <mergeCell ref="AP111:AW111"/>
    <mergeCell ref="AX111:BJ111"/>
    <mergeCell ref="BK111:BW111"/>
    <mergeCell ref="CM111:CY111"/>
    <mergeCell ref="A94:AO94"/>
    <mergeCell ref="AP94:AW94"/>
    <mergeCell ref="AX94:BJ94"/>
    <mergeCell ref="BK94:BW94"/>
    <mergeCell ref="CM94:CY94"/>
    <mergeCell ref="A95:AO95"/>
    <mergeCell ref="AP95:AW95"/>
    <mergeCell ref="AX95:BJ95"/>
    <mergeCell ref="BK95:BW95"/>
    <mergeCell ref="CM95:CY95"/>
    <mergeCell ref="A96:AO96"/>
    <mergeCell ref="AP96:AW96"/>
    <mergeCell ref="AX96:BJ96"/>
    <mergeCell ref="BK96:BW96"/>
    <mergeCell ref="CM96:CY96"/>
    <mergeCell ref="A97:AO97"/>
    <mergeCell ref="AP97:AW97"/>
    <mergeCell ref="AX97:BJ97"/>
    <mergeCell ref="CM116:CY116"/>
    <mergeCell ref="A117:AO117"/>
    <mergeCell ref="AP117:AW117"/>
    <mergeCell ref="AX117:BJ117"/>
    <mergeCell ref="BK117:BW117"/>
    <mergeCell ref="CM117:CY117"/>
    <mergeCell ref="A112:AO112"/>
    <mergeCell ref="AP112:AW112"/>
    <mergeCell ref="AX112:BJ112"/>
    <mergeCell ref="BK112:BW112"/>
    <mergeCell ref="CM112:CY112"/>
    <mergeCell ref="A113:AO113"/>
    <mergeCell ref="AP113:AW113"/>
    <mergeCell ref="AX113:BJ113"/>
    <mergeCell ref="BK113:BW113"/>
    <mergeCell ref="CM113:CY113"/>
    <mergeCell ref="A115:AO115"/>
    <mergeCell ref="AP115:AW115"/>
    <mergeCell ref="AX115:BJ115"/>
    <mergeCell ref="BK115:BW115"/>
    <mergeCell ref="CM115:CY115"/>
    <mergeCell ref="A116:AO116"/>
    <mergeCell ref="AP116:AW116"/>
    <mergeCell ref="AX116:BJ116"/>
    <mergeCell ref="CM118:CY118"/>
    <mergeCell ref="A119:AO119"/>
    <mergeCell ref="AP119:AW119"/>
    <mergeCell ref="AX119:BJ119"/>
    <mergeCell ref="BK119:BW119"/>
    <mergeCell ref="CM119:CY119"/>
    <mergeCell ref="A123:AO123"/>
    <mergeCell ref="AP123:AW123"/>
    <mergeCell ref="AX123:BJ123"/>
    <mergeCell ref="BK123:BW123"/>
    <mergeCell ref="A120:AO120"/>
    <mergeCell ref="AP120:AW120"/>
    <mergeCell ref="BK120:BW120"/>
    <mergeCell ref="CM123:CY123"/>
    <mergeCell ref="CM120:CY122"/>
    <mergeCell ref="A121:AO121"/>
    <mergeCell ref="AP121:AW121"/>
    <mergeCell ref="AX121:BJ121"/>
    <mergeCell ref="BK121:BW121"/>
    <mergeCell ref="A122:AO122"/>
    <mergeCell ref="AP122:AW122"/>
    <mergeCell ref="AX122:BJ122"/>
    <mergeCell ref="BK122:BW122"/>
    <mergeCell ref="A76:AO76"/>
    <mergeCell ref="AP76:AW76"/>
    <mergeCell ref="AX76:BJ76"/>
    <mergeCell ref="BK76:BW76"/>
    <mergeCell ref="A90:AO90"/>
    <mergeCell ref="AP90:AW90"/>
    <mergeCell ref="AX90:BJ90"/>
    <mergeCell ref="BK90:BW90"/>
    <mergeCell ref="AX79:BJ79"/>
    <mergeCell ref="BK79:BW79"/>
    <mergeCell ref="A83:AO83"/>
    <mergeCell ref="AP83:AW83"/>
    <mergeCell ref="AX83:BJ83"/>
    <mergeCell ref="BK83:BW83"/>
    <mergeCell ref="A86:AO86"/>
    <mergeCell ref="AP86:AW86"/>
    <mergeCell ref="AX86:BJ86"/>
    <mergeCell ref="BK86:BW86"/>
    <mergeCell ref="A80:AO80"/>
    <mergeCell ref="AP80:AW80"/>
    <mergeCell ref="AX80:BJ80"/>
    <mergeCell ref="BK80:BW80"/>
    <mergeCell ref="BK116:BW116"/>
    <mergeCell ref="A93:AO93"/>
    <mergeCell ref="AP93:AW93"/>
    <mergeCell ref="AX93:BJ93"/>
    <mergeCell ref="BK93:BW93"/>
    <mergeCell ref="BK97:BW97"/>
    <mergeCell ref="A100:AO100"/>
    <mergeCell ref="AP100:AW100"/>
    <mergeCell ref="AX100:BJ100"/>
    <mergeCell ref="BK100:BW100"/>
    <mergeCell ref="A103:AO103"/>
    <mergeCell ref="AP103:AW103"/>
    <mergeCell ref="AX103:BJ103"/>
    <mergeCell ref="BK103:BW103"/>
    <mergeCell ref="A106:AO106"/>
    <mergeCell ref="AP106:AW106"/>
    <mergeCell ref="AX106:BJ106"/>
    <mergeCell ref="BK106:BW106"/>
    <mergeCell ref="A109:AO109"/>
    <mergeCell ref="AP109:AW109"/>
    <mergeCell ref="AX109:BJ109"/>
    <mergeCell ref="BK109:BW109"/>
    <mergeCell ref="A138:AO138"/>
    <mergeCell ref="AP138:AW138"/>
    <mergeCell ref="AX138:BJ138"/>
    <mergeCell ref="BK138:BW138"/>
    <mergeCell ref="A118:AO118"/>
    <mergeCell ref="AP118:AW118"/>
    <mergeCell ref="AX118:BJ118"/>
    <mergeCell ref="BK118:BW118"/>
    <mergeCell ref="A124:AO124"/>
    <mergeCell ref="AP124:AW124"/>
    <mergeCell ref="AX124:BJ124"/>
    <mergeCell ref="BK124:BW124"/>
    <mergeCell ref="A125:AO125"/>
    <mergeCell ref="AP125:AW125"/>
    <mergeCell ref="AX125:BJ125"/>
    <mergeCell ref="BK125:BW125"/>
    <mergeCell ref="A128:AO128"/>
    <mergeCell ref="AP128:AW128"/>
    <mergeCell ref="AX128:BJ128"/>
    <mergeCell ref="BK128:BW128"/>
    <mergeCell ref="A126:AO126"/>
    <mergeCell ref="AP126:AW126"/>
    <mergeCell ref="AX126:BJ126"/>
    <mergeCell ref="BK126:BW126"/>
    <mergeCell ref="CM76:CY76"/>
    <mergeCell ref="A51:AO51"/>
    <mergeCell ref="AP51:AW51"/>
    <mergeCell ref="AX51:BJ51"/>
    <mergeCell ref="BK51:BW51"/>
    <mergeCell ref="A58:AO58"/>
    <mergeCell ref="AP58:AW58"/>
    <mergeCell ref="AX58:BJ58"/>
    <mergeCell ref="BK58:BW58"/>
    <mergeCell ref="CM58:CY58"/>
    <mergeCell ref="A59:AO59"/>
    <mergeCell ref="AP59:AW59"/>
    <mergeCell ref="CM56:CY56"/>
    <mergeCell ref="A57:AO57"/>
    <mergeCell ref="AP57:AW57"/>
    <mergeCell ref="AX57:BJ57"/>
    <mergeCell ref="BK57:BW57"/>
    <mergeCell ref="CM57:CY57"/>
    <mergeCell ref="A52:AO52"/>
    <mergeCell ref="AP52:AW52"/>
    <mergeCell ref="AX52:BJ52"/>
    <mergeCell ref="BK52:BW52"/>
    <mergeCell ref="A62:AO62"/>
    <mergeCell ref="AP62:AW62"/>
  </mergeCells>
  <phoneticPr fontId="45" type="noConversion"/>
  <pageMargins left="0.43307086614173229" right="0.23622047244094491" top="0.35433070866141736" bottom="0.15748031496062992" header="0.31496062992125984" footer="0.31496062992125984"/>
  <pageSetup paperSize="9" scale="32" fitToHeight="0" orientation="landscape" r:id="rId1"/>
  <rowBreaks count="2" manualBreakCount="2">
    <brk id="69" max="102" man="1"/>
    <brk id="115" max="10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A20"/>
  <sheetViews>
    <sheetView view="pageBreakPreview" zoomScale="87" zoomScaleNormal="100" zoomScaleSheetLayoutView="87" workbookViewId="0">
      <selection activeCell="Y13" sqref="Y13"/>
    </sheetView>
  </sheetViews>
  <sheetFormatPr defaultColWidth="8.85546875" defaultRowHeight="12.75" x14ac:dyDescent="0.2"/>
  <cols>
    <col min="2" max="2" width="11.85546875" customWidth="1"/>
    <col min="4" max="4" width="10.28515625" customWidth="1"/>
    <col min="10" max="10" width="13" customWidth="1"/>
    <col min="12" max="12" width="11" customWidth="1"/>
    <col min="19" max="19" width="11.85546875" customWidth="1"/>
    <col min="20" max="20" width="12.28515625" customWidth="1"/>
    <col min="21" max="21" width="12.140625" customWidth="1"/>
    <col min="22" max="22" width="13.5703125" customWidth="1"/>
    <col min="23" max="23" width="12.7109375" customWidth="1"/>
    <col min="25" max="25" width="16.140625" customWidth="1"/>
    <col min="26" max="26" width="12.5703125" customWidth="1"/>
    <col min="27" max="27" width="11.28515625" customWidth="1"/>
  </cols>
  <sheetData>
    <row r="1" spans="1:27" ht="21" thickBot="1" x14ac:dyDescent="0.25">
      <c r="A1" s="1646" t="s">
        <v>1418</v>
      </c>
      <c r="B1" s="1646"/>
      <c r="C1" s="1646"/>
      <c r="D1" s="1646"/>
      <c r="E1" s="1646"/>
      <c r="F1" s="1646"/>
      <c r="G1" s="1646"/>
      <c r="H1" s="1646"/>
      <c r="I1" s="1646"/>
      <c r="J1" s="1646"/>
      <c r="K1" s="1646"/>
      <c r="L1" s="1646"/>
      <c r="M1" s="1647"/>
      <c r="N1" s="1647"/>
      <c r="O1" s="1647"/>
      <c r="P1" s="1647"/>
      <c r="Q1" s="1647"/>
      <c r="R1" s="1647"/>
      <c r="S1" s="1646"/>
      <c r="T1" s="1646"/>
      <c r="U1" s="1646"/>
      <c r="V1" s="1646"/>
      <c r="W1" s="301"/>
      <c r="X1" s="302"/>
      <c r="Y1" s="302"/>
      <c r="Z1" s="302"/>
      <c r="AA1" s="302"/>
    </row>
    <row r="2" spans="1:27" ht="15" x14ac:dyDescent="0.2">
      <c r="A2" s="1714" t="s">
        <v>794</v>
      </c>
      <c r="B2" s="1715"/>
      <c r="C2" s="1718" t="s">
        <v>795</v>
      </c>
      <c r="D2" s="1721" t="s">
        <v>796</v>
      </c>
      <c r="E2" s="1724" t="s">
        <v>797</v>
      </c>
      <c r="F2" s="1725"/>
      <c r="G2" s="1725"/>
      <c r="H2" s="1725"/>
      <c r="I2" s="1726"/>
      <c r="J2" s="1727" t="s">
        <v>798</v>
      </c>
      <c r="K2" s="1727" t="s">
        <v>799</v>
      </c>
      <c r="L2" s="1727" t="s">
        <v>800</v>
      </c>
      <c r="M2" s="1730" t="s">
        <v>801</v>
      </c>
      <c r="N2" s="1730"/>
      <c r="O2" s="1730"/>
      <c r="P2" s="1730"/>
      <c r="Q2" s="1730"/>
      <c r="R2" s="1730"/>
      <c r="S2" s="1731" t="s">
        <v>802</v>
      </c>
      <c r="T2" s="1735" t="s">
        <v>803</v>
      </c>
      <c r="U2" s="1727" t="s">
        <v>804</v>
      </c>
      <c r="V2" s="1727" t="s">
        <v>805</v>
      </c>
      <c r="W2" s="1727" t="s">
        <v>806</v>
      </c>
      <c r="X2" s="302"/>
      <c r="Y2" s="302"/>
      <c r="Z2" s="302"/>
      <c r="AA2" s="302"/>
    </row>
    <row r="3" spans="1:27" ht="15" x14ac:dyDescent="0.2">
      <c r="A3" s="1716"/>
      <c r="B3" s="1717"/>
      <c r="C3" s="1719"/>
      <c r="D3" s="1722"/>
      <c r="E3" s="1736" t="s">
        <v>807</v>
      </c>
      <c r="F3" s="1737"/>
      <c r="G3" s="1738" t="s">
        <v>808</v>
      </c>
      <c r="H3" s="1736" t="s">
        <v>809</v>
      </c>
      <c r="I3" s="1737"/>
      <c r="J3" s="1719"/>
      <c r="K3" s="1728"/>
      <c r="L3" s="1728"/>
      <c r="M3" s="1740" t="s">
        <v>1211</v>
      </c>
      <c r="N3" s="1740" t="s">
        <v>1212</v>
      </c>
      <c r="O3" s="1740" t="s">
        <v>812</v>
      </c>
      <c r="P3" s="1741" t="s">
        <v>813</v>
      </c>
      <c r="Q3" s="1741"/>
      <c r="R3" s="1741" t="s">
        <v>189</v>
      </c>
      <c r="S3" s="1732"/>
      <c r="T3" s="1722"/>
      <c r="U3" s="1719"/>
      <c r="V3" s="1719"/>
      <c r="W3" s="1719"/>
      <c r="X3" s="302"/>
      <c r="Y3" s="302"/>
      <c r="Z3" s="302"/>
      <c r="AA3" s="302"/>
    </row>
    <row r="4" spans="1:27" ht="134.25" x14ac:dyDescent="0.2">
      <c r="A4" s="1716"/>
      <c r="B4" s="1717"/>
      <c r="C4" s="1720"/>
      <c r="D4" s="1723"/>
      <c r="E4" s="304" t="s">
        <v>814</v>
      </c>
      <c r="F4" s="304" t="s">
        <v>815</v>
      </c>
      <c r="G4" s="1739"/>
      <c r="H4" s="304" t="s">
        <v>816</v>
      </c>
      <c r="I4" s="304" t="s">
        <v>817</v>
      </c>
      <c r="J4" s="1720"/>
      <c r="K4" s="1729"/>
      <c r="L4" s="1729"/>
      <c r="M4" s="1740"/>
      <c r="N4" s="1740"/>
      <c r="O4" s="1740"/>
      <c r="P4" s="1742"/>
      <c r="Q4" s="1742"/>
      <c r="R4" s="1742"/>
      <c r="S4" s="1733"/>
      <c r="T4" s="1723"/>
      <c r="U4" s="1720"/>
      <c r="V4" s="1720"/>
      <c r="W4" s="1720"/>
      <c r="X4" s="302"/>
      <c r="Y4" s="302"/>
      <c r="Z4" s="302"/>
      <c r="AA4" s="302"/>
    </row>
    <row r="5" spans="1:27" ht="15" x14ac:dyDescent="0.2">
      <c r="A5" s="1743">
        <v>1</v>
      </c>
      <c r="B5" s="1744"/>
      <c r="C5" s="305">
        <v>2</v>
      </c>
      <c r="D5" s="305">
        <v>3</v>
      </c>
      <c r="E5" s="305">
        <v>4</v>
      </c>
      <c r="F5" s="305">
        <v>5</v>
      </c>
      <c r="G5" s="305">
        <v>6</v>
      </c>
      <c r="H5" s="305">
        <v>7</v>
      </c>
      <c r="I5" s="305">
        <v>8</v>
      </c>
      <c r="J5" s="305">
        <v>9</v>
      </c>
      <c r="K5" s="305">
        <v>10</v>
      </c>
      <c r="L5" s="305">
        <v>11</v>
      </c>
      <c r="M5" s="305">
        <v>12</v>
      </c>
      <c r="N5" s="305">
        <v>13</v>
      </c>
      <c r="O5" s="305">
        <v>14</v>
      </c>
      <c r="P5" s="305">
        <v>14</v>
      </c>
      <c r="Q5" s="305">
        <v>16</v>
      </c>
      <c r="R5" s="305">
        <v>15</v>
      </c>
      <c r="S5" s="305">
        <v>16</v>
      </c>
      <c r="T5" s="305">
        <v>17</v>
      </c>
      <c r="U5" s="305">
        <v>18</v>
      </c>
      <c r="V5" s="305">
        <v>19</v>
      </c>
      <c r="W5" s="305">
        <v>20</v>
      </c>
      <c r="X5" s="302"/>
      <c r="Y5" s="302"/>
      <c r="Z5" s="302"/>
      <c r="AA5" s="302"/>
    </row>
    <row r="6" spans="1:27" ht="15" x14ac:dyDescent="0.2">
      <c r="A6" s="1734" t="s">
        <v>1213</v>
      </c>
      <c r="B6" s="1734"/>
      <c r="C6" s="303">
        <v>2</v>
      </c>
      <c r="D6" s="303">
        <v>12265</v>
      </c>
      <c r="E6" s="303"/>
      <c r="F6" s="303"/>
      <c r="G6" s="303"/>
      <c r="H6" s="303"/>
      <c r="I6" s="303">
        <v>1.2</v>
      </c>
      <c r="J6" s="306">
        <f>ROUND(C6*D6*I6,2)</f>
        <v>29436</v>
      </c>
      <c r="K6" s="306"/>
      <c r="L6" s="306">
        <f>J6</f>
        <v>29436</v>
      </c>
      <c r="M6" s="306"/>
      <c r="N6" s="306"/>
      <c r="O6" s="306"/>
      <c r="P6" s="306">
        <f>L6*4%</f>
        <v>1177.44</v>
      </c>
      <c r="Q6" s="306"/>
      <c r="R6" s="306">
        <f>M6+N6+P6</f>
        <v>1177.44</v>
      </c>
      <c r="S6" s="306">
        <f>L6+R6</f>
        <v>30613.439999999999</v>
      </c>
      <c r="T6" s="306">
        <f>L6*27%</f>
        <v>7947.72</v>
      </c>
      <c r="U6" s="306">
        <f>S6+T6</f>
        <v>38561.159999999996</v>
      </c>
      <c r="V6" s="306">
        <f>U6*6</f>
        <v>231366.95999999996</v>
      </c>
      <c r="W6" s="306">
        <f>V6*30.2%</f>
        <v>69872.821919999988</v>
      </c>
      <c r="X6" s="302"/>
      <c r="Y6" s="302" t="s">
        <v>818</v>
      </c>
      <c r="Z6" s="307">
        <f>U6</f>
        <v>38561.159999999996</v>
      </c>
      <c r="AA6" s="302"/>
    </row>
    <row r="7" spans="1:27" ht="15" x14ac:dyDescent="0.2">
      <c r="A7" s="1734" t="s">
        <v>98</v>
      </c>
      <c r="B7" s="1734"/>
      <c r="C7" s="303">
        <v>2</v>
      </c>
      <c r="D7" s="303">
        <v>12265</v>
      </c>
      <c r="E7" s="303"/>
      <c r="F7" s="303"/>
      <c r="G7" s="303"/>
      <c r="H7" s="303"/>
      <c r="I7" s="303">
        <v>1.05</v>
      </c>
      <c r="J7" s="306">
        <f t="shared" ref="J7:J11" si="0">ROUND(C7*D7*I7,2)</f>
        <v>25756.5</v>
      </c>
      <c r="K7" s="306"/>
      <c r="L7" s="306">
        <f>J7</f>
        <v>25756.5</v>
      </c>
      <c r="M7" s="306"/>
      <c r="N7" s="306"/>
      <c r="O7" s="306"/>
      <c r="P7" s="306">
        <f>L7*4%</f>
        <v>1030.26</v>
      </c>
      <c r="Q7" s="306"/>
      <c r="R7" s="306">
        <f t="shared" ref="R7:R11" si="1">M7+N7+P7</f>
        <v>1030.26</v>
      </c>
      <c r="S7" s="306">
        <f t="shared" ref="S7:S12" si="2">L7+R7</f>
        <v>26786.76</v>
      </c>
      <c r="T7" s="306">
        <f t="shared" ref="T7:T11" si="3">L7*27%</f>
        <v>6954.2550000000001</v>
      </c>
      <c r="U7" s="306">
        <f t="shared" ref="U7:U12" si="4">S7+T7</f>
        <v>33741.014999999999</v>
      </c>
      <c r="V7" s="306">
        <f t="shared" ref="V7:V12" si="5">U7*6</f>
        <v>202446.09</v>
      </c>
      <c r="W7" s="306">
        <f t="shared" ref="W7:W12" si="6">V7*30.2%</f>
        <v>61138.71918</v>
      </c>
      <c r="X7" s="302"/>
      <c r="Y7" s="302" t="s">
        <v>819</v>
      </c>
      <c r="Z7" s="307" t="e">
        <f>#REF!+#REF!+#REF!+#REF!+#REF!+#REF!+#REF!+#REF!</f>
        <v>#REF!</v>
      </c>
      <c r="AA7" s="302"/>
    </row>
    <row r="8" spans="1:27" ht="54" customHeight="1" x14ac:dyDescent="0.2">
      <c r="A8" s="1746" t="s">
        <v>1210</v>
      </c>
      <c r="B8" s="1747"/>
      <c r="C8" s="303">
        <v>1</v>
      </c>
      <c r="D8" s="303">
        <v>12265</v>
      </c>
      <c r="E8" s="303"/>
      <c r="F8" s="303"/>
      <c r="G8" s="303"/>
      <c r="H8" s="303"/>
      <c r="I8" s="303">
        <v>1.2</v>
      </c>
      <c r="J8" s="306">
        <f t="shared" si="0"/>
        <v>14718</v>
      </c>
      <c r="K8" s="306"/>
      <c r="L8" s="309">
        <f>J8+K8</f>
        <v>14718</v>
      </c>
      <c r="M8" s="309"/>
      <c r="N8" s="309"/>
      <c r="O8" s="311"/>
      <c r="P8" s="309"/>
      <c r="Q8" s="306"/>
      <c r="R8" s="306">
        <f t="shared" si="1"/>
        <v>0</v>
      </c>
      <c r="S8" s="306">
        <f t="shared" si="2"/>
        <v>14718</v>
      </c>
      <c r="T8" s="306">
        <f t="shared" si="3"/>
        <v>3973.86</v>
      </c>
      <c r="U8" s="306">
        <f t="shared" si="4"/>
        <v>18691.86</v>
      </c>
      <c r="V8" s="306">
        <f t="shared" si="5"/>
        <v>112151.16</v>
      </c>
      <c r="W8" s="306">
        <f t="shared" si="6"/>
        <v>33869.650320000001</v>
      </c>
      <c r="X8" s="302"/>
      <c r="Y8" s="307" t="e">
        <f>#REF!+J8+J9</f>
        <v>#REF!</v>
      </c>
      <c r="Z8" s="302" t="e">
        <f>Y8*1%</f>
        <v>#REF!</v>
      </c>
      <c r="AA8" s="302"/>
    </row>
    <row r="9" spans="1:27" ht="15" x14ac:dyDescent="0.2">
      <c r="A9" s="1734" t="s">
        <v>99</v>
      </c>
      <c r="B9" s="1734"/>
      <c r="C9" s="303">
        <v>0.5</v>
      </c>
      <c r="D9" s="303">
        <v>12265</v>
      </c>
      <c r="E9" s="303"/>
      <c r="F9" s="303"/>
      <c r="G9" s="303"/>
      <c r="H9" s="303"/>
      <c r="I9" s="303">
        <v>1.05</v>
      </c>
      <c r="J9" s="306">
        <f t="shared" si="0"/>
        <v>6439.13</v>
      </c>
      <c r="K9" s="306"/>
      <c r="L9" s="309">
        <f>J9</f>
        <v>6439.13</v>
      </c>
      <c r="M9" s="311"/>
      <c r="N9" s="309"/>
      <c r="O9" s="311"/>
      <c r="P9" s="311"/>
      <c r="Q9" s="306"/>
      <c r="R9" s="306">
        <f t="shared" si="1"/>
        <v>0</v>
      </c>
      <c r="S9" s="306">
        <f t="shared" si="2"/>
        <v>6439.13</v>
      </c>
      <c r="T9" s="306">
        <f t="shared" si="3"/>
        <v>1738.5651000000003</v>
      </c>
      <c r="U9" s="306">
        <f t="shared" si="4"/>
        <v>8177.6951000000008</v>
      </c>
      <c r="V9" s="306">
        <f t="shared" si="5"/>
        <v>49066.170600000005</v>
      </c>
      <c r="W9" s="306">
        <f t="shared" si="6"/>
        <v>14817.983521200002</v>
      </c>
      <c r="X9" s="302"/>
      <c r="Y9" s="307"/>
      <c r="Z9" s="302"/>
      <c r="AA9" s="302"/>
    </row>
    <row r="10" spans="1:27" ht="28.15" customHeight="1" x14ac:dyDescent="0.2">
      <c r="A10" s="1734" t="s">
        <v>1209</v>
      </c>
      <c r="B10" s="1734"/>
      <c r="C10" s="303">
        <v>1</v>
      </c>
      <c r="D10" s="303">
        <v>12265</v>
      </c>
      <c r="E10" s="312"/>
      <c r="F10" s="303"/>
      <c r="G10" s="312"/>
      <c r="H10" s="312"/>
      <c r="I10" s="303">
        <v>1.05</v>
      </c>
      <c r="J10" s="306">
        <f t="shared" si="0"/>
        <v>12878.25</v>
      </c>
      <c r="K10" s="306"/>
      <c r="L10" s="309">
        <f>J10</f>
        <v>12878.25</v>
      </c>
      <c r="M10" s="313"/>
      <c r="N10" s="306"/>
      <c r="O10" s="306"/>
      <c r="P10" s="306"/>
      <c r="Q10" s="306"/>
      <c r="R10" s="306">
        <f t="shared" si="1"/>
        <v>0</v>
      </c>
      <c r="S10" s="306">
        <f t="shared" si="2"/>
        <v>12878.25</v>
      </c>
      <c r="T10" s="306">
        <f t="shared" si="3"/>
        <v>3477.1275000000001</v>
      </c>
      <c r="U10" s="306">
        <f t="shared" si="4"/>
        <v>16355.377500000001</v>
      </c>
      <c r="V10" s="306">
        <f t="shared" si="5"/>
        <v>98132.264999999999</v>
      </c>
      <c r="W10" s="306">
        <f t="shared" si="6"/>
        <v>29635.944029999999</v>
      </c>
      <c r="X10" s="302"/>
      <c r="Y10" s="302"/>
      <c r="Z10" s="302"/>
      <c r="AA10" s="302"/>
    </row>
    <row r="11" spans="1:27" ht="15" x14ac:dyDescent="0.2">
      <c r="A11" s="1734" t="s">
        <v>100</v>
      </c>
      <c r="B11" s="1734"/>
      <c r="C11" s="303">
        <v>0.5</v>
      </c>
      <c r="D11" s="303">
        <v>12265</v>
      </c>
      <c r="E11" s="303"/>
      <c r="F11" s="303"/>
      <c r="G11" s="303"/>
      <c r="H11" s="303"/>
      <c r="I11" s="303">
        <v>1.05</v>
      </c>
      <c r="J11" s="306">
        <f t="shared" si="0"/>
        <v>6439.13</v>
      </c>
      <c r="K11" s="306"/>
      <c r="L11" s="309">
        <f>J11</f>
        <v>6439.13</v>
      </c>
      <c r="M11" s="313"/>
      <c r="N11" s="306"/>
      <c r="O11" s="306"/>
      <c r="P11" s="306"/>
      <c r="Q11" s="306"/>
      <c r="R11" s="306">
        <f t="shared" si="1"/>
        <v>0</v>
      </c>
      <c r="S11" s="306">
        <f t="shared" si="2"/>
        <v>6439.13</v>
      </c>
      <c r="T11" s="306">
        <f t="shared" si="3"/>
        <v>1738.5651000000003</v>
      </c>
      <c r="U11" s="306">
        <f t="shared" si="4"/>
        <v>8177.6951000000008</v>
      </c>
      <c r="V11" s="306">
        <f t="shared" si="5"/>
        <v>49066.170600000005</v>
      </c>
      <c r="W11" s="306">
        <f t="shared" si="6"/>
        <v>14817.983521200002</v>
      </c>
      <c r="X11" s="299"/>
      <c r="Y11" s="299"/>
      <c r="Z11" s="299"/>
      <c r="AA11" s="299"/>
    </row>
    <row r="12" spans="1:27" ht="15" x14ac:dyDescent="0.2">
      <c r="A12" s="1734" t="s">
        <v>101</v>
      </c>
      <c r="B12" s="1734"/>
      <c r="C12" s="303">
        <v>3</v>
      </c>
      <c r="D12" s="303">
        <v>12265</v>
      </c>
      <c r="E12" s="303"/>
      <c r="F12" s="303"/>
      <c r="G12" s="303"/>
      <c r="H12" s="303"/>
      <c r="I12" s="303">
        <v>1.05</v>
      </c>
      <c r="J12" s="306">
        <f>ROUND(C12*D12*I12,2)</f>
        <v>38634.75</v>
      </c>
      <c r="K12" s="306"/>
      <c r="L12" s="309">
        <f>J12</f>
        <v>38634.75</v>
      </c>
      <c r="M12" s="306">
        <v>4024.99</v>
      </c>
      <c r="N12" s="306">
        <v>2314.1999999999998</v>
      </c>
      <c r="O12" s="306"/>
      <c r="P12" s="306"/>
      <c r="Q12" s="306"/>
      <c r="R12" s="306">
        <f>M12+N12+P12</f>
        <v>6339.19</v>
      </c>
      <c r="S12" s="306">
        <f t="shared" si="2"/>
        <v>44973.94</v>
      </c>
      <c r="T12" s="306">
        <v>10160.94</v>
      </c>
      <c r="U12" s="306">
        <f t="shared" si="4"/>
        <v>55134.880000000005</v>
      </c>
      <c r="V12" s="306">
        <f t="shared" si="5"/>
        <v>330809.28000000003</v>
      </c>
      <c r="W12" s="306">
        <f t="shared" si="6"/>
        <v>99904.402560000002</v>
      </c>
      <c r="X12" s="299"/>
      <c r="Y12" s="299" t="s">
        <v>1407</v>
      </c>
      <c r="Z12" s="299" t="s">
        <v>1408</v>
      </c>
      <c r="AA12" s="299"/>
    </row>
    <row r="13" spans="1:27" ht="14.25" x14ac:dyDescent="0.2">
      <c r="A13" s="1748" t="s">
        <v>189</v>
      </c>
      <c r="B13" s="1748"/>
      <c r="C13" s="314">
        <f>SUM(C6:C12)</f>
        <v>10</v>
      </c>
      <c r="D13" s="314"/>
      <c r="E13" s="314"/>
      <c r="F13" s="314"/>
      <c r="G13" s="314"/>
      <c r="H13" s="314"/>
      <c r="I13" s="314"/>
      <c r="J13" s="313">
        <f>SUM(J6:J12)</f>
        <v>134301.76000000001</v>
      </c>
      <c r="K13" s="313">
        <f t="shared" ref="K13:W13" si="7">SUM(K6:K12)</f>
        <v>0</v>
      </c>
      <c r="L13" s="313">
        <f t="shared" si="7"/>
        <v>134301.76000000001</v>
      </c>
      <c r="M13" s="313">
        <f t="shared" si="7"/>
        <v>4024.99</v>
      </c>
      <c r="N13" s="313">
        <f t="shared" si="7"/>
        <v>2314.1999999999998</v>
      </c>
      <c r="O13" s="313">
        <f t="shared" si="7"/>
        <v>0</v>
      </c>
      <c r="P13" s="313">
        <f t="shared" si="7"/>
        <v>2207.6999999999998</v>
      </c>
      <c r="Q13" s="313">
        <f t="shared" si="7"/>
        <v>0</v>
      </c>
      <c r="R13" s="313">
        <f t="shared" si="7"/>
        <v>8546.89</v>
      </c>
      <c r="S13" s="313">
        <f t="shared" si="7"/>
        <v>142848.65000000002</v>
      </c>
      <c r="T13" s="313">
        <f t="shared" si="7"/>
        <v>35991.032699999996</v>
      </c>
      <c r="U13" s="313">
        <f t="shared" si="7"/>
        <v>178839.6827</v>
      </c>
      <c r="V13" s="313">
        <f>SUM(V6:V12)</f>
        <v>1073038.0962</v>
      </c>
      <c r="W13" s="313">
        <f t="shared" si="7"/>
        <v>324057.50505239994</v>
      </c>
      <c r="X13" s="315"/>
      <c r="Y13" s="874">
        <f>V13+'расч ФОТмест с 01.01-30.06'!V13</f>
        <v>2244208.4573999997</v>
      </c>
      <c r="Z13" s="315">
        <v>2342112.4900000002</v>
      </c>
      <c r="AA13" s="874">
        <f>Z13-Y13</f>
        <v>97904.032600000501</v>
      </c>
    </row>
    <row r="14" spans="1:27" ht="15" x14ac:dyDescent="0.2">
      <c r="A14" s="316"/>
      <c r="B14" s="316"/>
      <c r="C14" s="317"/>
      <c r="D14" s="317"/>
      <c r="E14" s="317"/>
      <c r="F14" s="317"/>
      <c r="G14" s="317"/>
      <c r="H14" s="317"/>
      <c r="I14" s="317"/>
      <c r="J14" s="318"/>
      <c r="K14" s="318"/>
      <c r="L14" s="318"/>
      <c r="M14" s="319"/>
      <c r="N14" s="319"/>
      <c r="O14" s="319"/>
      <c r="P14" s="319"/>
      <c r="Q14" s="319"/>
      <c r="R14" s="319"/>
      <c r="S14" s="319"/>
      <c r="T14" s="320"/>
      <c r="U14" s="319"/>
      <c r="V14" s="319"/>
      <c r="W14" s="319"/>
      <c r="X14" s="302"/>
      <c r="Y14" s="307">
        <f>W13+'расч ФОТмест с 01.01-30.06'!W13</f>
        <v>677750.95413480001</v>
      </c>
      <c r="Z14" s="302">
        <v>707317.97</v>
      </c>
      <c r="AA14" s="307">
        <f>Z14-Y14</f>
        <v>29567.015865199966</v>
      </c>
    </row>
    <row r="15" spans="1:27" ht="15" x14ac:dyDescent="0.2">
      <c r="A15" s="302" t="s">
        <v>1214</v>
      </c>
      <c r="B15" s="1745" t="s">
        <v>1215</v>
      </c>
      <c r="C15" s="1745"/>
      <c r="D15" s="1745"/>
      <c r="E15" s="1745"/>
      <c r="F15" s="1745"/>
      <c r="G15" s="1745"/>
      <c r="H15" s="1745"/>
      <c r="I15" s="302"/>
      <c r="J15" s="302"/>
      <c r="K15" s="302"/>
      <c r="L15" s="302"/>
      <c r="M15" s="302"/>
      <c r="N15" s="302"/>
      <c r="O15" s="302"/>
      <c r="P15" s="302"/>
      <c r="Q15" s="302"/>
      <c r="R15" s="302"/>
      <c r="S15" s="302"/>
      <c r="T15" s="302"/>
      <c r="U15" s="302"/>
      <c r="V15" s="302"/>
      <c r="W15" s="307"/>
      <c r="X15" s="302"/>
      <c r="Y15" s="302"/>
      <c r="Z15" s="302"/>
      <c r="AA15" s="307">
        <f>SUM(AA13:AA14)</f>
        <v>127471.04846520047</v>
      </c>
    </row>
    <row r="16" spans="1:27" ht="15" x14ac:dyDescent="0.2">
      <c r="A16" s="302"/>
      <c r="B16" s="1745" t="s">
        <v>1216</v>
      </c>
      <c r="C16" s="1745"/>
      <c r="D16" s="1745"/>
      <c r="E16" s="1745"/>
      <c r="F16" s="1745"/>
      <c r="G16" s="1745"/>
      <c r="H16" s="302"/>
      <c r="I16" s="302"/>
      <c r="J16" s="302"/>
      <c r="K16" s="302"/>
      <c r="L16" s="302"/>
      <c r="M16" s="302"/>
      <c r="N16" s="302"/>
      <c r="O16" s="302"/>
      <c r="P16" s="302"/>
      <c r="Q16" s="302"/>
      <c r="R16" s="302"/>
      <c r="S16" s="302"/>
      <c r="T16" s="302"/>
      <c r="U16" s="302"/>
      <c r="V16" s="302"/>
      <c r="W16" s="302"/>
      <c r="X16" s="302"/>
      <c r="Y16" s="302"/>
      <c r="Z16" s="302"/>
      <c r="AA16" s="302"/>
    </row>
    <row r="17" spans="1:27" ht="15" x14ac:dyDescent="0.2">
      <c r="A17" s="302" t="s">
        <v>1217</v>
      </c>
      <c r="B17" s="1745" t="s">
        <v>1218</v>
      </c>
      <c r="C17" s="1745"/>
      <c r="D17" s="1745"/>
      <c r="E17" s="1745"/>
      <c r="F17" s="1745"/>
      <c r="G17" s="1745"/>
      <c r="H17" s="1745"/>
      <c r="I17" s="1745"/>
      <c r="J17" s="1745"/>
      <c r="K17" s="1745"/>
      <c r="L17" s="302"/>
      <c r="M17" s="302"/>
      <c r="N17" s="302"/>
      <c r="O17" s="302"/>
      <c r="P17" s="302"/>
      <c r="Q17" s="302"/>
      <c r="R17" s="302"/>
      <c r="S17" s="302"/>
      <c r="T17" s="302"/>
      <c r="U17" s="302"/>
      <c r="V17" s="302"/>
      <c r="W17" s="302"/>
      <c r="X17" s="302"/>
      <c r="Y17" s="302"/>
      <c r="Z17" s="302"/>
      <c r="AA17" s="302"/>
    </row>
    <row r="18" spans="1:27" ht="15" x14ac:dyDescent="0.2">
      <c r="A18" s="302"/>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row>
    <row r="19" spans="1:27" ht="15" x14ac:dyDescent="0.2">
      <c r="A19" s="302"/>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row>
    <row r="20" spans="1:27" ht="15" x14ac:dyDescent="0.2">
      <c r="A20" s="302"/>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row>
  </sheetData>
  <mergeCells count="35">
    <mergeCell ref="B15:H15"/>
    <mergeCell ref="B16:G16"/>
    <mergeCell ref="B17:K17"/>
    <mergeCell ref="A8:B8"/>
    <mergeCell ref="A9:B9"/>
    <mergeCell ref="A10:B10"/>
    <mergeCell ref="A11:B11"/>
    <mergeCell ref="A12:B12"/>
    <mergeCell ref="A13:B13"/>
    <mergeCell ref="A7:B7"/>
    <mergeCell ref="T2:T4"/>
    <mergeCell ref="U2:U4"/>
    <mergeCell ref="V2:V4"/>
    <mergeCell ref="W2:W4"/>
    <mergeCell ref="E3:F3"/>
    <mergeCell ref="G3:G4"/>
    <mergeCell ref="H3:I3"/>
    <mergeCell ref="M3:M4"/>
    <mergeCell ref="N3:N4"/>
    <mergeCell ref="O3:O4"/>
    <mergeCell ref="P3:P4"/>
    <mergeCell ref="Q3:Q4"/>
    <mergeCell ref="R3:R4"/>
    <mergeCell ref="A5:B5"/>
    <mergeCell ref="A6:B6"/>
    <mergeCell ref="A1:V1"/>
    <mergeCell ref="A2:B4"/>
    <mergeCell ref="C2:C4"/>
    <mergeCell ref="D2:D4"/>
    <mergeCell ref="E2:I2"/>
    <mergeCell ref="J2:J4"/>
    <mergeCell ref="K2:K4"/>
    <mergeCell ref="L2:L4"/>
    <mergeCell ref="M2:R2"/>
    <mergeCell ref="S2:S4"/>
  </mergeCells>
  <pageMargins left="0.70866141732283472" right="0.70866141732283472" top="0.74803149606299213" bottom="0.74803149606299213" header="0.31496062992125984" footer="0.31496062992125984"/>
  <pageSetup paperSize="9" scale="55" orientation="landscape" r:id="rId1"/>
  <colBreaks count="1" manualBreakCount="1">
    <brk id="2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N27"/>
  <sheetViews>
    <sheetView view="pageBreakPreview" topLeftCell="A4" zoomScale="60" zoomScaleNormal="100" workbookViewId="0">
      <selection activeCell="R15" sqref="Q15:R15"/>
    </sheetView>
  </sheetViews>
  <sheetFormatPr defaultColWidth="9.140625" defaultRowHeight="15" x14ac:dyDescent="0.25"/>
  <cols>
    <col min="1" max="1" width="8.28515625" style="359" customWidth="1"/>
    <col min="2" max="2" width="56" style="360" customWidth="1"/>
    <col min="3" max="3" width="16.5703125" style="360" customWidth="1"/>
    <col min="4" max="4" width="17" style="360" customWidth="1"/>
    <col min="5" max="5" width="15.140625" style="360" customWidth="1"/>
    <col min="6" max="6" width="15.42578125" style="360" customWidth="1"/>
    <col min="7" max="9" width="9.140625" style="360"/>
    <col min="10" max="10" width="16.42578125" style="360" customWidth="1"/>
    <col min="11" max="11" width="9.140625" style="360"/>
    <col min="12" max="12" width="17.7109375" style="360" customWidth="1"/>
    <col min="13" max="13" width="16.5703125" style="360" customWidth="1"/>
    <col min="14" max="14" width="28.28515625" style="360" customWidth="1"/>
    <col min="15" max="16384" width="9.140625" style="360"/>
  </cols>
  <sheetData>
    <row r="1" spans="1:14" s="361" customFormat="1" ht="12.75" customHeight="1" x14ac:dyDescent="0.25">
      <c r="A1" s="1750" t="s">
        <v>953</v>
      </c>
      <c r="B1" s="1750"/>
      <c r="C1" s="1750"/>
      <c r="D1" s="1750"/>
      <c r="E1" s="1750"/>
      <c r="F1" s="1750"/>
      <c r="G1" s="1750"/>
      <c r="H1" s="1750"/>
      <c r="I1" s="1750"/>
      <c r="J1" s="1750"/>
    </row>
    <row r="2" spans="1:14" s="363" customFormat="1" ht="12.75" customHeight="1" x14ac:dyDescent="0.15">
      <c r="A2" s="362"/>
    </row>
    <row r="3" spans="1:14" s="365" customFormat="1" ht="33.75" customHeight="1" x14ac:dyDescent="0.2">
      <c r="A3" s="1751" t="s">
        <v>38</v>
      </c>
      <c r="B3" s="1754" t="s">
        <v>7</v>
      </c>
      <c r="C3" s="1757" t="s">
        <v>56</v>
      </c>
      <c r="D3" s="1757" t="s">
        <v>57</v>
      </c>
      <c r="E3" s="1760" t="s">
        <v>52</v>
      </c>
      <c r="F3" s="1761"/>
      <c r="G3" s="1761"/>
      <c r="H3" s="1761"/>
      <c r="I3" s="1761"/>
      <c r="J3" s="1762"/>
    </row>
    <row r="4" spans="1:14" s="365" customFormat="1" ht="87.75" customHeight="1" x14ac:dyDescent="0.2">
      <c r="A4" s="1752"/>
      <c r="B4" s="1755"/>
      <c r="C4" s="1758"/>
      <c r="D4" s="1758"/>
      <c r="E4" s="1763" t="s">
        <v>35</v>
      </c>
      <c r="F4" s="1764"/>
      <c r="G4" s="1763" t="s">
        <v>45</v>
      </c>
      <c r="H4" s="1765"/>
      <c r="I4" s="1764"/>
      <c r="J4" s="1766" t="s">
        <v>46</v>
      </c>
    </row>
    <row r="5" spans="1:14" s="365" customFormat="1" ht="12.75" customHeight="1" x14ac:dyDescent="0.2">
      <c r="A5" s="1752"/>
      <c r="B5" s="1755"/>
      <c r="C5" s="1758"/>
      <c r="D5" s="1758"/>
      <c r="E5" s="1766" t="s">
        <v>43</v>
      </c>
      <c r="F5" s="1766" t="s">
        <v>44</v>
      </c>
      <c r="G5" s="1766" t="s">
        <v>55</v>
      </c>
      <c r="H5" s="1766" t="s">
        <v>43</v>
      </c>
      <c r="I5" s="1766" t="s">
        <v>44</v>
      </c>
      <c r="J5" s="1767"/>
    </row>
    <row r="6" spans="1:14" s="365" customFormat="1" ht="30.75" customHeight="1" x14ac:dyDescent="0.2">
      <c r="A6" s="1753"/>
      <c r="B6" s="1756"/>
      <c r="C6" s="1759"/>
      <c r="D6" s="1759"/>
      <c r="E6" s="1768"/>
      <c r="F6" s="1768"/>
      <c r="G6" s="1768"/>
      <c r="H6" s="1768"/>
      <c r="I6" s="1768"/>
      <c r="J6" s="1768"/>
    </row>
    <row r="7" spans="1:14" s="365" customFormat="1" ht="12.75" x14ac:dyDescent="0.2">
      <c r="A7" s="366">
        <v>1</v>
      </c>
      <c r="B7" s="364">
        <v>2</v>
      </c>
      <c r="C7" s="367">
        <v>3</v>
      </c>
      <c r="D7" s="364">
        <v>4</v>
      </c>
      <c r="E7" s="368">
        <v>5</v>
      </c>
      <c r="F7" s="368">
        <v>6</v>
      </c>
      <c r="G7" s="368">
        <v>7</v>
      </c>
      <c r="H7" s="368">
        <v>8</v>
      </c>
      <c r="I7" s="368">
        <v>9</v>
      </c>
      <c r="J7" s="368">
        <v>10</v>
      </c>
    </row>
    <row r="8" spans="1:14" s="365" customFormat="1" ht="51" x14ac:dyDescent="0.2">
      <c r="A8" s="366">
        <v>1</v>
      </c>
      <c r="B8" s="369" t="s">
        <v>954</v>
      </c>
      <c r="C8" s="366" t="s">
        <v>3</v>
      </c>
      <c r="D8" s="377">
        <f>D9</f>
        <v>4171201.88</v>
      </c>
      <c r="E8" s="377">
        <f t="shared" ref="E8:F8" si="0">E9</f>
        <v>3497939.3499999996</v>
      </c>
      <c r="F8" s="377">
        <f t="shared" si="0"/>
        <v>673262.53</v>
      </c>
      <c r="G8" s="371"/>
      <c r="H8" s="371"/>
      <c r="I8" s="371"/>
      <c r="J8" s="371"/>
    </row>
    <row r="9" spans="1:14" s="365" customFormat="1" ht="51" x14ac:dyDescent="0.2">
      <c r="A9" s="366" t="s">
        <v>8</v>
      </c>
      <c r="B9" s="369" t="s">
        <v>955</v>
      </c>
      <c r="C9" s="375">
        <f>C18</f>
        <v>13904006.289999999</v>
      </c>
      <c r="D9" s="377">
        <f>SUM(E9:F9)</f>
        <v>4171201.88</v>
      </c>
      <c r="E9" s="377">
        <f>3497363.82+9575.53-9000</f>
        <v>3497939.3499999996</v>
      </c>
      <c r="F9" s="377">
        <v>673262.53</v>
      </c>
      <c r="G9" s="366"/>
      <c r="H9" s="366"/>
      <c r="I9" s="366"/>
      <c r="J9" s="366"/>
    </row>
    <row r="10" spans="1:14" s="365" customFormat="1" ht="25.5" x14ac:dyDescent="0.2">
      <c r="A10" s="366" t="s">
        <v>12</v>
      </c>
      <c r="B10" s="369" t="s">
        <v>956</v>
      </c>
      <c r="C10" s="370"/>
      <c r="D10" s="370"/>
      <c r="E10" s="371"/>
      <c r="F10" s="371"/>
      <c r="G10" s="371"/>
      <c r="H10" s="371"/>
      <c r="I10" s="371"/>
      <c r="J10" s="371"/>
    </row>
    <row r="11" spans="1:14" s="365" customFormat="1" ht="25.5" x14ac:dyDescent="0.2">
      <c r="A11" s="366" t="s">
        <v>13</v>
      </c>
      <c r="B11" s="369" t="s">
        <v>957</v>
      </c>
      <c r="C11" s="370"/>
      <c r="D11" s="370"/>
      <c r="E11" s="366"/>
      <c r="F11" s="366"/>
      <c r="G11" s="366"/>
      <c r="H11" s="366"/>
      <c r="I11" s="366"/>
      <c r="J11" s="366"/>
    </row>
    <row r="12" spans="1:14" s="365" customFormat="1" ht="38.25" x14ac:dyDescent="0.2">
      <c r="A12" s="372" t="s">
        <v>502</v>
      </c>
      <c r="B12" s="369" t="s">
        <v>958</v>
      </c>
      <c r="C12" s="366" t="s">
        <v>3</v>
      </c>
      <c r="D12" s="366"/>
      <c r="E12" s="366"/>
      <c r="F12" s="366"/>
      <c r="G12" s="366"/>
      <c r="H12" s="366"/>
      <c r="I12" s="366"/>
      <c r="J12" s="366"/>
    </row>
    <row r="13" spans="1:14" s="365" customFormat="1" ht="12.75" x14ac:dyDescent="0.2">
      <c r="A13" s="366"/>
      <c r="B13" s="371"/>
      <c r="C13" s="366"/>
      <c r="D13" s="366"/>
      <c r="E13" s="366"/>
      <c r="F13" s="366"/>
      <c r="G13" s="366"/>
      <c r="H13" s="366"/>
      <c r="I13" s="366"/>
      <c r="J13" s="366"/>
    </row>
    <row r="14" spans="1:14" s="365" customFormat="1" ht="25.5" x14ac:dyDescent="0.25">
      <c r="A14" s="372" t="s">
        <v>512</v>
      </c>
      <c r="B14" s="369" t="s">
        <v>959</v>
      </c>
      <c r="C14" s="373"/>
      <c r="D14" s="373"/>
      <c r="E14" s="373"/>
      <c r="F14" s="373"/>
      <c r="G14" s="373"/>
      <c r="H14" s="373"/>
      <c r="I14" s="373"/>
      <c r="J14" s="373"/>
      <c r="L14" s="865">
        <f>'расч  ФОТ обл до с 01.01.-30.06'!W19+'рас ФОТ обл до с 01.09-31.12'!W19</f>
        <v>9881485.5848000012</v>
      </c>
      <c r="N14" s="864" t="e">
        <f>'расч  ФОТ обл до с 01.01.-30.06'!W19+'рас ФОТ обл до с 01.09-31.12'!W19+#REF!</f>
        <v>#REF!</v>
      </c>
    </row>
    <row r="15" spans="1:14" s="365" customFormat="1" ht="38.25" x14ac:dyDescent="0.25">
      <c r="A15" s="372" t="s">
        <v>515</v>
      </c>
      <c r="B15" s="369" t="s">
        <v>958</v>
      </c>
      <c r="C15" s="373"/>
      <c r="D15" s="373"/>
      <c r="E15" s="373"/>
      <c r="F15" s="373"/>
      <c r="G15" s="373"/>
      <c r="H15" s="373"/>
      <c r="I15" s="373"/>
      <c r="J15" s="373"/>
      <c r="L15" s="866">
        <f>L14*30%</f>
        <v>2964445.6754400004</v>
      </c>
      <c r="N15" s="866" t="e">
        <f>N14*30%</f>
        <v>#REF!</v>
      </c>
    </row>
    <row r="16" spans="1:14" s="365" customFormat="1" ht="12.75" x14ac:dyDescent="0.2">
      <c r="A16" s="366"/>
      <c r="B16" s="371"/>
      <c r="C16" s="373"/>
      <c r="D16" s="373"/>
      <c r="E16" s="373"/>
      <c r="F16" s="373"/>
      <c r="G16" s="373"/>
      <c r="H16" s="373"/>
      <c r="I16" s="373"/>
      <c r="J16" s="373"/>
    </row>
    <row r="17" spans="1:14" s="365" customFormat="1" ht="38.25" x14ac:dyDescent="0.25">
      <c r="A17" s="366" t="s">
        <v>960</v>
      </c>
      <c r="B17" s="369" t="s">
        <v>961</v>
      </c>
      <c r="C17" s="376">
        <f>C18</f>
        <v>13904006.289999999</v>
      </c>
      <c r="D17" s="376">
        <f t="shared" ref="D17:F17" si="1">D18</f>
        <v>27808.019999999997</v>
      </c>
      <c r="E17" s="376">
        <f t="shared" si="1"/>
        <v>23319.599999999999</v>
      </c>
      <c r="F17" s="376">
        <f t="shared" si="1"/>
        <v>4488.42</v>
      </c>
      <c r="G17" s="366"/>
      <c r="H17" s="366"/>
      <c r="I17" s="366"/>
      <c r="J17" s="366"/>
      <c r="L17" s="866">
        <f>L14*0.2%</f>
        <v>19762.971169600001</v>
      </c>
      <c r="N17" s="866" t="e">
        <f>N14*0.2%</f>
        <v>#REF!</v>
      </c>
    </row>
    <row r="18" spans="1:14" s="365" customFormat="1" ht="51" x14ac:dyDescent="0.2">
      <c r="A18" s="372" t="s">
        <v>962</v>
      </c>
      <c r="B18" s="369" t="s">
        <v>963</v>
      </c>
      <c r="C18" s="375">
        <v>13904006.289999999</v>
      </c>
      <c r="D18" s="375">
        <f>SUM(E18:F18)</f>
        <v>27808.019999999997</v>
      </c>
      <c r="E18" s="358">
        <f>23315.76+63.84-60</f>
        <v>23319.599999999999</v>
      </c>
      <c r="F18" s="358">
        <v>4488.42</v>
      </c>
      <c r="G18" s="366"/>
      <c r="H18" s="366"/>
      <c r="I18" s="366"/>
      <c r="J18" s="366"/>
      <c r="L18" s="365">
        <v>707317.97</v>
      </c>
    </row>
    <row r="19" spans="1:14" s="365" customFormat="1" ht="25.5" x14ac:dyDescent="0.2">
      <c r="A19" s="372" t="s">
        <v>964</v>
      </c>
      <c r="B19" s="369" t="s">
        <v>965</v>
      </c>
      <c r="C19" s="370"/>
      <c r="D19" s="370"/>
      <c r="E19" s="366"/>
      <c r="F19" s="366"/>
      <c r="G19" s="366"/>
      <c r="H19" s="366"/>
      <c r="I19" s="366"/>
      <c r="J19" s="366"/>
    </row>
    <row r="20" spans="1:14" s="365" customFormat="1" ht="25.5" x14ac:dyDescent="0.2">
      <c r="A20" s="372" t="s">
        <v>966</v>
      </c>
      <c r="B20" s="369" t="s">
        <v>967</v>
      </c>
      <c r="C20" s="370"/>
      <c r="D20" s="370"/>
      <c r="E20" s="366"/>
      <c r="F20" s="366"/>
      <c r="G20" s="366"/>
      <c r="H20" s="366"/>
      <c r="I20" s="366"/>
      <c r="J20" s="366"/>
    </row>
    <row r="21" spans="1:14" s="365" customFormat="1" ht="38.25" x14ac:dyDescent="0.25">
      <c r="A21" s="372" t="s">
        <v>968</v>
      </c>
      <c r="B21" s="369" t="s">
        <v>969</v>
      </c>
      <c r="C21" s="370"/>
      <c r="D21" s="370"/>
      <c r="E21" s="366"/>
      <c r="F21" s="366"/>
      <c r="G21" s="366"/>
      <c r="H21" s="366"/>
      <c r="I21" s="366"/>
      <c r="J21" s="366"/>
      <c r="L21" s="964">
        <f>C18*30.2%</f>
        <v>4199009.89958</v>
      </c>
      <c r="M21" s="964"/>
      <c r="N21" s="866">
        <f>'0701 211, 266'!DT100</f>
        <v>11659797.8278</v>
      </c>
    </row>
    <row r="22" spans="1:14" s="365" customFormat="1" ht="25.5" customHeight="1" x14ac:dyDescent="0.35">
      <c r="A22" s="372" t="s">
        <v>970</v>
      </c>
      <c r="B22" s="369" t="s">
        <v>971</v>
      </c>
      <c r="C22" s="370"/>
      <c r="D22" s="370"/>
      <c r="E22" s="366"/>
      <c r="F22" s="366"/>
      <c r="G22" s="366"/>
      <c r="H22" s="366"/>
      <c r="I22" s="366"/>
      <c r="J22" s="366"/>
      <c r="M22" s="964"/>
      <c r="N22" s="967">
        <f>N21*30%</f>
        <v>3497939.34834</v>
      </c>
    </row>
    <row r="23" spans="1:14" s="383" customFormat="1" ht="24" customHeight="1" x14ac:dyDescent="0.25">
      <c r="A23" s="378"/>
      <c r="B23" s="379" t="s">
        <v>61</v>
      </c>
      <c r="C23" s="380" t="s">
        <v>3</v>
      </c>
      <c r="D23" s="381">
        <f>SUM(E23:F23)</f>
        <v>4199009.8999999994</v>
      </c>
      <c r="E23" s="337">
        <f>E8+E17</f>
        <v>3521258.9499999997</v>
      </c>
      <c r="F23" s="337">
        <f>F9+F18</f>
        <v>677750.95000000007</v>
      </c>
      <c r="G23" s="380" t="s">
        <v>3</v>
      </c>
      <c r="H23" s="382"/>
      <c r="I23" s="382"/>
      <c r="J23" s="382"/>
      <c r="M23" s="965"/>
      <c r="N23" s="361">
        <f>N21*0.2%</f>
        <v>23319.595655600002</v>
      </c>
    </row>
    <row r="24" spans="1:14" s="365" customFormat="1" ht="15.75" x14ac:dyDescent="0.25">
      <c r="A24" s="374"/>
      <c r="N24" s="866">
        <f>SUM(N22:N23)</f>
        <v>3521258.9439956001</v>
      </c>
    </row>
    <row r="25" spans="1:14" ht="15.75" x14ac:dyDescent="0.25">
      <c r="N25" s="966"/>
    </row>
    <row r="26" spans="1:14" ht="56.25" customHeight="1" x14ac:dyDescent="0.25">
      <c r="A26" s="1769" t="s">
        <v>972</v>
      </c>
      <c r="B26" s="1769"/>
      <c r="C26" s="1769"/>
      <c r="D26" s="1769"/>
      <c r="E26" s="1769"/>
      <c r="F26" s="1769"/>
      <c r="G26" s="1769"/>
      <c r="H26" s="1769"/>
      <c r="I26" s="1769"/>
      <c r="J26" s="1769"/>
    </row>
    <row r="27" spans="1:14" ht="55.5" customHeight="1" x14ac:dyDescent="0.25">
      <c r="A27" s="1749" t="s">
        <v>973</v>
      </c>
      <c r="B27" s="1749"/>
      <c r="C27" s="1749"/>
      <c r="D27" s="1749"/>
      <c r="E27" s="1749"/>
      <c r="F27" s="1749"/>
      <c r="G27" s="1749"/>
      <c r="H27" s="1749"/>
      <c r="I27" s="1749"/>
      <c r="J27" s="1749"/>
    </row>
  </sheetData>
  <mergeCells count="16">
    <mergeCell ref="A27:J27"/>
    <mergeCell ref="A1:J1"/>
    <mergeCell ref="A3:A6"/>
    <mergeCell ref="B3:B6"/>
    <mergeCell ref="C3:C6"/>
    <mergeCell ref="D3:D6"/>
    <mergeCell ref="E3:J3"/>
    <mergeCell ref="E4:F4"/>
    <mergeCell ref="G4:I4"/>
    <mergeCell ref="J4:J6"/>
    <mergeCell ref="E5:E6"/>
    <mergeCell ref="F5:F6"/>
    <mergeCell ref="G5:G6"/>
    <mergeCell ref="H5:H6"/>
    <mergeCell ref="I5:I6"/>
    <mergeCell ref="A26:J26"/>
  </mergeCells>
  <pageMargins left="0.70866141732283472" right="0.70866141732283472" top="0.27559055118110237" bottom="0.19685039370078741" header="0.31496062992125984" footer="0.31496062992125984"/>
  <pageSetup paperSize="9" scale="65"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L10"/>
  <sheetViews>
    <sheetView view="pageBreakPreview" zoomScale="82" zoomScaleNormal="100" zoomScaleSheetLayoutView="82" workbookViewId="0">
      <selection activeCell="G17" sqref="G17"/>
    </sheetView>
  </sheetViews>
  <sheetFormatPr defaultColWidth="8.85546875" defaultRowHeight="12.75" x14ac:dyDescent="0.2"/>
  <cols>
    <col min="1" max="1" width="5.85546875" customWidth="1"/>
    <col min="3" max="3" width="32.7109375" customWidth="1"/>
    <col min="4" max="4" width="10.85546875" customWidth="1"/>
    <col min="5" max="5" width="13.28515625" customWidth="1"/>
    <col min="6" max="6" width="15.28515625" customWidth="1"/>
    <col min="7" max="7" width="17.85546875" customWidth="1"/>
    <col min="8" max="8" width="13.85546875" customWidth="1"/>
    <col min="12" max="12" width="26.85546875" customWidth="1"/>
  </cols>
  <sheetData>
    <row r="1" spans="1:12" ht="18.600000000000001" customHeight="1" x14ac:dyDescent="0.25">
      <c r="A1" s="821" t="s">
        <v>1340</v>
      </c>
      <c r="B1" s="19"/>
      <c r="C1" s="136"/>
      <c r="D1" s="19"/>
      <c r="E1" s="19"/>
      <c r="F1" s="19"/>
    </row>
    <row r="2" spans="1:12" s="137" customFormat="1" ht="58.5" customHeight="1" x14ac:dyDescent="0.2">
      <c r="A2" s="1777" t="s">
        <v>1337</v>
      </c>
      <c r="B2" s="1777"/>
      <c r="C2" s="1777"/>
      <c r="D2" s="1777"/>
      <c r="E2" s="1777"/>
      <c r="F2" s="1777"/>
      <c r="G2" s="1777"/>
      <c r="H2" s="1777"/>
      <c r="I2" s="1777"/>
      <c r="J2" s="1777"/>
      <c r="K2" s="1777"/>
      <c r="L2" s="1777"/>
    </row>
    <row r="3" spans="1:12" s="137" customFormat="1" x14ac:dyDescent="0.2"/>
    <row r="4" spans="1:12" s="137" customFormat="1" ht="12" customHeight="1" x14ac:dyDescent="0.2">
      <c r="A4" s="1778" t="s">
        <v>38</v>
      </c>
      <c r="B4" s="1781" t="s">
        <v>4</v>
      </c>
      <c r="C4" s="1782"/>
      <c r="D4" s="1778" t="s">
        <v>843</v>
      </c>
      <c r="E4" s="1778" t="s">
        <v>844</v>
      </c>
      <c r="F4" s="1778" t="s">
        <v>6</v>
      </c>
      <c r="G4" s="1770" t="s">
        <v>52</v>
      </c>
      <c r="H4" s="1787"/>
      <c r="I4" s="1787"/>
      <c r="J4" s="1787"/>
      <c r="K4" s="1787"/>
      <c r="L4" s="1771"/>
    </row>
    <row r="5" spans="1:12" s="137" customFormat="1" ht="103.5" customHeight="1" x14ac:dyDescent="0.2">
      <c r="A5" s="1779"/>
      <c r="B5" s="1783"/>
      <c r="C5" s="1784"/>
      <c r="D5" s="1779"/>
      <c r="E5" s="1779"/>
      <c r="F5" s="1779"/>
      <c r="G5" s="1788" t="s">
        <v>35</v>
      </c>
      <c r="H5" s="1789"/>
      <c r="I5" s="1788" t="s">
        <v>45</v>
      </c>
      <c r="J5" s="1790"/>
      <c r="K5" s="1789"/>
      <c r="L5" s="1778" t="s">
        <v>46</v>
      </c>
    </row>
    <row r="6" spans="1:12" s="137" customFormat="1" ht="25.5" x14ac:dyDescent="0.2">
      <c r="A6" s="1780"/>
      <c r="B6" s="1785"/>
      <c r="C6" s="1786"/>
      <c r="D6" s="1780"/>
      <c r="E6" s="1780"/>
      <c r="F6" s="1780"/>
      <c r="G6" s="14" t="s">
        <v>43</v>
      </c>
      <c r="H6" s="14" t="s">
        <v>44</v>
      </c>
      <c r="I6" s="296" t="s">
        <v>55</v>
      </c>
      <c r="J6" s="14" t="s">
        <v>43</v>
      </c>
      <c r="K6" s="14" t="s">
        <v>44</v>
      </c>
      <c r="L6" s="1780"/>
    </row>
    <row r="7" spans="1:12" s="137" customFormat="1" x14ac:dyDescent="0.2">
      <c r="A7" s="16">
        <v>1</v>
      </c>
      <c r="B7" s="1770">
        <v>2</v>
      </c>
      <c r="C7" s="1771"/>
      <c r="D7" s="16">
        <v>3</v>
      </c>
      <c r="E7" s="16">
        <v>4</v>
      </c>
      <c r="F7" s="16" t="s">
        <v>49</v>
      </c>
      <c r="G7" s="16">
        <v>6</v>
      </c>
      <c r="H7" s="16">
        <v>7</v>
      </c>
      <c r="I7" s="297">
        <v>8</v>
      </c>
      <c r="J7" s="16">
        <v>9</v>
      </c>
      <c r="K7" s="16">
        <v>10</v>
      </c>
      <c r="L7" s="16">
        <v>11</v>
      </c>
    </row>
    <row r="8" spans="1:12" s="137" customFormat="1" ht="42" customHeight="1" x14ac:dyDescent="0.2">
      <c r="A8" s="295">
        <v>1</v>
      </c>
      <c r="B8" s="1772" t="s">
        <v>1339</v>
      </c>
      <c r="C8" s="1773"/>
      <c r="D8" s="16">
        <v>1</v>
      </c>
      <c r="E8" s="338">
        <f>F8/D8</f>
        <v>88171.02</v>
      </c>
      <c r="F8" s="334">
        <f>G8+H8</f>
        <v>88171.02</v>
      </c>
      <c r="G8" s="334">
        <v>88171.02</v>
      </c>
      <c r="H8" s="334"/>
      <c r="I8" s="295"/>
      <c r="J8" s="295"/>
      <c r="K8" s="295"/>
      <c r="L8" s="295"/>
    </row>
    <row r="9" spans="1:12" s="137" customFormat="1" x14ac:dyDescent="0.2">
      <c r="A9" s="1774" t="s">
        <v>1338</v>
      </c>
      <c r="B9" s="1775"/>
      <c r="C9" s="1776"/>
      <c r="D9" s="298" t="s">
        <v>3</v>
      </c>
      <c r="E9" s="298" t="s">
        <v>3</v>
      </c>
      <c r="F9" s="335">
        <f>G9+H9</f>
        <v>88171.02</v>
      </c>
      <c r="G9" s="336">
        <f>G8</f>
        <v>88171.02</v>
      </c>
      <c r="H9" s="337">
        <f>H8</f>
        <v>0</v>
      </c>
      <c r="I9" s="295"/>
      <c r="J9" s="295"/>
      <c r="K9" s="295"/>
      <c r="L9" s="295"/>
    </row>
    <row r="10" spans="1:12" s="137" customFormat="1" x14ac:dyDescent="0.2"/>
  </sheetData>
  <mergeCells count="13">
    <mergeCell ref="B7:C7"/>
    <mergeCell ref="B8:C8"/>
    <mergeCell ref="A9:C9"/>
    <mergeCell ref="A2:L2"/>
    <mergeCell ref="A4:A6"/>
    <mergeCell ref="B4:C6"/>
    <mergeCell ref="D4:D6"/>
    <mergeCell ref="E4:E6"/>
    <mergeCell ref="F4:F6"/>
    <mergeCell ref="G4:L4"/>
    <mergeCell ref="G5:H5"/>
    <mergeCell ref="I5:K5"/>
    <mergeCell ref="L5:L6"/>
  </mergeCells>
  <pageMargins left="0.7" right="0.7" top="0.75" bottom="0.75" header="0.3" footer="0.3"/>
  <pageSetup paperSize="9" scale="7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CW69"/>
  <sheetViews>
    <sheetView view="pageBreakPreview" topLeftCell="A32" zoomScale="86" zoomScaleNormal="85" zoomScaleSheetLayoutView="86" workbookViewId="0">
      <selection activeCell="BF67" sqref="BF67"/>
    </sheetView>
  </sheetViews>
  <sheetFormatPr defaultColWidth="1.140625" defaultRowHeight="12.75" x14ac:dyDescent="0.2"/>
  <cols>
    <col min="1" max="17" width="1.140625" style="8"/>
    <col min="18" max="18" width="4.42578125" style="8" customWidth="1"/>
    <col min="19" max="32" width="1.140625" style="8"/>
    <col min="33" max="33" width="4.140625" style="8" customWidth="1"/>
    <col min="34" max="34" width="1.140625" style="8"/>
    <col min="35" max="35" width="8.140625" style="8" customWidth="1"/>
    <col min="36" max="55" width="1.140625" style="8"/>
    <col min="56" max="56" width="2.7109375" style="8" customWidth="1"/>
    <col min="57" max="66" width="1.140625" style="8"/>
    <col min="67" max="67" width="2.85546875" style="8" customWidth="1"/>
    <col min="68" max="80" width="1.140625" style="8"/>
    <col min="81" max="81" width="23.7109375" style="8" customWidth="1"/>
    <col min="82" max="82" width="17.42578125" style="8" customWidth="1"/>
    <col min="83" max="83" width="16.140625" style="8" customWidth="1"/>
    <col min="84" max="84" width="12.5703125" style="8" customWidth="1"/>
    <col min="85" max="85" width="16" style="8" customWidth="1"/>
    <col min="86" max="86" width="23.5703125" style="8" customWidth="1"/>
    <col min="87" max="87" width="24.42578125" style="8" customWidth="1"/>
    <col min="88" max="88" width="13.28515625" style="8" customWidth="1"/>
    <col min="89" max="16384" width="1.140625" style="8"/>
  </cols>
  <sheetData>
    <row r="1" spans="1:86" s="4" customFormat="1" ht="13.5" customHeight="1" x14ac:dyDescent="0.25">
      <c r="A1" s="19" t="s">
        <v>103</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row>
    <row r="2" spans="1:86" s="4" customFormat="1" ht="15.75" x14ac:dyDescent="0.25">
      <c r="A2" s="1817" t="s">
        <v>104</v>
      </c>
      <c r="B2" s="1817"/>
      <c r="C2" s="1817"/>
      <c r="D2" s="1817"/>
      <c r="E2" s="1817"/>
      <c r="F2" s="1817"/>
      <c r="G2" s="1817"/>
      <c r="H2" s="1817"/>
      <c r="I2" s="1817"/>
      <c r="J2" s="1817"/>
      <c r="K2" s="1817"/>
      <c r="L2" s="1817"/>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1817"/>
      <c r="AO2" s="1817"/>
      <c r="AP2" s="1817"/>
      <c r="AQ2" s="1817"/>
      <c r="AR2" s="1817"/>
      <c r="AS2" s="1817"/>
      <c r="AT2" s="1817"/>
      <c r="AU2" s="1817"/>
      <c r="AV2" s="1817"/>
      <c r="AW2" s="1817"/>
      <c r="AX2" s="1817"/>
      <c r="AY2" s="1817"/>
      <c r="AZ2" s="1817"/>
      <c r="BA2" s="1817"/>
      <c r="BB2" s="1817"/>
      <c r="BC2" s="1817"/>
      <c r="BD2" s="1817"/>
      <c r="BE2" s="1817"/>
      <c r="BF2" s="1817"/>
      <c r="BG2" s="1817"/>
      <c r="BH2" s="1817"/>
      <c r="BI2" s="1817"/>
      <c r="BJ2" s="1817"/>
      <c r="BK2" s="1817"/>
      <c r="BL2" s="1817"/>
      <c r="BM2" s="1817"/>
      <c r="BN2" s="1817"/>
      <c r="BO2" s="1817"/>
      <c r="BP2" s="1817"/>
      <c r="BQ2" s="1817"/>
      <c r="BR2" s="1817"/>
      <c r="BS2" s="1817"/>
      <c r="BT2" s="1817"/>
      <c r="BU2" s="1817"/>
      <c r="BV2" s="1817"/>
      <c r="BW2" s="1817"/>
      <c r="BX2" s="1817"/>
      <c r="BY2" s="1817"/>
      <c r="BZ2" s="1817"/>
      <c r="CA2" s="1817"/>
      <c r="CB2" s="1817"/>
    </row>
    <row r="4" spans="1:86" x14ac:dyDescent="0.2">
      <c r="A4" s="1818" t="s">
        <v>71</v>
      </c>
      <c r="B4" s="1819"/>
      <c r="C4" s="1819"/>
      <c r="D4" s="1820"/>
      <c r="E4" s="1818" t="s">
        <v>4</v>
      </c>
      <c r="F4" s="1819"/>
      <c r="G4" s="1819"/>
      <c r="H4" s="1819"/>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c r="AI4" s="1820"/>
      <c r="AJ4" s="1818" t="s">
        <v>5</v>
      </c>
      <c r="AK4" s="1819"/>
      <c r="AL4" s="1819"/>
      <c r="AM4" s="1819"/>
      <c r="AN4" s="1819"/>
      <c r="AO4" s="1819"/>
      <c r="AP4" s="1819"/>
      <c r="AQ4" s="1819"/>
      <c r="AR4" s="1819"/>
      <c r="AS4" s="1819"/>
      <c r="AT4" s="1820"/>
      <c r="AU4" s="1818" t="s">
        <v>5</v>
      </c>
      <c r="AV4" s="1819"/>
      <c r="AW4" s="1819"/>
      <c r="AX4" s="1819"/>
      <c r="AY4" s="1819"/>
      <c r="AZ4" s="1819"/>
      <c r="BA4" s="1819"/>
      <c r="BB4" s="1819"/>
      <c r="BC4" s="1819"/>
      <c r="BD4" s="1820"/>
      <c r="BE4" s="1818" t="s">
        <v>105</v>
      </c>
      <c r="BF4" s="1819"/>
      <c r="BG4" s="1819"/>
      <c r="BH4" s="1819"/>
      <c r="BI4" s="1819"/>
      <c r="BJ4" s="1819"/>
      <c r="BK4" s="1819"/>
      <c r="BL4" s="1819"/>
      <c r="BM4" s="1819"/>
      <c r="BN4" s="1819"/>
      <c r="BO4" s="1820"/>
      <c r="BP4" s="1818" t="s">
        <v>6</v>
      </c>
      <c r="BQ4" s="1819"/>
      <c r="BR4" s="1819"/>
      <c r="BS4" s="1819"/>
      <c r="BT4" s="1819"/>
      <c r="BU4" s="1819"/>
      <c r="BV4" s="1819"/>
      <c r="BW4" s="1819"/>
      <c r="BX4" s="1819"/>
      <c r="BY4" s="1819"/>
      <c r="BZ4" s="1819"/>
      <c r="CA4" s="1819"/>
      <c r="CB4" s="1820"/>
      <c r="CC4" s="1806" t="s">
        <v>52</v>
      </c>
      <c r="CD4" s="1806"/>
      <c r="CE4" s="1806"/>
      <c r="CF4" s="1806"/>
      <c r="CG4" s="1806"/>
      <c r="CH4" s="1806"/>
    </row>
    <row r="5" spans="1:86" ht="12.75" customHeight="1" x14ac:dyDescent="0.2">
      <c r="A5" s="1807" t="s">
        <v>77</v>
      </c>
      <c r="B5" s="1808"/>
      <c r="C5" s="1808"/>
      <c r="D5" s="1809"/>
      <c r="E5" s="1807"/>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9"/>
      <c r="AJ5" s="1807" t="s">
        <v>106</v>
      </c>
      <c r="AK5" s="1808"/>
      <c r="AL5" s="1808"/>
      <c r="AM5" s="1808"/>
      <c r="AN5" s="1808"/>
      <c r="AO5" s="1808"/>
      <c r="AP5" s="1808"/>
      <c r="AQ5" s="1808"/>
      <c r="AR5" s="1808"/>
      <c r="AS5" s="1808"/>
      <c r="AT5" s="1809"/>
      <c r="AU5" s="1807" t="s">
        <v>107</v>
      </c>
      <c r="AV5" s="1808"/>
      <c r="AW5" s="1808"/>
      <c r="AX5" s="1808"/>
      <c r="AY5" s="1808"/>
      <c r="AZ5" s="1808"/>
      <c r="BA5" s="1808"/>
      <c r="BB5" s="1808"/>
      <c r="BC5" s="1808"/>
      <c r="BD5" s="1809"/>
      <c r="BE5" s="1807" t="s">
        <v>108</v>
      </c>
      <c r="BF5" s="1808"/>
      <c r="BG5" s="1808"/>
      <c r="BH5" s="1808"/>
      <c r="BI5" s="1808"/>
      <c r="BJ5" s="1808"/>
      <c r="BK5" s="1808"/>
      <c r="BL5" s="1808"/>
      <c r="BM5" s="1808"/>
      <c r="BN5" s="1808"/>
      <c r="BO5" s="1809"/>
      <c r="BP5" s="1807" t="s">
        <v>109</v>
      </c>
      <c r="BQ5" s="1808"/>
      <c r="BR5" s="1808"/>
      <c r="BS5" s="1808"/>
      <c r="BT5" s="1808"/>
      <c r="BU5" s="1808"/>
      <c r="BV5" s="1808"/>
      <c r="BW5" s="1808"/>
      <c r="BX5" s="1808"/>
      <c r="BY5" s="1808"/>
      <c r="BZ5" s="1808"/>
      <c r="CA5" s="1808"/>
      <c r="CB5" s="1809"/>
      <c r="CC5" s="1810" t="s">
        <v>35</v>
      </c>
      <c r="CD5" s="1810"/>
      <c r="CE5" s="1788" t="s">
        <v>45</v>
      </c>
      <c r="CF5" s="1790"/>
      <c r="CG5" s="1789"/>
      <c r="CH5" s="1810" t="s">
        <v>46</v>
      </c>
    </row>
    <row r="6" spans="1:86" ht="61.5" customHeight="1" x14ac:dyDescent="0.2">
      <c r="A6" s="1807"/>
      <c r="B6" s="1808"/>
      <c r="C6" s="1808"/>
      <c r="D6" s="1809"/>
      <c r="E6" s="1807"/>
      <c r="F6" s="1808"/>
      <c r="G6" s="1808"/>
      <c r="H6" s="1808"/>
      <c r="I6" s="1808"/>
      <c r="J6" s="1808"/>
      <c r="K6" s="1808"/>
      <c r="L6" s="1808"/>
      <c r="M6" s="1808"/>
      <c r="N6" s="1808"/>
      <c r="O6" s="1808"/>
      <c r="P6" s="1808"/>
      <c r="Q6" s="1808"/>
      <c r="R6" s="1808"/>
      <c r="S6" s="1808"/>
      <c r="T6" s="1808"/>
      <c r="U6" s="1808"/>
      <c r="V6" s="1808"/>
      <c r="W6" s="1808"/>
      <c r="X6" s="1808"/>
      <c r="Y6" s="1808"/>
      <c r="Z6" s="1808"/>
      <c r="AA6" s="1808"/>
      <c r="AB6" s="1808"/>
      <c r="AC6" s="1808"/>
      <c r="AD6" s="1808"/>
      <c r="AE6" s="1808"/>
      <c r="AF6" s="1808"/>
      <c r="AG6" s="1808"/>
      <c r="AH6" s="1808"/>
      <c r="AI6" s="1809"/>
      <c r="AJ6" s="1807"/>
      <c r="AK6" s="1808"/>
      <c r="AL6" s="1808"/>
      <c r="AM6" s="1808"/>
      <c r="AN6" s="1808"/>
      <c r="AO6" s="1808"/>
      <c r="AP6" s="1808"/>
      <c r="AQ6" s="1808"/>
      <c r="AR6" s="1808"/>
      <c r="AS6" s="1808"/>
      <c r="AT6" s="1809"/>
      <c r="AU6" s="1807" t="s">
        <v>110</v>
      </c>
      <c r="AV6" s="1808"/>
      <c r="AW6" s="1808"/>
      <c r="AX6" s="1808"/>
      <c r="AY6" s="1808"/>
      <c r="AZ6" s="1808"/>
      <c r="BA6" s="1808"/>
      <c r="BB6" s="1808"/>
      <c r="BC6" s="1808"/>
      <c r="BD6" s="1809"/>
      <c r="BE6" s="1807" t="s">
        <v>111</v>
      </c>
      <c r="BF6" s="1808"/>
      <c r="BG6" s="1808"/>
      <c r="BH6" s="1808"/>
      <c r="BI6" s="1808"/>
      <c r="BJ6" s="1808"/>
      <c r="BK6" s="1808"/>
      <c r="BL6" s="1808"/>
      <c r="BM6" s="1808"/>
      <c r="BN6" s="1808"/>
      <c r="BO6" s="1809"/>
      <c r="BP6" s="1807"/>
      <c r="BQ6" s="1808"/>
      <c r="BR6" s="1808"/>
      <c r="BS6" s="1808"/>
      <c r="BT6" s="1808"/>
      <c r="BU6" s="1808"/>
      <c r="BV6" s="1808"/>
      <c r="BW6" s="1808"/>
      <c r="BX6" s="1808"/>
      <c r="BY6" s="1808"/>
      <c r="BZ6" s="1808"/>
      <c r="CA6" s="1808"/>
      <c r="CB6" s="1809"/>
      <c r="CC6" s="1811" t="s">
        <v>43</v>
      </c>
      <c r="CD6" s="1811" t="s">
        <v>44</v>
      </c>
      <c r="CE6" s="1812" t="s">
        <v>55</v>
      </c>
      <c r="CF6" s="1811" t="s">
        <v>43</v>
      </c>
      <c r="CG6" s="1811" t="s">
        <v>44</v>
      </c>
      <c r="CH6" s="1810"/>
    </row>
    <row r="7" spans="1:86" x14ac:dyDescent="0.2">
      <c r="A7" s="1814"/>
      <c r="B7" s="1815"/>
      <c r="C7" s="1815"/>
      <c r="D7" s="1816"/>
      <c r="E7" s="1814"/>
      <c r="F7" s="1815"/>
      <c r="G7" s="1815"/>
      <c r="H7" s="1815"/>
      <c r="I7" s="1815"/>
      <c r="J7" s="1815"/>
      <c r="K7" s="1815"/>
      <c r="L7" s="1815"/>
      <c r="M7" s="1815"/>
      <c r="N7" s="1815"/>
      <c r="O7" s="1815"/>
      <c r="P7" s="1815"/>
      <c r="Q7" s="1815"/>
      <c r="R7" s="1815"/>
      <c r="S7" s="1815"/>
      <c r="T7" s="1815"/>
      <c r="U7" s="1815"/>
      <c r="V7" s="1815"/>
      <c r="W7" s="1815"/>
      <c r="X7" s="1815"/>
      <c r="Y7" s="1815"/>
      <c r="Z7" s="1815"/>
      <c r="AA7" s="1815"/>
      <c r="AB7" s="1815"/>
      <c r="AC7" s="1815"/>
      <c r="AD7" s="1815"/>
      <c r="AE7" s="1815"/>
      <c r="AF7" s="1815"/>
      <c r="AG7" s="1815"/>
      <c r="AH7" s="1815"/>
      <c r="AI7" s="1816"/>
      <c r="AJ7" s="1814"/>
      <c r="AK7" s="1815"/>
      <c r="AL7" s="1815"/>
      <c r="AM7" s="1815"/>
      <c r="AN7" s="1815"/>
      <c r="AO7" s="1815"/>
      <c r="AP7" s="1815"/>
      <c r="AQ7" s="1815"/>
      <c r="AR7" s="1815"/>
      <c r="AS7" s="1815"/>
      <c r="AT7" s="1816"/>
      <c r="AU7" s="1814"/>
      <c r="AV7" s="1815"/>
      <c r="AW7" s="1815"/>
      <c r="AX7" s="1815"/>
      <c r="AY7" s="1815"/>
      <c r="AZ7" s="1815"/>
      <c r="BA7" s="1815"/>
      <c r="BB7" s="1815"/>
      <c r="BC7" s="1815"/>
      <c r="BD7" s="1816"/>
      <c r="BE7" s="1814"/>
      <c r="BF7" s="1815"/>
      <c r="BG7" s="1815"/>
      <c r="BH7" s="1815"/>
      <c r="BI7" s="1815"/>
      <c r="BJ7" s="1815"/>
      <c r="BK7" s="1815"/>
      <c r="BL7" s="1815"/>
      <c r="BM7" s="1815"/>
      <c r="BN7" s="1815"/>
      <c r="BO7" s="1816"/>
      <c r="BP7" s="1814"/>
      <c r="BQ7" s="1815"/>
      <c r="BR7" s="1815"/>
      <c r="BS7" s="1815"/>
      <c r="BT7" s="1815"/>
      <c r="BU7" s="1815"/>
      <c r="BV7" s="1815"/>
      <c r="BW7" s="1815"/>
      <c r="BX7" s="1815"/>
      <c r="BY7" s="1815"/>
      <c r="BZ7" s="1815"/>
      <c r="CA7" s="1815"/>
      <c r="CB7" s="1816"/>
      <c r="CC7" s="1811"/>
      <c r="CD7" s="1811"/>
      <c r="CE7" s="1813"/>
      <c r="CF7" s="1811"/>
      <c r="CG7" s="1811"/>
      <c r="CH7" s="1810"/>
    </row>
    <row r="8" spans="1:86" x14ac:dyDescent="0.2">
      <c r="A8" s="1814">
        <v>1</v>
      </c>
      <c r="B8" s="1815"/>
      <c r="C8" s="1815"/>
      <c r="D8" s="1816"/>
      <c r="E8" s="1814">
        <v>2</v>
      </c>
      <c r="F8" s="1815"/>
      <c r="G8" s="1815"/>
      <c r="H8" s="1815"/>
      <c r="I8" s="1815"/>
      <c r="J8" s="1815"/>
      <c r="K8" s="1815"/>
      <c r="L8" s="1815"/>
      <c r="M8" s="1815"/>
      <c r="N8" s="1815"/>
      <c r="O8" s="1815"/>
      <c r="P8" s="1815"/>
      <c r="Q8" s="1815"/>
      <c r="R8" s="1815"/>
      <c r="S8" s="1815"/>
      <c r="T8" s="1815"/>
      <c r="U8" s="1815"/>
      <c r="V8" s="1815"/>
      <c r="W8" s="1815"/>
      <c r="X8" s="1815"/>
      <c r="Y8" s="1815"/>
      <c r="Z8" s="1815"/>
      <c r="AA8" s="1815"/>
      <c r="AB8" s="1815"/>
      <c r="AC8" s="1815"/>
      <c r="AD8" s="1815"/>
      <c r="AE8" s="1815"/>
      <c r="AF8" s="1815"/>
      <c r="AG8" s="1815"/>
      <c r="AH8" s="1815"/>
      <c r="AI8" s="1816"/>
      <c r="AJ8" s="1814">
        <v>3</v>
      </c>
      <c r="AK8" s="1815"/>
      <c r="AL8" s="1815"/>
      <c r="AM8" s="1815"/>
      <c r="AN8" s="1815"/>
      <c r="AO8" s="1815"/>
      <c r="AP8" s="1815"/>
      <c r="AQ8" s="1815"/>
      <c r="AR8" s="1815"/>
      <c r="AS8" s="1815"/>
      <c r="AT8" s="1816"/>
      <c r="AU8" s="1814">
        <v>4</v>
      </c>
      <c r="AV8" s="1815"/>
      <c r="AW8" s="1815"/>
      <c r="AX8" s="1815"/>
      <c r="AY8" s="1815"/>
      <c r="AZ8" s="1815"/>
      <c r="BA8" s="1815"/>
      <c r="BB8" s="1815"/>
      <c r="BC8" s="1815"/>
      <c r="BD8" s="1816"/>
      <c r="BE8" s="1814">
        <v>5</v>
      </c>
      <c r="BF8" s="1815"/>
      <c r="BG8" s="1815"/>
      <c r="BH8" s="1815"/>
      <c r="BI8" s="1815"/>
      <c r="BJ8" s="1815"/>
      <c r="BK8" s="1815"/>
      <c r="BL8" s="1815"/>
      <c r="BM8" s="1815"/>
      <c r="BN8" s="1815"/>
      <c r="BO8" s="1816"/>
      <c r="BP8" s="1830" t="s">
        <v>112</v>
      </c>
      <c r="BQ8" s="1830"/>
      <c r="BR8" s="1830"/>
      <c r="BS8" s="1830"/>
      <c r="BT8" s="1830"/>
      <c r="BU8" s="1830"/>
      <c r="BV8" s="1830"/>
      <c r="BW8" s="1830"/>
      <c r="BX8" s="1830"/>
      <c r="BY8" s="1830"/>
      <c r="BZ8" s="1830"/>
      <c r="CA8" s="1830"/>
      <c r="CB8" s="1830"/>
      <c r="CC8" s="15">
        <v>7</v>
      </c>
      <c r="CD8" s="15">
        <v>8</v>
      </c>
      <c r="CE8" s="15">
        <v>9</v>
      </c>
      <c r="CF8" s="15">
        <v>10</v>
      </c>
      <c r="CG8" s="15">
        <v>11</v>
      </c>
      <c r="CH8" s="15">
        <v>12</v>
      </c>
    </row>
    <row r="9" spans="1:86" ht="24.75" customHeight="1" x14ac:dyDescent="0.2">
      <c r="A9" s="1803"/>
      <c r="B9" s="1804"/>
      <c r="C9" s="1804"/>
      <c r="D9" s="1805"/>
      <c r="E9" s="1821" t="s">
        <v>1183</v>
      </c>
      <c r="F9" s="1822"/>
      <c r="G9" s="1822"/>
      <c r="H9" s="1822"/>
      <c r="I9" s="1822"/>
      <c r="J9" s="1822"/>
      <c r="K9" s="1822"/>
      <c r="L9" s="1822"/>
      <c r="M9" s="1822"/>
      <c r="N9" s="1822"/>
      <c r="O9" s="1822"/>
      <c r="P9" s="1822"/>
      <c r="Q9" s="1822"/>
      <c r="R9" s="1822"/>
      <c r="S9" s="1822"/>
      <c r="T9" s="1822"/>
      <c r="U9" s="1822"/>
      <c r="V9" s="1822"/>
      <c r="W9" s="1822"/>
      <c r="X9" s="1822"/>
      <c r="Y9" s="1822"/>
      <c r="Z9" s="1822"/>
      <c r="AA9" s="1822"/>
      <c r="AB9" s="1822"/>
      <c r="AC9" s="1822"/>
      <c r="AD9" s="1822"/>
      <c r="AE9" s="1822"/>
      <c r="AF9" s="1822"/>
      <c r="AG9" s="1822"/>
      <c r="AH9" s="1822"/>
      <c r="AI9" s="1823"/>
      <c r="AJ9" s="1824">
        <v>2</v>
      </c>
      <c r="AK9" s="1825"/>
      <c r="AL9" s="1825"/>
      <c r="AM9" s="1825"/>
      <c r="AN9" s="1825"/>
      <c r="AO9" s="1825"/>
      <c r="AP9" s="1825"/>
      <c r="AQ9" s="1825"/>
      <c r="AR9" s="1825"/>
      <c r="AS9" s="1825"/>
      <c r="AT9" s="1826"/>
      <c r="AU9" s="1824">
        <v>12</v>
      </c>
      <c r="AV9" s="1825"/>
      <c r="AW9" s="1825"/>
      <c r="AX9" s="1825"/>
      <c r="AY9" s="1825"/>
      <c r="AZ9" s="1825"/>
      <c r="BA9" s="1825"/>
      <c r="BB9" s="1825"/>
      <c r="BC9" s="1825"/>
      <c r="BD9" s="1826"/>
      <c r="BE9" s="1827">
        <f>BP9/AU9/AJ9</f>
        <v>602.17916666666667</v>
      </c>
      <c r="BF9" s="1828"/>
      <c r="BG9" s="1828"/>
      <c r="BH9" s="1828"/>
      <c r="BI9" s="1828"/>
      <c r="BJ9" s="1828"/>
      <c r="BK9" s="1828"/>
      <c r="BL9" s="1828"/>
      <c r="BM9" s="1828"/>
      <c r="BN9" s="1828"/>
      <c r="BO9" s="1829"/>
      <c r="BP9" s="1827">
        <f>CD9</f>
        <v>14452.3</v>
      </c>
      <c r="BQ9" s="1828"/>
      <c r="BR9" s="1828"/>
      <c r="BS9" s="1828"/>
      <c r="BT9" s="1828"/>
      <c r="BU9" s="1828"/>
      <c r="BV9" s="1828"/>
      <c r="BW9" s="1828"/>
      <c r="BX9" s="1828"/>
      <c r="BY9" s="1828"/>
      <c r="BZ9" s="1828"/>
      <c r="CA9" s="1828"/>
      <c r="CB9" s="1829"/>
      <c r="CC9" s="17"/>
      <c r="CD9" s="242">
        <v>14452.3</v>
      </c>
      <c r="CE9" s="50"/>
      <c r="CF9" s="17"/>
      <c r="CG9" s="17"/>
      <c r="CH9" s="17"/>
    </row>
    <row r="10" spans="1:86" s="137" customFormat="1" x14ac:dyDescent="0.2">
      <c r="A10" s="1830"/>
      <c r="B10" s="1830"/>
      <c r="C10" s="1830"/>
      <c r="D10" s="1830"/>
      <c r="E10" s="1837" t="s">
        <v>1184</v>
      </c>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8">
        <v>1</v>
      </c>
      <c r="AK10" s="1838"/>
      <c r="AL10" s="1838"/>
      <c r="AM10" s="1838"/>
      <c r="AN10" s="1838"/>
      <c r="AO10" s="1838"/>
      <c r="AP10" s="1838"/>
      <c r="AQ10" s="1838"/>
      <c r="AR10" s="1838"/>
      <c r="AS10" s="1838"/>
      <c r="AT10" s="1838"/>
      <c r="AU10" s="1838">
        <v>12</v>
      </c>
      <c r="AV10" s="1838"/>
      <c r="AW10" s="1838"/>
      <c r="AX10" s="1838"/>
      <c r="AY10" s="1838"/>
      <c r="AZ10" s="1838"/>
      <c r="BA10" s="1838"/>
      <c r="BB10" s="1838"/>
      <c r="BC10" s="1838"/>
      <c r="BD10" s="1838"/>
      <c r="BE10" s="1839">
        <v>3000</v>
      </c>
      <c r="BF10" s="1839"/>
      <c r="BG10" s="1839"/>
      <c r="BH10" s="1839"/>
      <c r="BI10" s="1839"/>
      <c r="BJ10" s="1839"/>
      <c r="BK10" s="1839"/>
      <c r="BL10" s="1839"/>
      <c r="BM10" s="1839"/>
      <c r="BN10" s="1839"/>
      <c r="BO10" s="1839"/>
      <c r="BP10" s="1839">
        <v>36000</v>
      </c>
      <c r="BQ10" s="1839"/>
      <c r="BR10" s="1839"/>
      <c r="BS10" s="1839"/>
      <c r="BT10" s="1839"/>
      <c r="BU10" s="1839"/>
      <c r="BV10" s="1839"/>
      <c r="BW10" s="1839"/>
      <c r="BX10" s="1839"/>
      <c r="BY10" s="1839"/>
      <c r="BZ10" s="1839"/>
      <c r="CA10" s="1839"/>
      <c r="CB10" s="1839"/>
      <c r="CC10" s="138"/>
      <c r="CD10" s="450">
        <v>36000</v>
      </c>
      <c r="CE10" s="987"/>
      <c r="CF10" s="138"/>
      <c r="CG10" s="138"/>
      <c r="CH10" s="138"/>
    </row>
    <row r="11" spans="1:86" s="137" customFormat="1" x14ac:dyDescent="0.2">
      <c r="A11" s="1830"/>
      <c r="B11" s="1830"/>
      <c r="C11" s="1830"/>
      <c r="D11" s="1830"/>
      <c r="E11" s="1837" t="s">
        <v>158</v>
      </c>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8">
        <v>1</v>
      </c>
      <c r="AK11" s="1838"/>
      <c r="AL11" s="1838"/>
      <c r="AM11" s="1838"/>
      <c r="AN11" s="1838"/>
      <c r="AO11" s="1838"/>
      <c r="AP11" s="1838"/>
      <c r="AQ11" s="1838"/>
      <c r="AR11" s="1838"/>
      <c r="AS11" s="1838"/>
      <c r="AT11" s="1838"/>
      <c r="AU11" s="1838">
        <v>12</v>
      </c>
      <c r="AV11" s="1838"/>
      <c r="AW11" s="1838"/>
      <c r="AX11" s="1838"/>
      <c r="AY11" s="1838"/>
      <c r="AZ11" s="1838"/>
      <c r="BA11" s="1838"/>
      <c r="BB11" s="1838"/>
      <c r="BC11" s="1838"/>
      <c r="BD11" s="1838"/>
      <c r="BE11" s="1839">
        <v>550</v>
      </c>
      <c r="BF11" s="1839"/>
      <c r="BG11" s="1839"/>
      <c r="BH11" s="1839"/>
      <c r="BI11" s="1839"/>
      <c r="BJ11" s="1839"/>
      <c r="BK11" s="1839"/>
      <c r="BL11" s="1839"/>
      <c r="BM11" s="1839"/>
      <c r="BN11" s="1839"/>
      <c r="BO11" s="1839"/>
      <c r="BP11" s="1839">
        <f>CD11</f>
        <v>6600</v>
      </c>
      <c r="BQ11" s="1839"/>
      <c r="BR11" s="1839"/>
      <c r="BS11" s="1839"/>
      <c r="BT11" s="1839"/>
      <c r="BU11" s="1839"/>
      <c r="BV11" s="1839"/>
      <c r="BW11" s="1839"/>
      <c r="BX11" s="1839"/>
      <c r="BY11" s="1839"/>
      <c r="BZ11" s="1839"/>
      <c r="CA11" s="1839"/>
      <c r="CB11" s="1839"/>
      <c r="CC11" s="138"/>
      <c r="CD11" s="450">
        <f>AU11*BE11</f>
        <v>6600</v>
      </c>
      <c r="CE11" s="987"/>
      <c r="CF11" s="138"/>
      <c r="CG11" s="138"/>
      <c r="CH11" s="138"/>
    </row>
    <row r="12" spans="1:86" x14ac:dyDescent="0.2">
      <c r="A12" s="1803"/>
      <c r="B12" s="1804"/>
      <c r="C12" s="1804"/>
      <c r="D12" s="1805"/>
      <c r="E12" s="1831" t="s">
        <v>1456</v>
      </c>
      <c r="F12" s="1832"/>
      <c r="G12" s="1832"/>
      <c r="H12" s="1832"/>
      <c r="I12" s="1832"/>
      <c r="J12" s="1832"/>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2"/>
      <c r="AI12" s="1833"/>
      <c r="AJ12" s="1824" t="s">
        <v>3</v>
      </c>
      <c r="AK12" s="1825"/>
      <c r="AL12" s="1825"/>
      <c r="AM12" s="1825"/>
      <c r="AN12" s="1825"/>
      <c r="AO12" s="1825"/>
      <c r="AP12" s="1825"/>
      <c r="AQ12" s="1825"/>
      <c r="AR12" s="1825"/>
      <c r="AS12" s="1825"/>
      <c r="AT12" s="1826"/>
      <c r="AU12" s="1824" t="s">
        <v>3</v>
      </c>
      <c r="AV12" s="1825"/>
      <c r="AW12" s="1825"/>
      <c r="AX12" s="1825"/>
      <c r="AY12" s="1825"/>
      <c r="AZ12" s="1825"/>
      <c r="BA12" s="1825"/>
      <c r="BB12" s="1825"/>
      <c r="BC12" s="1825"/>
      <c r="BD12" s="1826"/>
      <c r="BE12" s="1834" t="s">
        <v>3</v>
      </c>
      <c r="BF12" s="1835"/>
      <c r="BG12" s="1835"/>
      <c r="BH12" s="1835"/>
      <c r="BI12" s="1835"/>
      <c r="BJ12" s="1835"/>
      <c r="BK12" s="1835"/>
      <c r="BL12" s="1835"/>
      <c r="BM12" s="1835"/>
      <c r="BN12" s="1835"/>
      <c r="BO12" s="1836"/>
      <c r="BP12" s="1800">
        <f>SUM(BP9:CB11)</f>
        <v>57052.3</v>
      </c>
      <c r="BQ12" s="1801"/>
      <c r="BR12" s="1801"/>
      <c r="BS12" s="1801"/>
      <c r="BT12" s="1801"/>
      <c r="BU12" s="1801"/>
      <c r="BV12" s="1801"/>
      <c r="BW12" s="1801"/>
      <c r="BX12" s="1801"/>
      <c r="BY12" s="1801"/>
      <c r="BZ12" s="1801"/>
      <c r="CA12" s="1801"/>
      <c r="CB12" s="1802"/>
      <c r="CC12" s="17"/>
      <c r="CD12" s="28">
        <f>BP12</f>
        <v>57052.3</v>
      </c>
      <c r="CE12" s="17"/>
      <c r="CF12" s="17"/>
      <c r="CG12" s="17"/>
      <c r="CH12" s="17"/>
    </row>
    <row r="13" spans="1:86" x14ac:dyDescent="0.2">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5"/>
      <c r="AK13" s="45"/>
      <c r="AL13" s="45"/>
      <c r="AM13" s="45"/>
      <c r="AN13" s="45"/>
      <c r="AO13" s="45"/>
      <c r="AP13" s="45"/>
      <c r="AQ13" s="45"/>
      <c r="AR13" s="45"/>
      <c r="AS13" s="45"/>
      <c r="AT13" s="45"/>
      <c r="AU13" s="45"/>
      <c r="AV13" s="45"/>
      <c r="AW13" s="45"/>
      <c r="AX13" s="45"/>
      <c r="AY13" s="45"/>
      <c r="AZ13" s="45"/>
      <c r="BA13" s="45"/>
      <c r="BB13" s="45"/>
      <c r="BC13" s="45"/>
      <c r="BD13" s="45"/>
      <c r="BE13" s="46"/>
      <c r="BF13" s="46"/>
      <c r="BG13" s="46"/>
      <c r="BH13" s="46"/>
      <c r="BI13" s="46"/>
      <c r="BJ13" s="46"/>
      <c r="BK13" s="46"/>
      <c r="BL13" s="46"/>
      <c r="BM13" s="46"/>
      <c r="BN13" s="46"/>
      <c r="BO13" s="46"/>
      <c r="BP13" s="47"/>
      <c r="BQ13" s="47"/>
      <c r="BR13" s="47"/>
      <c r="BS13" s="47"/>
      <c r="BT13" s="47"/>
      <c r="BU13" s="47"/>
      <c r="BV13" s="47"/>
      <c r="BW13" s="47"/>
      <c r="BX13" s="47"/>
      <c r="BY13" s="47"/>
      <c r="BZ13" s="47"/>
      <c r="CA13" s="47"/>
      <c r="CB13" s="47"/>
    </row>
    <row r="14" spans="1:86" s="4" customFormat="1" ht="15.75" x14ac:dyDescent="0.25">
      <c r="A14" s="1817" t="s">
        <v>113</v>
      </c>
      <c r="B14" s="1817"/>
      <c r="C14" s="1817"/>
      <c r="D14" s="1817"/>
      <c r="E14" s="1817"/>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1817"/>
      <c r="AM14" s="1817"/>
      <c r="AN14" s="1817"/>
      <c r="AO14" s="1817"/>
      <c r="AP14" s="1817"/>
      <c r="AQ14" s="1817"/>
      <c r="AR14" s="1817"/>
      <c r="AS14" s="1817"/>
      <c r="AT14" s="1817"/>
      <c r="AU14" s="1817"/>
      <c r="AV14" s="1817"/>
      <c r="AW14" s="1817"/>
      <c r="AX14" s="1817"/>
      <c r="AY14" s="1817"/>
      <c r="AZ14" s="1817"/>
      <c r="BA14" s="1817"/>
      <c r="BB14" s="1817"/>
      <c r="BC14" s="1817"/>
      <c r="BD14" s="1817"/>
      <c r="BE14" s="1817"/>
      <c r="BF14" s="1817"/>
      <c r="BG14" s="1817"/>
      <c r="BH14" s="1817"/>
      <c r="BI14" s="1817"/>
      <c r="BJ14" s="1817"/>
      <c r="BK14" s="1817"/>
      <c r="BL14" s="1817"/>
      <c r="BM14" s="1817"/>
      <c r="BN14" s="1817"/>
      <c r="BO14" s="1817"/>
      <c r="BP14" s="1817"/>
      <c r="BQ14" s="1817"/>
      <c r="BR14" s="1817"/>
      <c r="BS14" s="1817"/>
      <c r="BT14" s="1817"/>
      <c r="BU14" s="1817"/>
      <c r="BV14" s="1817"/>
      <c r="BW14" s="1817"/>
      <c r="BX14" s="1817"/>
      <c r="BY14" s="1817"/>
      <c r="BZ14" s="1817"/>
      <c r="CA14" s="1817"/>
      <c r="CB14" s="1817"/>
    </row>
    <row r="15" spans="1:86" s="4" customFormat="1" ht="15.75" x14ac:dyDescent="0.25">
      <c r="A15" s="1817" t="s">
        <v>1257</v>
      </c>
      <c r="B15" s="1817"/>
      <c r="C15" s="1817"/>
      <c r="D15" s="1817"/>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1817"/>
      <c r="AM15" s="1817"/>
      <c r="AN15" s="1817"/>
      <c r="AO15" s="1817"/>
      <c r="AP15" s="1817"/>
      <c r="AQ15" s="1817"/>
      <c r="AR15" s="1817"/>
      <c r="AS15" s="1817"/>
      <c r="AT15" s="1817"/>
      <c r="AU15" s="1817"/>
      <c r="AV15" s="1817"/>
      <c r="AW15" s="1817"/>
      <c r="AX15" s="1817"/>
      <c r="AY15" s="1817"/>
      <c r="AZ15" s="1817"/>
      <c r="BA15" s="1817"/>
      <c r="BB15" s="1817"/>
      <c r="BC15" s="1817"/>
      <c r="BD15" s="1817"/>
      <c r="BE15" s="1817"/>
      <c r="BF15" s="1817"/>
      <c r="BG15" s="1817"/>
      <c r="BH15" s="1817"/>
      <c r="BI15" s="1817"/>
      <c r="BJ15" s="1817"/>
      <c r="BK15" s="1817"/>
      <c r="BL15" s="1817"/>
      <c r="BM15" s="1817"/>
      <c r="BN15" s="1817"/>
      <c r="BO15" s="1817"/>
      <c r="BP15" s="1817"/>
      <c r="BQ15" s="1817"/>
      <c r="BR15" s="1817"/>
      <c r="BS15" s="1817"/>
      <c r="BT15" s="1817"/>
      <c r="BU15" s="1817"/>
      <c r="BV15" s="1817"/>
      <c r="BW15" s="1817"/>
      <c r="BX15" s="1817"/>
      <c r="BY15" s="1817"/>
      <c r="BZ15" s="1817"/>
      <c r="CA15" s="1817"/>
      <c r="CB15" s="1817"/>
    </row>
    <row r="17" spans="1:87" x14ac:dyDescent="0.2">
      <c r="A17" s="1818" t="s">
        <v>71</v>
      </c>
      <c r="B17" s="1819"/>
      <c r="C17" s="1819"/>
      <c r="D17" s="1820"/>
      <c r="E17" s="1818" t="s">
        <v>114</v>
      </c>
      <c r="F17" s="1819"/>
      <c r="G17" s="1819"/>
      <c r="H17" s="1819"/>
      <c r="I17" s="1819"/>
      <c r="J17" s="1819"/>
      <c r="K17" s="1819"/>
      <c r="L17" s="1819"/>
      <c r="M17" s="1819"/>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20"/>
      <c r="AJ17" s="1818" t="s">
        <v>115</v>
      </c>
      <c r="AK17" s="1819"/>
      <c r="AL17" s="1819"/>
      <c r="AM17" s="1819"/>
      <c r="AN17" s="1819"/>
      <c r="AO17" s="1819"/>
      <c r="AP17" s="1819"/>
      <c r="AQ17" s="1819"/>
      <c r="AR17" s="1819"/>
      <c r="AS17" s="1819"/>
      <c r="AT17" s="1820"/>
      <c r="AU17" s="1818" t="s">
        <v>116</v>
      </c>
      <c r="AV17" s="1819"/>
      <c r="AW17" s="1819"/>
      <c r="AX17" s="1819"/>
      <c r="AY17" s="1819"/>
      <c r="AZ17" s="1819"/>
      <c r="BA17" s="1819"/>
      <c r="BB17" s="1819"/>
      <c r="BC17" s="1819"/>
      <c r="BD17" s="1820"/>
      <c r="BE17" s="1818" t="s">
        <v>117</v>
      </c>
      <c r="BF17" s="1819"/>
      <c r="BG17" s="1819"/>
      <c r="BH17" s="1819"/>
      <c r="BI17" s="1819"/>
      <c r="BJ17" s="1819"/>
      <c r="BK17" s="1819"/>
      <c r="BL17" s="1819"/>
      <c r="BM17" s="1819"/>
      <c r="BN17" s="1819"/>
      <c r="BO17" s="1820"/>
      <c r="BP17" s="1818" t="s">
        <v>6</v>
      </c>
      <c r="BQ17" s="1819"/>
      <c r="BR17" s="1819"/>
      <c r="BS17" s="1819"/>
      <c r="BT17" s="1819"/>
      <c r="BU17" s="1819"/>
      <c r="BV17" s="1819"/>
      <c r="BW17" s="1819"/>
      <c r="BX17" s="1819"/>
      <c r="BY17" s="1819"/>
      <c r="BZ17" s="1819"/>
      <c r="CA17" s="1819"/>
      <c r="CB17" s="1820"/>
      <c r="CC17" s="1806" t="s">
        <v>52</v>
      </c>
      <c r="CD17" s="1806"/>
      <c r="CE17" s="1806"/>
      <c r="CF17" s="1806"/>
      <c r="CG17" s="1806"/>
      <c r="CH17" s="1806"/>
    </row>
    <row r="18" spans="1:87" x14ac:dyDescent="0.2">
      <c r="A18" s="1807" t="s">
        <v>77</v>
      </c>
      <c r="B18" s="1808"/>
      <c r="C18" s="1808"/>
      <c r="D18" s="1809"/>
      <c r="E18" s="1807"/>
      <c r="F18" s="1808"/>
      <c r="G18" s="1808"/>
      <c r="H18" s="1808"/>
      <c r="I18" s="1808"/>
      <c r="J18" s="1808"/>
      <c r="K18" s="1808"/>
      <c r="L18" s="1808"/>
      <c r="M18" s="1808"/>
      <c r="N18" s="1808"/>
      <c r="O18" s="1808"/>
      <c r="P18" s="1808"/>
      <c r="Q18" s="1808"/>
      <c r="R18" s="1808"/>
      <c r="S18" s="1808"/>
      <c r="T18" s="1808"/>
      <c r="U18" s="1808"/>
      <c r="V18" s="1808"/>
      <c r="W18" s="1808"/>
      <c r="X18" s="1808"/>
      <c r="Y18" s="1808"/>
      <c r="Z18" s="1808"/>
      <c r="AA18" s="1808"/>
      <c r="AB18" s="1808"/>
      <c r="AC18" s="1808"/>
      <c r="AD18" s="1808"/>
      <c r="AE18" s="1808"/>
      <c r="AF18" s="1808"/>
      <c r="AG18" s="1808"/>
      <c r="AH18" s="1808"/>
      <c r="AI18" s="1809"/>
      <c r="AJ18" s="1807" t="s">
        <v>118</v>
      </c>
      <c r="AK18" s="1808"/>
      <c r="AL18" s="1808"/>
      <c r="AM18" s="1808"/>
      <c r="AN18" s="1808"/>
      <c r="AO18" s="1808"/>
      <c r="AP18" s="1808"/>
      <c r="AQ18" s="1808"/>
      <c r="AR18" s="1808"/>
      <c r="AS18" s="1808"/>
      <c r="AT18" s="1809"/>
      <c r="AU18" s="1807" t="s">
        <v>119</v>
      </c>
      <c r="AV18" s="1808"/>
      <c r="AW18" s="1808"/>
      <c r="AX18" s="1808"/>
      <c r="AY18" s="1808"/>
      <c r="AZ18" s="1808"/>
      <c r="BA18" s="1808"/>
      <c r="BB18" s="1808"/>
      <c r="BC18" s="1808"/>
      <c r="BD18" s="1809"/>
      <c r="BE18" s="1807" t="s">
        <v>120</v>
      </c>
      <c r="BF18" s="1808"/>
      <c r="BG18" s="1808"/>
      <c r="BH18" s="1808"/>
      <c r="BI18" s="1808"/>
      <c r="BJ18" s="1808"/>
      <c r="BK18" s="1808"/>
      <c r="BL18" s="1808"/>
      <c r="BM18" s="1808"/>
      <c r="BN18" s="1808"/>
      <c r="BO18" s="1809"/>
      <c r="BP18" s="1807" t="s">
        <v>121</v>
      </c>
      <c r="BQ18" s="1808"/>
      <c r="BR18" s="1808"/>
      <c r="BS18" s="1808"/>
      <c r="BT18" s="1808"/>
      <c r="BU18" s="1808"/>
      <c r="BV18" s="1808"/>
      <c r="BW18" s="1808"/>
      <c r="BX18" s="1808"/>
      <c r="BY18" s="1808"/>
      <c r="BZ18" s="1808"/>
      <c r="CA18" s="1808"/>
      <c r="CB18" s="1809"/>
      <c r="CC18" s="1810" t="s">
        <v>35</v>
      </c>
      <c r="CD18" s="1810"/>
      <c r="CE18" s="1810" t="s">
        <v>45</v>
      </c>
      <c r="CF18" s="1810"/>
      <c r="CG18" s="1810"/>
      <c r="CH18" s="1810" t="s">
        <v>46</v>
      </c>
    </row>
    <row r="19" spans="1:87" ht="51" customHeight="1" x14ac:dyDescent="0.2">
      <c r="A19" s="1807"/>
      <c r="B19" s="1808"/>
      <c r="C19" s="1808"/>
      <c r="D19" s="1809"/>
      <c r="E19" s="1807"/>
      <c r="F19" s="1808"/>
      <c r="G19" s="1808"/>
      <c r="H19" s="1808"/>
      <c r="I19" s="1808"/>
      <c r="J19" s="1808"/>
      <c r="K19" s="1808"/>
      <c r="L19" s="1808"/>
      <c r="M19" s="1808"/>
      <c r="N19" s="1808"/>
      <c r="O19" s="1808"/>
      <c r="P19" s="1808"/>
      <c r="Q19" s="1808"/>
      <c r="R19" s="1808"/>
      <c r="S19" s="1808"/>
      <c r="T19" s="1808"/>
      <c r="U19" s="1808"/>
      <c r="V19" s="1808"/>
      <c r="W19" s="1808"/>
      <c r="X19" s="1808"/>
      <c r="Y19" s="1808"/>
      <c r="Z19" s="1808"/>
      <c r="AA19" s="1808"/>
      <c r="AB19" s="1808"/>
      <c r="AC19" s="1808"/>
      <c r="AD19" s="1808"/>
      <c r="AE19" s="1808"/>
      <c r="AF19" s="1808"/>
      <c r="AG19" s="1808"/>
      <c r="AH19" s="1808"/>
      <c r="AI19" s="1809"/>
      <c r="AJ19" s="1807" t="s">
        <v>122</v>
      </c>
      <c r="AK19" s="1808"/>
      <c r="AL19" s="1808"/>
      <c r="AM19" s="1808"/>
      <c r="AN19" s="1808"/>
      <c r="AO19" s="1808"/>
      <c r="AP19" s="1808"/>
      <c r="AQ19" s="1808"/>
      <c r="AR19" s="1808"/>
      <c r="AS19" s="1808"/>
      <c r="AT19" s="1809"/>
      <c r="AU19" s="1807" t="s">
        <v>123</v>
      </c>
      <c r="AV19" s="1808"/>
      <c r="AW19" s="1808"/>
      <c r="AX19" s="1808"/>
      <c r="AY19" s="1808"/>
      <c r="AZ19" s="1808"/>
      <c r="BA19" s="1808"/>
      <c r="BB19" s="1808"/>
      <c r="BC19" s="1808"/>
      <c r="BD19" s="1809"/>
      <c r="BE19" s="1807"/>
      <c r="BF19" s="1808"/>
      <c r="BG19" s="1808"/>
      <c r="BH19" s="1808"/>
      <c r="BI19" s="1808"/>
      <c r="BJ19" s="1808"/>
      <c r="BK19" s="1808"/>
      <c r="BL19" s="1808"/>
      <c r="BM19" s="1808"/>
      <c r="BN19" s="1808"/>
      <c r="BO19" s="1809"/>
      <c r="BP19" s="1807"/>
      <c r="BQ19" s="1808"/>
      <c r="BR19" s="1808"/>
      <c r="BS19" s="1808"/>
      <c r="BT19" s="1808"/>
      <c r="BU19" s="1808"/>
      <c r="BV19" s="1808"/>
      <c r="BW19" s="1808"/>
      <c r="BX19" s="1808"/>
      <c r="BY19" s="1808"/>
      <c r="BZ19" s="1808"/>
      <c r="CA19" s="1808"/>
      <c r="CB19" s="1809"/>
      <c r="CC19" s="1811" t="s">
        <v>43</v>
      </c>
      <c r="CD19" s="1811" t="s">
        <v>44</v>
      </c>
      <c r="CE19" s="1811" t="s">
        <v>55</v>
      </c>
      <c r="CF19" s="1811" t="s">
        <v>43</v>
      </c>
      <c r="CG19" s="1811" t="s">
        <v>44</v>
      </c>
      <c r="CH19" s="1810"/>
    </row>
    <row r="20" spans="1:87" x14ac:dyDescent="0.2">
      <c r="A20" s="1814"/>
      <c r="B20" s="1815"/>
      <c r="C20" s="1815"/>
      <c r="D20" s="1816"/>
      <c r="E20" s="1814"/>
      <c r="F20" s="1815"/>
      <c r="G20" s="1815"/>
      <c r="H20" s="1815"/>
      <c r="I20" s="1815"/>
      <c r="J20" s="1815"/>
      <c r="K20" s="1815"/>
      <c r="L20" s="1815"/>
      <c r="M20" s="1815"/>
      <c r="N20" s="1815"/>
      <c r="O20" s="1815"/>
      <c r="P20" s="1815"/>
      <c r="Q20" s="1815"/>
      <c r="R20" s="1815"/>
      <c r="S20" s="1815"/>
      <c r="T20" s="1815"/>
      <c r="U20" s="1815"/>
      <c r="V20" s="1815"/>
      <c r="W20" s="1815"/>
      <c r="X20" s="1815"/>
      <c r="Y20" s="1815"/>
      <c r="Z20" s="1815"/>
      <c r="AA20" s="1815"/>
      <c r="AB20" s="1815"/>
      <c r="AC20" s="1815"/>
      <c r="AD20" s="1815"/>
      <c r="AE20" s="1815"/>
      <c r="AF20" s="1815"/>
      <c r="AG20" s="1815"/>
      <c r="AH20" s="1815"/>
      <c r="AI20" s="1816"/>
      <c r="AJ20" s="1814"/>
      <c r="AK20" s="1815"/>
      <c r="AL20" s="1815"/>
      <c r="AM20" s="1815"/>
      <c r="AN20" s="1815"/>
      <c r="AO20" s="1815"/>
      <c r="AP20" s="1815"/>
      <c r="AQ20" s="1815"/>
      <c r="AR20" s="1815"/>
      <c r="AS20" s="1815"/>
      <c r="AT20" s="1816"/>
      <c r="AU20" s="1814"/>
      <c r="AV20" s="1815"/>
      <c r="AW20" s="1815"/>
      <c r="AX20" s="1815"/>
      <c r="AY20" s="1815"/>
      <c r="AZ20" s="1815"/>
      <c r="BA20" s="1815"/>
      <c r="BB20" s="1815"/>
      <c r="BC20" s="1815"/>
      <c r="BD20" s="1816"/>
      <c r="BE20" s="1814"/>
      <c r="BF20" s="1815"/>
      <c r="BG20" s="1815"/>
      <c r="BH20" s="1815"/>
      <c r="BI20" s="1815"/>
      <c r="BJ20" s="1815"/>
      <c r="BK20" s="1815"/>
      <c r="BL20" s="1815"/>
      <c r="BM20" s="1815"/>
      <c r="BN20" s="1815"/>
      <c r="BO20" s="1816"/>
      <c r="BP20" s="1814"/>
      <c r="BQ20" s="1815"/>
      <c r="BR20" s="1815"/>
      <c r="BS20" s="1815"/>
      <c r="BT20" s="1815"/>
      <c r="BU20" s="1815"/>
      <c r="BV20" s="1815"/>
      <c r="BW20" s="1815"/>
      <c r="BX20" s="1815"/>
      <c r="BY20" s="1815"/>
      <c r="BZ20" s="1815"/>
      <c r="CA20" s="1815"/>
      <c r="CB20" s="1816"/>
      <c r="CC20" s="1811"/>
      <c r="CD20" s="1811"/>
      <c r="CE20" s="1811"/>
      <c r="CF20" s="1811"/>
      <c r="CG20" s="1811"/>
      <c r="CH20" s="1810"/>
    </row>
    <row r="21" spans="1:87" x14ac:dyDescent="0.2">
      <c r="A21" s="1814">
        <v>1</v>
      </c>
      <c r="B21" s="1815"/>
      <c r="C21" s="1815"/>
      <c r="D21" s="1816"/>
      <c r="E21" s="1814">
        <v>2</v>
      </c>
      <c r="F21" s="1815"/>
      <c r="G21" s="1815"/>
      <c r="H21" s="1815"/>
      <c r="I21" s="1815"/>
      <c r="J21" s="1815"/>
      <c r="K21" s="1815"/>
      <c r="L21" s="1815"/>
      <c r="M21" s="1815"/>
      <c r="N21" s="1815"/>
      <c r="O21" s="1815"/>
      <c r="P21" s="1815"/>
      <c r="Q21" s="1815"/>
      <c r="R21" s="1815"/>
      <c r="S21" s="1815"/>
      <c r="T21" s="1815"/>
      <c r="U21" s="1815"/>
      <c r="V21" s="1815"/>
      <c r="W21" s="1815"/>
      <c r="X21" s="1815"/>
      <c r="Y21" s="1815"/>
      <c r="Z21" s="1815"/>
      <c r="AA21" s="1815"/>
      <c r="AB21" s="1815"/>
      <c r="AC21" s="1815"/>
      <c r="AD21" s="1815"/>
      <c r="AE21" s="1815"/>
      <c r="AF21" s="1815"/>
      <c r="AG21" s="1815"/>
      <c r="AH21" s="1815"/>
      <c r="AI21" s="1816"/>
      <c r="AJ21" s="1814">
        <v>3</v>
      </c>
      <c r="AK21" s="1815"/>
      <c r="AL21" s="1815"/>
      <c r="AM21" s="1815"/>
      <c r="AN21" s="1815"/>
      <c r="AO21" s="1815"/>
      <c r="AP21" s="1815"/>
      <c r="AQ21" s="1815"/>
      <c r="AR21" s="1815"/>
      <c r="AS21" s="1815"/>
      <c r="AT21" s="1816"/>
      <c r="AU21" s="1814">
        <v>4</v>
      </c>
      <c r="AV21" s="1815"/>
      <c r="AW21" s="1815"/>
      <c r="AX21" s="1815"/>
      <c r="AY21" s="1815"/>
      <c r="AZ21" s="1815"/>
      <c r="BA21" s="1815"/>
      <c r="BB21" s="1815"/>
      <c r="BC21" s="1815"/>
      <c r="BD21" s="1816"/>
      <c r="BE21" s="1814">
        <v>5</v>
      </c>
      <c r="BF21" s="1815"/>
      <c r="BG21" s="1815"/>
      <c r="BH21" s="1815"/>
      <c r="BI21" s="1815"/>
      <c r="BJ21" s="1815"/>
      <c r="BK21" s="1815"/>
      <c r="BL21" s="1815"/>
      <c r="BM21" s="1815"/>
      <c r="BN21" s="1815"/>
      <c r="BO21" s="1816"/>
      <c r="BP21" s="1830" t="s">
        <v>124</v>
      </c>
      <c r="BQ21" s="1830"/>
      <c r="BR21" s="1830"/>
      <c r="BS21" s="1830"/>
      <c r="BT21" s="1830"/>
      <c r="BU21" s="1830"/>
      <c r="BV21" s="1830"/>
      <c r="BW21" s="1830"/>
      <c r="BX21" s="1830"/>
      <c r="BY21" s="1830"/>
      <c r="BZ21" s="1830"/>
      <c r="CA21" s="1830"/>
      <c r="CB21" s="1830"/>
      <c r="CC21" s="15">
        <v>7</v>
      </c>
      <c r="CD21" s="15">
        <v>8</v>
      </c>
      <c r="CE21" s="15">
        <v>9</v>
      </c>
      <c r="CF21" s="15">
        <v>10</v>
      </c>
      <c r="CG21" s="15">
        <v>11</v>
      </c>
      <c r="CH21" s="15">
        <v>12</v>
      </c>
    </row>
    <row r="22" spans="1:87" x14ac:dyDescent="0.2">
      <c r="A22" s="1803"/>
      <c r="B22" s="1804"/>
      <c r="C22" s="1804"/>
      <c r="D22" s="1805"/>
      <c r="E22" s="1794" t="s">
        <v>125</v>
      </c>
      <c r="F22" s="1795"/>
      <c r="G22" s="1795"/>
      <c r="H22" s="1795"/>
      <c r="I22" s="1795"/>
      <c r="J22" s="1795"/>
      <c r="K22" s="1795"/>
      <c r="L22" s="1795"/>
      <c r="M22" s="1795"/>
      <c r="N22" s="1795"/>
      <c r="O22" s="1795"/>
      <c r="P22" s="1795"/>
      <c r="Q22" s="1795"/>
      <c r="R22" s="1795"/>
      <c r="S22" s="1795"/>
      <c r="T22" s="1795"/>
      <c r="U22" s="1795"/>
      <c r="V22" s="1795"/>
      <c r="W22" s="1795"/>
      <c r="X22" s="1795"/>
      <c r="Y22" s="1795"/>
      <c r="Z22" s="1795"/>
      <c r="AA22" s="1795"/>
      <c r="AB22" s="1795"/>
      <c r="AC22" s="1795"/>
      <c r="AD22" s="1795"/>
      <c r="AE22" s="1795"/>
      <c r="AF22" s="1795"/>
      <c r="AG22" s="1795"/>
      <c r="AH22" s="1795"/>
      <c r="AI22" s="1796"/>
      <c r="AJ22" s="1840"/>
      <c r="AK22" s="1841"/>
      <c r="AL22" s="1841"/>
      <c r="AM22" s="1841"/>
      <c r="AN22" s="1841"/>
      <c r="AO22" s="1841"/>
      <c r="AP22" s="1841"/>
      <c r="AQ22" s="1841"/>
      <c r="AR22" s="1841"/>
      <c r="AS22" s="1841"/>
      <c r="AT22" s="1842"/>
      <c r="AU22" s="1840"/>
      <c r="AV22" s="1841"/>
      <c r="AW22" s="1841"/>
      <c r="AX22" s="1841"/>
      <c r="AY22" s="1841"/>
      <c r="AZ22" s="1841"/>
      <c r="BA22" s="1841"/>
      <c r="BB22" s="1841"/>
      <c r="BC22" s="1841"/>
      <c r="BD22" s="1842"/>
      <c r="BE22" s="1791"/>
      <c r="BF22" s="1792"/>
      <c r="BG22" s="1792"/>
      <c r="BH22" s="1792"/>
      <c r="BI22" s="1792"/>
      <c r="BJ22" s="1792"/>
      <c r="BK22" s="1792"/>
      <c r="BL22" s="1792"/>
      <c r="BM22" s="1792"/>
      <c r="BN22" s="1792"/>
      <c r="BO22" s="1793"/>
      <c r="BP22" s="1800">
        <f>BP25+BP23+BP26++BP27+BP28+BP29+BP30</f>
        <v>125670.51549999998</v>
      </c>
      <c r="BQ22" s="1801"/>
      <c r="BR22" s="1801"/>
      <c r="BS22" s="1801"/>
      <c r="BT22" s="1801"/>
      <c r="BU22" s="1801"/>
      <c r="BV22" s="1801"/>
      <c r="BW22" s="1801"/>
      <c r="BX22" s="1801"/>
      <c r="BY22" s="1801"/>
      <c r="BZ22" s="1801"/>
      <c r="CA22" s="1801"/>
      <c r="CB22" s="1802"/>
      <c r="CC22" s="17"/>
      <c r="CD22" s="28">
        <f>CD23+CD24</f>
        <v>125670.52000000002</v>
      </c>
      <c r="CE22" s="50"/>
      <c r="CF22" s="17"/>
      <c r="CG22" s="17"/>
      <c r="CH22" s="17"/>
      <c r="CI22" s="51" t="s">
        <v>1596</v>
      </c>
    </row>
    <row r="23" spans="1:87" x14ac:dyDescent="0.2">
      <c r="A23" s="1803"/>
      <c r="B23" s="1804"/>
      <c r="C23" s="1804"/>
      <c r="D23" s="1805"/>
      <c r="E23" s="1803" t="s">
        <v>1608</v>
      </c>
      <c r="F23" s="1804"/>
      <c r="G23" s="1804"/>
      <c r="H23" s="1804"/>
      <c r="I23" s="1804"/>
      <c r="J23" s="1804"/>
      <c r="K23" s="1804"/>
      <c r="L23" s="1804"/>
      <c r="M23" s="1804"/>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5"/>
      <c r="AJ23" s="1791"/>
      <c r="AK23" s="1792"/>
      <c r="AL23" s="1792"/>
      <c r="AM23" s="1792"/>
      <c r="AN23" s="1792"/>
      <c r="AO23" s="1792"/>
      <c r="AP23" s="1792"/>
      <c r="AQ23" s="1792"/>
      <c r="AR23" s="1792"/>
      <c r="AS23" s="1792"/>
      <c r="AT23" s="1793"/>
      <c r="AU23" s="1791"/>
      <c r="AV23" s="1792"/>
      <c r="AW23" s="1792"/>
      <c r="AX23" s="1792"/>
      <c r="AY23" s="1792"/>
      <c r="AZ23" s="1792"/>
      <c r="BA23" s="1792"/>
      <c r="BB23" s="1792"/>
      <c r="BC23" s="1792"/>
      <c r="BD23" s="1793"/>
      <c r="BE23" s="1791"/>
      <c r="BF23" s="1792"/>
      <c r="BG23" s="1792"/>
      <c r="BH23" s="1792"/>
      <c r="BI23" s="1792"/>
      <c r="BJ23" s="1792"/>
      <c r="BK23" s="1792"/>
      <c r="BL23" s="1792"/>
      <c r="BM23" s="1792"/>
      <c r="BN23" s="1792"/>
      <c r="BO23" s="1793"/>
      <c r="BP23" s="1791">
        <f>CD23</f>
        <v>-28336.69</v>
      </c>
      <c r="BQ23" s="1792"/>
      <c r="BR23" s="1792"/>
      <c r="BS23" s="1792"/>
      <c r="BT23" s="1792"/>
      <c r="BU23" s="1792"/>
      <c r="BV23" s="1792"/>
      <c r="BW23" s="1792"/>
      <c r="BX23" s="1792"/>
      <c r="BY23" s="1792"/>
      <c r="BZ23" s="1792"/>
      <c r="CA23" s="1792"/>
      <c r="CB23" s="1793"/>
      <c r="CC23" s="17"/>
      <c r="CD23" s="23">
        <v>-28336.69</v>
      </c>
      <c r="CE23" s="17"/>
      <c r="CF23" s="17"/>
      <c r="CG23" s="17"/>
      <c r="CH23" s="17"/>
      <c r="CI23" s="1115"/>
    </row>
    <row r="24" spans="1:87" x14ac:dyDescent="0.2">
      <c r="A24" s="1803"/>
      <c r="B24" s="1804"/>
      <c r="C24" s="1804"/>
      <c r="D24" s="1805"/>
      <c r="E24" s="1794" t="s">
        <v>1570</v>
      </c>
      <c r="F24" s="1795"/>
      <c r="G24" s="1795"/>
      <c r="H24" s="1795"/>
      <c r="I24" s="1795"/>
      <c r="J24" s="1795"/>
      <c r="K24" s="1795"/>
      <c r="L24" s="1795"/>
      <c r="M24" s="1795"/>
      <c r="N24" s="1795"/>
      <c r="O24" s="1795"/>
      <c r="P24" s="1795"/>
      <c r="Q24" s="1795"/>
      <c r="R24" s="1795"/>
      <c r="S24" s="1795"/>
      <c r="T24" s="1795"/>
      <c r="U24" s="1795"/>
      <c r="V24" s="1795"/>
      <c r="W24" s="1795"/>
      <c r="X24" s="1795"/>
      <c r="Y24" s="1795"/>
      <c r="Z24" s="1795"/>
      <c r="AA24" s="1795"/>
      <c r="AB24" s="1795"/>
      <c r="AC24" s="1795"/>
      <c r="AD24" s="1795"/>
      <c r="AE24" s="1795"/>
      <c r="AF24" s="1795"/>
      <c r="AG24" s="1795"/>
      <c r="AH24" s="1795"/>
      <c r="AI24" s="1796"/>
      <c r="AJ24" s="1791"/>
      <c r="AK24" s="1792"/>
      <c r="AL24" s="1792"/>
      <c r="AM24" s="1792"/>
      <c r="AN24" s="1792"/>
      <c r="AO24" s="1792"/>
      <c r="AP24" s="1792"/>
      <c r="AQ24" s="1792"/>
      <c r="AR24" s="1792"/>
      <c r="AS24" s="1792"/>
      <c r="AT24" s="1793"/>
      <c r="AU24" s="1791"/>
      <c r="AV24" s="1792"/>
      <c r="AW24" s="1792"/>
      <c r="AX24" s="1792"/>
      <c r="AY24" s="1792"/>
      <c r="AZ24" s="1792"/>
      <c r="BA24" s="1792"/>
      <c r="BB24" s="1792"/>
      <c r="BC24" s="1792"/>
      <c r="BD24" s="1793"/>
      <c r="BE24" s="1791"/>
      <c r="BF24" s="1792"/>
      <c r="BG24" s="1792"/>
      <c r="BH24" s="1792"/>
      <c r="BI24" s="1792"/>
      <c r="BJ24" s="1792"/>
      <c r="BK24" s="1792"/>
      <c r="BL24" s="1792"/>
      <c r="BM24" s="1792"/>
      <c r="BN24" s="1792"/>
      <c r="BO24" s="1793"/>
      <c r="BP24" s="1800">
        <f>CD24</f>
        <v>154007.21000000002</v>
      </c>
      <c r="BQ24" s="1801"/>
      <c r="BR24" s="1801"/>
      <c r="BS24" s="1801"/>
      <c r="BT24" s="1801"/>
      <c r="BU24" s="1801"/>
      <c r="BV24" s="1801"/>
      <c r="BW24" s="1801"/>
      <c r="BX24" s="1801"/>
      <c r="BY24" s="1801"/>
      <c r="BZ24" s="1801"/>
      <c r="CA24" s="1801"/>
      <c r="CB24" s="1802"/>
      <c r="CC24" s="27"/>
      <c r="CD24" s="28">
        <f>CD25+CD26+CD27+CD28+CD29+CD30</f>
        <v>154007.21000000002</v>
      </c>
      <c r="CE24" s="17"/>
      <c r="CF24" s="17"/>
      <c r="CG24" s="17"/>
      <c r="CH24" s="17"/>
      <c r="CI24" s="51"/>
    </row>
    <row r="25" spans="1:87" x14ac:dyDescent="0.2">
      <c r="A25" s="1803"/>
      <c r="B25" s="1804"/>
      <c r="C25" s="1804"/>
      <c r="D25" s="1805"/>
      <c r="E25" s="1803" t="s">
        <v>126</v>
      </c>
      <c r="F25" s="1804"/>
      <c r="G25" s="1804"/>
      <c r="H25" s="1804"/>
      <c r="I25" s="1804"/>
      <c r="J25" s="1804"/>
      <c r="K25" s="1804"/>
      <c r="L25" s="1804"/>
      <c r="M25" s="1804"/>
      <c r="N25" s="1804"/>
      <c r="O25" s="1804"/>
      <c r="P25" s="1804"/>
      <c r="Q25" s="1804"/>
      <c r="R25" s="1804"/>
      <c r="S25" s="1804"/>
      <c r="T25" s="1804"/>
      <c r="U25" s="1804"/>
      <c r="V25" s="1804"/>
      <c r="W25" s="1804"/>
      <c r="X25" s="1804"/>
      <c r="Y25" s="1804"/>
      <c r="Z25" s="1804"/>
      <c r="AA25" s="1804"/>
      <c r="AB25" s="1804"/>
      <c r="AC25" s="1804"/>
      <c r="AD25" s="1804"/>
      <c r="AE25" s="1804"/>
      <c r="AF25" s="1804"/>
      <c r="AG25" s="1804"/>
      <c r="AH25" s="1804"/>
      <c r="AI25" s="1805"/>
      <c r="AJ25" s="1791">
        <f>128+157</f>
        <v>285</v>
      </c>
      <c r="AK25" s="1792"/>
      <c r="AL25" s="1792"/>
      <c r="AM25" s="1792"/>
      <c r="AN25" s="1792"/>
      <c r="AO25" s="1792"/>
      <c r="AP25" s="1792"/>
      <c r="AQ25" s="1792"/>
      <c r="AR25" s="1792"/>
      <c r="AS25" s="1792"/>
      <c r="AT25" s="1793"/>
      <c r="AU25" s="1791">
        <v>64.760000000000005</v>
      </c>
      <c r="AV25" s="1792"/>
      <c r="AW25" s="1792"/>
      <c r="AX25" s="1792"/>
      <c r="AY25" s="1792"/>
      <c r="AZ25" s="1792"/>
      <c r="BA25" s="1792"/>
      <c r="BB25" s="1792"/>
      <c r="BC25" s="1792"/>
      <c r="BD25" s="1793"/>
      <c r="BE25" s="1791"/>
      <c r="BF25" s="1792"/>
      <c r="BG25" s="1792"/>
      <c r="BH25" s="1792"/>
      <c r="BI25" s="1792"/>
      <c r="BJ25" s="1792"/>
      <c r="BK25" s="1792"/>
      <c r="BL25" s="1792"/>
      <c r="BM25" s="1792"/>
      <c r="BN25" s="1792"/>
      <c r="BO25" s="1793"/>
      <c r="BP25" s="1791">
        <f>AJ25*AU25</f>
        <v>18456.600000000002</v>
      </c>
      <c r="BQ25" s="1792"/>
      <c r="BR25" s="1792"/>
      <c r="BS25" s="1792"/>
      <c r="BT25" s="1792"/>
      <c r="BU25" s="1792"/>
      <c r="BV25" s="1792"/>
      <c r="BW25" s="1792"/>
      <c r="BX25" s="1792"/>
      <c r="BY25" s="1792"/>
      <c r="BZ25" s="1792"/>
      <c r="CA25" s="1792"/>
      <c r="CB25" s="1793"/>
      <c r="CC25" s="17"/>
      <c r="CD25" s="23">
        <v>18456.599999999999</v>
      </c>
      <c r="CE25" s="17"/>
      <c r="CF25" s="17"/>
      <c r="CG25" s="17"/>
      <c r="CH25" s="17"/>
      <c r="CI25" s="52">
        <f>CD25+CD26+CD27+CD28+CD23</f>
        <v>85818.89</v>
      </c>
    </row>
    <row r="26" spans="1:87" x14ac:dyDescent="0.2">
      <c r="A26" s="1803"/>
      <c r="B26" s="1804"/>
      <c r="C26" s="1804"/>
      <c r="D26" s="1805"/>
      <c r="E26" s="1803" t="s">
        <v>127</v>
      </c>
      <c r="F26" s="1804"/>
      <c r="G26" s="1804"/>
      <c r="H26" s="1804"/>
      <c r="I26" s="1804"/>
      <c r="J26" s="1804"/>
      <c r="K26" s="1804"/>
      <c r="L26" s="1804"/>
      <c r="M26" s="1804"/>
      <c r="N26" s="1804"/>
      <c r="O26" s="1804"/>
      <c r="P26" s="1804"/>
      <c r="Q26" s="1804"/>
      <c r="R26" s="1804"/>
      <c r="S26" s="1804"/>
      <c r="T26" s="1804"/>
      <c r="U26" s="1804"/>
      <c r="V26" s="1804"/>
      <c r="W26" s="1804"/>
      <c r="X26" s="1804"/>
      <c r="Y26" s="1804"/>
      <c r="Z26" s="1804"/>
      <c r="AA26" s="1804"/>
      <c r="AB26" s="1804"/>
      <c r="AC26" s="1804"/>
      <c r="AD26" s="1804"/>
      <c r="AE26" s="1804"/>
      <c r="AF26" s="1804"/>
      <c r="AG26" s="1804"/>
      <c r="AH26" s="1804"/>
      <c r="AI26" s="1805"/>
      <c r="AJ26" s="1791">
        <f>87+160</f>
        <v>247</v>
      </c>
      <c r="AK26" s="1792"/>
      <c r="AL26" s="1792"/>
      <c r="AM26" s="1792"/>
      <c r="AN26" s="1792"/>
      <c r="AO26" s="1792"/>
      <c r="AP26" s="1792"/>
      <c r="AQ26" s="1792"/>
      <c r="AR26" s="1792"/>
      <c r="AS26" s="1792"/>
      <c r="AT26" s="1793"/>
      <c r="AU26" s="1791">
        <v>64.760000000000005</v>
      </c>
      <c r="AV26" s="1792"/>
      <c r="AW26" s="1792"/>
      <c r="AX26" s="1792"/>
      <c r="AY26" s="1792"/>
      <c r="AZ26" s="1792"/>
      <c r="BA26" s="1792"/>
      <c r="BB26" s="1792"/>
      <c r="BC26" s="1792"/>
      <c r="BD26" s="1793"/>
      <c r="BE26" s="1791"/>
      <c r="BF26" s="1792"/>
      <c r="BG26" s="1792"/>
      <c r="BH26" s="1792"/>
      <c r="BI26" s="1792"/>
      <c r="BJ26" s="1792"/>
      <c r="BK26" s="1792"/>
      <c r="BL26" s="1792"/>
      <c r="BM26" s="1792"/>
      <c r="BN26" s="1792"/>
      <c r="BO26" s="1793"/>
      <c r="BP26" s="1791">
        <f>AJ26*AU26</f>
        <v>15995.720000000001</v>
      </c>
      <c r="BQ26" s="1792"/>
      <c r="BR26" s="1792"/>
      <c r="BS26" s="1792"/>
      <c r="BT26" s="1792"/>
      <c r="BU26" s="1792"/>
      <c r="BV26" s="1792"/>
      <c r="BW26" s="1792"/>
      <c r="BX26" s="1792"/>
      <c r="BY26" s="1792"/>
      <c r="BZ26" s="1792"/>
      <c r="CA26" s="1792"/>
      <c r="CB26" s="1793"/>
      <c r="CC26" s="17"/>
      <c r="CD26" s="23">
        <v>15995.72</v>
      </c>
      <c r="CE26" s="17"/>
      <c r="CF26" s="17"/>
      <c r="CG26" s="17"/>
      <c r="CH26" s="17"/>
    </row>
    <row r="27" spans="1:87" x14ac:dyDescent="0.2">
      <c r="A27" s="1803"/>
      <c r="B27" s="1804"/>
      <c r="C27" s="1804"/>
      <c r="D27" s="1805"/>
      <c r="E27" s="1803" t="s">
        <v>128</v>
      </c>
      <c r="F27" s="1804"/>
      <c r="G27" s="1804"/>
      <c r="H27" s="1804"/>
      <c r="I27" s="1804"/>
      <c r="J27" s="1804"/>
      <c r="K27" s="1804"/>
      <c r="L27" s="1804"/>
      <c r="M27" s="1804"/>
      <c r="N27" s="1804"/>
      <c r="O27" s="1804"/>
      <c r="P27" s="1804"/>
      <c r="Q27" s="1804"/>
      <c r="R27" s="1804"/>
      <c r="S27" s="1804"/>
      <c r="T27" s="1804"/>
      <c r="U27" s="1804"/>
      <c r="V27" s="1804"/>
      <c r="W27" s="1804"/>
      <c r="X27" s="1804"/>
      <c r="Y27" s="1804"/>
      <c r="Z27" s="1804"/>
      <c r="AA27" s="1804"/>
      <c r="AB27" s="1804"/>
      <c r="AC27" s="1804"/>
      <c r="AD27" s="1804"/>
      <c r="AE27" s="1804"/>
      <c r="AF27" s="1804"/>
      <c r="AG27" s="1804"/>
      <c r="AH27" s="1804"/>
      <c r="AI27" s="1805"/>
      <c r="AJ27" s="1791">
        <f>230.87+281.43</f>
        <v>512.29999999999995</v>
      </c>
      <c r="AK27" s="1792"/>
      <c r="AL27" s="1792"/>
      <c r="AM27" s="1792"/>
      <c r="AN27" s="1792"/>
      <c r="AO27" s="1792"/>
      <c r="AP27" s="1792"/>
      <c r="AQ27" s="1792"/>
      <c r="AR27" s="1792"/>
      <c r="AS27" s="1792"/>
      <c r="AT27" s="1793"/>
      <c r="AU27" s="1791">
        <v>77.3</v>
      </c>
      <c r="AV27" s="1792"/>
      <c r="AW27" s="1792"/>
      <c r="AX27" s="1792"/>
      <c r="AY27" s="1792"/>
      <c r="AZ27" s="1792"/>
      <c r="BA27" s="1792"/>
      <c r="BB27" s="1792"/>
      <c r="BC27" s="1792"/>
      <c r="BD27" s="1793"/>
      <c r="BE27" s="1791"/>
      <c r="BF27" s="1792"/>
      <c r="BG27" s="1792"/>
      <c r="BH27" s="1792"/>
      <c r="BI27" s="1792"/>
      <c r="BJ27" s="1792"/>
      <c r="BK27" s="1792"/>
      <c r="BL27" s="1792"/>
      <c r="BM27" s="1792"/>
      <c r="BN27" s="1792"/>
      <c r="BO27" s="1793"/>
      <c r="BP27" s="1791">
        <f t="shared" ref="BP27:BP29" si="0">AJ27*AU27</f>
        <v>39600.789999999994</v>
      </c>
      <c r="BQ27" s="1792"/>
      <c r="BR27" s="1792"/>
      <c r="BS27" s="1792"/>
      <c r="BT27" s="1792"/>
      <c r="BU27" s="1792"/>
      <c r="BV27" s="1792"/>
      <c r="BW27" s="1792"/>
      <c r="BX27" s="1792"/>
      <c r="BY27" s="1792"/>
      <c r="BZ27" s="1792"/>
      <c r="CA27" s="1792"/>
      <c r="CB27" s="1793"/>
      <c r="CC27" s="17"/>
      <c r="CD27" s="23">
        <v>39600.79</v>
      </c>
      <c r="CE27" s="17"/>
      <c r="CF27" s="17"/>
      <c r="CG27" s="17"/>
      <c r="CH27" s="17"/>
    </row>
    <row r="28" spans="1:87" x14ac:dyDescent="0.2">
      <c r="A28" s="1803"/>
      <c r="B28" s="1804"/>
      <c r="C28" s="1804"/>
      <c r="D28" s="1805"/>
      <c r="E28" s="1803" t="s">
        <v>129</v>
      </c>
      <c r="F28" s="1804"/>
      <c r="G28" s="1804"/>
      <c r="H28" s="1804"/>
      <c r="I28" s="1804"/>
      <c r="J28" s="1804"/>
      <c r="K28" s="1804"/>
      <c r="L28" s="1804"/>
      <c r="M28" s="1804"/>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5"/>
      <c r="AJ28" s="1791">
        <f>188.79+330</f>
        <v>518.79</v>
      </c>
      <c r="AK28" s="1792"/>
      <c r="AL28" s="1792"/>
      <c r="AM28" s="1792"/>
      <c r="AN28" s="1792"/>
      <c r="AO28" s="1792"/>
      <c r="AP28" s="1792"/>
      <c r="AQ28" s="1792"/>
      <c r="AR28" s="1792"/>
      <c r="AS28" s="1792"/>
      <c r="AT28" s="1793"/>
      <c r="AU28" s="1791">
        <v>77.3</v>
      </c>
      <c r="AV28" s="1792"/>
      <c r="AW28" s="1792"/>
      <c r="AX28" s="1792"/>
      <c r="AY28" s="1792"/>
      <c r="AZ28" s="1792"/>
      <c r="BA28" s="1792"/>
      <c r="BB28" s="1792"/>
      <c r="BC28" s="1792"/>
      <c r="BD28" s="1793"/>
      <c r="BE28" s="1791"/>
      <c r="BF28" s="1792"/>
      <c r="BG28" s="1792"/>
      <c r="BH28" s="1792"/>
      <c r="BI28" s="1792"/>
      <c r="BJ28" s="1792"/>
      <c r="BK28" s="1792"/>
      <c r="BL28" s="1792"/>
      <c r="BM28" s="1792"/>
      <c r="BN28" s="1792"/>
      <c r="BO28" s="1793"/>
      <c r="BP28" s="1791">
        <f t="shared" si="0"/>
        <v>40102.466999999997</v>
      </c>
      <c r="BQ28" s="1792"/>
      <c r="BR28" s="1792"/>
      <c r="BS28" s="1792"/>
      <c r="BT28" s="1792"/>
      <c r="BU28" s="1792"/>
      <c r="BV28" s="1792"/>
      <c r="BW28" s="1792"/>
      <c r="BX28" s="1792"/>
      <c r="BY28" s="1792"/>
      <c r="BZ28" s="1792"/>
      <c r="CA28" s="1792"/>
      <c r="CB28" s="1793"/>
      <c r="CC28" s="17"/>
      <c r="CD28" s="23">
        <v>40102.47</v>
      </c>
      <c r="CE28" s="17"/>
      <c r="CF28" s="17"/>
      <c r="CG28" s="17"/>
      <c r="CH28" s="17"/>
    </row>
    <row r="29" spans="1:87" ht="13.5" customHeight="1" x14ac:dyDescent="0.2">
      <c r="A29" s="1843"/>
      <c r="B29" s="1844"/>
      <c r="C29" s="1844"/>
      <c r="D29" s="1845"/>
      <c r="E29" s="1843" t="s">
        <v>1238</v>
      </c>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5"/>
      <c r="AJ29" s="1852">
        <f>AJ27</f>
        <v>512.29999999999995</v>
      </c>
      <c r="AK29" s="1853"/>
      <c r="AL29" s="1853"/>
      <c r="AM29" s="1853"/>
      <c r="AN29" s="1853"/>
      <c r="AO29" s="1853"/>
      <c r="AP29" s="1853"/>
      <c r="AQ29" s="1853"/>
      <c r="AR29" s="1853"/>
      <c r="AS29" s="1853"/>
      <c r="AT29" s="1854"/>
      <c r="AU29" s="1852">
        <f>AU27/2</f>
        <v>38.65</v>
      </c>
      <c r="AV29" s="1853"/>
      <c r="AW29" s="1853"/>
      <c r="AX29" s="1853"/>
      <c r="AY29" s="1853"/>
      <c r="AZ29" s="1853"/>
      <c r="BA29" s="1853"/>
      <c r="BB29" s="1853"/>
      <c r="BC29" s="1853"/>
      <c r="BD29" s="1854"/>
      <c r="BE29" s="1852"/>
      <c r="BF29" s="1853"/>
      <c r="BG29" s="1853"/>
      <c r="BH29" s="1853"/>
      <c r="BI29" s="1853"/>
      <c r="BJ29" s="1853"/>
      <c r="BK29" s="1853"/>
      <c r="BL29" s="1853"/>
      <c r="BM29" s="1853"/>
      <c r="BN29" s="1853"/>
      <c r="BO29" s="1854"/>
      <c r="BP29" s="1791">
        <f t="shared" si="0"/>
        <v>19800.394999999997</v>
      </c>
      <c r="BQ29" s="1792"/>
      <c r="BR29" s="1792"/>
      <c r="BS29" s="1792"/>
      <c r="BT29" s="1792"/>
      <c r="BU29" s="1792"/>
      <c r="BV29" s="1792"/>
      <c r="BW29" s="1792"/>
      <c r="BX29" s="1792"/>
      <c r="BY29" s="1792"/>
      <c r="BZ29" s="1792"/>
      <c r="CA29" s="1792"/>
      <c r="CB29" s="1793"/>
      <c r="CC29" s="17"/>
      <c r="CD29" s="23">
        <v>19800.400000000001</v>
      </c>
      <c r="CE29" s="17"/>
      <c r="CF29" s="17"/>
      <c r="CG29" s="17"/>
      <c r="CH29" s="17"/>
    </row>
    <row r="30" spans="1:87" ht="13.5" customHeight="1" x14ac:dyDescent="0.2">
      <c r="A30" s="1843"/>
      <c r="B30" s="1844"/>
      <c r="C30" s="1844"/>
      <c r="D30" s="1845"/>
      <c r="E30" s="1843" t="s">
        <v>1239</v>
      </c>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5"/>
      <c r="AJ30" s="1852">
        <f>AJ28</f>
        <v>518.79</v>
      </c>
      <c r="AK30" s="1853"/>
      <c r="AL30" s="1853"/>
      <c r="AM30" s="1853"/>
      <c r="AN30" s="1853"/>
      <c r="AO30" s="1853"/>
      <c r="AP30" s="1853"/>
      <c r="AQ30" s="1853"/>
      <c r="AR30" s="1853"/>
      <c r="AS30" s="1853"/>
      <c r="AT30" s="1854"/>
      <c r="AU30" s="1852">
        <f>AU28/2</f>
        <v>38.65</v>
      </c>
      <c r="AV30" s="1853"/>
      <c r="AW30" s="1853"/>
      <c r="AX30" s="1853"/>
      <c r="AY30" s="1853"/>
      <c r="AZ30" s="1853"/>
      <c r="BA30" s="1853"/>
      <c r="BB30" s="1853"/>
      <c r="BC30" s="1853"/>
      <c r="BD30" s="1854"/>
      <c r="BE30" s="1852"/>
      <c r="BF30" s="1853"/>
      <c r="BG30" s="1853"/>
      <c r="BH30" s="1853"/>
      <c r="BI30" s="1853"/>
      <c r="BJ30" s="1853"/>
      <c r="BK30" s="1853"/>
      <c r="BL30" s="1853"/>
      <c r="BM30" s="1853"/>
      <c r="BN30" s="1853"/>
      <c r="BO30" s="1854"/>
      <c r="BP30" s="1791">
        <f t="shared" ref="BP30" si="1">AJ30*AU30</f>
        <v>20051.233499999998</v>
      </c>
      <c r="BQ30" s="1792"/>
      <c r="BR30" s="1792"/>
      <c r="BS30" s="1792"/>
      <c r="BT30" s="1792"/>
      <c r="BU30" s="1792"/>
      <c r="BV30" s="1792"/>
      <c r="BW30" s="1792"/>
      <c r="BX30" s="1792"/>
      <c r="BY30" s="1792"/>
      <c r="BZ30" s="1792"/>
      <c r="CA30" s="1792"/>
      <c r="CB30" s="1793"/>
      <c r="CC30" s="17"/>
      <c r="CD30" s="23">
        <v>20051.23</v>
      </c>
      <c r="CE30" s="17"/>
      <c r="CF30" s="17"/>
      <c r="CG30" s="17"/>
      <c r="CH30" s="17"/>
    </row>
    <row r="31" spans="1:87" ht="13.5" customHeight="1" x14ac:dyDescent="0.2">
      <c r="A31" s="1843"/>
      <c r="B31" s="1844"/>
      <c r="C31" s="1844"/>
      <c r="D31" s="1845"/>
      <c r="E31" s="1879" t="s">
        <v>1560</v>
      </c>
      <c r="F31" s="1880"/>
      <c r="G31" s="1880"/>
      <c r="H31" s="1880"/>
      <c r="I31" s="1880"/>
      <c r="J31" s="1880"/>
      <c r="K31" s="1880"/>
      <c r="L31" s="1880"/>
      <c r="M31" s="1880"/>
      <c r="N31" s="1880"/>
      <c r="O31" s="1880"/>
      <c r="P31" s="1880"/>
      <c r="Q31" s="1880"/>
      <c r="R31" s="1880"/>
      <c r="S31" s="1880"/>
      <c r="T31" s="1880"/>
      <c r="U31" s="1880"/>
      <c r="V31" s="1880"/>
      <c r="W31" s="1880"/>
      <c r="X31" s="1880"/>
      <c r="Y31" s="1880"/>
      <c r="Z31" s="1880"/>
      <c r="AA31" s="1880"/>
      <c r="AB31" s="1880"/>
      <c r="AC31" s="1880"/>
      <c r="AD31" s="1880"/>
      <c r="AE31" s="1880"/>
      <c r="AF31" s="1880"/>
      <c r="AG31" s="1880"/>
      <c r="AH31" s="1880"/>
      <c r="AI31" s="1881"/>
      <c r="AJ31" s="1858"/>
      <c r="AK31" s="1859"/>
      <c r="AL31" s="1859"/>
      <c r="AM31" s="1859"/>
      <c r="AN31" s="1859"/>
      <c r="AO31" s="1859"/>
      <c r="AP31" s="1859"/>
      <c r="AQ31" s="1859"/>
      <c r="AR31" s="1859"/>
      <c r="AS31" s="1859"/>
      <c r="AT31" s="1860"/>
      <c r="AU31" s="1852"/>
      <c r="AV31" s="1853"/>
      <c r="AW31" s="1853"/>
      <c r="AX31" s="1853"/>
      <c r="AY31" s="1853"/>
      <c r="AZ31" s="1853"/>
      <c r="BA31" s="1853"/>
      <c r="BB31" s="1853"/>
      <c r="BC31" s="1853"/>
      <c r="BD31" s="1854"/>
      <c r="BE31" s="1852"/>
      <c r="BF31" s="1853"/>
      <c r="BG31" s="1853"/>
      <c r="BH31" s="1853"/>
      <c r="BI31" s="1853"/>
      <c r="BJ31" s="1853"/>
      <c r="BK31" s="1853"/>
      <c r="BL31" s="1853"/>
      <c r="BM31" s="1853"/>
      <c r="BN31" s="1853"/>
      <c r="BO31" s="1854"/>
      <c r="BP31" s="1855">
        <f>CD31</f>
        <v>15766.61</v>
      </c>
      <c r="BQ31" s="1856"/>
      <c r="BR31" s="1856"/>
      <c r="BS31" s="1856"/>
      <c r="BT31" s="1856"/>
      <c r="BU31" s="1856"/>
      <c r="BV31" s="1856"/>
      <c r="BW31" s="1856"/>
      <c r="BX31" s="1856"/>
      <c r="BY31" s="1856"/>
      <c r="BZ31" s="1856"/>
      <c r="CA31" s="1856"/>
      <c r="CB31" s="1857"/>
      <c r="CC31" s="27"/>
      <c r="CD31" s="28">
        <f>CD32+CD33</f>
        <v>15766.61</v>
      </c>
      <c r="CE31" s="17"/>
      <c r="CF31" s="17"/>
      <c r="CG31" s="17"/>
      <c r="CH31" s="17"/>
      <c r="CI31" s="51" t="s">
        <v>1670</v>
      </c>
    </row>
    <row r="32" spans="1:87" ht="13.5" customHeight="1" x14ac:dyDescent="0.2">
      <c r="A32" s="1843"/>
      <c r="B32" s="1844"/>
      <c r="C32" s="1844"/>
      <c r="D32" s="1845"/>
      <c r="E32" s="1843" t="s">
        <v>1140</v>
      </c>
      <c r="F32" s="1844"/>
      <c r="G32" s="1844"/>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5"/>
      <c r="AJ32" s="1858">
        <v>4.72</v>
      </c>
      <c r="AK32" s="1859"/>
      <c r="AL32" s="1859"/>
      <c r="AM32" s="1859"/>
      <c r="AN32" s="1859"/>
      <c r="AO32" s="1859"/>
      <c r="AP32" s="1859"/>
      <c r="AQ32" s="1859"/>
      <c r="AR32" s="1859"/>
      <c r="AS32" s="1859"/>
      <c r="AT32" s="1860"/>
      <c r="AU32" s="1852">
        <v>1908.77</v>
      </c>
      <c r="AV32" s="1853"/>
      <c r="AW32" s="1853"/>
      <c r="AX32" s="1853"/>
      <c r="AY32" s="1853"/>
      <c r="AZ32" s="1853"/>
      <c r="BA32" s="1853"/>
      <c r="BB32" s="1853"/>
      <c r="BC32" s="1853"/>
      <c r="BD32" s="1854"/>
      <c r="BE32" s="1852"/>
      <c r="BF32" s="1853"/>
      <c r="BG32" s="1853"/>
      <c r="BH32" s="1853"/>
      <c r="BI32" s="1853"/>
      <c r="BJ32" s="1853"/>
      <c r="BK32" s="1853"/>
      <c r="BL32" s="1853"/>
      <c r="BM32" s="1853"/>
      <c r="BN32" s="1853"/>
      <c r="BO32" s="1854"/>
      <c r="BP32" s="1852">
        <f>CD32</f>
        <v>9009.0300000000007</v>
      </c>
      <c r="BQ32" s="1853"/>
      <c r="BR32" s="1853"/>
      <c r="BS32" s="1853"/>
      <c r="BT32" s="1853"/>
      <c r="BU32" s="1853"/>
      <c r="BV32" s="1853"/>
      <c r="BW32" s="1853"/>
      <c r="BX32" s="1853"/>
      <c r="BY32" s="1853"/>
      <c r="BZ32" s="1853"/>
      <c r="CA32" s="1853"/>
      <c r="CB32" s="1854"/>
      <c r="CC32" s="17"/>
      <c r="CD32" s="23">
        <v>9009.0300000000007</v>
      </c>
      <c r="CE32" s="17"/>
      <c r="CF32" s="17"/>
      <c r="CG32" s="17"/>
      <c r="CH32" s="17"/>
      <c r="CI32" s="1873"/>
    </row>
    <row r="33" spans="1:88" ht="13.5" customHeight="1" x14ac:dyDescent="0.2">
      <c r="A33" s="1843"/>
      <c r="B33" s="1844"/>
      <c r="C33" s="1844"/>
      <c r="D33" s="1845"/>
      <c r="E33" s="1843" t="s">
        <v>1141</v>
      </c>
      <c r="F33" s="1844"/>
      <c r="G33" s="1844"/>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5"/>
      <c r="AJ33" s="1858">
        <v>85.864999999999995</v>
      </c>
      <c r="AK33" s="1859"/>
      <c r="AL33" s="1859"/>
      <c r="AM33" s="1859"/>
      <c r="AN33" s="1859"/>
      <c r="AO33" s="1859"/>
      <c r="AP33" s="1859"/>
      <c r="AQ33" s="1859"/>
      <c r="AR33" s="1859"/>
      <c r="AS33" s="1859"/>
      <c r="AT33" s="1860"/>
      <c r="AU33" s="1852">
        <v>78.7</v>
      </c>
      <c r="AV33" s="1853"/>
      <c r="AW33" s="1853"/>
      <c r="AX33" s="1853"/>
      <c r="AY33" s="1853"/>
      <c r="AZ33" s="1853"/>
      <c r="BA33" s="1853"/>
      <c r="BB33" s="1853"/>
      <c r="BC33" s="1853"/>
      <c r="BD33" s="1854"/>
      <c r="BE33" s="1852"/>
      <c r="BF33" s="1853"/>
      <c r="BG33" s="1853"/>
      <c r="BH33" s="1853"/>
      <c r="BI33" s="1853"/>
      <c r="BJ33" s="1853"/>
      <c r="BK33" s="1853"/>
      <c r="BL33" s="1853"/>
      <c r="BM33" s="1853"/>
      <c r="BN33" s="1853"/>
      <c r="BO33" s="1854"/>
      <c r="BP33" s="1852">
        <f>CD33</f>
        <v>6757.58</v>
      </c>
      <c r="BQ33" s="1853"/>
      <c r="BR33" s="1853"/>
      <c r="BS33" s="1853"/>
      <c r="BT33" s="1853"/>
      <c r="BU33" s="1853"/>
      <c r="BV33" s="1853"/>
      <c r="BW33" s="1853"/>
      <c r="BX33" s="1853"/>
      <c r="BY33" s="1853"/>
      <c r="BZ33" s="1853"/>
      <c r="CA33" s="1853"/>
      <c r="CB33" s="1854"/>
      <c r="CC33" s="17"/>
      <c r="CD33" s="23">
        <v>6757.58</v>
      </c>
      <c r="CE33" s="17"/>
      <c r="CF33" s="17"/>
      <c r="CG33" s="17"/>
      <c r="CH33" s="17"/>
      <c r="CI33" s="1874"/>
    </row>
    <row r="34" spans="1:88" ht="13.5" customHeight="1" x14ac:dyDescent="0.3">
      <c r="A34" s="1843"/>
      <c r="B34" s="1844"/>
      <c r="C34" s="1844"/>
      <c r="D34" s="1845"/>
      <c r="E34" s="1846" t="s">
        <v>130</v>
      </c>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c r="AF34" s="1847"/>
      <c r="AG34" s="1847"/>
      <c r="AH34" s="1847"/>
      <c r="AI34" s="1848"/>
      <c r="AJ34" s="1849">
        <v>54.87</v>
      </c>
      <c r="AK34" s="1850"/>
      <c r="AL34" s="1850"/>
      <c r="AM34" s="1850"/>
      <c r="AN34" s="1850"/>
      <c r="AO34" s="1850"/>
      <c r="AP34" s="1850"/>
      <c r="AQ34" s="1850"/>
      <c r="AR34" s="1850"/>
      <c r="AS34" s="1850"/>
      <c r="AT34" s="1851"/>
      <c r="AU34" s="1852">
        <v>971.29</v>
      </c>
      <c r="AV34" s="1853"/>
      <c r="AW34" s="1853"/>
      <c r="AX34" s="1853"/>
      <c r="AY34" s="1853"/>
      <c r="AZ34" s="1853"/>
      <c r="BA34" s="1853"/>
      <c r="BB34" s="1853"/>
      <c r="BC34" s="1853"/>
      <c r="BD34" s="1854"/>
      <c r="BE34" s="1852"/>
      <c r="BF34" s="1853"/>
      <c r="BG34" s="1853"/>
      <c r="BH34" s="1853"/>
      <c r="BI34" s="1853"/>
      <c r="BJ34" s="1853"/>
      <c r="BK34" s="1853"/>
      <c r="BL34" s="1853"/>
      <c r="BM34" s="1853"/>
      <c r="BN34" s="1853"/>
      <c r="BO34" s="1854"/>
      <c r="BP34" s="1855">
        <f>CD34</f>
        <v>50838.7</v>
      </c>
      <c r="BQ34" s="1856"/>
      <c r="BR34" s="1856"/>
      <c r="BS34" s="1856"/>
      <c r="BT34" s="1856"/>
      <c r="BU34" s="1856"/>
      <c r="BV34" s="1856"/>
      <c r="BW34" s="1856"/>
      <c r="BX34" s="1856"/>
      <c r="BY34" s="1856"/>
      <c r="BZ34" s="1856"/>
      <c r="CA34" s="1856"/>
      <c r="CB34" s="1857"/>
      <c r="CC34" s="17"/>
      <c r="CD34" s="28">
        <f>50838.7</f>
        <v>50838.7</v>
      </c>
      <c r="CE34" s="1134"/>
      <c r="CF34" s="17"/>
      <c r="CG34" s="17"/>
      <c r="CH34" s="17"/>
      <c r="CI34" s="51"/>
    </row>
    <row r="35" spans="1:88" ht="22.5" customHeight="1" x14ac:dyDescent="0.3">
      <c r="A35" s="1803"/>
      <c r="B35" s="1804"/>
      <c r="C35" s="1804"/>
      <c r="D35" s="1805"/>
      <c r="E35" s="1774" t="s">
        <v>1457</v>
      </c>
      <c r="F35" s="1775"/>
      <c r="G35" s="1775"/>
      <c r="H35" s="1775"/>
      <c r="I35" s="1775"/>
      <c r="J35" s="1775"/>
      <c r="K35" s="1775"/>
      <c r="L35" s="1775"/>
      <c r="M35" s="1775"/>
      <c r="N35" s="1775"/>
      <c r="O35" s="1775"/>
      <c r="P35" s="1775"/>
      <c r="Q35" s="1775"/>
      <c r="R35" s="1775"/>
      <c r="S35" s="1775"/>
      <c r="T35" s="1775"/>
      <c r="U35" s="1775"/>
      <c r="V35" s="1775"/>
      <c r="W35" s="1775"/>
      <c r="X35" s="1775"/>
      <c r="Y35" s="1775"/>
      <c r="Z35" s="1775"/>
      <c r="AA35" s="1775"/>
      <c r="AB35" s="1775"/>
      <c r="AC35" s="1775"/>
      <c r="AD35" s="1775"/>
      <c r="AE35" s="1775"/>
      <c r="AF35" s="1775"/>
      <c r="AG35" s="1775"/>
      <c r="AH35" s="1775"/>
      <c r="AI35" s="1776"/>
      <c r="AJ35" s="1861" t="s">
        <v>3</v>
      </c>
      <c r="AK35" s="1862"/>
      <c r="AL35" s="1862"/>
      <c r="AM35" s="1862"/>
      <c r="AN35" s="1862"/>
      <c r="AO35" s="1862"/>
      <c r="AP35" s="1862"/>
      <c r="AQ35" s="1862"/>
      <c r="AR35" s="1862"/>
      <c r="AS35" s="1862"/>
      <c r="AT35" s="1863"/>
      <c r="AU35" s="1861" t="s">
        <v>3</v>
      </c>
      <c r="AV35" s="1862"/>
      <c r="AW35" s="1862"/>
      <c r="AX35" s="1862"/>
      <c r="AY35" s="1862"/>
      <c r="AZ35" s="1862"/>
      <c r="BA35" s="1862"/>
      <c r="BB35" s="1862"/>
      <c r="BC35" s="1862"/>
      <c r="BD35" s="1863"/>
      <c r="BE35" s="1861"/>
      <c r="BF35" s="1862"/>
      <c r="BG35" s="1862"/>
      <c r="BH35" s="1862"/>
      <c r="BI35" s="1862"/>
      <c r="BJ35" s="1862"/>
      <c r="BK35" s="1862"/>
      <c r="BL35" s="1862"/>
      <c r="BM35" s="1862"/>
      <c r="BN35" s="1862"/>
      <c r="BO35" s="1863"/>
      <c r="BP35" s="1864">
        <f>BP22+BP31+BP34</f>
        <v>192275.82549999998</v>
      </c>
      <c r="BQ35" s="1865"/>
      <c r="BR35" s="1865"/>
      <c r="BS35" s="1865"/>
      <c r="BT35" s="1865"/>
      <c r="BU35" s="1865"/>
      <c r="BV35" s="1865"/>
      <c r="BW35" s="1865"/>
      <c r="BX35" s="1865"/>
      <c r="BY35" s="1865"/>
      <c r="BZ35" s="1865"/>
      <c r="CA35" s="1865"/>
      <c r="CB35" s="1866"/>
      <c r="CC35" s="16"/>
      <c r="CD35" s="954">
        <f>CD22+CD31+CD34</f>
        <v>192275.83000000002</v>
      </c>
      <c r="CE35" s="16"/>
      <c r="CF35" s="16"/>
      <c r="CG35" s="16"/>
      <c r="CH35" s="16"/>
      <c r="CI35" s="1113" t="s">
        <v>1725</v>
      </c>
    </row>
    <row r="36" spans="1:88" s="1" customFormat="1" ht="15.75" x14ac:dyDescent="0.25">
      <c r="CI36" s="1092" t="s">
        <v>1567</v>
      </c>
      <c r="CJ36" s="1092">
        <v>28336.69</v>
      </c>
    </row>
    <row r="37" spans="1:88" s="4" customFormat="1" ht="15.75" x14ac:dyDescent="0.25">
      <c r="A37" s="1817" t="s">
        <v>1258</v>
      </c>
      <c r="B37" s="1817"/>
      <c r="C37" s="1817"/>
      <c r="D37" s="1817"/>
      <c r="E37" s="1817"/>
      <c r="F37" s="1817"/>
      <c r="G37" s="1817"/>
      <c r="H37" s="1817"/>
      <c r="I37" s="1817"/>
      <c r="J37" s="1817"/>
      <c r="K37" s="1817"/>
      <c r="L37" s="1817"/>
      <c r="M37" s="1817"/>
      <c r="N37" s="1817"/>
      <c r="O37" s="1817"/>
      <c r="P37" s="1817"/>
      <c r="Q37" s="1817"/>
      <c r="R37" s="1817"/>
      <c r="S37" s="1817"/>
      <c r="T37" s="1817"/>
      <c r="U37" s="1817"/>
      <c r="V37" s="1817"/>
      <c r="W37" s="1817"/>
      <c r="X37" s="1817"/>
      <c r="Y37" s="1817"/>
      <c r="Z37" s="1817"/>
      <c r="AA37" s="1817"/>
      <c r="AB37" s="1817"/>
      <c r="AC37" s="1817"/>
      <c r="AD37" s="1817"/>
      <c r="AE37" s="1817"/>
      <c r="AF37" s="1817"/>
      <c r="AG37" s="1817"/>
      <c r="AH37" s="1817"/>
      <c r="AI37" s="1817"/>
      <c r="AJ37" s="1817"/>
      <c r="AK37" s="1817"/>
      <c r="AL37" s="1817"/>
      <c r="AM37" s="1817"/>
      <c r="AN37" s="1817"/>
      <c r="AO37" s="1817"/>
      <c r="AP37" s="1817"/>
      <c r="AQ37" s="1817"/>
      <c r="AR37" s="1817"/>
      <c r="AS37" s="1817"/>
      <c r="AT37" s="1817"/>
      <c r="AU37" s="1817"/>
      <c r="AV37" s="1817"/>
      <c r="AW37" s="1817"/>
      <c r="AX37" s="1817"/>
      <c r="AY37" s="1817"/>
      <c r="AZ37" s="1817"/>
      <c r="BA37" s="1817"/>
      <c r="BB37" s="1817"/>
      <c r="BC37" s="1817"/>
      <c r="BD37" s="1817"/>
      <c r="BE37" s="1817"/>
      <c r="BF37" s="1817"/>
      <c r="BG37" s="1817"/>
      <c r="BH37" s="1817"/>
      <c r="BI37" s="1817"/>
      <c r="BJ37" s="1817"/>
      <c r="BK37" s="1817"/>
      <c r="BL37" s="1817"/>
      <c r="BM37" s="1817"/>
      <c r="BN37" s="1817"/>
      <c r="BO37" s="1817"/>
      <c r="BP37" s="1817"/>
      <c r="BQ37" s="1817"/>
      <c r="BR37" s="1817"/>
      <c r="BS37" s="1817"/>
      <c r="BT37" s="1817"/>
      <c r="BU37" s="1817"/>
      <c r="BV37" s="1817"/>
      <c r="BW37" s="1817"/>
      <c r="BX37" s="1817"/>
      <c r="BY37" s="1817"/>
      <c r="BZ37" s="1817"/>
      <c r="CA37" s="1817"/>
      <c r="CB37" s="1817"/>
    </row>
    <row r="39" spans="1:88" x14ac:dyDescent="0.2">
      <c r="A39" s="1818" t="s">
        <v>71</v>
      </c>
      <c r="B39" s="1819"/>
      <c r="C39" s="1819"/>
      <c r="D39" s="1820"/>
      <c r="E39" s="1818" t="s">
        <v>114</v>
      </c>
      <c r="F39" s="1819"/>
      <c r="G39" s="1819"/>
      <c r="H39" s="1819"/>
      <c r="I39" s="1819"/>
      <c r="J39" s="1819"/>
      <c r="K39" s="1819"/>
      <c r="L39" s="1819"/>
      <c r="M39" s="1819"/>
      <c r="N39" s="1819"/>
      <c r="O39" s="1819"/>
      <c r="P39" s="1819"/>
      <c r="Q39" s="1819"/>
      <c r="R39" s="1819"/>
      <c r="S39" s="1819"/>
      <c r="T39" s="1819"/>
      <c r="U39" s="1819"/>
      <c r="V39" s="1819"/>
      <c r="W39" s="1819"/>
      <c r="X39" s="1819"/>
      <c r="Y39" s="1819"/>
      <c r="Z39" s="1819"/>
      <c r="AA39" s="1819"/>
      <c r="AB39" s="1819"/>
      <c r="AC39" s="1819"/>
      <c r="AD39" s="1819"/>
      <c r="AE39" s="1819"/>
      <c r="AF39" s="1819"/>
      <c r="AG39" s="1819"/>
      <c r="AH39" s="1819"/>
      <c r="AI39" s="1820"/>
      <c r="AJ39" s="1818" t="s">
        <v>115</v>
      </c>
      <c r="AK39" s="1819"/>
      <c r="AL39" s="1819"/>
      <c r="AM39" s="1819"/>
      <c r="AN39" s="1819"/>
      <c r="AO39" s="1819"/>
      <c r="AP39" s="1819"/>
      <c r="AQ39" s="1819"/>
      <c r="AR39" s="1819"/>
      <c r="AS39" s="1819"/>
      <c r="AT39" s="1820"/>
      <c r="AU39" s="1818" t="s">
        <v>116</v>
      </c>
      <c r="AV39" s="1819"/>
      <c r="AW39" s="1819"/>
      <c r="AX39" s="1819"/>
      <c r="AY39" s="1819"/>
      <c r="AZ39" s="1819"/>
      <c r="BA39" s="1819"/>
      <c r="BB39" s="1819"/>
      <c r="BC39" s="1819"/>
      <c r="BD39" s="1820"/>
      <c r="BE39" s="1818" t="s">
        <v>117</v>
      </c>
      <c r="BF39" s="1819"/>
      <c r="BG39" s="1819"/>
      <c r="BH39" s="1819"/>
      <c r="BI39" s="1819"/>
      <c r="BJ39" s="1819"/>
      <c r="BK39" s="1819"/>
      <c r="BL39" s="1819"/>
      <c r="BM39" s="1819"/>
      <c r="BN39" s="1819"/>
      <c r="BO39" s="1820"/>
      <c r="BP39" s="1818" t="s">
        <v>6</v>
      </c>
      <c r="BQ39" s="1819"/>
      <c r="BR39" s="1819"/>
      <c r="BS39" s="1819"/>
      <c r="BT39" s="1819"/>
      <c r="BU39" s="1819"/>
      <c r="BV39" s="1819"/>
      <c r="BW39" s="1819"/>
      <c r="BX39" s="1819"/>
      <c r="BY39" s="1819"/>
      <c r="BZ39" s="1819"/>
      <c r="CA39" s="1819"/>
      <c r="CB39" s="1820"/>
      <c r="CC39" s="1806" t="s">
        <v>52</v>
      </c>
      <c r="CD39" s="1806"/>
      <c r="CE39" s="1806"/>
      <c r="CF39" s="1806"/>
      <c r="CG39" s="1806"/>
      <c r="CH39" s="1806"/>
    </row>
    <row r="40" spans="1:88" x14ac:dyDescent="0.2">
      <c r="A40" s="1807" t="s">
        <v>77</v>
      </c>
      <c r="B40" s="1808"/>
      <c r="C40" s="1808"/>
      <c r="D40" s="1809"/>
      <c r="E40" s="1807"/>
      <c r="F40" s="1808"/>
      <c r="G40" s="1808"/>
      <c r="H40" s="1808"/>
      <c r="I40" s="1808"/>
      <c r="J40" s="1808"/>
      <c r="K40" s="1808"/>
      <c r="L40" s="1808"/>
      <c r="M40" s="1808"/>
      <c r="N40" s="1808"/>
      <c r="O40" s="1808"/>
      <c r="P40" s="1808"/>
      <c r="Q40" s="1808"/>
      <c r="R40" s="1808"/>
      <c r="S40" s="1808"/>
      <c r="T40" s="1808"/>
      <c r="U40" s="1808"/>
      <c r="V40" s="1808"/>
      <c r="W40" s="1808"/>
      <c r="X40" s="1808"/>
      <c r="Y40" s="1808"/>
      <c r="Z40" s="1808"/>
      <c r="AA40" s="1808"/>
      <c r="AB40" s="1808"/>
      <c r="AC40" s="1808"/>
      <c r="AD40" s="1808"/>
      <c r="AE40" s="1808"/>
      <c r="AF40" s="1808"/>
      <c r="AG40" s="1808"/>
      <c r="AH40" s="1808"/>
      <c r="AI40" s="1809"/>
      <c r="AJ40" s="1807" t="s">
        <v>118</v>
      </c>
      <c r="AK40" s="1808"/>
      <c r="AL40" s="1808"/>
      <c r="AM40" s="1808"/>
      <c r="AN40" s="1808"/>
      <c r="AO40" s="1808"/>
      <c r="AP40" s="1808"/>
      <c r="AQ40" s="1808"/>
      <c r="AR40" s="1808"/>
      <c r="AS40" s="1808"/>
      <c r="AT40" s="1809"/>
      <c r="AU40" s="1807" t="s">
        <v>119</v>
      </c>
      <c r="AV40" s="1808"/>
      <c r="AW40" s="1808"/>
      <c r="AX40" s="1808"/>
      <c r="AY40" s="1808"/>
      <c r="AZ40" s="1808"/>
      <c r="BA40" s="1808"/>
      <c r="BB40" s="1808"/>
      <c r="BC40" s="1808"/>
      <c r="BD40" s="1809"/>
      <c r="BE40" s="1807" t="s">
        <v>120</v>
      </c>
      <c r="BF40" s="1808"/>
      <c r="BG40" s="1808"/>
      <c r="BH40" s="1808"/>
      <c r="BI40" s="1808"/>
      <c r="BJ40" s="1808"/>
      <c r="BK40" s="1808"/>
      <c r="BL40" s="1808"/>
      <c r="BM40" s="1808"/>
      <c r="BN40" s="1808"/>
      <c r="BO40" s="1809"/>
      <c r="BP40" s="1807" t="s">
        <v>121</v>
      </c>
      <c r="BQ40" s="1808"/>
      <c r="BR40" s="1808"/>
      <c r="BS40" s="1808"/>
      <c r="BT40" s="1808"/>
      <c r="BU40" s="1808"/>
      <c r="BV40" s="1808"/>
      <c r="BW40" s="1808"/>
      <c r="BX40" s="1808"/>
      <c r="BY40" s="1808"/>
      <c r="BZ40" s="1808"/>
      <c r="CA40" s="1808"/>
      <c r="CB40" s="1809"/>
      <c r="CC40" s="1810" t="s">
        <v>35</v>
      </c>
      <c r="CD40" s="1810"/>
      <c r="CE40" s="1810" t="s">
        <v>45</v>
      </c>
      <c r="CF40" s="1810"/>
      <c r="CG40" s="1810"/>
      <c r="CH40" s="1810" t="s">
        <v>46</v>
      </c>
    </row>
    <row r="41" spans="1:88" ht="51" customHeight="1" x14ac:dyDescent="0.2">
      <c r="A41" s="1807"/>
      <c r="B41" s="1808"/>
      <c r="C41" s="1808"/>
      <c r="D41" s="1809"/>
      <c r="E41" s="1807"/>
      <c r="F41" s="1808"/>
      <c r="G41" s="1808"/>
      <c r="H41" s="1808"/>
      <c r="I41" s="1808"/>
      <c r="J41" s="1808"/>
      <c r="K41" s="1808"/>
      <c r="L41" s="1808"/>
      <c r="M41" s="1808"/>
      <c r="N41" s="1808"/>
      <c r="O41" s="1808"/>
      <c r="P41" s="1808"/>
      <c r="Q41" s="1808"/>
      <c r="R41" s="1808"/>
      <c r="S41" s="1808"/>
      <c r="T41" s="1808"/>
      <c r="U41" s="1808"/>
      <c r="V41" s="1808"/>
      <c r="W41" s="1808"/>
      <c r="X41" s="1808"/>
      <c r="Y41" s="1808"/>
      <c r="Z41" s="1808"/>
      <c r="AA41" s="1808"/>
      <c r="AB41" s="1808"/>
      <c r="AC41" s="1808"/>
      <c r="AD41" s="1808"/>
      <c r="AE41" s="1808"/>
      <c r="AF41" s="1808"/>
      <c r="AG41" s="1808"/>
      <c r="AH41" s="1808"/>
      <c r="AI41" s="1809"/>
      <c r="AJ41" s="1807" t="s">
        <v>122</v>
      </c>
      <c r="AK41" s="1808"/>
      <c r="AL41" s="1808"/>
      <c r="AM41" s="1808"/>
      <c r="AN41" s="1808"/>
      <c r="AO41" s="1808"/>
      <c r="AP41" s="1808"/>
      <c r="AQ41" s="1808"/>
      <c r="AR41" s="1808"/>
      <c r="AS41" s="1808"/>
      <c r="AT41" s="1809"/>
      <c r="AU41" s="1807" t="s">
        <v>123</v>
      </c>
      <c r="AV41" s="1808"/>
      <c r="AW41" s="1808"/>
      <c r="AX41" s="1808"/>
      <c r="AY41" s="1808"/>
      <c r="AZ41" s="1808"/>
      <c r="BA41" s="1808"/>
      <c r="BB41" s="1808"/>
      <c r="BC41" s="1808"/>
      <c r="BD41" s="1809"/>
      <c r="BE41" s="1807"/>
      <c r="BF41" s="1808"/>
      <c r="BG41" s="1808"/>
      <c r="BH41" s="1808"/>
      <c r="BI41" s="1808"/>
      <c r="BJ41" s="1808"/>
      <c r="BK41" s="1808"/>
      <c r="BL41" s="1808"/>
      <c r="BM41" s="1808"/>
      <c r="BN41" s="1808"/>
      <c r="BO41" s="1809"/>
      <c r="BP41" s="1807"/>
      <c r="BQ41" s="1808"/>
      <c r="BR41" s="1808"/>
      <c r="BS41" s="1808"/>
      <c r="BT41" s="1808"/>
      <c r="BU41" s="1808"/>
      <c r="BV41" s="1808"/>
      <c r="BW41" s="1808"/>
      <c r="BX41" s="1808"/>
      <c r="BY41" s="1808"/>
      <c r="BZ41" s="1808"/>
      <c r="CA41" s="1808"/>
      <c r="CB41" s="1809"/>
      <c r="CC41" s="1811" t="s">
        <v>43</v>
      </c>
      <c r="CD41" s="1811" t="s">
        <v>44</v>
      </c>
      <c r="CE41" s="1811" t="s">
        <v>55</v>
      </c>
      <c r="CF41" s="1811" t="s">
        <v>43</v>
      </c>
      <c r="CG41" s="1811" t="s">
        <v>44</v>
      </c>
      <c r="CH41" s="1810"/>
    </row>
    <row r="42" spans="1:88" x14ac:dyDescent="0.2">
      <c r="A42" s="1814"/>
      <c r="B42" s="1815"/>
      <c r="C42" s="1815"/>
      <c r="D42" s="1816"/>
      <c r="E42" s="1814"/>
      <c r="F42" s="1815"/>
      <c r="G42" s="1815"/>
      <c r="H42" s="1815"/>
      <c r="I42" s="1815"/>
      <c r="J42" s="1815"/>
      <c r="K42" s="1815"/>
      <c r="L42" s="1815"/>
      <c r="M42" s="1815"/>
      <c r="N42" s="1815"/>
      <c r="O42" s="1815"/>
      <c r="P42" s="1815"/>
      <c r="Q42" s="1815"/>
      <c r="R42" s="1815"/>
      <c r="S42" s="1815"/>
      <c r="T42" s="1815"/>
      <c r="U42" s="1815"/>
      <c r="V42" s="1815"/>
      <c r="W42" s="1815"/>
      <c r="X42" s="1815"/>
      <c r="Y42" s="1815"/>
      <c r="Z42" s="1815"/>
      <c r="AA42" s="1815"/>
      <c r="AB42" s="1815"/>
      <c r="AC42" s="1815"/>
      <c r="AD42" s="1815"/>
      <c r="AE42" s="1815"/>
      <c r="AF42" s="1815"/>
      <c r="AG42" s="1815"/>
      <c r="AH42" s="1815"/>
      <c r="AI42" s="1816"/>
      <c r="AJ42" s="1814"/>
      <c r="AK42" s="1815"/>
      <c r="AL42" s="1815"/>
      <c r="AM42" s="1815"/>
      <c r="AN42" s="1815"/>
      <c r="AO42" s="1815"/>
      <c r="AP42" s="1815"/>
      <c r="AQ42" s="1815"/>
      <c r="AR42" s="1815"/>
      <c r="AS42" s="1815"/>
      <c r="AT42" s="1816"/>
      <c r="AU42" s="1814"/>
      <c r="AV42" s="1815"/>
      <c r="AW42" s="1815"/>
      <c r="AX42" s="1815"/>
      <c r="AY42" s="1815"/>
      <c r="AZ42" s="1815"/>
      <c r="BA42" s="1815"/>
      <c r="BB42" s="1815"/>
      <c r="BC42" s="1815"/>
      <c r="BD42" s="1816"/>
      <c r="BE42" s="1814"/>
      <c r="BF42" s="1815"/>
      <c r="BG42" s="1815"/>
      <c r="BH42" s="1815"/>
      <c r="BI42" s="1815"/>
      <c r="BJ42" s="1815"/>
      <c r="BK42" s="1815"/>
      <c r="BL42" s="1815"/>
      <c r="BM42" s="1815"/>
      <c r="BN42" s="1815"/>
      <c r="BO42" s="1816"/>
      <c r="BP42" s="1814"/>
      <c r="BQ42" s="1815"/>
      <c r="BR42" s="1815"/>
      <c r="BS42" s="1815"/>
      <c r="BT42" s="1815"/>
      <c r="BU42" s="1815"/>
      <c r="BV42" s="1815"/>
      <c r="BW42" s="1815"/>
      <c r="BX42" s="1815"/>
      <c r="BY42" s="1815"/>
      <c r="BZ42" s="1815"/>
      <c r="CA42" s="1815"/>
      <c r="CB42" s="1816"/>
      <c r="CC42" s="1811"/>
      <c r="CD42" s="1811"/>
      <c r="CE42" s="1811"/>
      <c r="CF42" s="1811"/>
      <c r="CG42" s="1811"/>
      <c r="CH42" s="1810"/>
    </row>
    <row r="43" spans="1:88" x14ac:dyDescent="0.2">
      <c r="A43" s="1814">
        <v>1</v>
      </c>
      <c r="B43" s="1815"/>
      <c r="C43" s="1815"/>
      <c r="D43" s="1816"/>
      <c r="E43" s="1814">
        <v>2</v>
      </c>
      <c r="F43" s="1815"/>
      <c r="G43" s="1815"/>
      <c r="H43" s="1815"/>
      <c r="I43" s="1815"/>
      <c r="J43" s="1815"/>
      <c r="K43" s="1815"/>
      <c r="L43" s="1815"/>
      <c r="M43" s="1815"/>
      <c r="N43" s="1815"/>
      <c r="O43" s="1815"/>
      <c r="P43" s="1815"/>
      <c r="Q43" s="1815"/>
      <c r="R43" s="1815"/>
      <c r="S43" s="1815"/>
      <c r="T43" s="1815"/>
      <c r="U43" s="1815"/>
      <c r="V43" s="1815"/>
      <c r="W43" s="1815"/>
      <c r="X43" s="1815"/>
      <c r="Y43" s="1815"/>
      <c r="Z43" s="1815"/>
      <c r="AA43" s="1815"/>
      <c r="AB43" s="1815"/>
      <c r="AC43" s="1815"/>
      <c r="AD43" s="1815"/>
      <c r="AE43" s="1815"/>
      <c r="AF43" s="1815"/>
      <c r="AG43" s="1815"/>
      <c r="AH43" s="1815"/>
      <c r="AI43" s="1816"/>
      <c r="AJ43" s="1814">
        <v>3</v>
      </c>
      <c r="AK43" s="1815"/>
      <c r="AL43" s="1815"/>
      <c r="AM43" s="1815"/>
      <c r="AN43" s="1815"/>
      <c r="AO43" s="1815"/>
      <c r="AP43" s="1815"/>
      <c r="AQ43" s="1815"/>
      <c r="AR43" s="1815"/>
      <c r="AS43" s="1815"/>
      <c r="AT43" s="1816"/>
      <c r="AU43" s="1814">
        <v>4</v>
      </c>
      <c r="AV43" s="1815"/>
      <c r="AW43" s="1815"/>
      <c r="AX43" s="1815"/>
      <c r="AY43" s="1815"/>
      <c r="AZ43" s="1815"/>
      <c r="BA43" s="1815"/>
      <c r="BB43" s="1815"/>
      <c r="BC43" s="1815"/>
      <c r="BD43" s="1816"/>
      <c r="BE43" s="1814">
        <v>5</v>
      </c>
      <c r="BF43" s="1815"/>
      <c r="BG43" s="1815"/>
      <c r="BH43" s="1815"/>
      <c r="BI43" s="1815"/>
      <c r="BJ43" s="1815"/>
      <c r="BK43" s="1815"/>
      <c r="BL43" s="1815"/>
      <c r="BM43" s="1815"/>
      <c r="BN43" s="1815"/>
      <c r="BO43" s="1816"/>
      <c r="BP43" s="1830" t="s">
        <v>124</v>
      </c>
      <c r="BQ43" s="1830"/>
      <c r="BR43" s="1830"/>
      <c r="BS43" s="1830"/>
      <c r="BT43" s="1830"/>
      <c r="BU43" s="1830"/>
      <c r="BV43" s="1830"/>
      <c r="BW43" s="1830"/>
      <c r="BX43" s="1830"/>
      <c r="BY43" s="1830"/>
      <c r="BZ43" s="1830"/>
      <c r="CA43" s="1830"/>
      <c r="CB43" s="1830"/>
      <c r="CC43" s="15">
        <v>7</v>
      </c>
      <c r="CD43" s="15">
        <v>8</v>
      </c>
      <c r="CE43" s="15">
        <v>9</v>
      </c>
      <c r="CF43" s="15">
        <v>10</v>
      </c>
      <c r="CG43" s="15">
        <v>11</v>
      </c>
      <c r="CH43" s="15">
        <v>12</v>
      </c>
    </row>
    <row r="44" spans="1:88" x14ac:dyDescent="0.2">
      <c r="A44" s="1803"/>
      <c r="B44" s="1804"/>
      <c r="C44" s="1804"/>
      <c r="D44" s="1805"/>
      <c r="E44" s="1803" t="s">
        <v>131</v>
      </c>
      <c r="F44" s="1804"/>
      <c r="G44" s="1804"/>
      <c r="H44" s="1804"/>
      <c r="I44" s="1804"/>
      <c r="J44" s="1804"/>
      <c r="K44" s="1804"/>
      <c r="L44" s="1804"/>
      <c r="M44" s="1804"/>
      <c r="N44" s="1804"/>
      <c r="O44" s="1804"/>
      <c r="P44" s="1804"/>
      <c r="Q44" s="1804"/>
      <c r="R44" s="1804"/>
      <c r="S44" s="1804"/>
      <c r="T44" s="1804"/>
      <c r="U44" s="1804"/>
      <c r="V44" s="1804"/>
      <c r="W44" s="1804"/>
      <c r="X44" s="1804"/>
      <c r="Y44" s="1804"/>
      <c r="Z44" s="1804"/>
      <c r="AA44" s="1804"/>
      <c r="AB44" s="1804"/>
      <c r="AC44" s="1804"/>
      <c r="AD44" s="1804"/>
      <c r="AE44" s="1804"/>
      <c r="AF44" s="1804"/>
      <c r="AG44" s="1804"/>
      <c r="AH44" s="1804"/>
      <c r="AI44" s="1805"/>
      <c r="AJ44" s="1791">
        <v>44160</v>
      </c>
      <c r="AK44" s="1792"/>
      <c r="AL44" s="1792"/>
      <c r="AM44" s="1792"/>
      <c r="AN44" s="1792"/>
      <c r="AO44" s="1792"/>
      <c r="AP44" s="1792"/>
      <c r="AQ44" s="1792"/>
      <c r="AR44" s="1792"/>
      <c r="AS44" s="1792"/>
      <c r="AT44" s="1793"/>
      <c r="AU44" s="1791">
        <v>13.13</v>
      </c>
      <c r="AV44" s="1792"/>
      <c r="AW44" s="1792"/>
      <c r="AX44" s="1792"/>
      <c r="AY44" s="1792"/>
      <c r="AZ44" s="1792"/>
      <c r="BA44" s="1792"/>
      <c r="BB44" s="1792"/>
      <c r="BC44" s="1792"/>
      <c r="BD44" s="1793"/>
      <c r="BE44" s="1791"/>
      <c r="BF44" s="1792"/>
      <c r="BG44" s="1792"/>
      <c r="BH44" s="1792"/>
      <c r="BI44" s="1792"/>
      <c r="BJ44" s="1792"/>
      <c r="BK44" s="1792"/>
      <c r="BL44" s="1792"/>
      <c r="BM44" s="1792"/>
      <c r="BN44" s="1792"/>
      <c r="BO44" s="1793"/>
      <c r="BP44" s="1791">
        <f>CD44</f>
        <v>579820.80000000005</v>
      </c>
      <c r="BQ44" s="1792"/>
      <c r="BR44" s="1792"/>
      <c r="BS44" s="1792"/>
      <c r="BT44" s="1792"/>
      <c r="BU44" s="1792"/>
      <c r="BV44" s="1792"/>
      <c r="BW44" s="1792"/>
      <c r="BX44" s="1792"/>
      <c r="BY44" s="1792"/>
      <c r="BZ44" s="1792"/>
      <c r="CA44" s="1792"/>
      <c r="CB44" s="1793"/>
      <c r="CC44" s="17"/>
      <c r="CD44" s="23">
        <v>579820.80000000005</v>
      </c>
      <c r="CE44" s="50"/>
      <c r="CF44" s="17"/>
      <c r="CG44" s="17"/>
      <c r="CH44" s="17"/>
      <c r="CI44" s="51"/>
    </row>
    <row r="45" spans="1:88" x14ac:dyDescent="0.2">
      <c r="A45" s="1803"/>
      <c r="B45" s="1804"/>
      <c r="C45" s="1804"/>
      <c r="D45" s="1805"/>
      <c r="E45" s="1803" t="s">
        <v>1269</v>
      </c>
      <c r="F45" s="1804"/>
      <c r="G45" s="1804"/>
      <c r="H45" s="1804"/>
      <c r="I45" s="1804"/>
      <c r="J45" s="1804"/>
      <c r="K45" s="1804"/>
      <c r="L45" s="1804"/>
      <c r="M45" s="1804"/>
      <c r="N45" s="1804"/>
      <c r="O45" s="1804"/>
      <c r="P45" s="1804"/>
      <c r="Q45" s="1804"/>
      <c r="R45" s="1804"/>
      <c r="S45" s="1804"/>
      <c r="T45" s="1804"/>
      <c r="U45" s="1804"/>
      <c r="V45" s="1804"/>
      <c r="W45" s="1804"/>
      <c r="X45" s="1804"/>
      <c r="Y45" s="1804"/>
      <c r="Z45" s="1804"/>
      <c r="AA45" s="1804"/>
      <c r="AB45" s="1804"/>
      <c r="AC45" s="1804"/>
      <c r="AD45" s="1804"/>
      <c r="AE45" s="1804"/>
      <c r="AF45" s="1804"/>
      <c r="AG45" s="1804"/>
      <c r="AH45" s="1804"/>
      <c r="AI45" s="1805"/>
      <c r="AJ45" s="1791"/>
      <c r="AK45" s="1792"/>
      <c r="AL45" s="1792"/>
      <c r="AM45" s="1792"/>
      <c r="AN45" s="1792"/>
      <c r="AO45" s="1792"/>
      <c r="AP45" s="1792"/>
      <c r="AQ45" s="1792"/>
      <c r="AR45" s="1792"/>
      <c r="AS45" s="1792"/>
      <c r="AT45" s="1793"/>
      <c r="AU45" s="1791"/>
      <c r="AV45" s="1792"/>
      <c r="AW45" s="1792"/>
      <c r="AX45" s="1792"/>
      <c r="AY45" s="1792"/>
      <c r="AZ45" s="1792"/>
      <c r="BA45" s="1792"/>
      <c r="BB45" s="1792"/>
      <c r="BC45" s="1792"/>
      <c r="BD45" s="1793"/>
      <c r="BE45" s="1791"/>
      <c r="BF45" s="1792"/>
      <c r="BG45" s="1792"/>
      <c r="BH45" s="1792"/>
      <c r="BI45" s="1792"/>
      <c r="BJ45" s="1792"/>
      <c r="BK45" s="1792"/>
      <c r="BL45" s="1792"/>
      <c r="BM45" s="1792"/>
      <c r="BN45" s="1792"/>
      <c r="BO45" s="1793"/>
      <c r="BP45" s="1791">
        <f>CD45</f>
        <v>-19716.62</v>
      </c>
      <c r="BQ45" s="1792"/>
      <c r="BR45" s="1792"/>
      <c r="BS45" s="1792"/>
      <c r="BT45" s="1792"/>
      <c r="BU45" s="1792"/>
      <c r="BV45" s="1792"/>
      <c r="BW45" s="1792"/>
      <c r="BX45" s="1792"/>
      <c r="BY45" s="1792"/>
      <c r="BZ45" s="1792"/>
      <c r="CA45" s="1792"/>
      <c r="CB45" s="1793"/>
      <c r="CC45" s="17"/>
      <c r="CD45" s="23">
        <v>-19716.62</v>
      </c>
      <c r="CE45" s="50"/>
      <c r="CF45" s="17"/>
      <c r="CG45" s="17"/>
      <c r="CH45" s="17"/>
      <c r="CI45" s="51"/>
    </row>
    <row r="46" spans="1:88" x14ac:dyDescent="0.2">
      <c r="A46" s="1797"/>
      <c r="B46" s="1798"/>
      <c r="C46" s="1798"/>
      <c r="D46" s="1799"/>
      <c r="E46" s="1794" t="s">
        <v>1571</v>
      </c>
      <c r="F46" s="1795"/>
      <c r="G46" s="1795"/>
      <c r="H46" s="1795"/>
      <c r="I46" s="1795"/>
      <c r="J46" s="1795"/>
      <c r="K46" s="1795"/>
      <c r="L46" s="1795"/>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c r="AH46" s="1795"/>
      <c r="AI46" s="1796"/>
      <c r="AJ46" s="1791"/>
      <c r="AK46" s="1792"/>
      <c r="AL46" s="1792"/>
      <c r="AM46" s="1792"/>
      <c r="AN46" s="1792"/>
      <c r="AO46" s="1792"/>
      <c r="AP46" s="1792"/>
      <c r="AQ46" s="1792"/>
      <c r="AR46" s="1792"/>
      <c r="AS46" s="1792"/>
      <c r="AT46" s="1793"/>
      <c r="AU46" s="1791"/>
      <c r="AV46" s="1792"/>
      <c r="AW46" s="1792"/>
      <c r="AX46" s="1792"/>
      <c r="AY46" s="1792"/>
      <c r="AZ46" s="1792"/>
      <c r="BA46" s="1792"/>
      <c r="BB46" s="1792"/>
      <c r="BC46" s="1792"/>
      <c r="BD46" s="1793"/>
      <c r="BE46" s="1791"/>
      <c r="BF46" s="1792"/>
      <c r="BG46" s="1792"/>
      <c r="BH46" s="1792"/>
      <c r="BI46" s="1792"/>
      <c r="BJ46" s="1792"/>
      <c r="BK46" s="1792"/>
      <c r="BL46" s="1792"/>
      <c r="BM46" s="1792"/>
      <c r="BN46" s="1792"/>
      <c r="BO46" s="1793"/>
      <c r="BP46" s="1800">
        <f>CD46</f>
        <v>560104.18000000005</v>
      </c>
      <c r="BQ46" s="1801"/>
      <c r="BR46" s="1801"/>
      <c r="BS46" s="1801"/>
      <c r="BT46" s="1801"/>
      <c r="BU46" s="1801"/>
      <c r="BV46" s="1801"/>
      <c r="BW46" s="1801"/>
      <c r="BX46" s="1801"/>
      <c r="BY46" s="1801"/>
      <c r="BZ46" s="1801"/>
      <c r="CA46" s="1801"/>
      <c r="CB46" s="1802"/>
      <c r="CC46" s="27"/>
      <c r="CD46" s="28">
        <f>SUM(CD44:CD45)</f>
        <v>560104.18000000005</v>
      </c>
      <c r="CE46" s="50"/>
      <c r="CF46" s="17"/>
      <c r="CG46" s="17"/>
      <c r="CH46" s="17"/>
      <c r="CI46" s="51" t="s">
        <v>1595</v>
      </c>
    </row>
    <row r="47" spans="1:88" x14ac:dyDescent="0.2">
      <c r="A47" s="1803"/>
      <c r="B47" s="1804"/>
      <c r="C47" s="1804"/>
      <c r="D47" s="1805"/>
      <c r="E47" s="1794" t="s">
        <v>132</v>
      </c>
      <c r="F47" s="1795"/>
      <c r="G47" s="1795"/>
      <c r="H47" s="1795"/>
      <c r="I47" s="1795"/>
      <c r="J47" s="1795"/>
      <c r="K47" s="1795"/>
      <c r="L47" s="1795"/>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c r="AI47" s="1796"/>
      <c r="AJ47" s="1791"/>
      <c r="AK47" s="1792"/>
      <c r="AL47" s="1792"/>
      <c r="AM47" s="1792"/>
      <c r="AN47" s="1792"/>
      <c r="AO47" s="1792"/>
      <c r="AP47" s="1792"/>
      <c r="AQ47" s="1792"/>
      <c r="AR47" s="1792"/>
      <c r="AS47" s="1792"/>
      <c r="AT47" s="1793"/>
      <c r="AU47" s="1791"/>
      <c r="AV47" s="1792"/>
      <c r="AW47" s="1792"/>
      <c r="AX47" s="1792"/>
      <c r="AY47" s="1792"/>
      <c r="AZ47" s="1792"/>
      <c r="BA47" s="1792"/>
      <c r="BB47" s="1792"/>
      <c r="BC47" s="1792"/>
      <c r="BD47" s="1793"/>
      <c r="BE47" s="1791"/>
      <c r="BF47" s="1792"/>
      <c r="BG47" s="1792"/>
      <c r="BH47" s="1792"/>
      <c r="BI47" s="1792"/>
      <c r="BJ47" s="1792"/>
      <c r="BK47" s="1792"/>
      <c r="BL47" s="1792"/>
      <c r="BM47" s="1792"/>
      <c r="BN47" s="1792"/>
      <c r="BO47" s="1793"/>
      <c r="BP47" s="1800">
        <f>CD47</f>
        <v>1103056.8299999998</v>
      </c>
      <c r="BQ47" s="1801"/>
      <c r="BR47" s="1801"/>
      <c r="BS47" s="1801"/>
      <c r="BT47" s="1801"/>
      <c r="BU47" s="1801"/>
      <c r="BV47" s="1801"/>
      <c r="BW47" s="1801"/>
      <c r="BX47" s="1801"/>
      <c r="BY47" s="1801"/>
      <c r="BZ47" s="1801"/>
      <c r="CA47" s="1801"/>
      <c r="CB47" s="1802"/>
      <c r="CC47" s="17"/>
      <c r="CD47" s="28">
        <f>CD48+CD49</f>
        <v>1103056.8299999998</v>
      </c>
      <c r="CE47" s="50"/>
      <c r="CF47" s="17"/>
      <c r="CG47" s="17"/>
      <c r="CH47" s="17"/>
      <c r="CI47" s="51" t="s">
        <v>1594</v>
      </c>
    </row>
    <row r="48" spans="1:88" x14ac:dyDescent="0.2">
      <c r="A48" s="1803"/>
      <c r="B48" s="1804"/>
      <c r="C48" s="1804"/>
      <c r="D48" s="1805"/>
      <c r="E48" s="1803" t="s">
        <v>1609</v>
      </c>
      <c r="F48" s="1804"/>
      <c r="G48" s="1804"/>
      <c r="H48" s="1804"/>
      <c r="I48" s="1804"/>
      <c r="J48" s="1804"/>
      <c r="K48" s="1804"/>
      <c r="L48" s="1804"/>
      <c r="M48" s="1804"/>
      <c r="N48" s="1804"/>
      <c r="O48" s="1804"/>
      <c r="P48" s="1804"/>
      <c r="Q48" s="1804"/>
      <c r="R48" s="1804"/>
      <c r="S48" s="1804"/>
      <c r="T48" s="1804"/>
      <c r="U48" s="1804"/>
      <c r="V48" s="1804"/>
      <c r="W48" s="1804"/>
      <c r="X48" s="1804"/>
      <c r="Y48" s="1804"/>
      <c r="Z48" s="1804"/>
      <c r="AA48" s="1804"/>
      <c r="AB48" s="1804"/>
      <c r="AC48" s="1804"/>
      <c r="AD48" s="1804"/>
      <c r="AE48" s="1804"/>
      <c r="AF48" s="1804"/>
      <c r="AG48" s="1804"/>
      <c r="AH48" s="1804"/>
      <c r="AI48" s="1805"/>
      <c r="AJ48" s="1791"/>
      <c r="AK48" s="1792"/>
      <c r="AL48" s="1792"/>
      <c r="AM48" s="1792"/>
      <c r="AN48" s="1792"/>
      <c r="AO48" s="1792"/>
      <c r="AP48" s="1792"/>
      <c r="AQ48" s="1792"/>
      <c r="AR48" s="1792"/>
      <c r="AS48" s="1792"/>
      <c r="AT48" s="1793"/>
      <c r="AU48" s="1791"/>
      <c r="AV48" s="1792"/>
      <c r="AW48" s="1792"/>
      <c r="AX48" s="1792"/>
      <c r="AY48" s="1792"/>
      <c r="AZ48" s="1792"/>
      <c r="BA48" s="1792"/>
      <c r="BB48" s="1792"/>
      <c r="BC48" s="1792"/>
      <c r="BD48" s="1793"/>
      <c r="BE48" s="1791"/>
      <c r="BF48" s="1792"/>
      <c r="BG48" s="1792"/>
      <c r="BH48" s="1792"/>
      <c r="BI48" s="1792"/>
      <c r="BJ48" s="1792"/>
      <c r="BK48" s="1792"/>
      <c r="BL48" s="1792"/>
      <c r="BM48" s="1792"/>
      <c r="BN48" s="1792"/>
      <c r="BO48" s="1793"/>
      <c r="BP48" s="1791">
        <f>CC48+CD48+CF48+CG48+CH48</f>
        <v>97172.91</v>
      </c>
      <c r="BQ48" s="1792"/>
      <c r="BR48" s="1792"/>
      <c r="BS48" s="1792"/>
      <c r="BT48" s="1792"/>
      <c r="BU48" s="1792"/>
      <c r="BV48" s="1792"/>
      <c r="BW48" s="1792"/>
      <c r="BX48" s="1792"/>
      <c r="BY48" s="1792"/>
      <c r="BZ48" s="1792"/>
      <c r="CA48" s="1792"/>
      <c r="CB48" s="1793"/>
      <c r="CC48" s="17"/>
      <c r="CD48" s="23">
        <v>97172.91</v>
      </c>
      <c r="CE48" s="50"/>
      <c r="CF48" s="17"/>
      <c r="CG48" s="17"/>
      <c r="CH48" s="17"/>
      <c r="CI48" s="51"/>
    </row>
    <row r="49" spans="1:101" x14ac:dyDescent="0.2">
      <c r="A49" s="1803"/>
      <c r="B49" s="1804"/>
      <c r="C49" s="1804"/>
      <c r="D49" s="1805"/>
      <c r="E49" s="1794" t="s">
        <v>1569</v>
      </c>
      <c r="F49" s="1795"/>
      <c r="G49" s="1795"/>
      <c r="H49" s="1795"/>
      <c r="I49" s="1795"/>
      <c r="J49" s="1795"/>
      <c r="K49" s="1795"/>
      <c r="L49" s="1795"/>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c r="AI49" s="1796"/>
      <c r="AJ49" s="1791"/>
      <c r="AK49" s="1792"/>
      <c r="AL49" s="1792"/>
      <c r="AM49" s="1792"/>
      <c r="AN49" s="1792"/>
      <c r="AO49" s="1792"/>
      <c r="AP49" s="1792"/>
      <c r="AQ49" s="1792"/>
      <c r="AR49" s="1792"/>
      <c r="AS49" s="1792"/>
      <c r="AT49" s="1793"/>
      <c r="AU49" s="1791"/>
      <c r="AV49" s="1792"/>
      <c r="AW49" s="1792"/>
      <c r="AX49" s="1792"/>
      <c r="AY49" s="1792"/>
      <c r="AZ49" s="1792"/>
      <c r="BA49" s="1792"/>
      <c r="BB49" s="1792"/>
      <c r="BC49" s="1792"/>
      <c r="BD49" s="1793"/>
      <c r="BE49" s="1791"/>
      <c r="BF49" s="1792"/>
      <c r="BG49" s="1792"/>
      <c r="BH49" s="1792"/>
      <c r="BI49" s="1792"/>
      <c r="BJ49" s="1792"/>
      <c r="BK49" s="1792"/>
      <c r="BL49" s="1792"/>
      <c r="BM49" s="1792"/>
      <c r="BN49" s="1792"/>
      <c r="BO49" s="1793"/>
      <c r="BP49" s="1800">
        <f>CC49+CD49+CF49+CG49+CH49</f>
        <v>1005883.9199999999</v>
      </c>
      <c r="BQ49" s="1801"/>
      <c r="BR49" s="1801"/>
      <c r="BS49" s="1801"/>
      <c r="BT49" s="1801"/>
      <c r="BU49" s="1801"/>
      <c r="BV49" s="1801"/>
      <c r="BW49" s="1801"/>
      <c r="BX49" s="1801"/>
      <c r="BY49" s="1801"/>
      <c r="BZ49" s="1801"/>
      <c r="CA49" s="1801"/>
      <c r="CB49" s="1802"/>
      <c r="CC49" s="27"/>
      <c r="CD49" s="28">
        <f>CD50+CD51+CD56+CD57+CD58+CD59</f>
        <v>1005883.9199999999</v>
      </c>
      <c r="CE49" s="50"/>
      <c r="CF49" s="17"/>
      <c r="CG49" s="17"/>
      <c r="CH49" s="17"/>
      <c r="CI49" s="51"/>
    </row>
    <row r="50" spans="1:101" x14ac:dyDescent="0.2">
      <c r="A50" s="1803"/>
      <c r="B50" s="1804"/>
      <c r="C50" s="1804"/>
      <c r="D50" s="1805"/>
      <c r="E50" s="1803" t="s">
        <v>133</v>
      </c>
      <c r="F50" s="1804"/>
      <c r="G50" s="1804"/>
      <c r="H50" s="1804"/>
      <c r="I50" s="1804"/>
      <c r="J50" s="1804"/>
      <c r="K50" s="1804"/>
      <c r="L50" s="1804"/>
      <c r="M50" s="1804"/>
      <c r="N50" s="1804"/>
      <c r="O50" s="1804"/>
      <c r="P50" s="1804"/>
      <c r="Q50" s="1804"/>
      <c r="R50" s="1804"/>
      <c r="S50" s="1804"/>
      <c r="T50" s="1804"/>
      <c r="U50" s="1804"/>
      <c r="V50" s="1804"/>
      <c r="W50" s="1804"/>
      <c r="X50" s="1804"/>
      <c r="Y50" s="1804"/>
      <c r="Z50" s="1804"/>
      <c r="AA50" s="1804"/>
      <c r="AB50" s="1804"/>
      <c r="AC50" s="1804"/>
      <c r="AD50" s="1804"/>
      <c r="AE50" s="1804"/>
      <c r="AF50" s="1804"/>
      <c r="AG50" s="1804"/>
      <c r="AH50" s="1804"/>
      <c r="AI50" s="1805"/>
      <c r="AJ50" s="1791">
        <f>212.95+86.62</f>
        <v>299.57</v>
      </c>
      <c r="AK50" s="1792"/>
      <c r="AL50" s="1792"/>
      <c r="AM50" s="1792"/>
      <c r="AN50" s="1792"/>
      <c r="AO50" s="1792"/>
      <c r="AP50" s="1792"/>
      <c r="AQ50" s="1792"/>
      <c r="AR50" s="1792"/>
      <c r="AS50" s="1792"/>
      <c r="AT50" s="1793"/>
      <c r="AU50" s="1791">
        <v>1908.77</v>
      </c>
      <c r="AV50" s="1792"/>
      <c r="AW50" s="1792"/>
      <c r="AX50" s="1792"/>
      <c r="AY50" s="1792"/>
      <c r="AZ50" s="1792"/>
      <c r="BA50" s="1792"/>
      <c r="BB50" s="1792"/>
      <c r="BC50" s="1792"/>
      <c r="BD50" s="1793"/>
      <c r="BE50" s="1791"/>
      <c r="BF50" s="1792"/>
      <c r="BG50" s="1792"/>
      <c r="BH50" s="1792"/>
      <c r="BI50" s="1792"/>
      <c r="BJ50" s="1792"/>
      <c r="BK50" s="1792"/>
      <c r="BL50" s="1792"/>
      <c r="BM50" s="1792"/>
      <c r="BN50" s="1792"/>
      <c r="BO50" s="1793"/>
      <c r="BP50" s="1791">
        <f>CC50+CD50+CF50+CG50+CH50</f>
        <v>571810.23</v>
      </c>
      <c r="BQ50" s="1792"/>
      <c r="BR50" s="1792"/>
      <c r="BS50" s="1792"/>
      <c r="BT50" s="1792"/>
      <c r="BU50" s="1792"/>
      <c r="BV50" s="1792"/>
      <c r="BW50" s="1792"/>
      <c r="BX50" s="1792"/>
      <c r="BY50" s="1792"/>
      <c r="BZ50" s="1792"/>
      <c r="CA50" s="1792"/>
      <c r="CB50" s="1793"/>
      <c r="CC50" s="17"/>
      <c r="CD50" s="23">
        <v>571810.23</v>
      </c>
      <c r="CE50" s="50"/>
      <c r="CF50" s="17"/>
      <c r="CG50" s="17"/>
      <c r="CH50" s="17"/>
    </row>
    <row r="51" spans="1:101" x14ac:dyDescent="0.2">
      <c r="A51" s="1803"/>
      <c r="B51" s="1804"/>
      <c r="C51" s="1804"/>
      <c r="D51" s="1805"/>
      <c r="E51" s="1803" t="s">
        <v>1557</v>
      </c>
      <c r="F51" s="1804"/>
      <c r="G51" s="1804"/>
      <c r="H51" s="1804"/>
      <c r="I51" s="1804"/>
      <c r="J51" s="1804"/>
      <c r="K51" s="1804"/>
      <c r="L51" s="1804"/>
      <c r="M51" s="1804"/>
      <c r="N51" s="1804"/>
      <c r="O51" s="1804"/>
      <c r="P51" s="1804"/>
      <c r="Q51" s="1804"/>
      <c r="R51" s="1804"/>
      <c r="S51" s="1804"/>
      <c r="T51" s="1804"/>
      <c r="U51" s="1804"/>
      <c r="V51" s="1804"/>
      <c r="W51" s="1804"/>
      <c r="X51" s="1804"/>
      <c r="Y51" s="1804"/>
      <c r="Z51" s="1804"/>
      <c r="AA51" s="1804"/>
      <c r="AB51" s="1804"/>
      <c r="AC51" s="1804"/>
      <c r="AD51" s="1804"/>
      <c r="AE51" s="1804"/>
      <c r="AF51" s="1804"/>
      <c r="AG51" s="1804"/>
      <c r="AH51" s="1804"/>
      <c r="AI51" s="1805"/>
      <c r="AJ51" s="1791">
        <f>155.08</f>
        <v>155.08000000000001</v>
      </c>
      <c r="AK51" s="1792"/>
      <c r="AL51" s="1792"/>
      <c r="AM51" s="1792"/>
      <c r="AN51" s="1792"/>
      <c r="AO51" s="1792"/>
      <c r="AP51" s="1792"/>
      <c r="AQ51" s="1792"/>
      <c r="AR51" s="1792"/>
      <c r="AS51" s="1792"/>
      <c r="AT51" s="1793"/>
      <c r="AU51" s="1791">
        <v>2076.0700000000002</v>
      </c>
      <c r="AV51" s="1792"/>
      <c r="AW51" s="1792"/>
      <c r="AX51" s="1792"/>
      <c r="AY51" s="1792"/>
      <c r="AZ51" s="1792"/>
      <c r="BA51" s="1792"/>
      <c r="BB51" s="1792"/>
      <c r="BC51" s="1792"/>
      <c r="BD51" s="1793"/>
      <c r="BE51" s="1867"/>
      <c r="BF51" s="1868"/>
      <c r="BG51" s="1868"/>
      <c r="BH51" s="1868"/>
      <c r="BI51" s="1868"/>
      <c r="BJ51" s="1868"/>
      <c r="BK51" s="1868"/>
      <c r="BL51" s="1868"/>
      <c r="BM51" s="1868"/>
      <c r="BN51" s="1868"/>
      <c r="BO51" s="1869"/>
      <c r="BP51" s="1791">
        <f t="shared" ref="BP51:BP59" si="2">CC51+CD51+CF51+CG51+CH51</f>
        <v>321956.94</v>
      </c>
      <c r="BQ51" s="1792"/>
      <c r="BR51" s="1792"/>
      <c r="BS51" s="1792"/>
      <c r="BT51" s="1792"/>
      <c r="BU51" s="1792"/>
      <c r="BV51" s="1792"/>
      <c r="BW51" s="1792"/>
      <c r="BX51" s="1792"/>
      <c r="BY51" s="1792"/>
      <c r="BZ51" s="1792"/>
      <c r="CA51" s="1792"/>
      <c r="CB51" s="1793"/>
      <c r="CC51" s="50"/>
      <c r="CD51" s="23">
        <v>321956.94</v>
      </c>
      <c r="CE51" s="50"/>
      <c r="CF51" s="17"/>
      <c r="CG51" s="17"/>
      <c r="CH51" s="17"/>
      <c r="CI51" s="51"/>
      <c r="CJ51" s="51"/>
      <c r="CK51" s="51"/>
      <c r="CL51" s="51"/>
      <c r="CM51" s="51"/>
      <c r="CN51" s="51"/>
      <c r="CO51" s="51"/>
      <c r="CP51" s="51"/>
      <c r="CQ51" s="51"/>
      <c r="CR51" s="51"/>
      <c r="CS51" s="51"/>
      <c r="CT51" s="51"/>
      <c r="CU51" s="51"/>
      <c r="CV51" s="51"/>
      <c r="CW51" s="51"/>
    </row>
    <row r="52" spans="1:101" ht="12.75" hidden="1" customHeight="1" x14ac:dyDescent="0.2">
      <c r="A52" s="1803"/>
      <c r="B52" s="1804"/>
      <c r="C52" s="1804"/>
      <c r="D52" s="1805"/>
      <c r="E52" s="1803"/>
      <c r="F52" s="1804"/>
      <c r="G52" s="1804"/>
      <c r="H52" s="1804"/>
      <c r="I52" s="1804"/>
      <c r="J52" s="1804"/>
      <c r="K52" s="1804"/>
      <c r="L52" s="1804"/>
      <c r="M52" s="1804"/>
      <c r="N52" s="1804"/>
      <c r="O52" s="1804"/>
      <c r="P52" s="1804"/>
      <c r="Q52" s="1804"/>
      <c r="R52" s="1804"/>
      <c r="S52" s="1804"/>
      <c r="T52" s="1804"/>
      <c r="U52" s="1804"/>
      <c r="V52" s="1804"/>
      <c r="W52" s="1804"/>
      <c r="X52" s="1804"/>
      <c r="Y52" s="1804"/>
      <c r="Z52" s="1804"/>
      <c r="AA52" s="1804"/>
      <c r="AB52" s="1804"/>
      <c r="AC52" s="1804"/>
      <c r="AD52" s="1804"/>
      <c r="AE52" s="1804"/>
      <c r="AF52" s="1804"/>
      <c r="AG52" s="1804"/>
      <c r="AH52" s="1804"/>
      <c r="AI52" s="1805"/>
      <c r="AJ52" s="1840"/>
      <c r="AK52" s="1841"/>
      <c r="AL52" s="1841"/>
      <c r="AM52" s="1841"/>
      <c r="AN52" s="1841"/>
      <c r="AO52" s="1841"/>
      <c r="AP52" s="1841"/>
      <c r="AQ52" s="1841"/>
      <c r="AR52" s="1841"/>
      <c r="AS52" s="1841"/>
      <c r="AT52" s="1842"/>
      <c r="AU52" s="1791">
        <v>1908.77</v>
      </c>
      <c r="AV52" s="1792"/>
      <c r="AW52" s="1792"/>
      <c r="AX52" s="1792"/>
      <c r="AY52" s="1792"/>
      <c r="AZ52" s="1792"/>
      <c r="BA52" s="1792"/>
      <c r="BB52" s="1792"/>
      <c r="BC52" s="1792"/>
      <c r="BD52" s="1793"/>
      <c r="BE52" s="1791"/>
      <c r="BF52" s="1792"/>
      <c r="BG52" s="1792"/>
      <c r="BH52" s="1792"/>
      <c r="BI52" s="1792"/>
      <c r="BJ52" s="1792"/>
      <c r="BK52" s="1792"/>
      <c r="BL52" s="1792"/>
      <c r="BM52" s="1792"/>
      <c r="BN52" s="1792"/>
      <c r="BO52" s="1793"/>
      <c r="BP52" s="1791">
        <f t="shared" si="2"/>
        <v>0</v>
      </c>
      <c r="BQ52" s="1792"/>
      <c r="BR52" s="1792"/>
      <c r="BS52" s="1792"/>
      <c r="BT52" s="1792"/>
      <c r="BU52" s="1792"/>
      <c r="BV52" s="1792"/>
      <c r="BW52" s="1792"/>
      <c r="BX52" s="1792"/>
      <c r="BY52" s="1792"/>
      <c r="BZ52" s="1792"/>
      <c r="CA52" s="1792"/>
      <c r="CB52" s="1793"/>
      <c r="CC52" s="17"/>
      <c r="CD52" s="23">
        <f t="shared" ref="CD52:CD55" si="3">AJ52*AU52</f>
        <v>0</v>
      </c>
      <c r="CE52" s="50"/>
      <c r="CF52" s="17"/>
      <c r="CG52" s="17"/>
      <c r="CH52" s="17"/>
    </row>
    <row r="53" spans="1:101" ht="12.75" hidden="1" customHeight="1" x14ac:dyDescent="0.2">
      <c r="A53" s="1803"/>
      <c r="B53" s="1804"/>
      <c r="C53" s="1804"/>
      <c r="D53" s="1805"/>
      <c r="E53" s="1803"/>
      <c r="F53" s="1804"/>
      <c r="G53" s="1804"/>
      <c r="H53" s="1804"/>
      <c r="I53" s="1804"/>
      <c r="J53" s="1804"/>
      <c r="K53" s="1804"/>
      <c r="L53" s="1804"/>
      <c r="M53" s="1804"/>
      <c r="N53" s="1804"/>
      <c r="O53" s="1804"/>
      <c r="P53" s="1804"/>
      <c r="Q53" s="1804"/>
      <c r="R53" s="1804"/>
      <c r="S53" s="1804"/>
      <c r="T53" s="1804"/>
      <c r="U53" s="1804"/>
      <c r="V53" s="1804"/>
      <c r="W53" s="1804"/>
      <c r="X53" s="1804"/>
      <c r="Y53" s="1804"/>
      <c r="Z53" s="1804"/>
      <c r="AA53" s="1804"/>
      <c r="AB53" s="1804"/>
      <c r="AC53" s="1804"/>
      <c r="AD53" s="1804"/>
      <c r="AE53" s="1804"/>
      <c r="AF53" s="1804"/>
      <c r="AG53" s="1804"/>
      <c r="AH53" s="1804"/>
      <c r="AI53" s="1805"/>
      <c r="AJ53" s="1840"/>
      <c r="AK53" s="1841"/>
      <c r="AL53" s="1841"/>
      <c r="AM53" s="1841"/>
      <c r="AN53" s="1841"/>
      <c r="AO53" s="1841"/>
      <c r="AP53" s="1841"/>
      <c r="AQ53" s="1841"/>
      <c r="AR53" s="1841"/>
      <c r="AS53" s="1841"/>
      <c r="AT53" s="1842"/>
      <c r="AU53" s="1791">
        <v>1908.77</v>
      </c>
      <c r="AV53" s="1792"/>
      <c r="AW53" s="1792"/>
      <c r="AX53" s="1792"/>
      <c r="AY53" s="1792"/>
      <c r="AZ53" s="1792"/>
      <c r="BA53" s="1792"/>
      <c r="BB53" s="1792"/>
      <c r="BC53" s="1792"/>
      <c r="BD53" s="1793"/>
      <c r="BE53" s="1791"/>
      <c r="BF53" s="1792"/>
      <c r="BG53" s="1792"/>
      <c r="BH53" s="1792"/>
      <c r="BI53" s="1792"/>
      <c r="BJ53" s="1792"/>
      <c r="BK53" s="1792"/>
      <c r="BL53" s="1792"/>
      <c r="BM53" s="1792"/>
      <c r="BN53" s="1792"/>
      <c r="BO53" s="1793"/>
      <c r="BP53" s="1791">
        <f t="shared" si="2"/>
        <v>0</v>
      </c>
      <c r="BQ53" s="1792"/>
      <c r="BR53" s="1792"/>
      <c r="BS53" s="1792"/>
      <c r="BT53" s="1792"/>
      <c r="BU53" s="1792"/>
      <c r="BV53" s="1792"/>
      <c r="BW53" s="1792"/>
      <c r="BX53" s="1792"/>
      <c r="BY53" s="1792"/>
      <c r="BZ53" s="1792"/>
      <c r="CA53" s="1792"/>
      <c r="CB53" s="1793"/>
      <c r="CC53" s="17"/>
      <c r="CD53" s="23">
        <f t="shared" si="3"/>
        <v>0</v>
      </c>
      <c r="CE53" s="50"/>
      <c r="CF53" s="17"/>
      <c r="CG53" s="17"/>
      <c r="CH53" s="17"/>
    </row>
    <row r="54" spans="1:101" ht="12.75" hidden="1" customHeight="1" x14ac:dyDescent="0.2">
      <c r="A54" s="1803"/>
      <c r="B54" s="1804"/>
      <c r="C54" s="1804"/>
      <c r="D54" s="1805"/>
      <c r="E54" s="1803"/>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5"/>
      <c r="AJ54" s="1840"/>
      <c r="AK54" s="1841"/>
      <c r="AL54" s="1841"/>
      <c r="AM54" s="1841"/>
      <c r="AN54" s="1841"/>
      <c r="AO54" s="1841"/>
      <c r="AP54" s="1841"/>
      <c r="AQ54" s="1841"/>
      <c r="AR54" s="1841"/>
      <c r="AS54" s="1841"/>
      <c r="AT54" s="1842"/>
      <c r="AU54" s="1791">
        <v>1908.77</v>
      </c>
      <c r="AV54" s="1792"/>
      <c r="AW54" s="1792"/>
      <c r="AX54" s="1792"/>
      <c r="AY54" s="1792"/>
      <c r="AZ54" s="1792"/>
      <c r="BA54" s="1792"/>
      <c r="BB54" s="1792"/>
      <c r="BC54" s="1792"/>
      <c r="BD54" s="1793"/>
      <c r="BE54" s="1791"/>
      <c r="BF54" s="1792"/>
      <c r="BG54" s="1792"/>
      <c r="BH54" s="1792"/>
      <c r="BI54" s="1792"/>
      <c r="BJ54" s="1792"/>
      <c r="BK54" s="1792"/>
      <c r="BL54" s="1792"/>
      <c r="BM54" s="1792"/>
      <c r="BN54" s="1792"/>
      <c r="BO54" s="1793"/>
      <c r="BP54" s="1791">
        <f t="shared" si="2"/>
        <v>0</v>
      </c>
      <c r="BQ54" s="1792"/>
      <c r="BR54" s="1792"/>
      <c r="BS54" s="1792"/>
      <c r="BT54" s="1792"/>
      <c r="BU54" s="1792"/>
      <c r="BV54" s="1792"/>
      <c r="BW54" s="1792"/>
      <c r="BX54" s="1792"/>
      <c r="BY54" s="1792"/>
      <c r="BZ54" s="1792"/>
      <c r="CA54" s="1792"/>
      <c r="CB54" s="1793"/>
      <c r="CC54" s="17"/>
      <c r="CD54" s="23">
        <f t="shared" si="3"/>
        <v>0</v>
      </c>
      <c r="CE54" s="50"/>
      <c r="CF54" s="17"/>
      <c r="CG54" s="17"/>
      <c r="CH54" s="17"/>
    </row>
    <row r="55" spans="1:101" ht="12.75" hidden="1" customHeight="1" x14ac:dyDescent="0.2">
      <c r="A55" s="1803"/>
      <c r="B55" s="1804"/>
      <c r="C55" s="1804"/>
      <c r="D55" s="1805"/>
      <c r="E55" s="1803"/>
      <c r="F55" s="1804"/>
      <c r="G55" s="1804"/>
      <c r="H55" s="1804"/>
      <c r="I55" s="1804"/>
      <c r="J55" s="1804"/>
      <c r="K55" s="1804"/>
      <c r="L55" s="1804"/>
      <c r="M55" s="1804"/>
      <c r="N55" s="1804"/>
      <c r="O55" s="1804"/>
      <c r="P55" s="1804"/>
      <c r="Q55" s="1804"/>
      <c r="R55" s="1804"/>
      <c r="S55" s="1804"/>
      <c r="T55" s="1804"/>
      <c r="U55" s="1804"/>
      <c r="V55" s="1804"/>
      <c r="W55" s="1804"/>
      <c r="X55" s="1804"/>
      <c r="Y55" s="1804"/>
      <c r="Z55" s="1804"/>
      <c r="AA55" s="1804"/>
      <c r="AB55" s="1804"/>
      <c r="AC55" s="1804"/>
      <c r="AD55" s="1804"/>
      <c r="AE55" s="1804"/>
      <c r="AF55" s="1804"/>
      <c r="AG55" s="1804"/>
      <c r="AH55" s="1804"/>
      <c r="AI55" s="1805"/>
      <c r="AJ55" s="1840"/>
      <c r="AK55" s="1841"/>
      <c r="AL55" s="1841"/>
      <c r="AM55" s="1841"/>
      <c r="AN55" s="1841"/>
      <c r="AO55" s="1841"/>
      <c r="AP55" s="1841"/>
      <c r="AQ55" s="1841"/>
      <c r="AR55" s="1841"/>
      <c r="AS55" s="1841"/>
      <c r="AT55" s="1842"/>
      <c r="AU55" s="1791">
        <v>1908.77</v>
      </c>
      <c r="AV55" s="1792"/>
      <c r="AW55" s="1792"/>
      <c r="AX55" s="1792"/>
      <c r="AY55" s="1792"/>
      <c r="AZ55" s="1792"/>
      <c r="BA55" s="1792"/>
      <c r="BB55" s="1792"/>
      <c r="BC55" s="1792"/>
      <c r="BD55" s="1793"/>
      <c r="BE55" s="1791"/>
      <c r="BF55" s="1792"/>
      <c r="BG55" s="1792"/>
      <c r="BH55" s="1792"/>
      <c r="BI55" s="1792"/>
      <c r="BJ55" s="1792"/>
      <c r="BK55" s="1792"/>
      <c r="BL55" s="1792"/>
      <c r="BM55" s="1792"/>
      <c r="BN55" s="1792"/>
      <c r="BO55" s="1793"/>
      <c r="BP55" s="1791">
        <f t="shared" si="2"/>
        <v>0</v>
      </c>
      <c r="BQ55" s="1792"/>
      <c r="BR55" s="1792"/>
      <c r="BS55" s="1792"/>
      <c r="BT55" s="1792"/>
      <c r="BU55" s="1792"/>
      <c r="BV55" s="1792"/>
      <c r="BW55" s="1792"/>
      <c r="BX55" s="1792"/>
      <c r="BY55" s="1792"/>
      <c r="BZ55" s="1792"/>
      <c r="CA55" s="1792"/>
      <c r="CB55" s="1793"/>
      <c r="CC55" s="17"/>
      <c r="CD55" s="23">
        <f t="shared" si="3"/>
        <v>0</v>
      </c>
      <c r="CE55" s="50"/>
      <c r="CF55" s="17"/>
      <c r="CG55" s="17"/>
      <c r="CH55" s="17"/>
    </row>
    <row r="56" spans="1:101" x14ac:dyDescent="0.2">
      <c r="A56" s="1803"/>
      <c r="B56" s="1804"/>
      <c r="C56" s="1804"/>
      <c r="D56" s="1805"/>
      <c r="E56" s="1803" t="s">
        <v>134</v>
      </c>
      <c r="F56" s="1804"/>
      <c r="G56" s="1804"/>
      <c r="H56" s="1804"/>
      <c r="I56" s="1804"/>
      <c r="J56" s="1804"/>
      <c r="K56" s="1804"/>
      <c r="L56" s="1804"/>
      <c r="M56" s="1804"/>
      <c r="N56" s="1804"/>
      <c r="O56" s="1804"/>
      <c r="P56" s="1804"/>
      <c r="Q56" s="1804"/>
      <c r="R56" s="1804"/>
      <c r="S56" s="1804"/>
      <c r="T56" s="1804"/>
      <c r="U56" s="1804"/>
      <c r="V56" s="1804"/>
      <c r="W56" s="1804"/>
      <c r="X56" s="1804"/>
      <c r="Y56" s="1804"/>
      <c r="Z56" s="1804"/>
      <c r="AA56" s="1804"/>
      <c r="AB56" s="1804"/>
      <c r="AC56" s="1804"/>
      <c r="AD56" s="1804"/>
      <c r="AE56" s="1804"/>
      <c r="AF56" s="1804"/>
      <c r="AG56" s="1804"/>
      <c r="AH56" s="1804"/>
      <c r="AI56" s="1805"/>
      <c r="AJ56" s="1791">
        <f>6.17+7.47</f>
        <v>13.64</v>
      </c>
      <c r="AK56" s="1792"/>
      <c r="AL56" s="1792"/>
      <c r="AM56" s="1792"/>
      <c r="AN56" s="1792"/>
      <c r="AO56" s="1792"/>
      <c r="AP56" s="1792"/>
      <c r="AQ56" s="1792"/>
      <c r="AR56" s="1792"/>
      <c r="AS56" s="1792"/>
      <c r="AT56" s="1793"/>
      <c r="AU56" s="1791">
        <v>1908.77</v>
      </c>
      <c r="AV56" s="1792"/>
      <c r="AW56" s="1792"/>
      <c r="AX56" s="1792"/>
      <c r="AY56" s="1792"/>
      <c r="AZ56" s="1792"/>
      <c r="BA56" s="1792"/>
      <c r="BB56" s="1792"/>
      <c r="BC56" s="1792"/>
      <c r="BD56" s="1793"/>
      <c r="BE56" s="1791"/>
      <c r="BF56" s="1792"/>
      <c r="BG56" s="1792"/>
      <c r="BH56" s="1792"/>
      <c r="BI56" s="1792"/>
      <c r="BJ56" s="1792"/>
      <c r="BK56" s="1792"/>
      <c r="BL56" s="1792"/>
      <c r="BM56" s="1792"/>
      <c r="BN56" s="1792"/>
      <c r="BO56" s="1793"/>
      <c r="BP56" s="1791">
        <f t="shared" si="2"/>
        <v>26035.62</v>
      </c>
      <c r="BQ56" s="1792"/>
      <c r="BR56" s="1792"/>
      <c r="BS56" s="1792"/>
      <c r="BT56" s="1792"/>
      <c r="BU56" s="1792"/>
      <c r="BV56" s="1792"/>
      <c r="BW56" s="1792"/>
      <c r="BX56" s="1792"/>
      <c r="BY56" s="1792"/>
      <c r="BZ56" s="1792"/>
      <c r="CA56" s="1792"/>
      <c r="CB56" s="1793"/>
      <c r="CC56" s="17"/>
      <c r="CD56" s="23">
        <v>26035.62</v>
      </c>
      <c r="CE56" s="50"/>
      <c r="CF56" s="17"/>
      <c r="CG56" s="17"/>
      <c r="CH56" s="17"/>
    </row>
    <row r="57" spans="1:101" x14ac:dyDescent="0.2">
      <c r="A57" s="1803"/>
      <c r="B57" s="1804"/>
      <c r="C57" s="1804"/>
      <c r="D57" s="1805"/>
      <c r="E57" s="1803" t="s">
        <v>135</v>
      </c>
      <c r="F57" s="1804"/>
      <c r="G57" s="1804"/>
      <c r="H57" s="1804"/>
      <c r="I57" s="1804"/>
      <c r="J57" s="1804"/>
      <c r="K57" s="1804"/>
      <c r="L57" s="1804"/>
      <c r="M57" s="1804"/>
      <c r="N57" s="1804"/>
      <c r="O57" s="1804"/>
      <c r="P57" s="1804"/>
      <c r="Q57" s="1804"/>
      <c r="R57" s="1804"/>
      <c r="S57" s="1804"/>
      <c r="T57" s="1804"/>
      <c r="U57" s="1804"/>
      <c r="V57" s="1804"/>
      <c r="W57" s="1804"/>
      <c r="X57" s="1804"/>
      <c r="Y57" s="1804"/>
      <c r="Z57" s="1804"/>
      <c r="AA57" s="1804"/>
      <c r="AB57" s="1804"/>
      <c r="AC57" s="1804"/>
      <c r="AD57" s="1804"/>
      <c r="AE57" s="1804"/>
      <c r="AF57" s="1804"/>
      <c r="AG57" s="1804"/>
      <c r="AH57" s="1804"/>
      <c r="AI57" s="1805"/>
      <c r="AJ57" s="1791">
        <f>6.11+13</f>
        <v>19.11</v>
      </c>
      <c r="AK57" s="1792"/>
      <c r="AL57" s="1792"/>
      <c r="AM57" s="1792"/>
      <c r="AN57" s="1792"/>
      <c r="AO57" s="1792"/>
      <c r="AP57" s="1792"/>
      <c r="AQ57" s="1792"/>
      <c r="AR57" s="1792"/>
      <c r="AS57" s="1792"/>
      <c r="AT57" s="1793"/>
      <c r="AU57" s="1791">
        <v>2076.0700000000002</v>
      </c>
      <c r="AV57" s="1792"/>
      <c r="AW57" s="1792"/>
      <c r="AX57" s="1792"/>
      <c r="AY57" s="1792"/>
      <c r="AZ57" s="1792"/>
      <c r="BA57" s="1792"/>
      <c r="BB57" s="1792"/>
      <c r="BC57" s="1792"/>
      <c r="BD57" s="1793"/>
      <c r="BE57" s="1791"/>
      <c r="BF57" s="1792"/>
      <c r="BG57" s="1792"/>
      <c r="BH57" s="1792"/>
      <c r="BI57" s="1792"/>
      <c r="BJ57" s="1792"/>
      <c r="BK57" s="1792"/>
      <c r="BL57" s="1792"/>
      <c r="BM57" s="1792"/>
      <c r="BN57" s="1792"/>
      <c r="BO57" s="1793"/>
      <c r="BP57" s="1791">
        <f t="shared" si="2"/>
        <v>39673.699999999997</v>
      </c>
      <c r="BQ57" s="1792"/>
      <c r="BR57" s="1792"/>
      <c r="BS57" s="1792"/>
      <c r="BT57" s="1792"/>
      <c r="BU57" s="1792"/>
      <c r="BV57" s="1792"/>
      <c r="BW57" s="1792"/>
      <c r="BX57" s="1792"/>
      <c r="BY57" s="1792"/>
      <c r="BZ57" s="1792"/>
      <c r="CA57" s="1792"/>
      <c r="CB57" s="1793"/>
      <c r="CC57" s="17"/>
      <c r="CD57" s="23">
        <v>39673.699999999997</v>
      </c>
      <c r="CE57" s="50"/>
      <c r="CF57" s="17"/>
      <c r="CG57" s="17"/>
      <c r="CH57" s="17"/>
      <c r="CI57" s="52"/>
    </row>
    <row r="58" spans="1:101" x14ac:dyDescent="0.2">
      <c r="A58" s="1803"/>
      <c r="B58" s="1804"/>
      <c r="C58" s="1804"/>
      <c r="D58" s="1805"/>
      <c r="E58" s="1803" t="s">
        <v>136</v>
      </c>
      <c r="F58" s="1804"/>
      <c r="G58" s="1804"/>
      <c r="H58" s="1804"/>
      <c r="I58" s="1804"/>
      <c r="J58" s="1804"/>
      <c r="K58" s="1804"/>
      <c r="L58" s="1804"/>
      <c r="M58" s="1804"/>
      <c r="N58" s="1804"/>
      <c r="O58" s="1804"/>
      <c r="P58" s="1804"/>
      <c r="Q58" s="1804"/>
      <c r="R58" s="1804"/>
      <c r="S58" s="1804"/>
      <c r="T58" s="1804"/>
      <c r="U58" s="1804"/>
      <c r="V58" s="1804"/>
      <c r="W58" s="1804"/>
      <c r="X58" s="1804"/>
      <c r="Y58" s="1804"/>
      <c r="Z58" s="1804"/>
      <c r="AA58" s="1804"/>
      <c r="AB58" s="1804"/>
      <c r="AC58" s="1804"/>
      <c r="AD58" s="1804"/>
      <c r="AE58" s="1804"/>
      <c r="AF58" s="1804"/>
      <c r="AG58" s="1804"/>
      <c r="AH58" s="1804"/>
      <c r="AI58" s="1805"/>
      <c r="AJ58" s="1870">
        <v>227.3</v>
      </c>
      <c r="AK58" s="1871"/>
      <c r="AL58" s="1871"/>
      <c r="AM58" s="1871"/>
      <c r="AN58" s="1871"/>
      <c r="AO58" s="1871"/>
      <c r="AP58" s="1871"/>
      <c r="AQ58" s="1871"/>
      <c r="AR58" s="1871"/>
      <c r="AS58" s="1871"/>
      <c r="AT58" s="1872"/>
      <c r="AU58" s="1791">
        <v>78.7</v>
      </c>
      <c r="AV58" s="1792"/>
      <c r="AW58" s="1792"/>
      <c r="AX58" s="1792"/>
      <c r="AY58" s="1792"/>
      <c r="AZ58" s="1792"/>
      <c r="BA58" s="1792"/>
      <c r="BB58" s="1792"/>
      <c r="BC58" s="1792"/>
      <c r="BD58" s="1793"/>
      <c r="BE58" s="1791"/>
      <c r="BF58" s="1792"/>
      <c r="BG58" s="1792"/>
      <c r="BH58" s="1792"/>
      <c r="BI58" s="1792"/>
      <c r="BJ58" s="1792"/>
      <c r="BK58" s="1792"/>
      <c r="BL58" s="1792"/>
      <c r="BM58" s="1792"/>
      <c r="BN58" s="1792"/>
      <c r="BO58" s="1793"/>
      <c r="BP58" s="1791">
        <f t="shared" si="2"/>
        <v>17888.509999999998</v>
      </c>
      <c r="BQ58" s="1792"/>
      <c r="BR58" s="1792"/>
      <c r="BS58" s="1792"/>
      <c r="BT58" s="1792"/>
      <c r="BU58" s="1792"/>
      <c r="BV58" s="1792"/>
      <c r="BW58" s="1792"/>
      <c r="BX58" s="1792"/>
      <c r="BY58" s="1792"/>
      <c r="BZ58" s="1792"/>
      <c r="CA58" s="1792"/>
      <c r="CB58" s="1793"/>
      <c r="CC58" s="17"/>
      <c r="CD58" s="23">
        <v>17888.509999999998</v>
      </c>
      <c r="CE58" s="50"/>
      <c r="CF58" s="17"/>
      <c r="CG58" s="17"/>
      <c r="CH58" s="17"/>
    </row>
    <row r="59" spans="1:101" x14ac:dyDescent="0.2">
      <c r="A59" s="1803"/>
      <c r="B59" s="1804"/>
      <c r="C59" s="1804"/>
      <c r="D59" s="1805"/>
      <c r="E59" s="1803" t="s">
        <v>137</v>
      </c>
      <c r="F59" s="1804"/>
      <c r="G59" s="1804"/>
      <c r="H59" s="1804"/>
      <c r="I59" s="1804"/>
      <c r="J59" s="1804"/>
      <c r="K59" s="1804"/>
      <c r="L59" s="1804"/>
      <c r="M59" s="1804"/>
      <c r="N59" s="1804"/>
      <c r="O59" s="1804"/>
      <c r="P59" s="1804"/>
      <c r="Q59" s="1804"/>
      <c r="R59" s="1804"/>
      <c r="S59" s="1804"/>
      <c r="T59" s="1804"/>
      <c r="U59" s="1804"/>
      <c r="V59" s="1804"/>
      <c r="W59" s="1804"/>
      <c r="X59" s="1804"/>
      <c r="Y59" s="1804"/>
      <c r="Z59" s="1804"/>
      <c r="AA59" s="1804"/>
      <c r="AB59" s="1804"/>
      <c r="AC59" s="1804"/>
      <c r="AD59" s="1804"/>
      <c r="AE59" s="1804"/>
      <c r="AF59" s="1804"/>
      <c r="AG59" s="1804"/>
      <c r="AH59" s="1804"/>
      <c r="AI59" s="1805"/>
      <c r="AJ59" s="1791">
        <v>271.79000000000002</v>
      </c>
      <c r="AK59" s="1792"/>
      <c r="AL59" s="1792"/>
      <c r="AM59" s="1792"/>
      <c r="AN59" s="1792"/>
      <c r="AO59" s="1792"/>
      <c r="AP59" s="1792"/>
      <c r="AQ59" s="1792"/>
      <c r="AR59" s="1792"/>
      <c r="AS59" s="1792"/>
      <c r="AT59" s="1793"/>
      <c r="AU59" s="1791">
        <v>104.93</v>
      </c>
      <c r="AV59" s="1792"/>
      <c r="AW59" s="1792"/>
      <c r="AX59" s="1792"/>
      <c r="AY59" s="1792"/>
      <c r="AZ59" s="1792"/>
      <c r="BA59" s="1792"/>
      <c r="BB59" s="1792"/>
      <c r="BC59" s="1792"/>
      <c r="BD59" s="1793"/>
      <c r="BE59" s="1791"/>
      <c r="BF59" s="1792"/>
      <c r="BG59" s="1792"/>
      <c r="BH59" s="1792"/>
      <c r="BI59" s="1792"/>
      <c r="BJ59" s="1792"/>
      <c r="BK59" s="1792"/>
      <c r="BL59" s="1792"/>
      <c r="BM59" s="1792"/>
      <c r="BN59" s="1792"/>
      <c r="BO59" s="1793"/>
      <c r="BP59" s="1791">
        <f t="shared" si="2"/>
        <v>28518.92</v>
      </c>
      <c r="BQ59" s="1792"/>
      <c r="BR59" s="1792"/>
      <c r="BS59" s="1792"/>
      <c r="BT59" s="1792"/>
      <c r="BU59" s="1792"/>
      <c r="BV59" s="1792"/>
      <c r="BW59" s="1792"/>
      <c r="BX59" s="1792"/>
      <c r="BY59" s="1792"/>
      <c r="BZ59" s="1792"/>
      <c r="CA59" s="1792"/>
      <c r="CB59" s="1793"/>
      <c r="CC59" s="17"/>
      <c r="CD59" s="23">
        <v>28518.92</v>
      </c>
      <c r="CE59" s="50"/>
      <c r="CF59" s="17"/>
      <c r="CG59" s="17"/>
      <c r="CH59" s="17"/>
    </row>
    <row r="60" spans="1:101" ht="25.5" customHeight="1" x14ac:dyDescent="0.3">
      <c r="A60" s="1803"/>
      <c r="B60" s="1804"/>
      <c r="C60" s="1804"/>
      <c r="D60" s="1805"/>
      <c r="E60" s="1774" t="s">
        <v>1457</v>
      </c>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c r="AF60" s="1775"/>
      <c r="AG60" s="1775"/>
      <c r="AH60" s="1775"/>
      <c r="AI60" s="1776"/>
      <c r="AJ60" s="1861" t="s">
        <v>3</v>
      </c>
      <c r="AK60" s="1862"/>
      <c r="AL60" s="1862"/>
      <c r="AM60" s="1862"/>
      <c r="AN60" s="1862"/>
      <c r="AO60" s="1862"/>
      <c r="AP60" s="1862"/>
      <c r="AQ60" s="1862"/>
      <c r="AR60" s="1862"/>
      <c r="AS60" s="1862"/>
      <c r="AT60" s="1863"/>
      <c r="AU60" s="1861" t="s">
        <v>3</v>
      </c>
      <c r="AV60" s="1862"/>
      <c r="AW60" s="1862"/>
      <c r="AX60" s="1862"/>
      <c r="AY60" s="1862"/>
      <c r="AZ60" s="1862"/>
      <c r="BA60" s="1862"/>
      <c r="BB60" s="1862"/>
      <c r="BC60" s="1862"/>
      <c r="BD60" s="1863"/>
      <c r="BE60" s="1876"/>
      <c r="BF60" s="1877"/>
      <c r="BG60" s="1877"/>
      <c r="BH60" s="1877"/>
      <c r="BI60" s="1877"/>
      <c r="BJ60" s="1877"/>
      <c r="BK60" s="1877"/>
      <c r="BL60" s="1877"/>
      <c r="BM60" s="1877"/>
      <c r="BN60" s="1877"/>
      <c r="BO60" s="1877"/>
      <c r="BP60" s="1878">
        <f>BP46+BP47</f>
        <v>1663161.0099999998</v>
      </c>
      <c r="BQ60" s="1878"/>
      <c r="BR60" s="1878"/>
      <c r="BS60" s="1878"/>
      <c r="BT60" s="1878"/>
      <c r="BU60" s="1878"/>
      <c r="BV60" s="1878"/>
      <c r="BW60" s="1878"/>
      <c r="BX60" s="1878"/>
      <c r="BY60" s="1878"/>
      <c r="BZ60" s="1878"/>
      <c r="CA60" s="1878"/>
      <c r="CB60" s="1878"/>
      <c r="CC60" s="295"/>
      <c r="CD60" s="953">
        <f>CD46+CD47</f>
        <v>1663161.0099999998</v>
      </c>
      <c r="CE60" s="1057"/>
      <c r="CF60" s="295"/>
      <c r="CG60" s="295"/>
      <c r="CH60" s="295"/>
      <c r="CI60" s="1112" t="s">
        <v>1582</v>
      </c>
    </row>
    <row r="61" spans="1:101" x14ac:dyDescent="0.2">
      <c r="BP61" s="1875">
        <f>BP60+BP35+BP12</f>
        <v>1912489.1354999999</v>
      </c>
      <c r="BQ61" s="1875"/>
      <c r="BR61" s="1875"/>
      <c r="BS61" s="1875"/>
      <c r="BT61" s="1875"/>
      <c r="BU61" s="1875"/>
      <c r="BV61" s="1875"/>
      <c r="BW61" s="1875"/>
      <c r="BX61" s="1875"/>
      <c r="BY61" s="1875"/>
      <c r="BZ61" s="1875"/>
      <c r="CA61" s="1875"/>
      <c r="CB61" s="1875"/>
      <c r="CD61" s="52">
        <f>CD60+CD35</f>
        <v>1855436.8399999999</v>
      </c>
    </row>
    <row r="62" spans="1:101" x14ac:dyDescent="0.2">
      <c r="CD62" s="52"/>
      <c r="CF62" s="52"/>
    </row>
    <row r="63" spans="1:101" x14ac:dyDescent="0.2">
      <c r="CC63" s="8" t="s">
        <v>1200</v>
      </c>
      <c r="CD63" s="585">
        <v>1841831.49</v>
      </c>
      <c r="CE63" s="52"/>
      <c r="CF63" s="51"/>
      <c r="CG63" s="51"/>
      <c r="CI63" s="1103">
        <f>BP35+BP60</f>
        <v>1855436.8354999998</v>
      </c>
      <c r="CJ63" s="1090"/>
      <c r="CK63" s="1090"/>
      <c r="CL63" s="1090"/>
      <c r="CM63" s="1090"/>
      <c r="CN63" s="1091"/>
    </row>
    <row r="64" spans="1:101" x14ac:dyDescent="0.2">
      <c r="CD64" s="585">
        <f>CD22+CD44+CD47</f>
        <v>1808548.15</v>
      </c>
      <c r="CI64" s="1104">
        <v>1911290.63</v>
      </c>
      <c r="CJ64" s="8" t="s">
        <v>1564</v>
      </c>
      <c r="CN64" s="1105"/>
    </row>
    <row r="65" spans="82:92" ht="15.75" x14ac:dyDescent="0.25">
      <c r="CH65" s="8" t="s">
        <v>1584</v>
      </c>
      <c r="CI65" s="1114">
        <f>CI63-CI64</f>
        <v>-55853.794500000076</v>
      </c>
      <c r="CJ65" s="1092" t="s">
        <v>1597</v>
      </c>
      <c r="CN65" s="1105"/>
    </row>
    <row r="66" spans="82:92" x14ac:dyDescent="0.2">
      <c r="CD66" s="52">
        <f>CD63-CD64</f>
        <v>33283.340000000084</v>
      </c>
      <c r="CI66" s="1106"/>
      <c r="CN66" s="1105"/>
    </row>
    <row r="67" spans="82:92" x14ac:dyDescent="0.2">
      <c r="CI67" s="1107">
        <v>97172.91</v>
      </c>
      <c r="CJ67" s="51" t="s">
        <v>1566</v>
      </c>
      <c r="CK67" s="51"/>
      <c r="CL67" s="51"/>
      <c r="CM67" s="51"/>
      <c r="CN67" s="1108"/>
    </row>
    <row r="68" spans="82:92" x14ac:dyDescent="0.2">
      <c r="CI68" s="1107">
        <v>19716.62</v>
      </c>
      <c r="CJ68" s="51" t="s">
        <v>1568</v>
      </c>
      <c r="CN68" s="1105"/>
    </row>
    <row r="69" spans="82:92" ht="15.75" x14ac:dyDescent="0.25">
      <c r="CI69" s="1109">
        <v>28336.69</v>
      </c>
      <c r="CJ69" s="1092" t="s">
        <v>1567</v>
      </c>
      <c r="CK69" s="244"/>
      <c r="CL69" s="244"/>
      <c r="CM69" s="244"/>
      <c r="CN69" s="245"/>
    </row>
  </sheetData>
  <mergeCells count="333">
    <mergeCell ref="A23:D23"/>
    <mergeCell ref="E23:AI23"/>
    <mergeCell ref="AJ23:AT23"/>
    <mergeCell ref="AU23:BD23"/>
    <mergeCell ref="BE23:BO23"/>
    <mergeCell ref="BP23:CB23"/>
    <mergeCell ref="E31:AI31"/>
    <mergeCell ref="AJ31:AT31"/>
    <mergeCell ref="AU31:BD31"/>
    <mergeCell ref="BE31:BO31"/>
    <mergeCell ref="BP31:CB31"/>
    <mergeCell ref="A29:D29"/>
    <mergeCell ref="E29:AI29"/>
    <mergeCell ref="AJ29:AT29"/>
    <mergeCell ref="AU29:BD29"/>
    <mergeCell ref="BE29:BO29"/>
    <mergeCell ref="BP29:CB29"/>
    <mergeCell ref="A24:D24"/>
    <mergeCell ref="E24:AI24"/>
    <mergeCell ref="AJ24:AT24"/>
    <mergeCell ref="AU24:BD24"/>
    <mergeCell ref="BE24:BO24"/>
    <mergeCell ref="BP24:CB24"/>
    <mergeCell ref="A28:D28"/>
    <mergeCell ref="CI32:CI33"/>
    <mergeCell ref="A30:D30"/>
    <mergeCell ref="E30:AI30"/>
    <mergeCell ref="AJ30:AT30"/>
    <mergeCell ref="AU30:BD30"/>
    <mergeCell ref="BE30:BO30"/>
    <mergeCell ref="BP30:CB30"/>
    <mergeCell ref="A31:D31"/>
    <mergeCell ref="BP61:CB61"/>
    <mergeCell ref="A33:D33"/>
    <mergeCell ref="E33:AI33"/>
    <mergeCell ref="AJ33:AT33"/>
    <mergeCell ref="AU33:BD33"/>
    <mergeCell ref="BE33:BO33"/>
    <mergeCell ref="BP33:CB33"/>
    <mergeCell ref="A60:D60"/>
    <mergeCell ref="E60:AI60"/>
    <mergeCell ref="AJ60:AT60"/>
    <mergeCell ref="AU60:BD60"/>
    <mergeCell ref="BE60:BO60"/>
    <mergeCell ref="BP60:CB60"/>
    <mergeCell ref="A59:D59"/>
    <mergeCell ref="E59:AI59"/>
    <mergeCell ref="AJ59:AT59"/>
    <mergeCell ref="AU59:BD59"/>
    <mergeCell ref="BE59:BO59"/>
    <mergeCell ref="BP59:CB59"/>
    <mergeCell ref="A58:D58"/>
    <mergeCell ref="E58:AI58"/>
    <mergeCell ref="AJ58:AT58"/>
    <mergeCell ref="AU58:BD58"/>
    <mergeCell ref="BE58:BO58"/>
    <mergeCell ref="BP58:CB58"/>
    <mergeCell ref="A57:D57"/>
    <mergeCell ref="E57:AI57"/>
    <mergeCell ref="AJ57:AT57"/>
    <mergeCell ref="AU57:BD57"/>
    <mergeCell ref="BE57:BO57"/>
    <mergeCell ref="BP57:CB57"/>
    <mergeCell ref="A56:D56"/>
    <mergeCell ref="E56:AI56"/>
    <mergeCell ref="AJ56:AT56"/>
    <mergeCell ref="AU56:BD56"/>
    <mergeCell ref="BE56:BO56"/>
    <mergeCell ref="BP56:CB56"/>
    <mergeCell ref="A55:D55"/>
    <mergeCell ref="E55:AI55"/>
    <mergeCell ref="AJ55:AT55"/>
    <mergeCell ref="AU55:BD55"/>
    <mergeCell ref="BE55:BO55"/>
    <mergeCell ref="BP55:CB55"/>
    <mergeCell ref="A54:D54"/>
    <mergeCell ref="E54:AI54"/>
    <mergeCell ref="AJ54:AT54"/>
    <mergeCell ref="AU54:BD54"/>
    <mergeCell ref="BE54:BO54"/>
    <mergeCell ref="BP54:CB54"/>
    <mergeCell ref="A53:D53"/>
    <mergeCell ref="E53:AI53"/>
    <mergeCell ref="AJ53:AT53"/>
    <mergeCell ref="AU53:BD53"/>
    <mergeCell ref="BE53:BO53"/>
    <mergeCell ref="BP53:CB53"/>
    <mergeCell ref="A52:D52"/>
    <mergeCell ref="E52:AI52"/>
    <mergeCell ref="AJ52:AT52"/>
    <mergeCell ref="AU52:BD52"/>
    <mergeCell ref="BE52:BO52"/>
    <mergeCell ref="BP52:CB52"/>
    <mergeCell ref="A51:D51"/>
    <mergeCell ref="E51:AI51"/>
    <mergeCell ref="AJ51:AT51"/>
    <mergeCell ref="AU51:BD51"/>
    <mergeCell ref="BE51:BO51"/>
    <mergeCell ref="BP51:CB51"/>
    <mergeCell ref="A50:D50"/>
    <mergeCell ref="E50:AI50"/>
    <mergeCell ref="AJ50:AT50"/>
    <mergeCell ref="AU50:BD50"/>
    <mergeCell ref="BE50:BO50"/>
    <mergeCell ref="BP50:CB50"/>
    <mergeCell ref="A47:D47"/>
    <mergeCell ref="E47:AI47"/>
    <mergeCell ref="AJ47:AT47"/>
    <mergeCell ref="AU47:BD47"/>
    <mergeCell ref="BE47:BO47"/>
    <mergeCell ref="BP47:CB47"/>
    <mergeCell ref="BE41:BO41"/>
    <mergeCell ref="BP41:CB41"/>
    <mergeCell ref="A44:D44"/>
    <mergeCell ref="E44:AI44"/>
    <mergeCell ref="AJ44:AT44"/>
    <mergeCell ref="AU44:BD44"/>
    <mergeCell ref="BE44:BO44"/>
    <mergeCell ref="BP44:CB44"/>
    <mergeCell ref="BP42:CB42"/>
    <mergeCell ref="A43:D43"/>
    <mergeCell ref="E43:AI43"/>
    <mergeCell ref="AJ43:AT43"/>
    <mergeCell ref="AU43:BD43"/>
    <mergeCell ref="BE43:BO43"/>
    <mergeCell ref="BP43:CB43"/>
    <mergeCell ref="A45:D45"/>
    <mergeCell ref="E45:AI45"/>
    <mergeCell ref="AJ45:AT45"/>
    <mergeCell ref="CC39:CH39"/>
    <mergeCell ref="A40:D40"/>
    <mergeCell ref="E40:AI40"/>
    <mergeCell ref="AJ40:AT40"/>
    <mergeCell ref="AU40:BD40"/>
    <mergeCell ref="BE40:BO40"/>
    <mergeCell ref="BP40:CB40"/>
    <mergeCell ref="CC40:CD40"/>
    <mergeCell ref="CE40:CG40"/>
    <mergeCell ref="CH40:CH42"/>
    <mergeCell ref="CC41:CC42"/>
    <mergeCell ref="CD41:CD42"/>
    <mergeCell ref="CE41:CE42"/>
    <mergeCell ref="CF41:CF42"/>
    <mergeCell ref="CG41:CG42"/>
    <mergeCell ref="A42:D42"/>
    <mergeCell ref="E42:AI42"/>
    <mergeCell ref="AJ42:AT42"/>
    <mergeCell ref="AU42:BD42"/>
    <mergeCell ref="BE42:BO42"/>
    <mergeCell ref="A41:D41"/>
    <mergeCell ref="E41:AI41"/>
    <mergeCell ref="AJ41:AT41"/>
    <mergeCell ref="AU41:BD41"/>
    <mergeCell ref="A37:CB37"/>
    <mergeCell ref="A39:D39"/>
    <mergeCell ref="E39:AI39"/>
    <mergeCell ref="AJ39:AT39"/>
    <mergeCell ref="AU39:BD39"/>
    <mergeCell ref="BE39:BO39"/>
    <mergeCell ref="BP39:CB39"/>
    <mergeCell ref="A35:D35"/>
    <mergeCell ref="E35:AI35"/>
    <mergeCell ref="AJ35:AT35"/>
    <mergeCell ref="AU35:BD35"/>
    <mergeCell ref="BE35:BO35"/>
    <mergeCell ref="BP35:CB35"/>
    <mergeCell ref="A34:D34"/>
    <mergeCell ref="E34:AI34"/>
    <mergeCell ref="AJ34:AT34"/>
    <mergeCell ref="AU34:BD34"/>
    <mergeCell ref="BE34:BO34"/>
    <mergeCell ref="BP34:CB34"/>
    <mergeCell ref="A32:D32"/>
    <mergeCell ref="E32:AI32"/>
    <mergeCell ref="AJ32:AT32"/>
    <mergeCell ref="AU32:BD32"/>
    <mergeCell ref="BE32:BO32"/>
    <mergeCell ref="BP32:CB32"/>
    <mergeCell ref="E28:AI28"/>
    <mergeCell ref="AJ28:AT28"/>
    <mergeCell ref="AU28:BD28"/>
    <mergeCell ref="BE28:BO28"/>
    <mergeCell ref="BP28:CB28"/>
    <mergeCell ref="A27:D27"/>
    <mergeCell ref="E27:AI27"/>
    <mergeCell ref="AJ27:AT27"/>
    <mergeCell ref="AU27:BD27"/>
    <mergeCell ref="BE27:BO27"/>
    <mergeCell ref="BP27:CB27"/>
    <mergeCell ref="A26:D26"/>
    <mergeCell ref="E26:AI26"/>
    <mergeCell ref="AJ26:AT26"/>
    <mergeCell ref="AU26:BD26"/>
    <mergeCell ref="BE26:BO26"/>
    <mergeCell ref="BP26:CB26"/>
    <mergeCell ref="A25:D25"/>
    <mergeCell ref="E25:AI25"/>
    <mergeCell ref="AJ25:AT25"/>
    <mergeCell ref="AU25:BD25"/>
    <mergeCell ref="BE25:BO25"/>
    <mergeCell ref="BP25:CB25"/>
    <mergeCell ref="A22:D22"/>
    <mergeCell ref="E22:AI22"/>
    <mergeCell ref="AJ22:AT22"/>
    <mergeCell ref="AU22:BD22"/>
    <mergeCell ref="BE22:BO22"/>
    <mergeCell ref="BP22:CB22"/>
    <mergeCell ref="BP20:CB20"/>
    <mergeCell ref="A21:D21"/>
    <mergeCell ref="E21:AI21"/>
    <mergeCell ref="AJ21:AT21"/>
    <mergeCell ref="AU21:BD21"/>
    <mergeCell ref="BE21:BO21"/>
    <mergeCell ref="BP21:CB21"/>
    <mergeCell ref="CC19:CC20"/>
    <mergeCell ref="CD19:CD20"/>
    <mergeCell ref="CC17:CH17"/>
    <mergeCell ref="A18:D18"/>
    <mergeCell ref="E18:AI18"/>
    <mergeCell ref="AJ18:AT18"/>
    <mergeCell ref="AU18:BD18"/>
    <mergeCell ref="BE18:BO18"/>
    <mergeCell ref="BP18:CB18"/>
    <mergeCell ref="CC18:CD18"/>
    <mergeCell ref="CE18:CG18"/>
    <mergeCell ref="CH18:CH20"/>
    <mergeCell ref="CE19:CE20"/>
    <mergeCell ref="CF19:CF20"/>
    <mergeCell ref="CG19:CG20"/>
    <mergeCell ref="A20:D20"/>
    <mergeCell ref="E20:AI20"/>
    <mergeCell ref="AJ20:AT20"/>
    <mergeCell ref="AU20:BD20"/>
    <mergeCell ref="BE20:BO20"/>
    <mergeCell ref="A19:D19"/>
    <mergeCell ref="E19:AI19"/>
    <mergeCell ref="AJ19:AT19"/>
    <mergeCell ref="AU19:BD19"/>
    <mergeCell ref="BE19:BO19"/>
    <mergeCell ref="BP19:CB19"/>
    <mergeCell ref="A14:CB14"/>
    <mergeCell ref="A17:D17"/>
    <mergeCell ref="E17:AI17"/>
    <mergeCell ref="AJ17:AT17"/>
    <mergeCell ref="AU17:BD17"/>
    <mergeCell ref="BE17:BO17"/>
    <mergeCell ref="BP17:CB17"/>
    <mergeCell ref="A12:D12"/>
    <mergeCell ref="E12:AI12"/>
    <mergeCell ref="AJ12:AT12"/>
    <mergeCell ref="AU12:BD12"/>
    <mergeCell ref="BE12:BO12"/>
    <mergeCell ref="BP12:CB12"/>
    <mergeCell ref="A15:CB15"/>
    <mergeCell ref="A10:D10"/>
    <mergeCell ref="E10:AI10"/>
    <mergeCell ref="AJ10:AT10"/>
    <mergeCell ref="AU10:BD10"/>
    <mergeCell ref="BE10:BO10"/>
    <mergeCell ref="A11:D11"/>
    <mergeCell ref="E11:AI11"/>
    <mergeCell ref="AJ11:AT11"/>
    <mergeCell ref="AU11:BD11"/>
    <mergeCell ref="BE11:BO11"/>
    <mergeCell ref="BP11:CB11"/>
    <mergeCell ref="BP10:CB10"/>
    <mergeCell ref="A2:CB2"/>
    <mergeCell ref="A4:D4"/>
    <mergeCell ref="E4:AI4"/>
    <mergeCell ref="AJ4:AT4"/>
    <mergeCell ref="AU4:BD4"/>
    <mergeCell ref="BE4:BO4"/>
    <mergeCell ref="BP4:CB4"/>
    <mergeCell ref="A9:D9"/>
    <mergeCell ref="E9:AI9"/>
    <mergeCell ref="AJ9:AT9"/>
    <mergeCell ref="AU9:BD9"/>
    <mergeCell ref="BE9:BO9"/>
    <mergeCell ref="BP9:CB9"/>
    <mergeCell ref="BP7:CB7"/>
    <mergeCell ref="A8:D8"/>
    <mergeCell ref="E8:AI8"/>
    <mergeCell ref="AJ8:AT8"/>
    <mergeCell ref="AU8:BD8"/>
    <mergeCell ref="BE8:BO8"/>
    <mergeCell ref="BP8:CB8"/>
    <mergeCell ref="AJ7:AT7"/>
    <mergeCell ref="AU7:BD7"/>
    <mergeCell ref="BE7:BO7"/>
    <mergeCell ref="CC4:CH4"/>
    <mergeCell ref="A5:D5"/>
    <mergeCell ref="E5:AI5"/>
    <mergeCell ref="AJ5:AT5"/>
    <mergeCell ref="AU5:BD5"/>
    <mergeCell ref="BE5:BO5"/>
    <mergeCell ref="BP5:CB5"/>
    <mergeCell ref="CC5:CD5"/>
    <mergeCell ref="CE5:CG5"/>
    <mergeCell ref="CH5:CH7"/>
    <mergeCell ref="CC6:CC7"/>
    <mergeCell ref="CD6:CD7"/>
    <mergeCell ref="CE6:CE7"/>
    <mergeCell ref="CF6:CF7"/>
    <mergeCell ref="CG6:CG7"/>
    <mergeCell ref="A7:D7"/>
    <mergeCell ref="E7:AI7"/>
    <mergeCell ref="A6:D6"/>
    <mergeCell ref="E6:AI6"/>
    <mergeCell ref="AJ6:AT6"/>
    <mergeCell ref="AU6:BD6"/>
    <mergeCell ref="BE6:BO6"/>
    <mergeCell ref="BP6:CB6"/>
    <mergeCell ref="A48:D48"/>
    <mergeCell ref="E48:AI48"/>
    <mergeCell ref="AJ48:AT48"/>
    <mergeCell ref="AU48:BD48"/>
    <mergeCell ref="BE48:BO48"/>
    <mergeCell ref="BP48:CB48"/>
    <mergeCell ref="A49:D49"/>
    <mergeCell ref="E49:AI49"/>
    <mergeCell ref="AJ49:AT49"/>
    <mergeCell ref="AU49:BD49"/>
    <mergeCell ref="BE49:BO49"/>
    <mergeCell ref="BP49:CB49"/>
    <mergeCell ref="AU45:BD45"/>
    <mergeCell ref="BE45:BO45"/>
    <mergeCell ref="BP45:CB45"/>
    <mergeCell ref="E46:AI46"/>
    <mergeCell ref="A46:D46"/>
    <mergeCell ref="AJ46:AT46"/>
    <mergeCell ref="AU46:BD46"/>
    <mergeCell ref="BE46:BO46"/>
    <mergeCell ref="BP46:CB46"/>
  </mergeCells>
  <pageMargins left="0.25" right="0.25" top="0.75" bottom="0.75" header="0.3" footer="0.3"/>
  <pageSetup paperSize="9" scale="5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CN116"/>
  <sheetViews>
    <sheetView tabSelected="1" view="pageBreakPreview" topLeftCell="A41" zoomScale="76" zoomScaleNormal="85" zoomScaleSheetLayoutView="76" workbookViewId="0">
      <selection activeCell="E44" sqref="E44:AM44"/>
    </sheetView>
  </sheetViews>
  <sheetFormatPr defaultColWidth="1.140625" defaultRowHeight="12.75" x14ac:dyDescent="0.2"/>
  <cols>
    <col min="1" max="64" width="1.140625" style="8"/>
    <col min="65" max="65" width="2.7109375" style="8" customWidth="1"/>
    <col min="66" max="80" width="1.140625" style="8"/>
    <col min="81" max="81" width="16.5703125" style="8" customWidth="1"/>
    <col min="82" max="82" width="18" style="8" customWidth="1"/>
    <col min="83" max="83" width="11.7109375" style="8" customWidth="1"/>
    <col min="84" max="84" width="15.140625" style="8" customWidth="1"/>
    <col min="85" max="85" width="15.28515625" style="8" customWidth="1"/>
    <col min="86" max="86" width="23.5703125" style="8" customWidth="1"/>
    <col min="87" max="87" width="40" style="8" customWidth="1"/>
    <col min="88" max="88" width="20.140625" style="8" customWidth="1"/>
    <col min="89" max="16384" width="1.140625" style="8"/>
  </cols>
  <sheetData>
    <row r="1" spans="1:92" s="4" customFormat="1" ht="15.75" customHeight="1" x14ac:dyDescent="0.25">
      <c r="A1" s="1817" t="s">
        <v>138</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c r="AM1" s="1817"/>
      <c r="AN1" s="1817"/>
      <c r="AO1" s="1817"/>
      <c r="AP1" s="1817"/>
      <c r="AQ1" s="1817"/>
      <c r="AR1" s="1817"/>
      <c r="AS1" s="1817"/>
      <c r="AT1" s="1817"/>
      <c r="AU1" s="1817"/>
      <c r="AV1" s="1817"/>
      <c r="AW1" s="1817"/>
      <c r="AX1" s="1817"/>
      <c r="AY1" s="1817"/>
      <c r="AZ1" s="1817"/>
      <c r="BA1" s="1817"/>
      <c r="BB1" s="1817"/>
      <c r="BC1" s="1817"/>
      <c r="BD1" s="1817"/>
      <c r="BE1" s="1817"/>
      <c r="BF1" s="1817"/>
      <c r="BG1" s="1817"/>
      <c r="BH1" s="1817"/>
      <c r="BI1" s="1817"/>
      <c r="BJ1" s="1817"/>
      <c r="BK1" s="1817"/>
      <c r="BL1" s="1817"/>
      <c r="BM1" s="1817"/>
      <c r="BN1" s="1817"/>
      <c r="BO1" s="1817"/>
      <c r="BP1" s="1817"/>
      <c r="BQ1" s="1817"/>
      <c r="BR1" s="1817"/>
      <c r="BS1" s="1817"/>
      <c r="BT1" s="1817"/>
      <c r="BU1" s="1817"/>
      <c r="BV1" s="1817"/>
      <c r="BW1" s="1817"/>
      <c r="BX1" s="1817"/>
      <c r="BY1" s="1817"/>
      <c r="BZ1" s="1817"/>
      <c r="CA1" s="1817"/>
      <c r="CB1" s="1817"/>
    </row>
    <row r="2" spans="1:92" s="7" customFormat="1" ht="9.75"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row>
    <row r="3" spans="1:92" x14ac:dyDescent="0.2">
      <c r="A3" s="1818" t="s">
        <v>71</v>
      </c>
      <c r="B3" s="1819"/>
      <c r="C3" s="1819"/>
      <c r="D3" s="1820"/>
      <c r="E3" s="1819" t="s">
        <v>4</v>
      </c>
      <c r="F3" s="1819"/>
      <c r="G3" s="1819"/>
      <c r="H3" s="1819"/>
      <c r="I3" s="1819"/>
      <c r="J3" s="1819"/>
      <c r="K3" s="1819"/>
      <c r="L3" s="1819"/>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20"/>
      <c r="AN3" s="1781" t="s">
        <v>139</v>
      </c>
      <c r="AO3" s="1925"/>
      <c r="AP3" s="1925"/>
      <c r="AQ3" s="1925"/>
      <c r="AR3" s="1925"/>
      <c r="AS3" s="1925"/>
      <c r="AT3" s="1925"/>
      <c r="AU3" s="1925"/>
      <c r="AV3" s="1925"/>
      <c r="AW3" s="1925"/>
      <c r="AX3" s="1925"/>
      <c r="AY3" s="1925"/>
      <c r="AZ3" s="1925"/>
      <c r="BA3" s="1925"/>
      <c r="BB3" s="1925"/>
      <c r="BC3" s="1782"/>
      <c r="BD3" s="1781" t="s">
        <v>140</v>
      </c>
      <c r="BE3" s="1925"/>
      <c r="BF3" s="1925"/>
      <c r="BG3" s="1925"/>
      <c r="BH3" s="1925"/>
      <c r="BI3" s="1925"/>
      <c r="BJ3" s="1925"/>
      <c r="BK3" s="1925"/>
      <c r="BL3" s="1925"/>
      <c r="BM3" s="1782"/>
      <c r="BN3" s="1819" t="s">
        <v>105</v>
      </c>
      <c r="BO3" s="1819"/>
      <c r="BP3" s="1819"/>
      <c r="BQ3" s="1819"/>
      <c r="BR3" s="1819"/>
      <c r="BS3" s="1819"/>
      <c r="BT3" s="1819"/>
      <c r="BU3" s="1819"/>
      <c r="BV3" s="1819"/>
      <c r="BW3" s="1819"/>
      <c r="BX3" s="1819"/>
      <c r="BY3" s="1819"/>
      <c r="BZ3" s="1819"/>
      <c r="CA3" s="1819"/>
      <c r="CB3" s="1820"/>
      <c r="CC3" s="1799" t="s">
        <v>52</v>
      </c>
      <c r="CD3" s="1806"/>
      <c r="CE3" s="1806"/>
      <c r="CF3" s="1806"/>
      <c r="CG3" s="1806"/>
      <c r="CH3" s="1806"/>
    </row>
    <row r="4" spans="1:92" ht="12.75" customHeight="1" x14ac:dyDescent="0.2">
      <c r="A4" s="1807" t="s">
        <v>77</v>
      </c>
      <c r="B4" s="1808"/>
      <c r="C4" s="1808"/>
      <c r="D4" s="1809"/>
      <c r="E4" s="1808"/>
      <c r="F4" s="1808"/>
      <c r="G4" s="1808"/>
      <c r="H4" s="1808"/>
      <c r="I4" s="1808"/>
      <c r="J4" s="1808"/>
      <c r="K4" s="1808"/>
      <c r="L4" s="1808"/>
      <c r="M4" s="1808"/>
      <c r="N4" s="1808"/>
      <c r="O4" s="1808"/>
      <c r="P4" s="1808"/>
      <c r="Q4" s="1808"/>
      <c r="R4" s="1808"/>
      <c r="S4" s="1808"/>
      <c r="T4" s="1808"/>
      <c r="U4" s="1808"/>
      <c r="V4" s="1808"/>
      <c r="W4" s="1808"/>
      <c r="X4" s="1808"/>
      <c r="Y4" s="1808"/>
      <c r="Z4" s="1808"/>
      <c r="AA4" s="1808"/>
      <c r="AB4" s="1808"/>
      <c r="AC4" s="1808"/>
      <c r="AD4" s="1808"/>
      <c r="AE4" s="1808"/>
      <c r="AF4" s="1808"/>
      <c r="AG4" s="1808"/>
      <c r="AH4" s="1808"/>
      <c r="AI4" s="1808"/>
      <c r="AJ4" s="1808"/>
      <c r="AK4" s="1808"/>
      <c r="AL4" s="1808"/>
      <c r="AM4" s="1809"/>
      <c r="AN4" s="1783"/>
      <c r="AO4" s="1926"/>
      <c r="AP4" s="1926"/>
      <c r="AQ4" s="1926"/>
      <c r="AR4" s="1926"/>
      <c r="AS4" s="1926"/>
      <c r="AT4" s="1926"/>
      <c r="AU4" s="1926"/>
      <c r="AV4" s="1926"/>
      <c r="AW4" s="1926"/>
      <c r="AX4" s="1926"/>
      <c r="AY4" s="1926"/>
      <c r="AZ4" s="1926"/>
      <c r="BA4" s="1926"/>
      <c r="BB4" s="1926"/>
      <c r="BC4" s="1784"/>
      <c r="BD4" s="1783"/>
      <c r="BE4" s="1926"/>
      <c r="BF4" s="1926"/>
      <c r="BG4" s="1926"/>
      <c r="BH4" s="1926"/>
      <c r="BI4" s="1926"/>
      <c r="BJ4" s="1926"/>
      <c r="BK4" s="1926"/>
      <c r="BL4" s="1926"/>
      <c r="BM4" s="1784"/>
      <c r="BN4" s="1808" t="s">
        <v>141</v>
      </c>
      <c r="BO4" s="1808"/>
      <c r="BP4" s="1808"/>
      <c r="BQ4" s="1808"/>
      <c r="BR4" s="1808"/>
      <c r="BS4" s="1808"/>
      <c r="BT4" s="1808"/>
      <c r="BU4" s="1808"/>
      <c r="BV4" s="1808"/>
      <c r="BW4" s="1808"/>
      <c r="BX4" s="1808"/>
      <c r="BY4" s="1808"/>
      <c r="BZ4" s="1808"/>
      <c r="CA4" s="1808"/>
      <c r="CB4" s="1809"/>
      <c r="CC4" s="1789" t="s">
        <v>35</v>
      </c>
      <c r="CD4" s="1810"/>
      <c r="CE4" s="1788" t="s">
        <v>45</v>
      </c>
      <c r="CF4" s="1790"/>
      <c r="CG4" s="1789"/>
      <c r="CH4" s="1778" t="s">
        <v>46</v>
      </c>
    </row>
    <row r="5" spans="1:92" ht="59.25" customHeight="1" x14ac:dyDescent="0.2">
      <c r="A5" s="1807"/>
      <c r="B5" s="1808"/>
      <c r="C5" s="1808"/>
      <c r="D5" s="1809"/>
      <c r="E5" s="1808"/>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8"/>
      <c r="AJ5" s="1808"/>
      <c r="AK5" s="1808"/>
      <c r="AL5" s="1808"/>
      <c r="AM5" s="1809"/>
      <c r="AN5" s="1783"/>
      <c r="AO5" s="1926"/>
      <c r="AP5" s="1926"/>
      <c r="AQ5" s="1926"/>
      <c r="AR5" s="1926"/>
      <c r="AS5" s="1926"/>
      <c r="AT5" s="1926"/>
      <c r="AU5" s="1926"/>
      <c r="AV5" s="1926"/>
      <c r="AW5" s="1926"/>
      <c r="AX5" s="1926"/>
      <c r="AY5" s="1926"/>
      <c r="AZ5" s="1926"/>
      <c r="BA5" s="1926"/>
      <c r="BB5" s="1926"/>
      <c r="BC5" s="1784"/>
      <c r="BD5" s="1783"/>
      <c r="BE5" s="1926"/>
      <c r="BF5" s="1926"/>
      <c r="BG5" s="1926"/>
      <c r="BH5" s="1926"/>
      <c r="BI5" s="1926"/>
      <c r="BJ5" s="1926"/>
      <c r="BK5" s="1926"/>
      <c r="BL5" s="1926"/>
      <c r="BM5" s="1784"/>
      <c r="BN5" s="1808" t="s">
        <v>111</v>
      </c>
      <c r="BO5" s="1928"/>
      <c r="BP5" s="1928"/>
      <c r="BQ5" s="1928"/>
      <c r="BR5" s="1928"/>
      <c r="BS5" s="1928"/>
      <c r="BT5" s="1928"/>
      <c r="BU5" s="1928"/>
      <c r="BV5" s="1928"/>
      <c r="BW5" s="1928"/>
      <c r="BX5" s="1928"/>
      <c r="BY5" s="1928"/>
      <c r="BZ5" s="1928"/>
      <c r="CA5" s="1928"/>
      <c r="CB5" s="1929"/>
      <c r="CC5" s="1930" t="s">
        <v>43</v>
      </c>
      <c r="CD5" s="1811" t="s">
        <v>44</v>
      </c>
      <c r="CE5" s="1812" t="s">
        <v>55</v>
      </c>
      <c r="CF5" s="1811" t="s">
        <v>43</v>
      </c>
      <c r="CG5" s="1811" t="s">
        <v>44</v>
      </c>
      <c r="CH5" s="1779"/>
    </row>
    <row r="6" spans="1:92" ht="6.75" customHeight="1" x14ac:dyDescent="0.2">
      <c r="A6" s="1814"/>
      <c r="B6" s="1815"/>
      <c r="C6" s="1815"/>
      <c r="D6" s="1816"/>
      <c r="E6" s="1815"/>
      <c r="F6" s="1815"/>
      <c r="G6" s="1815"/>
      <c r="H6" s="1815"/>
      <c r="I6" s="1815"/>
      <c r="J6" s="1815"/>
      <c r="K6" s="1815"/>
      <c r="L6" s="1815"/>
      <c r="M6" s="1815"/>
      <c r="N6" s="1815"/>
      <c r="O6" s="1815"/>
      <c r="P6" s="1815"/>
      <c r="Q6" s="1815"/>
      <c r="R6" s="1815"/>
      <c r="S6" s="1815"/>
      <c r="T6" s="1815"/>
      <c r="U6" s="1815"/>
      <c r="V6" s="1815"/>
      <c r="W6" s="1815"/>
      <c r="X6" s="1815"/>
      <c r="Y6" s="1815"/>
      <c r="Z6" s="1815"/>
      <c r="AA6" s="1815"/>
      <c r="AB6" s="1815"/>
      <c r="AC6" s="1815"/>
      <c r="AD6" s="1815"/>
      <c r="AE6" s="1815"/>
      <c r="AF6" s="1815"/>
      <c r="AG6" s="1815"/>
      <c r="AH6" s="1815"/>
      <c r="AI6" s="1815"/>
      <c r="AJ6" s="1815"/>
      <c r="AK6" s="1815"/>
      <c r="AL6" s="1815"/>
      <c r="AM6" s="1816"/>
      <c r="AN6" s="1785"/>
      <c r="AO6" s="1927"/>
      <c r="AP6" s="1927"/>
      <c r="AQ6" s="1927"/>
      <c r="AR6" s="1927"/>
      <c r="AS6" s="1927"/>
      <c r="AT6" s="1927"/>
      <c r="AU6" s="1927"/>
      <c r="AV6" s="1927"/>
      <c r="AW6" s="1927"/>
      <c r="AX6" s="1927"/>
      <c r="AY6" s="1927"/>
      <c r="AZ6" s="1927"/>
      <c r="BA6" s="1927"/>
      <c r="BB6" s="1927"/>
      <c r="BC6" s="1786"/>
      <c r="BD6" s="1785"/>
      <c r="BE6" s="1927"/>
      <c r="BF6" s="1927"/>
      <c r="BG6" s="1927"/>
      <c r="BH6" s="1927"/>
      <c r="BI6" s="1927"/>
      <c r="BJ6" s="1927"/>
      <c r="BK6" s="1927"/>
      <c r="BL6" s="1927"/>
      <c r="BM6" s="1786"/>
      <c r="BN6" s="1815"/>
      <c r="BO6" s="1931"/>
      <c r="BP6" s="1931"/>
      <c r="BQ6" s="1931"/>
      <c r="BR6" s="1931"/>
      <c r="BS6" s="1931"/>
      <c r="BT6" s="1931"/>
      <c r="BU6" s="1931"/>
      <c r="BV6" s="1931"/>
      <c r="BW6" s="1931"/>
      <c r="BX6" s="1931"/>
      <c r="BY6" s="1931"/>
      <c r="BZ6" s="1931"/>
      <c r="CA6" s="1931"/>
      <c r="CB6" s="1932"/>
      <c r="CC6" s="1930"/>
      <c r="CD6" s="1811"/>
      <c r="CE6" s="1813"/>
      <c r="CF6" s="1811"/>
      <c r="CG6" s="1811"/>
      <c r="CH6" s="1780"/>
    </row>
    <row r="7" spans="1:92" x14ac:dyDescent="0.2">
      <c r="A7" s="1814">
        <v>1</v>
      </c>
      <c r="B7" s="1815"/>
      <c r="C7" s="1815"/>
      <c r="D7" s="1816"/>
      <c r="E7" s="1814">
        <v>2</v>
      </c>
      <c r="F7" s="1815"/>
      <c r="G7" s="1815"/>
      <c r="H7" s="1815"/>
      <c r="I7" s="1815"/>
      <c r="J7" s="1815"/>
      <c r="K7" s="1815"/>
      <c r="L7" s="1815"/>
      <c r="M7" s="1815"/>
      <c r="N7" s="1815"/>
      <c r="O7" s="1815"/>
      <c r="P7" s="1815"/>
      <c r="Q7" s="1815"/>
      <c r="R7" s="1815"/>
      <c r="S7" s="1815"/>
      <c r="T7" s="1815"/>
      <c r="U7" s="1815"/>
      <c r="V7" s="1815"/>
      <c r="W7" s="1815"/>
      <c r="X7" s="1815"/>
      <c r="Y7" s="1815"/>
      <c r="Z7" s="1815"/>
      <c r="AA7" s="1815"/>
      <c r="AB7" s="1815"/>
      <c r="AC7" s="1815"/>
      <c r="AD7" s="1815"/>
      <c r="AE7" s="1815"/>
      <c r="AF7" s="1815"/>
      <c r="AG7" s="1815"/>
      <c r="AH7" s="1815"/>
      <c r="AI7" s="1815"/>
      <c r="AJ7" s="1815"/>
      <c r="AK7" s="1815"/>
      <c r="AL7" s="1815"/>
      <c r="AM7" s="1816"/>
      <c r="AN7" s="1814">
        <v>3</v>
      </c>
      <c r="AO7" s="1815"/>
      <c r="AP7" s="1815"/>
      <c r="AQ7" s="1815"/>
      <c r="AR7" s="1815"/>
      <c r="AS7" s="1815"/>
      <c r="AT7" s="1815"/>
      <c r="AU7" s="1815"/>
      <c r="AV7" s="1815"/>
      <c r="AW7" s="1815"/>
      <c r="AX7" s="1815"/>
      <c r="AY7" s="1815"/>
      <c r="AZ7" s="1815"/>
      <c r="BA7" s="1815"/>
      <c r="BB7" s="1815"/>
      <c r="BC7" s="1816"/>
      <c r="BD7" s="1814">
        <v>4</v>
      </c>
      <c r="BE7" s="1815"/>
      <c r="BF7" s="1815"/>
      <c r="BG7" s="1815"/>
      <c r="BH7" s="1815"/>
      <c r="BI7" s="1815"/>
      <c r="BJ7" s="1815"/>
      <c r="BK7" s="1815"/>
      <c r="BL7" s="1815"/>
      <c r="BM7" s="1816"/>
      <c r="BN7" s="1830" t="s">
        <v>49</v>
      </c>
      <c r="BO7" s="1830"/>
      <c r="BP7" s="1830"/>
      <c r="BQ7" s="1830"/>
      <c r="BR7" s="1830"/>
      <c r="BS7" s="1830"/>
      <c r="BT7" s="1830"/>
      <c r="BU7" s="1830"/>
      <c r="BV7" s="1830"/>
      <c r="BW7" s="1830"/>
      <c r="BX7" s="1830"/>
      <c r="BY7" s="1830"/>
      <c r="BZ7" s="1830"/>
      <c r="CA7" s="1830"/>
      <c r="CB7" s="1830"/>
      <c r="CC7" s="249">
        <v>6</v>
      </c>
      <c r="CD7" s="249">
        <v>7</v>
      </c>
      <c r="CE7" s="250">
        <v>8</v>
      </c>
      <c r="CF7" s="249">
        <v>9</v>
      </c>
      <c r="CG7" s="249">
        <v>10</v>
      </c>
      <c r="CH7" s="252">
        <v>11</v>
      </c>
    </row>
    <row r="8" spans="1:92" ht="41.25" customHeight="1" x14ac:dyDescent="0.2">
      <c r="A8" s="1803">
        <v>1</v>
      </c>
      <c r="B8" s="1804"/>
      <c r="C8" s="1804"/>
      <c r="D8" s="1805"/>
      <c r="E8" s="1904" t="s">
        <v>1188</v>
      </c>
      <c r="F8" s="1905"/>
      <c r="G8" s="1905"/>
      <c r="H8" s="1905"/>
      <c r="I8" s="1905"/>
      <c r="J8" s="1905"/>
      <c r="K8" s="1905"/>
      <c r="L8" s="1905"/>
      <c r="M8" s="1905"/>
      <c r="N8" s="1905"/>
      <c r="O8" s="1905"/>
      <c r="P8" s="1905"/>
      <c r="Q8" s="1905"/>
      <c r="R8" s="1905"/>
      <c r="S8" s="1905"/>
      <c r="T8" s="1905"/>
      <c r="U8" s="1905"/>
      <c r="V8" s="1905"/>
      <c r="W8" s="1905"/>
      <c r="X8" s="1905"/>
      <c r="Y8" s="1905"/>
      <c r="Z8" s="1905"/>
      <c r="AA8" s="1905"/>
      <c r="AB8" s="1905"/>
      <c r="AC8" s="1905"/>
      <c r="AD8" s="1905"/>
      <c r="AE8" s="1905"/>
      <c r="AF8" s="1905"/>
      <c r="AG8" s="1905"/>
      <c r="AH8" s="1905"/>
      <c r="AI8" s="1905"/>
      <c r="AJ8" s="1905"/>
      <c r="AK8" s="1905"/>
      <c r="AL8" s="1905"/>
      <c r="AM8" s="1906"/>
      <c r="AN8" s="1914">
        <v>4200</v>
      </c>
      <c r="AO8" s="1915"/>
      <c r="AP8" s="1915"/>
      <c r="AQ8" s="1915"/>
      <c r="AR8" s="1915"/>
      <c r="AS8" s="1915"/>
      <c r="AT8" s="1915"/>
      <c r="AU8" s="1915"/>
      <c r="AV8" s="1915"/>
      <c r="AW8" s="1915"/>
      <c r="AX8" s="1915"/>
      <c r="AY8" s="1915"/>
      <c r="AZ8" s="1915"/>
      <c r="BA8" s="1915"/>
      <c r="BB8" s="1915"/>
      <c r="BC8" s="1916"/>
      <c r="BD8" s="1901">
        <v>12</v>
      </c>
      <c r="BE8" s="1902"/>
      <c r="BF8" s="1902"/>
      <c r="BG8" s="1902"/>
      <c r="BH8" s="1902"/>
      <c r="BI8" s="1902"/>
      <c r="BJ8" s="1902"/>
      <c r="BK8" s="1902"/>
      <c r="BL8" s="1902"/>
      <c r="BM8" s="1903"/>
      <c r="BN8" s="1791">
        <f>AN8*BD8</f>
        <v>50400</v>
      </c>
      <c r="BO8" s="1792"/>
      <c r="BP8" s="1792"/>
      <c r="BQ8" s="1792"/>
      <c r="BR8" s="1792"/>
      <c r="BS8" s="1792"/>
      <c r="BT8" s="1792"/>
      <c r="BU8" s="1792"/>
      <c r="BV8" s="1792"/>
      <c r="BW8" s="1792"/>
      <c r="BX8" s="1792"/>
      <c r="BY8" s="1792"/>
      <c r="BZ8" s="1792"/>
      <c r="CA8" s="1792"/>
      <c r="CB8" s="1793"/>
      <c r="CC8" s="17"/>
      <c r="CD8" s="1142">
        <f t="shared" ref="CD8:CD11" si="0">BN8</f>
        <v>50400</v>
      </c>
      <c r="CE8" s="50"/>
      <c r="CF8" s="17"/>
      <c r="CG8" s="17"/>
      <c r="CH8" s="17"/>
      <c r="CI8" s="52"/>
    </row>
    <row r="9" spans="1:92" ht="24" customHeight="1" x14ac:dyDescent="0.2">
      <c r="A9" s="1803">
        <v>2</v>
      </c>
      <c r="B9" s="1804"/>
      <c r="C9" s="1804"/>
      <c r="D9" s="1805"/>
      <c r="E9" s="1904" t="s">
        <v>1193</v>
      </c>
      <c r="F9" s="1905"/>
      <c r="G9" s="1905"/>
      <c r="H9" s="1905"/>
      <c r="I9" s="1905"/>
      <c r="J9" s="1905"/>
      <c r="K9" s="1905"/>
      <c r="L9" s="1905"/>
      <c r="M9" s="1905"/>
      <c r="N9" s="1905"/>
      <c r="O9" s="1905"/>
      <c r="P9" s="1905"/>
      <c r="Q9" s="1905"/>
      <c r="R9" s="1905"/>
      <c r="S9" s="1905"/>
      <c r="T9" s="1905"/>
      <c r="U9" s="1905"/>
      <c r="V9" s="1905"/>
      <c r="W9" s="1905"/>
      <c r="X9" s="1905"/>
      <c r="Y9" s="1905"/>
      <c r="Z9" s="1905"/>
      <c r="AA9" s="1905"/>
      <c r="AB9" s="1905"/>
      <c r="AC9" s="1905"/>
      <c r="AD9" s="1905"/>
      <c r="AE9" s="1905"/>
      <c r="AF9" s="1905"/>
      <c r="AG9" s="1905"/>
      <c r="AH9" s="1905"/>
      <c r="AI9" s="1905"/>
      <c r="AJ9" s="1905"/>
      <c r="AK9" s="1905"/>
      <c r="AL9" s="1905"/>
      <c r="AM9" s="1906"/>
      <c r="AN9" s="1914">
        <v>4153</v>
      </c>
      <c r="AO9" s="1915"/>
      <c r="AP9" s="1915"/>
      <c r="AQ9" s="1915"/>
      <c r="AR9" s="1915"/>
      <c r="AS9" s="1915"/>
      <c r="AT9" s="1915"/>
      <c r="AU9" s="1915"/>
      <c r="AV9" s="1915"/>
      <c r="AW9" s="1915"/>
      <c r="AX9" s="1915"/>
      <c r="AY9" s="1915"/>
      <c r="AZ9" s="1915"/>
      <c r="BA9" s="1915"/>
      <c r="BB9" s="1915"/>
      <c r="BC9" s="1916"/>
      <c r="BD9" s="1901">
        <v>12</v>
      </c>
      <c r="BE9" s="1902"/>
      <c r="BF9" s="1902"/>
      <c r="BG9" s="1902"/>
      <c r="BH9" s="1902"/>
      <c r="BI9" s="1902"/>
      <c r="BJ9" s="1902"/>
      <c r="BK9" s="1902"/>
      <c r="BL9" s="1902"/>
      <c r="BM9" s="1903"/>
      <c r="BN9" s="1791">
        <f>AN9*BD9</f>
        <v>49836</v>
      </c>
      <c r="BO9" s="1792"/>
      <c r="BP9" s="1792"/>
      <c r="BQ9" s="1792"/>
      <c r="BR9" s="1792"/>
      <c r="BS9" s="1792"/>
      <c r="BT9" s="1792"/>
      <c r="BU9" s="1792"/>
      <c r="BV9" s="1792"/>
      <c r="BW9" s="1792"/>
      <c r="BX9" s="1792"/>
      <c r="BY9" s="1792"/>
      <c r="BZ9" s="1792"/>
      <c r="CA9" s="1792"/>
      <c r="CB9" s="1793"/>
      <c r="CC9" s="17"/>
      <c r="CD9" s="253">
        <f t="shared" si="0"/>
        <v>49836</v>
      </c>
      <c r="CE9" s="50"/>
      <c r="CF9" s="17"/>
      <c r="CG9" s="17"/>
      <c r="CH9" s="17"/>
      <c r="CJ9" s="52">
        <f>CD33-CJ10</f>
        <v>58479.209999999963</v>
      </c>
    </row>
    <row r="10" spans="1:92" ht="24.75" customHeight="1" x14ac:dyDescent="0.2">
      <c r="A10" s="1803">
        <v>3</v>
      </c>
      <c r="B10" s="1804"/>
      <c r="C10" s="1804"/>
      <c r="D10" s="1805"/>
      <c r="E10" s="1904" t="s">
        <v>1192</v>
      </c>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6"/>
      <c r="AN10" s="1922">
        <f>BN10</f>
        <v>3859</v>
      </c>
      <c r="AO10" s="1923"/>
      <c r="AP10" s="1923"/>
      <c r="AQ10" s="1923"/>
      <c r="AR10" s="1923"/>
      <c r="AS10" s="1923"/>
      <c r="AT10" s="1923"/>
      <c r="AU10" s="1923"/>
      <c r="AV10" s="1923"/>
      <c r="AW10" s="1923"/>
      <c r="AX10" s="1923"/>
      <c r="AY10" s="1923"/>
      <c r="AZ10" s="1923"/>
      <c r="BA10" s="1923"/>
      <c r="BB10" s="1923"/>
      <c r="BC10" s="1924"/>
      <c r="BD10" s="1901">
        <v>1</v>
      </c>
      <c r="BE10" s="1902"/>
      <c r="BF10" s="1902"/>
      <c r="BG10" s="1902"/>
      <c r="BH10" s="1902"/>
      <c r="BI10" s="1902"/>
      <c r="BJ10" s="1902"/>
      <c r="BK10" s="1902"/>
      <c r="BL10" s="1902"/>
      <c r="BM10" s="1903"/>
      <c r="BN10" s="1791">
        <f>CD10</f>
        <v>3859</v>
      </c>
      <c r="BO10" s="1792"/>
      <c r="BP10" s="1792"/>
      <c r="BQ10" s="1792"/>
      <c r="BR10" s="1792"/>
      <c r="BS10" s="1792"/>
      <c r="BT10" s="1792"/>
      <c r="BU10" s="1792"/>
      <c r="BV10" s="1792"/>
      <c r="BW10" s="1792"/>
      <c r="BX10" s="1792"/>
      <c r="BY10" s="1792"/>
      <c r="BZ10" s="1792"/>
      <c r="CA10" s="1792"/>
      <c r="CB10" s="1793"/>
      <c r="CC10" s="15"/>
      <c r="CD10" s="253">
        <f>2844+1015</f>
        <v>3859</v>
      </c>
      <c r="CE10" s="1030"/>
      <c r="CF10" s="15"/>
      <c r="CG10" s="15"/>
      <c r="CH10" s="15"/>
      <c r="CI10" s="51"/>
      <c r="CJ10" s="52">
        <f>CD8+CD9+CE10+CD11+CD12+CD13+CE15+CD16+CE18+CD20+CE21+CD23+CD24+CD25+CD26+CD32+CD22</f>
        <v>287557.2</v>
      </c>
    </row>
    <row r="11" spans="1:92" ht="24" customHeight="1" x14ac:dyDescent="0.2">
      <c r="A11" s="1803">
        <v>4</v>
      </c>
      <c r="B11" s="1804"/>
      <c r="C11" s="1804"/>
      <c r="D11" s="1805"/>
      <c r="E11" s="1904" t="s">
        <v>1187</v>
      </c>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6"/>
      <c r="AN11" s="1914">
        <f>BN11/BD11</f>
        <v>1800</v>
      </c>
      <c r="AO11" s="1915"/>
      <c r="AP11" s="1915"/>
      <c r="AQ11" s="1915"/>
      <c r="AR11" s="1915"/>
      <c r="AS11" s="1915"/>
      <c r="AT11" s="1915"/>
      <c r="AU11" s="1915"/>
      <c r="AV11" s="1915"/>
      <c r="AW11" s="1915"/>
      <c r="AX11" s="1915"/>
      <c r="AY11" s="1915"/>
      <c r="AZ11" s="1915"/>
      <c r="BA11" s="1915"/>
      <c r="BB11" s="1915"/>
      <c r="BC11" s="1916"/>
      <c r="BD11" s="1901">
        <v>12</v>
      </c>
      <c r="BE11" s="1902"/>
      <c r="BF11" s="1902"/>
      <c r="BG11" s="1902"/>
      <c r="BH11" s="1902"/>
      <c r="BI11" s="1902"/>
      <c r="BJ11" s="1902"/>
      <c r="BK11" s="1902"/>
      <c r="BL11" s="1902"/>
      <c r="BM11" s="1903"/>
      <c r="BN11" s="1791">
        <v>21600</v>
      </c>
      <c r="BO11" s="1792"/>
      <c r="BP11" s="1792"/>
      <c r="BQ11" s="1792"/>
      <c r="BR11" s="1792"/>
      <c r="BS11" s="1792"/>
      <c r="BT11" s="1792"/>
      <c r="BU11" s="1792"/>
      <c r="BV11" s="1792"/>
      <c r="BW11" s="1792"/>
      <c r="BX11" s="1792"/>
      <c r="BY11" s="1792"/>
      <c r="BZ11" s="1792"/>
      <c r="CA11" s="1792"/>
      <c r="CB11" s="1793"/>
      <c r="CC11" s="17"/>
      <c r="CD11" s="253">
        <f t="shared" si="0"/>
        <v>21600</v>
      </c>
      <c r="CE11" s="50"/>
      <c r="CF11" s="17"/>
      <c r="CG11" s="17"/>
      <c r="CH11" s="17"/>
    </row>
    <row r="12" spans="1:92" ht="31.5" customHeight="1" x14ac:dyDescent="0.2">
      <c r="A12" s="1803">
        <v>5</v>
      </c>
      <c r="B12" s="1804"/>
      <c r="C12" s="1804"/>
      <c r="D12" s="1805"/>
      <c r="E12" s="1904" t="s">
        <v>1203</v>
      </c>
      <c r="F12" s="1905"/>
      <c r="G12" s="1905"/>
      <c r="H12" s="1905"/>
      <c r="I12" s="1905"/>
      <c r="J12" s="1905"/>
      <c r="K12" s="1905"/>
      <c r="L12" s="1905"/>
      <c r="M12" s="1905"/>
      <c r="N12" s="1905"/>
      <c r="O12" s="1905"/>
      <c r="P12" s="1905"/>
      <c r="Q12" s="1905"/>
      <c r="R12" s="1905"/>
      <c r="S12" s="1905"/>
      <c r="T12" s="1905"/>
      <c r="U12" s="1905"/>
      <c r="V12" s="1905"/>
      <c r="W12" s="1905"/>
      <c r="X12" s="1905"/>
      <c r="Y12" s="1905"/>
      <c r="Z12" s="1905"/>
      <c r="AA12" s="1905"/>
      <c r="AB12" s="1905"/>
      <c r="AC12" s="1905"/>
      <c r="AD12" s="1905"/>
      <c r="AE12" s="1905"/>
      <c r="AF12" s="1905"/>
      <c r="AG12" s="1905"/>
      <c r="AH12" s="1905"/>
      <c r="AI12" s="1905"/>
      <c r="AJ12" s="1905"/>
      <c r="AK12" s="1905"/>
      <c r="AL12" s="1905"/>
      <c r="AM12" s="1906"/>
      <c r="AN12" s="1914">
        <f>CD12</f>
        <v>16551.099999999999</v>
      </c>
      <c r="AO12" s="1915"/>
      <c r="AP12" s="1915"/>
      <c r="AQ12" s="1915"/>
      <c r="AR12" s="1915"/>
      <c r="AS12" s="1915"/>
      <c r="AT12" s="1915"/>
      <c r="AU12" s="1915"/>
      <c r="AV12" s="1915"/>
      <c r="AW12" s="1915"/>
      <c r="AX12" s="1915"/>
      <c r="AY12" s="1915"/>
      <c r="AZ12" s="1915"/>
      <c r="BA12" s="1915"/>
      <c r="BB12" s="1915"/>
      <c r="BC12" s="1916"/>
      <c r="BD12" s="1901">
        <v>1</v>
      </c>
      <c r="BE12" s="1902"/>
      <c r="BF12" s="1902"/>
      <c r="BG12" s="1902"/>
      <c r="BH12" s="1902"/>
      <c r="BI12" s="1902"/>
      <c r="BJ12" s="1902"/>
      <c r="BK12" s="1902"/>
      <c r="BL12" s="1902"/>
      <c r="BM12" s="1903"/>
      <c r="BN12" s="1791">
        <f>AN12</f>
        <v>16551.099999999999</v>
      </c>
      <c r="BO12" s="1792"/>
      <c r="BP12" s="1792"/>
      <c r="BQ12" s="1792"/>
      <c r="BR12" s="1792"/>
      <c r="BS12" s="1792"/>
      <c r="BT12" s="1792"/>
      <c r="BU12" s="1792"/>
      <c r="BV12" s="1792"/>
      <c r="BW12" s="1792"/>
      <c r="BX12" s="1792"/>
      <c r="BY12" s="1792"/>
      <c r="BZ12" s="1792"/>
      <c r="CA12" s="1792"/>
      <c r="CB12" s="1793"/>
      <c r="CC12" s="17"/>
      <c r="CD12" s="253">
        <v>16551.099999999999</v>
      </c>
      <c r="CE12" s="50"/>
      <c r="CF12" s="17"/>
      <c r="CG12" s="17"/>
      <c r="CH12" s="17"/>
    </row>
    <row r="13" spans="1:92" ht="19.5" customHeight="1" x14ac:dyDescent="0.2">
      <c r="A13" s="1803">
        <v>6</v>
      </c>
      <c r="B13" s="1804"/>
      <c r="C13" s="1804"/>
      <c r="D13" s="1805"/>
      <c r="E13" s="1904" t="s">
        <v>583</v>
      </c>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906"/>
      <c r="AN13" s="1922">
        <f>CD13</f>
        <v>8330</v>
      </c>
      <c r="AO13" s="1923"/>
      <c r="AP13" s="1923"/>
      <c r="AQ13" s="1923"/>
      <c r="AR13" s="1923"/>
      <c r="AS13" s="1923"/>
      <c r="AT13" s="1923"/>
      <c r="AU13" s="1923"/>
      <c r="AV13" s="1923"/>
      <c r="AW13" s="1923"/>
      <c r="AX13" s="1923"/>
      <c r="AY13" s="1923"/>
      <c r="AZ13" s="1923"/>
      <c r="BA13" s="1923"/>
      <c r="BB13" s="1923"/>
      <c r="BC13" s="1924"/>
      <c r="BD13" s="1901">
        <v>1</v>
      </c>
      <c r="BE13" s="1902"/>
      <c r="BF13" s="1902"/>
      <c r="BG13" s="1902"/>
      <c r="BH13" s="1902"/>
      <c r="BI13" s="1902"/>
      <c r="BJ13" s="1902"/>
      <c r="BK13" s="1902"/>
      <c r="BL13" s="1902"/>
      <c r="BM13" s="1903"/>
      <c r="BN13" s="1852">
        <f>AN13*BD13</f>
        <v>8330</v>
      </c>
      <c r="BO13" s="1853"/>
      <c r="BP13" s="1853"/>
      <c r="BQ13" s="1853"/>
      <c r="BR13" s="1853"/>
      <c r="BS13" s="1853"/>
      <c r="BT13" s="1853"/>
      <c r="BU13" s="1853"/>
      <c r="BV13" s="1853"/>
      <c r="BW13" s="1853"/>
      <c r="BX13" s="1853"/>
      <c r="BY13" s="1853"/>
      <c r="BZ13" s="1853"/>
      <c r="CA13" s="1853"/>
      <c r="CB13" s="1854"/>
      <c r="CC13" s="17"/>
      <c r="CD13" s="253">
        <v>8330</v>
      </c>
      <c r="CE13" s="50"/>
      <c r="CF13" s="17"/>
      <c r="CG13" s="17"/>
      <c r="CH13" s="17"/>
    </row>
    <row r="14" spans="1:92" ht="19.5" customHeight="1" x14ac:dyDescent="0.2">
      <c r="A14" s="1803">
        <v>7</v>
      </c>
      <c r="B14" s="1804"/>
      <c r="C14" s="1804"/>
      <c r="D14" s="1805"/>
      <c r="E14" s="1904" t="s">
        <v>142</v>
      </c>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6"/>
      <c r="AN14" s="1914">
        <f>CD14</f>
        <v>5910.21</v>
      </c>
      <c r="AO14" s="1915"/>
      <c r="AP14" s="1915"/>
      <c r="AQ14" s="1915"/>
      <c r="AR14" s="1915"/>
      <c r="AS14" s="1915"/>
      <c r="AT14" s="1915"/>
      <c r="AU14" s="1915"/>
      <c r="AV14" s="1915"/>
      <c r="AW14" s="1915"/>
      <c r="AX14" s="1915"/>
      <c r="AY14" s="1915"/>
      <c r="AZ14" s="1915"/>
      <c r="BA14" s="1915"/>
      <c r="BB14" s="1915"/>
      <c r="BC14" s="1916"/>
      <c r="BD14" s="1901">
        <v>1</v>
      </c>
      <c r="BE14" s="1902"/>
      <c r="BF14" s="1902"/>
      <c r="BG14" s="1902"/>
      <c r="BH14" s="1902"/>
      <c r="BI14" s="1902"/>
      <c r="BJ14" s="1902"/>
      <c r="BK14" s="1902"/>
      <c r="BL14" s="1902"/>
      <c r="BM14" s="1903"/>
      <c r="BN14" s="1791">
        <f>AN14*BD14</f>
        <v>5910.21</v>
      </c>
      <c r="BO14" s="1792"/>
      <c r="BP14" s="1792"/>
      <c r="BQ14" s="1792"/>
      <c r="BR14" s="1792"/>
      <c r="BS14" s="1792"/>
      <c r="BT14" s="1792"/>
      <c r="BU14" s="1792"/>
      <c r="BV14" s="1792"/>
      <c r="BW14" s="1792"/>
      <c r="BX14" s="1792"/>
      <c r="BY14" s="1792"/>
      <c r="BZ14" s="1792"/>
      <c r="CA14" s="1792"/>
      <c r="CB14" s="1793"/>
      <c r="CC14" s="17"/>
      <c r="CD14" s="253">
        <f>4000+1910.2+0.01</f>
        <v>5910.21</v>
      </c>
      <c r="CE14" s="17"/>
      <c r="CF14" s="17"/>
      <c r="CG14" s="17"/>
      <c r="CH14" s="17"/>
      <c r="CI14" s="51" t="s">
        <v>1641</v>
      </c>
    </row>
    <row r="15" spans="1:92" ht="19.5" customHeight="1" x14ac:dyDescent="0.2">
      <c r="A15" s="1803">
        <v>8</v>
      </c>
      <c r="B15" s="1804"/>
      <c r="C15" s="1804"/>
      <c r="D15" s="1805"/>
      <c r="E15" s="1904" t="s">
        <v>1204</v>
      </c>
      <c r="F15" s="1905"/>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5"/>
      <c r="AJ15" s="1905"/>
      <c r="AK15" s="1905"/>
      <c r="AL15" s="1905"/>
      <c r="AM15" s="1906"/>
      <c r="AN15" s="1914">
        <f>CD15</f>
        <v>2160</v>
      </c>
      <c r="AO15" s="1915"/>
      <c r="AP15" s="1915"/>
      <c r="AQ15" s="1915"/>
      <c r="AR15" s="1915"/>
      <c r="AS15" s="1915"/>
      <c r="AT15" s="1915"/>
      <c r="AU15" s="1915"/>
      <c r="AV15" s="1915"/>
      <c r="AW15" s="1915"/>
      <c r="AX15" s="1915"/>
      <c r="AY15" s="1915"/>
      <c r="AZ15" s="1915"/>
      <c r="BA15" s="1915"/>
      <c r="BB15" s="1915"/>
      <c r="BC15" s="1916"/>
      <c r="BD15" s="1901">
        <v>1</v>
      </c>
      <c r="BE15" s="1902"/>
      <c r="BF15" s="1902"/>
      <c r="BG15" s="1902"/>
      <c r="BH15" s="1902"/>
      <c r="BI15" s="1902"/>
      <c r="BJ15" s="1902"/>
      <c r="BK15" s="1902"/>
      <c r="BL15" s="1902"/>
      <c r="BM15" s="1903"/>
      <c r="BN15" s="1791">
        <f>AN15*BD15</f>
        <v>2160</v>
      </c>
      <c r="BO15" s="1792"/>
      <c r="BP15" s="1792"/>
      <c r="BQ15" s="1792"/>
      <c r="BR15" s="1792"/>
      <c r="BS15" s="1792"/>
      <c r="BT15" s="1792"/>
      <c r="BU15" s="1792"/>
      <c r="BV15" s="1792"/>
      <c r="BW15" s="1792"/>
      <c r="BX15" s="1792"/>
      <c r="BY15" s="1792"/>
      <c r="BZ15" s="1792"/>
      <c r="CA15" s="1792"/>
      <c r="CB15" s="1793"/>
      <c r="CC15" s="17"/>
      <c r="CD15" s="253">
        <f>20000-1503.96-11553.7-4782.33-0.01</f>
        <v>2160</v>
      </c>
      <c r="CE15" s="50"/>
      <c r="CF15" s="17"/>
      <c r="CG15" s="17"/>
      <c r="CH15" s="17"/>
      <c r="CI15" s="51" t="s">
        <v>1673</v>
      </c>
      <c r="CJ15" s="1068"/>
      <c r="CK15" s="1068"/>
      <c r="CL15" s="1068"/>
      <c r="CM15" s="1068"/>
      <c r="CN15" s="1068"/>
    </row>
    <row r="16" spans="1:92" ht="17.25" customHeight="1" x14ac:dyDescent="0.2">
      <c r="A16" s="1803">
        <v>9</v>
      </c>
      <c r="B16" s="1804"/>
      <c r="C16" s="1804"/>
      <c r="D16" s="1805"/>
      <c r="E16" s="1904" t="s">
        <v>143</v>
      </c>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5"/>
      <c r="AK16" s="1905"/>
      <c r="AL16" s="1905"/>
      <c r="AM16" s="1906"/>
      <c r="AN16" s="1914">
        <f>12000+104.58</f>
        <v>12104.58</v>
      </c>
      <c r="AO16" s="1915"/>
      <c r="AP16" s="1915"/>
      <c r="AQ16" s="1915"/>
      <c r="AR16" s="1915"/>
      <c r="AS16" s="1915"/>
      <c r="AT16" s="1915"/>
      <c r="AU16" s="1915"/>
      <c r="AV16" s="1915"/>
      <c r="AW16" s="1915"/>
      <c r="AX16" s="1915"/>
      <c r="AY16" s="1915"/>
      <c r="AZ16" s="1915"/>
      <c r="BA16" s="1915"/>
      <c r="BB16" s="1915"/>
      <c r="BC16" s="1916"/>
      <c r="BD16" s="1901">
        <v>1</v>
      </c>
      <c r="BE16" s="1902"/>
      <c r="BF16" s="1902"/>
      <c r="BG16" s="1902"/>
      <c r="BH16" s="1902"/>
      <c r="BI16" s="1902"/>
      <c r="BJ16" s="1902"/>
      <c r="BK16" s="1902"/>
      <c r="BL16" s="1902"/>
      <c r="BM16" s="1903"/>
      <c r="BN16" s="1791">
        <f>AN16</f>
        <v>12104.58</v>
      </c>
      <c r="BO16" s="1792"/>
      <c r="BP16" s="1792"/>
      <c r="BQ16" s="1792"/>
      <c r="BR16" s="1792"/>
      <c r="BS16" s="1792"/>
      <c r="BT16" s="1792"/>
      <c r="BU16" s="1792"/>
      <c r="BV16" s="1792"/>
      <c r="BW16" s="1792"/>
      <c r="BX16" s="1792"/>
      <c r="BY16" s="1792"/>
      <c r="BZ16" s="1792"/>
      <c r="CA16" s="1792"/>
      <c r="CB16" s="1793"/>
      <c r="CC16" s="17"/>
      <c r="CD16" s="253">
        <f>BN16</f>
        <v>12104.58</v>
      </c>
      <c r="CE16" s="986"/>
      <c r="CF16" s="17"/>
      <c r="CG16" s="17"/>
      <c r="CH16" s="17"/>
      <c r="CI16" s="51"/>
    </row>
    <row r="17" spans="1:87" ht="17.25" customHeight="1" x14ac:dyDescent="0.2">
      <c r="A17" s="1803">
        <v>10</v>
      </c>
      <c r="B17" s="1804"/>
      <c r="C17" s="1804"/>
      <c r="D17" s="1805"/>
      <c r="E17" s="1904" t="s">
        <v>645</v>
      </c>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6"/>
      <c r="AN17" s="1914">
        <v>0</v>
      </c>
      <c r="AO17" s="1915"/>
      <c r="AP17" s="1915"/>
      <c r="AQ17" s="1915"/>
      <c r="AR17" s="1915"/>
      <c r="AS17" s="1915"/>
      <c r="AT17" s="1915"/>
      <c r="AU17" s="1915"/>
      <c r="AV17" s="1915"/>
      <c r="AW17" s="1915"/>
      <c r="AX17" s="1915"/>
      <c r="AY17" s="1915"/>
      <c r="AZ17" s="1915"/>
      <c r="BA17" s="1915"/>
      <c r="BB17" s="1915"/>
      <c r="BC17" s="1916"/>
      <c r="BD17" s="1901">
        <v>4</v>
      </c>
      <c r="BE17" s="1902"/>
      <c r="BF17" s="1902"/>
      <c r="BG17" s="1902"/>
      <c r="BH17" s="1902"/>
      <c r="BI17" s="1902"/>
      <c r="BJ17" s="1902"/>
      <c r="BK17" s="1902"/>
      <c r="BL17" s="1902"/>
      <c r="BM17" s="1903"/>
      <c r="BN17" s="1791">
        <f>CC17+CD17</f>
        <v>0</v>
      </c>
      <c r="BO17" s="1792"/>
      <c r="BP17" s="1792"/>
      <c r="BQ17" s="1792"/>
      <c r="BR17" s="1792"/>
      <c r="BS17" s="1792"/>
      <c r="BT17" s="1792"/>
      <c r="BU17" s="1792"/>
      <c r="BV17" s="1792"/>
      <c r="BW17" s="1792"/>
      <c r="BX17" s="1792"/>
      <c r="BY17" s="1792"/>
      <c r="BZ17" s="1792"/>
      <c r="CA17" s="1792"/>
      <c r="CB17" s="1793"/>
      <c r="CC17" s="812"/>
      <c r="CD17" s="253">
        <v>0</v>
      </c>
      <c r="CE17" s="986"/>
      <c r="CF17" s="17"/>
      <c r="CG17" s="17"/>
      <c r="CH17" s="17"/>
      <c r="CI17" s="51"/>
    </row>
    <row r="18" spans="1:87" ht="32.450000000000003" customHeight="1" x14ac:dyDescent="0.2">
      <c r="A18" s="1803">
        <v>11</v>
      </c>
      <c r="B18" s="1804"/>
      <c r="C18" s="1804"/>
      <c r="D18" s="1805"/>
      <c r="E18" s="1904" t="s">
        <v>646</v>
      </c>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6"/>
      <c r="AN18" s="1914">
        <f>CD18</f>
        <v>44200</v>
      </c>
      <c r="AO18" s="1915"/>
      <c r="AP18" s="1915"/>
      <c r="AQ18" s="1915"/>
      <c r="AR18" s="1915"/>
      <c r="AS18" s="1915"/>
      <c r="AT18" s="1915"/>
      <c r="AU18" s="1915"/>
      <c r="AV18" s="1915"/>
      <c r="AW18" s="1915"/>
      <c r="AX18" s="1915"/>
      <c r="AY18" s="1915"/>
      <c r="AZ18" s="1915"/>
      <c r="BA18" s="1915"/>
      <c r="BB18" s="1915"/>
      <c r="BC18" s="1916"/>
      <c r="BD18" s="1901">
        <v>1</v>
      </c>
      <c r="BE18" s="1902"/>
      <c r="BF18" s="1902"/>
      <c r="BG18" s="1902"/>
      <c r="BH18" s="1902"/>
      <c r="BI18" s="1902"/>
      <c r="BJ18" s="1902"/>
      <c r="BK18" s="1902"/>
      <c r="BL18" s="1902"/>
      <c r="BM18" s="1903"/>
      <c r="BN18" s="1791">
        <f>AN18</f>
        <v>44200</v>
      </c>
      <c r="BO18" s="1792"/>
      <c r="BP18" s="1792"/>
      <c r="BQ18" s="1792"/>
      <c r="BR18" s="1792"/>
      <c r="BS18" s="1792"/>
      <c r="BT18" s="1792"/>
      <c r="BU18" s="1792"/>
      <c r="BV18" s="1792"/>
      <c r="BW18" s="1792"/>
      <c r="BX18" s="1792"/>
      <c r="BY18" s="1792"/>
      <c r="BZ18" s="1792"/>
      <c r="CA18" s="1792"/>
      <c r="CB18" s="1793"/>
      <c r="CC18" s="50"/>
      <c r="CD18" s="253">
        <f>20000+10000+13233.22+966.78</f>
        <v>44200</v>
      </c>
      <c r="CE18" s="1032"/>
      <c r="CF18" s="50"/>
      <c r="CG18" s="50"/>
      <c r="CH18" s="50"/>
      <c r="CI18" s="51"/>
    </row>
    <row r="19" spans="1:87" ht="24.75" customHeight="1" x14ac:dyDescent="0.2">
      <c r="A19" s="1803">
        <v>12</v>
      </c>
      <c r="B19" s="1804"/>
      <c r="C19" s="1804"/>
      <c r="D19" s="1805"/>
      <c r="E19" s="1904" t="s">
        <v>146</v>
      </c>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6"/>
      <c r="AN19" s="1914">
        <f>CD19</f>
        <v>0</v>
      </c>
      <c r="AO19" s="1915"/>
      <c r="AP19" s="1915"/>
      <c r="AQ19" s="1915"/>
      <c r="AR19" s="1915"/>
      <c r="AS19" s="1915"/>
      <c r="AT19" s="1915"/>
      <c r="AU19" s="1915"/>
      <c r="AV19" s="1915"/>
      <c r="AW19" s="1915"/>
      <c r="AX19" s="1915"/>
      <c r="AY19" s="1915"/>
      <c r="AZ19" s="1915"/>
      <c r="BA19" s="1915"/>
      <c r="BB19" s="1915"/>
      <c r="BC19" s="1916"/>
      <c r="BD19" s="1901">
        <v>1</v>
      </c>
      <c r="BE19" s="1902"/>
      <c r="BF19" s="1902"/>
      <c r="BG19" s="1902"/>
      <c r="BH19" s="1902"/>
      <c r="BI19" s="1902"/>
      <c r="BJ19" s="1902"/>
      <c r="BK19" s="1902"/>
      <c r="BL19" s="1902"/>
      <c r="BM19" s="1903"/>
      <c r="BN19" s="1791">
        <f>AN19*BD19</f>
        <v>0</v>
      </c>
      <c r="BO19" s="1792"/>
      <c r="BP19" s="1792"/>
      <c r="BQ19" s="1792"/>
      <c r="BR19" s="1792"/>
      <c r="BS19" s="1792"/>
      <c r="BT19" s="1792"/>
      <c r="BU19" s="1792"/>
      <c r="BV19" s="1792"/>
      <c r="BW19" s="1792"/>
      <c r="BX19" s="1792"/>
      <c r="BY19" s="1792"/>
      <c r="BZ19" s="1792"/>
      <c r="CA19" s="1792"/>
      <c r="CB19" s="1793"/>
      <c r="CC19" s="17"/>
      <c r="CD19" s="253">
        <f>20000-5931.72-5158.08-7000-1910.2</f>
        <v>0</v>
      </c>
      <c r="CE19" s="17"/>
      <c r="CF19" s="17"/>
      <c r="CG19" s="17"/>
      <c r="CH19" s="17"/>
      <c r="CI19" s="51" t="s">
        <v>1639</v>
      </c>
    </row>
    <row r="20" spans="1:87" ht="27" customHeight="1" x14ac:dyDescent="0.2">
      <c r="A20" s="1803">
        <v>13</v>
      </c>
      <c r="B20" s="1804"/>
      <c r="C20" s="1804"/>
      <c r="D20" s="1805"/>
      <c r="E20" s="1904" t="s">
        <v>148</v>
      </c>
      <c r="F20" s="1917"/>
      <c r="G20" s="1917"/>
      <c r="H20" s="1917"/>
      <c r="I20" s="1917"/>
      <c r="J20" s="1917"/>
      <c r="K20" s="1917"/>
      <c r="L20" s="1917"/>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c r="AL20" s="1917"/>
      <c r="AM20" s="1918"/>
      <c r="AN20" s="1914">
        <v>6000</v>
      </c>
      <c r="AO20" s="1915"/>
      <c r="AP20" s="1915"/>
      <c r="AQ20" s="1915"/>
      <c r="AR20" s="1915"/>
      <c r="AS20" s="1915"/>
      <c r="AT20" s="1915"/>
      <c r="AU20" s="1915"/>
      <c r="AV20" s="1915"/>
      <c r="AW20" s="1915"/>
      <c r="AX20" s="1915"/>
      <c r="AY20" s="1915"/>
      <c r="AZ20" s="1915"/>
      <c r="BA20" s="1915"/>
      <c r="BB20" s="1915"/>
      <c r="BC20" s="1916"/>
      <c r="BD20" s="1901">
        <v>2</v>
      </c>
      <c r="BE20" s="1902"/>
      <c r="BF20" s="1902"/>
      <c r="BG20" s="1902"/>
      <c r="BH20" s="1902"/>
      <c r="BI20" s="1902"/>
      <c r="BJ20" s="1902"/>
      <c r="BK20" s="1902"/>
      <c r="BL20" s="1902"/>
      <c r="BM20" s="1903"/>
      <c r="BN20" s="1791">
        <v>12000</v>
      </c>
      <c r="BO20" s="1792"/>
      <c r="BP20" s="1792"/>
      <c r="BQ20" s="1792"/>
      <c r="BR20" s="1792"/>
      <c r="BS20" s="1792"/>
      <c r="BT20" s="1792"/>
      <c r="BU20" s="1792"/>
      <c r="BV20" s="1792"/>
      <c r="BW20" s="1792"/>
      <c r="BX20" s="1792"/>
      <c r="BY20" s="1792"/>
      <c r="BZ20" s="1792"/>
      <c r="CA20" s="1792"/>
      <c r="CB20" s="1793"/>
      <c r="CC20" s="17"/>
      <c r="CD20" s="253">
        <v>12000</v>
      </c>
      <c r="CE20" s="50"/>
      <c r="CF20" s="17"/>
      <c r="CG20" s="985"/>
      <c r="CH20" s="17"/>
      <c r="CI20" s="51"/>
    </row>
    <row r="21" spans="1:87" ht="31.5" customHeight="1" x14ac:dyDescent="0.4">
      <c r="A21" s="1803">
        <v>14</v>
      </c>
      <c r="B21" s="1804"/>
      <c r="C21" s="1804"/>
      <c r="D21" s="1805"/>
      <c r="E21" s="1904" t="s">
        <v>149</v>
      </c>
      <c r="F21" s="1905"/>
      <c r="G21" s="1905"/>
      <c r="H21" s="1905"/>
      <c r="I21" s="1905"/>
      <c r="J21" s="1905"/>
      <c r="K21" s="1905"/>
      <c r="L21" s="1905"/>
      <c r="M21" s="1905"/>
      <c r="N21" s="1905"/>
      <c r="O21" s="1905"/>
      <c r="P21" s="1905"/>
      <c r="Q21" s="1905"/>
      <c r="R21" s="1905"/>
      <c r="S21" s="1905"/>
      <c r="T21" s="1905"/>
      <c r="U21" s="1905"/>
      <c r="V21" s="1905"/>
      <c r="W21" s="1905"/>
      <c r="X21" s="1905"/>
      <c r="Y21" s="1905"/>
      <c r="Z21" s="1905"/>
      <c r="AA21" s="1905"/>
      <c r="AB21" s="1905"/>
      <c r="AC21" s="1905"/>
      <c r="AD21" s="1905"/>
      <c r="AE21" s="1905"/>
      <c r="AF21" s="1905"/>
      <c r="AG21" s="1905"/>
      <c r="AH21" s="1905"/>
      <c r="AI21" s="1905"/>
      <c r="AJ21" s="1905"/>
      <c r="AK21" s="1905"/>
      <c r="AL21" s="1905"/>
      <c r="AM21" s="1906"/>
      <c r="AN21" s="1914">
        <f>BN21/BD21</f>
        <v>1175</v>
      </c>
      <c r="AO21" s="1915"/>
      <c r="AP21" s="1915"/>
      <c r="AQ21" s="1915"/>
      <c r="AR21" s="1915"/>
      <c r="AS21" s="1915"/>
      <c r="AT21" s="1915"/>
      <c r="AU21" s="1915"/>
      <c r="AV21" s="1915"/>
      <c r="AW21" s="1915"/>
      <c r="AX21" s="1915"/>
      <c r="AY21" s="1915"/>
      <c r="AZ21" s="1915"/>
      <c r="BA21" s="1915"/>
      <c r="BB21" s="1915"/>
      <c r="BC21" s="1916"/>
      <c r="BD21" s="1901">
        <v>2</v>
      </c>
      <c r="BE21" s="1902"/>
      <c r="BF21" s="1902"/>
      <c r="BG21" s="1902"/>
      <c r="BH21" s="1902"/>
      <c r="BI21" s="1902"/>
      <c r="BJ21" s="1902"/>
      <c r="BK21" s="1902"/>
      <c r="BL21" s="1902"/>
      <c r="BM21" s="1903"/>
      <c r="BN21" s="1791">
        <f>CD21</f>
        <v>2350</v>
      </c>
      <c r="BO21" s="1792"/>
      <c r="BP21" s="1792"/>
      <c r="BQ21" s="1792"/>
      <c r="BR21" s="1792"/>
      <c r="BS21" s="1792"/>
      <c r="BT21" s="1792"/>
      <c r="BU21" s="1792"/>
      <c r="BV21" s="1792"/>
      <c r="BW21" s="1792"/>
      <c r="BX21" s="1792"/>
      <c r="BY21" s="1792"/>
      <c r="BZ21" s="1792"/>
      <c r="CA21" s="1792"/>
      <c r="CB21" s="1793"/>
      <c r="CC21" s="17"/>
      <c r="CD21" s="253">
        <f>4000-966.78-683.22</f>
        <v>2350</v>
      </c>
      <c r="CE21" s="50"/>
      <c r="CF21" s="17"/>
      <c r="CG21" s="17"/>
      <c r="CH21" s="17"/>
      <c r="CI21" s="1087"/>
    </row>
    <row r="22" spans="1:87" x14ac:dyDescent="0.2">
      <c r="A22" s="1803">
        <v>15</v>
      </c>
      <c r="B22" s="1804"/>
      <c r="C22" s="1804"/>
      <c r="D22" s="1805"/>
      <c r="E22" s="1904" t="s">
        <v>647</v>
      </c>
      <c r="F22" s="1905"/>
      <c r="G22" s="1905"/>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1905"/>
      <c r="AM22" s="1906"/>
      <c r="AN22" s="1914">
        <f>CD22</f>
        <v>16614.939999999999</v>
      </c>
      <c r="AO22" s="1915"/>
      <c r="AP22" s="1915"/>
      <c r="AQ22" s="1915"/>
      <c r="AR22" s="1915"/>
      <c r="AS22" s="1915"/>
      <c r="AT22" s="1915"/>
      <c r="AU22" s="1915"/>
      <c r="AV22" s="1915"/>
      <c r="AW22" s="1915"/>
      <c r="AX22" s="1915"/>
      <c r="AY22" s="1915"/>
      <c r="AZ22" s="1915"/>
      <c r="BA22" s="1915"/>
      <c r="BB22" s="1915"/>
      <c r="BC22" s="1916"/>
      <c r="BD22" s="1901">
        <v>1</v>
      </c>
      <c r="BE22" s="1902"/>
      <c r="BF22" s="1902"/>
      <c r="BG22" s="1902"/>
      <c r="BH22" s="1902"/>
      <c r="BI22" s="1902"/>
      <c r="BJ22" s="1902"/>
      <c r="BK22" s="1902"/>
      <c r="BL22" s="1902"/>
      <c r="BM22" s="1903"/>
      <c r="BN22" s="1791">
        <f t="shared" ref="BN22:BN25" si="1">AN22*BD22</f>
        <v>16614.939999999999</v>
      </c>
      <c r="BO22" s="1792"/>
      <c r="BP22" s="1792"/>
      <c r="BQ22" s="1792"/>
      <c r="BR22" s="1792"/>
      <c r="BS22" s="1792"/>
      <c r="BT22" s="1792"/>
      <c r="BU22" s="1792"/>
      <c r="BV22" s="1792"/>
      <c r="BW22" s="1792"/>
      <c r="BX22" s="1792"/>
      <c r="BY22" s="1792"/>
      <c r="BZ22" s="1792"/>
      <c r="CA22" s="1792"/>
      <c r="CB22" s="1793"/>
      <c r="CC22" s="17"/>
      <c r="CD22" s="253">
        <f>10000+683.22+5931.72</f>
        <v>16614.939999999999</v>
      </c>
      <c r="CE22" s="50"/>
      <c r="CF22" s="17"/>
      <c r="CG22" s="17"/>
      <c r="CH22" s="17"/>
      <c r="CI22" s="1070"/>
    </row>
    <row r="23" spans="1:87" ht="27.75" customHeight="1" x14ac:dyDescent="0.2">
      <c r="A23" s="1803">
        <v>16</v>
      </c>
      <c r="B23" s="1804"/>
      <c r="C23" s="1804"/>
      <c r="D23" s="1805"/>
      <c r="E23" s="1904" t="s">
        <v>1185</v>
      </c>
      <c r="F23" s="1905"/>
      <c r="G23" s="1905"/>
      <c r="H23" s="1905"/>
      <c r="I23" s="1905"/>
      <c r="J23" s="1905"/>
      <c r="K23" s="1905"/>
      <c r="L23" s="1905"/>
      <c r="M23" s="1905"/>
      <c r="N23" s="1905"/>
      <c r="O23" s="1905"/>
      <c r="P23" s="1905"/>
      <c r="Q23" s="1905"/>
      <c r="R23" s="1905"/>
      <c r="S23" s="1905"/>
      <c r="T23" s="1905"/>
      <c r="U23" s="1905"/>
      <c r="V23" s="1905"/>
      <c r="W23" s="1905"/>
      <c r="X23" s="1905"/>
      <c r="Y23" s="1905"/>
      <c r="Z23" s="1905"/>
      <c r="AA23" s="1905"/>
      <c r="AB23" s="1905"/>
      <c r="AC23" s="1905"/>
      <c r="AD23" s="1905"/>
      <c r="AE23" s="1905"/>
      <c r="AF23" s="1905"/>
      <c r="AG23" s="1905"/>
      <c r="AH23" s="1905"/>
      <c r="AI23" s="1905"/>
      <c r="AJ23" s="1905"/>
      <c r="AK23" s="1905"/>
      <c r="AL23" s="1905"/>
      <c r="AM23" s="1906"/>
      <c r="AN23" s="1914">
        <v>1643</v>
      </c>
      <c r="AO23" s="1915"/>
      <c r="AP23" s="1915"/>
      <c r="AQ23" s="1915"/>
      <c r="AR23" s="1915"/>
      <c r="AS23" s="1915"/>
      <c r="AT23" s="1915"/>
      <c r="AU23" s="1915"/>
      <c r="AV23" s="1915"/>
      <c r="AW23" s="1915"/>
      <c r="AX23" s="1915"/>
      <c r="AY23" s="1915"/>
      <c r="AZ23" s="1915"/>
      <c r="BA23" s="1915"/>
      <c r="BB23" s="1915"/>
      <c r="BC23" s="1916"/>
      <c r="BD23" s="1901">
        <v>12</v>
      </c>
      <c r="BE23" s="1902"/>
      <c r="BF23" s="1902"/>
      <c r="BG23" s="1902"/>
      <c r="BH23" s="1902"/>
      <c r="BI23" s="1902"/>
      <c r="BJ23" s="1902"/>
      <c r="BK23" s="1902"/>
      <c r="BL23" s="1902"/>
      <c r="BM23" s="1903"/>
      <c r="BN23" s="1791">
        <f t="shared" si="1"/>
        <v>19716</v>
      </c>
      <c r="BO23" s="1792"/>
      <c r="BP23" s="1792"/>
      <c r="BQ23" s="1792"/>
      <c r="BR23" s="1792"/>
      <c r="BS23" s="1792"/>
      <c r="BT23" s="1792"/>
      <c r="BU23" s="1792"/>
      <c r="BV23" s="1792"/>
      <c r="BW23" s="1792"/>
      <c r="BX23" s="1792"/>
      <c r="BY23" s="1792"/>
      <c r="BZ23" s="1792"/>
      <c r="CA23" s="1792"/>
      <c r="CB23" s="1793"/>
      <c r="CC23" s="17"/>
      <c r="CD23" s="253">
        <f t="shared" ref="CD23:CD25" si="2">BN23</f>
        <v>19716</v>
      </c>
      <c r="CE23" s="50"/>
      <c r="CF23" s="17"/>
      <c r="CG23" s="17"/>
      <c r="CH23" s="17"/>
    </row>
    <row r="24" spans="1:87" ht="26.25" customHeight="1" x14ac:dyDescent="0.2">
      <c r="A24" s="1803">
        <v>17</v>
      </c>
      <c r="B24" s="1804"/>
      <c r="C24" s="1804"/>
      <c r="D24" s="1805"/>
      <c r="E24" s="1904" t="s">
        <v>587</v>
      </c>
      <c r="F24" s="1917"/>
      <c r="G24" s="1917"/>
      <c r="H24" s="1917"/>
      <c r="I24" s="1917"/>
      <c r="J24" s="1917"/>
      <c r="K24" s="1917"/>
      <c r="L24" s="1917"/>
      <c r="M24" s="1917"/>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c r="AL24" s="1917"/>
      <c r="AM24" s="1918"/>
      <c r="AN24" s="1919">
        <v>1246</v>
      </c>
      <c r="AO24" s="1920"/>
      <c r="AP24" s="1920"/>
      <c r="AQ24" s="1920"/>
      <c r="AR24" s="1920"/>
      <c r="AS24" s="1920"/>
      <c r="AT24" s="1920"/>
      <c r="AU24" s="1920"/>
      <c r="AV24" s="1920"/>
      <c r="AW24" s="1920"/>
      <c r="AX24" s="1920"/>
      <c r="AY24" s="1920"/>
      <c r="AZ24" s="1920"/>
      <c r="BA24" s="1920"/>
      <c r="BB24" s="1920"/>
      <c r="BC24" s="1921"/>
      <c r="BD24" s="1901">
        <v>12</v>
      </c>
      <c r="BE24" s="1546"/>
      <c r="BF24" s="1546"/>
      <c r="BG24" s="1546"/>
      <c r="BH24" s="1546"/>
      <c r="BI24" s="1546"/>
      <c r="BJ24" s="1546"/>
      <c r="BK24" s="1546"/>
      <c r="BL24" s="1546"/>
      <c r="BM24" s="1547"/>
      <c r="BN24" s="1852">
        <f t="shared" si="1"/>
        <v>14952</v>
      </c>
      <c r="BO24" s="1853"/>
      <c r="BP24" s="1853"/>
      <c r="BQ24" s="1853"/>
      <c r="BR24" s="1853"/>
      <c r="BS24" s="1853"/>
      <c r="BT24" s="1853"/>
      <c r="BU24" s="1853"/>
      <c r="BV24" s="1853"/>
      <c r="BW24" s="1853"/>
      <c r="BX24" s="1853"/>
      <c r="BY24" s="1853"/>
      <c r="BZ24" s="1853"/>
      <c r="CA24" s="1853"/>
      <c r="CB24" s="1854"/>
      <c r="CC24" s="17"/>
      <c r="CD24" s="23">
        <f t="shared" si="2"/>
        <v>14952</v>
      </c>
      <c r="CE24" s="50"/>
      <c r="CF24" s="17"/>
      <c r="CG24" s="17"/>
      <c r="CH24" s="17"/>
    </row>
    <row r="25" spans="1:87" x14ac:dyDescent="0.2">
      <c r="A25" s="1803">
        <v>18</v>
      </c>
      <c r="B25" s="1804"/>
      <c r="C25" s="1804"/>
      <c r="D25" s="1805"/>
      <c r="E25" s="1904" t="s">
        <v>1107</v>
      </c>
      <c r="F25" s="1905"/>
      <c r="G25" s="1905"/>
      <c r="H25" s="1905"/>
      <c r="I25" s="1905"/>
      <c r="J25" s="1905"/>
      <c r="K25" s="1905"/>
      <c r="L25" s="1905"/>
      <c r="M25" s="1905"/>
      <c r="N25" s="1905"/>
      <c r="O25" s="1905"/>
      <c r="P25" s="1905"/>
      <c r="Q25" s="1905"/>
      <c r="R25" s="1905"/>
      <c r="S25" s="1905"/>
      <c r="T25" s="1905"/>
      <c r="U25" s="1905"/>
      <c r="V25" s="1905"/>
      <c r="W25" s="1905"/>
      <c r="X25" s="1905"/>
      <c r="Y25" s="1905"/>
      <c r="Z25" s="1905"/>
      <c r="AA25" s="1905"/>
      <c r="AB25" s="1905"/>
      <c r="AC25" s="1905"/>
      <c r="AD25" s="1905"/>
      <c r="AE25" s="1905"/>
      <c r="AF25" s="1905"/>
      <c r="AG25" s="1905"/>
      <c r="AH25" s="1905"/>
      <c r="AI25" s="1905"/>
      <c r="AJ25" s="1905"/>
      <c r="AK25" s="1905"/>
      <c r="AL25" s="1905"/>
      <c r="AM25" s="1906"/>
      <c r="AN25" s="1914">
        <v>3783.24</v>
      </c>
      <c r="AO25" s="1915"/>
      <c r="AP25" s="1915"/>
      <c r="AQ25" s="1915"/>
      <c r="AR25" s="1915"/>
      <c r="AS25" s="1915"/>
      <c r="AT25" s="1915"/>
      <c r="AU25" s="1915"/>
      <c r="AV25" s="1915"/>
      <c r="AW25" s="1915"/>
      <c r="AX25" s="1915"/>
      <c r="AY25" s="1915"/>
      <c r="AZ25" s="1915"/>
      <c r="BA25" s="1915"/>
      <c r="BB25" s="1915"/>
      <c r="BC25" s="1916"/>
      <c r="BD25" s="1901">
        <v>12</v>
      </c>
      <c r="BE25" s="1902"/>
      <c r="BF25" s="1902"/>
      <c r="BG25" s="1902"/>
      <c r="BH25" s="1902"/>
      <c r="BI25" s="1902"/>
      <c r="BJ25" s="1902"/>
      <c r="BK25" s="1902"/>
      <c r="BL25" s="1902"/>
      <c r="BM25" s="1903"/>
      <c r="BN25" s="1791">
        <f t="shared" si="1"/>
        <v>45398.879999999997</v>
      </c>
      <c r="BO25" s="1792"/>
      <c r="BP25" s="1792"/>
      <c r="BQ25" s="1792"/>
      <c r="BR25" s="1792"/>
      <c r="BS25" s="1792"/>
      <c r="BT25" s="1792"/>
      <c r="BU25" s="1792"/>
      <c r="BV25" s="1792"/>
      <c r="BW25" s="1792"/>
      <c r="BX25" s="1792"/>
      <c r="BY25" s="1792"/>
      <c r="BZ25" s="1792"/>
      <c r="CA25" s="1792"/>
      <c r="CB25" s="1793"/>
      <c r="CC25" s="17"/>
      <c r="CD25" s="253">
        <f t="shared" si="2"/>
        <v>45398.879999999997</v>
      </c>
      <c r="CE25" s="50"/>
      <c r="CF25" s="17"/>
      <c r="CG25" s="17"/>
      <c r="CH25" s="17"/>
    </row>
    <row r="26" spans="1:87" ht="30.75" customHeight="1" x14ac:dyDescent="0.2">
      <c r="A26" s="1803">
        <v>19</v>
      </c>
      <c r="B26" s="1804"/>
      <c r="C26" s="1804"/>
      <c r="D26" s="1805"/>
      <c r="E26" s="1904" t="s">
        <v>157</v>
      </c>
      <c r="F26" s="1917"/>
      <c r="G26" s="1917"/>
      <c r="H26" s="1917"/>
      <c r="I26" s="1917"/>
      <c r="J26" s="1917"/>
      <c r="K26" s="1917"/>
      <c r="L26" s="1917"/>
      <c r="M26" s="1917"/>
      <c r="N26" s="1917"/>
      <c r="O26" s="1917"/>
      <c r="P26" s="1917"/>
      <c r="Q26" s="1917"/>
      <c r="R26" s="1917"/>
      <c r="S26" s="1917"/>
      <c r="T26" s="1917"/>
      <c r="U26" s="1917"/>
      <c r="V26" s="1917"/>
      <c r="W26" s="1917"/>
      <c r="X26" s="1917"/>
      <c r="Y26" s="1917"/>
      <c r="Z26" s="1917"/>
      <c r="AA26" s="1917"/>
      <c r="AB26" s="1917"/>
      <c r="AC26" s="1917"/>
      <c r="AD26" s="1917"/>
      <c r="AE26" s="1917"/>
      <c r="AF26" s="1917"/>
      <c r="AG26" s="1917"/>
      <c r="AH26" s="1917"/>
      <c r="AI26" s="1917"/>
      <c r="AJ26" s="1917"/>
      <c r="AK26" s="1917"/>
      <c r="AL26" s="1917"/>
      <c r="AM26" s="1918"/>
      <c r="AN26" s="1919">
        <v>8500</v>
      </c>
      <c r="AO26" s="1920"/>
      <c r="AP26" s="1920"/>
      <c r="AQ26" s="1920"/>
      <c r="AR26" s="1920"/>
      <c r="AS26" s="1920"/>
      <c r="AT26" s="1920"/>
      <c r="AU26" s="1920"/>
      <c r="AV26" s="1920"/>
      <c r="AW26" s="1920"/>
      <c r="AX26" s="1920"/>
      <c r="AY26" s="1920"/>
      <c r="AZ26" s="1920"/>
      <c r="BA26" s="1920"/>
      <c r="BB26" s="1920"/>
      <c r="BC26" s="1921"/>
      <c r="BD26" s="1901">
        <v>1</v>
      </c>
      <c r="BE26" s="1546"/>
      <c r="BF26" s="1546"/>
      <c r="BG26" s="1546"/>
      <c r="BH26" s="1546"/>
      <c r="BI26" s="1546"/>
      <c r="BJ26" s="1546"/>
      <c r="BK26" s="1546"/>
      <c r="BL26" s="1546"/>
      <c r="BM26" s="1547"/>
      <c r="BN26" s="1852">
        <f>AN26*BD26</f>
        <v>8500</v>
      </c>
      <c r="BO26" s="1853"/>
      <c r="BP26" s="1853"/>
      <c r="BQ26" s="1853"/>
      <c r="BR26" s="1853"/>
      <c r="BS26" s="1853"/>
      <c r="BT26" s="1853"/>
      <c r="BU26" s="1853"/>
      <c r="BV26" s="1853"/>
      <c r="BW26" s="1853"/>
      <c r="BX26" s="1853"/>
      <c r="BY26" s="1853"/>
      <c r="BZ26" s="1853"/>
      <c r="CA26" s="1853"/>
      <c r="CB26" s="1854"/>
      <c r="CC26" s="17"/>
      <c r="CD26" s="23">
        <f>BN26</f>
        <v>8500</v>
      </c>
      <c r="CE26" s="50"/>
      <c r="CF26" s="17"/>
      <c r="CG26" s="17"/>
      <c r="CH26" s="17"/>
      <c r="CI26" s="1037"/>
    </row>
    <row r="27" spans="1:87" ht="17.25" customHeight="1" x14ac:dyDescent="0.2">
      <c r="A27" s="1803">
        <v>20</v>
      </c>
      <c r="B27" s="1804"/>
      <c r="C27" s="1804"/>
      <c r="D27" s="1805"/>
      <c r="E27" s="1904" t="s">
        <v>1317</v>
      </c>
      <c r="F27" s="1917"/>
      <c r="G27" s="1917"/>
      <c r="H27" s="1917"/>
      <c r="I27" s="1917"/>
      <c r="J27" s="1917"/>
      <c r="K27" s="1917"/>
      <c r="L27" s="1917"/>
      <c r="M27" s="1917"/>
      <c r="N27" s="1917"/>
      <c r="O27" s="1917"/>
      <c r="P27" s="1917"/>
      <c r="Q27" s="1917"/>
      <c r="R27" s="1917"/>
      <c r="S27" s="1917"/>
      <c r="T27" s="1917"/>
      <c r="U27" s="1917"/>
      <c r="V27" s="1917"/>
      <c r="W27" s="1917"/>
      <c r="X27" s="1917"/>
      <c r="Y27" s="1917"/>
      <c r="Z27" s="1917"/>
      <c r="AA27" s="1917"/>
      <c r="AB27" s="1917"/>
      <c r="AC27" s="1917"/>
      <c r="AD27" s="1917"/>
      <c r="AE27" s="1917"/>
      <c r="AF27" s="1917"/>
      <c r="AG27" s="1917"/>
      <c r="AH27" s="1917"/>
      <c r="AI27" s="1917"/>
      <c r="AJ27" s="1917"/>
      <c r="AK27" s="1917"/>
      <c r="AL27" s="1917"/>
      <c r="AM27" s="1918"/>
      <c r="AN27" s="1919">
        <v>202823.2</v>
      </c>
      <c r="AO27" s="1920"/>
      <c r="AP27" s="1920"/>
      <c r="AQ27" s="1920"/>
      <c r="AR27" s="1920"/>
      <c r="AS27" s="1920"/>
      <c r="AT27" s="1920"/>
      <c r="AU27" s="1920"/>
      <c r="AV27" s="1920"/>
      <c r="AW27" s="1920"/>
      <c r="AX27" s="1920"/>
      <c r="AY27" s="1920"/>
      <c r="AZ27" s="1920"/>
      <c r="BA27" s="1920"/>
      <c r="BB27" s="1920"/>
      <c r="BC27" s="1921"/>
      <c r="BD27" s="1901">
        <v>1</v>
      </c>
      <c r="BE27" s="1546"/>
      <c r="BF27" s="1546"/>
      <c r="BG27" s="1546"/>
      <c r="BH27" s="1546"/>
      <c r="BI27" s="1546"/>
      <c r="BJ27" s="1546"/>
      <c r="BK27" s="1546"/>
      <c r="BL27" s="1546"/>
      <c r="BM27" s="1547"/>
      <c r="BN27" s="1852">
        <f>AN27*BD27</f>
        <v>202823.2</v>
      </c>
      <c r="BO27" s="1853"/>
      <c r="BP27" s="1853"/>
      <c r="BQ27" s="1853"/>
      <c r="BR27" s="1853"/>
      <c r="BS27" s="1853"/>
      <c r="BT27" s="1853"/>
      <c r="BU27" s="1853"/>
      <c r="BV27" s="1853"/>
      <c r="BW27" s="1853"/>
      <c r="BX27" s="1853"/>
      <c r="BY27" s="1853"/>
      <c r="BZ27" s="1853"/>
      <c r="CA27" s="1853"/>
      <c r="CB27" s="1854"/>
      <c r="CC27" s="17"/>
      <c r="CD27" s="23"/>
      <c r="CE27" s="17">
        <v>963324045</v>
      </c>
      <c r="CF27" s="17"/>
      <c r="CG27" s="16">
        <v>202823.2</v>
      </c>
      <c r="CH27" s="17"/>
    </row>
    <row r="28" spans="1:87" ht="17.25" customHeight="1" x14ac:dyDescent="0.2">
      <c r="A28" s="1803">
        <v>21</v>
      </c>
      <c r="B28" s="1804"/>
      <c r="C28" s="1804"/>
      <c r="D28" s="1805"/>
      <c r="E28" s="1904" t="s">
        <v>1319</v>
      </c>
      <c r="F28" s="1917"/>
      <c r="G28" s="1917"/>
      <c r="H28" s="1917"/>
      <c r="I28" s="1917"/>
      <c r="J28" s="1917"/>
      <c r="K28" s="1917"/>
      <c r="L28" s="1917"/>
      <c r="M28" s="1917"/>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c r="AL28" s="1917"/>
      <c r="AM28" s="1918"/>
      <c r="AN28" s="1919">
        <f>CG28</f>
        <v>219000</v>
      </c>
      <c r="AO28" s="1920"/>
      <c r="AP28" s="1920"/>
      <c r="AQ28" s="1920"/>
      <c r="AR28" s="1920"/>
      <c r="AS28" s="1920"/>
      <c r="AT28" s="1920"/>
      <c r="AU28" s="1920"/>
      <c r="AV28" s="1920"/>
      <c r="AW28" s="1920"/>
      <c r="AX28" s="1920"/>
      <c r="AY28" s="1920"/>
      <c r="AZ28" s="1920"/>
      <c r="BA28" s="1920"/>
      <c r="BB28" s="1920"/>
      <c r="BC28" s="1921"/>
      <c r="BD28" s="1901">
        <v>1</v>
      </c>
      <c r="BE28" s="1546"/>
      <c r="BF28" s="1546"/>
      <c r="BG28" s="1546"/>
      <c r="BH28" s="1546"/>
      <c r="BI28" s="1546"/>
      <c r="BJ28" s="1546"/>
      <c r="BK28" s="1546"/>
      <c r="BL28" s="1546"/>
      <c r="BM28" s="1547"/>
      <c r="BN28" s="1852">
        <f t="shared" ref="BN28:BN29" si="3">AN28*BD28</f>
        <v>219000</v>
      </c>
      <c r="BO28" s="1853"/>
      <c r="BP28" s="1853"/>
      <c r="BQ28" s="1853"/>
      <c r="BR28" s="1853"/>
      <c r="BS28" s="1853"/>
      <c r="BT28" s="1853"/>
      <c r="BU28" s="1853"/>
      <c r="BV28" s="1853"/>
      <c r="BW28" s="1853"/>
      <c r="BX28" s="1853"/>
      <c r="BY28" s="1853"/>
      <c r="BZ28" s="1853"/>
      <c r="CA28" s="1853"/>
      <c r="CB28" s="1854"/>
      <c r="CC28" s="17"/>
      <c r="CD28" s="23"/>
      <c r="CE28" s="17">
        <v>963324045</v>
      </c>
      <c r="CF28" s="17"/>
      <c r="CG28" s="816">
        <v>219000</v>
      </c>
      <c r="CH28" s="17"/>
    </row>
    <row r="29" spans="1:87" ht="31.15" customHeight="1" x14ac:dyDescent="0.35">
      <c r="A29" s="1803">
        <v>22</v>
      </c>
      <c r="B29" s="1804"/>
      <c r="C29" s="1804"/>
      <c r="D29" s="1805"/>
      <c r="E29" s="1904" t="s">
        <v>1320</v>
      </c>
      <c r="F29" s="1917"/>
      <c r="G29" s="1917"/>
      <c r="H29" s="1917"/>
      <c r="I29" s="1917"/>
      <c r="J29" s="1917"/>
      <c r="K29" s="1917"/>
      <c r="L29" s="1917"/>
      <c r="M29" s="1917"/>
      <c r="N29" s="1917"/>
      <c r="O29" s="1917"/>
      <c r="P29" s="1917"/>
      <c r="Q29" s="1917"/>
      <c r="R29" s="1917"/>
      <c r="S29" s="1917"/>
      <c r="T29" s="1917"/>
      <c r="U29" s="1917"/>
      <c r="V29" s="1917"/>
      <c r="W29" s="1917"/>
      <c r="X29" s="1917"/>
      <c r="Y29" s="1917"/>
      <c r="Z29" s="1917"/>
      <c r="AA29" s="1917"/>
      <c r="AB29" s="1917"/>
      <c r="AC29" s="1917"/>
      <c r="AD29" s="1917"/>
      <c r="AE29" s="1917"/>
      <c r="AF29" s="1917"/>
      <c r="AG29" s="1917"/>
      <c r="AH29" s="1917"/>
      <c r="AI29" s="1917"/>
      <c r="AJ29" s="1917"/>
      <c r="AK29" s="1917"/>
      <c r="AL29" s="1917"/>
      <c r="AM29" s="1918"/>
      <c r="AN29" s="1962">
        <f>CG29</f>
        <v>299000</v>
      </c>
      <c r="AO29" s="1963"/>
      <c r="AP29" s="1963"/>
      <c r="AQ29" s="1963"/>
      <c r="AR29" s="1963"/>
      <c r="AS29" s="1963"/>
      <c r="AT29" s="1963"/>
      <c r="AU29" s="1963"/>
      <c r="AV29" s="1963"/>
      <c r="AW29" s="1963"/>
      <c r="AX29" s="1963"/>
      <c r="AY29" s="1963"/>
      <c r="AZ29" s="1963"/>
      <c r="BA29" s="1963"/>
      <c r="BB29" s="1963"/>
      <c r="BC29" s="1964"/>
      <c r="BD29" s="1965">
        <v>1</v>
      </c>
      <c r="BE29" s="1966"/>
      <c r="BF29" s="1966"/>
      <c r="BG29" s="1966"/>
      <c r="BH29" s="1966"/>
      <c r="BI29" s="1966"/>
      <c r="BJ29" s="1966"/>
      <c r="BK29" s="1966"/>
      <c r="BL29" s="1966"/>
      <c r="BM29" s="1967"/>
      <c r="BN29" s="1952">
        <f t="shared" si="3"/>
        <v>299000</v>
      </c>
      <c r="BO29" s="1953"/>
      <c r="BP29" s="1953"/>
      <c r="BQ29" s="1953"/>
      <c r="BR29" s="1953"/>
      <c r="BS29" s="1953"/>
      <c r="BT29" s="1953"/>
      <c r="BU29" s="1953"/>
      <c r="BV29" s="1953"/>
      <c r="BW29" s="1953"/>
      <c r="BX29" s="1953"/>
      <c r="BY29" s="1953"/>
      <c r="BZ29" s="1953"/>
      <c r="CA29" s="1953"/>
      <c r="CB29" s="1954"/>
      <c r="CC29" s="295"/>
      <c r="CD29" s="815"/>
      <c r="CE29" s="295">
        <v>963324045</v>
      </c>
      <c r="CF29" s="295"/>
      <c r="CG29" s="816">
        <v>299000</v>
      </c>
      <c r="CH29" s="17"/>
      <c r="CI29" s="1043"/>
    </row>
    <row r="30" spans="1:87" ht="24.6" customHeight="1" x14ac:dyDescent="0.35">
      <c r="A30" s="1803">
        <v>23</v>
      </c>
      <c r="B30" s="1804"/>
      <c r="C30" s="1804"/>
      <c r="D30" s="1805"/>
      <c r="E30" s="1904" t="s">
        <v>1481</v>
      </c>
      <c r="F30" s="1917"/>
      <c r="G30" s="1917"/>
      <c r="H30" s="1917"/>
      <c r="I30" s="1917"/>
      <c r="J30" s="1917"/>
      <c r="K30" s="1917"/>
      <c r="L30" s="1917"/>
      <c r="M30" s="1917"/>
      <c r="N30" s="1917"/>
      <c r="O30" s="1917"/>
      <c r="P30" s="1917"/>
      <c r="Q30" s="1917"/>
      <c r="R30" s="1917"/>
      <c r="S30" s="1917"/>
      <c r="T30" s="1917"/>
      <c r="U30" s="1917"/>
      <c r="V30" s="1917"/>
      <c r="W30" s="1917"/>
      <c r="X30" s="1917"/>
      <c r="Y30" s="1917"/>
      <c r="Z30" s="1917"/>
      <c r="AA30" s="1917"/>
      <c r="AB30" s="1917"/>
      <c r="AC30" s="1917"/>
      <c r="AD30" s="1917"/>
      <c r="AE30" s="1917"/>
      <c r="AF30" s="1917"/>
      <c r="AG30" s="1917"/>
      <c r="AH30" s="1917"/>
      <c r="AI30" s="1917"/>
      <c r="AJ30" s="1917"/>
      <c r="AK30" s="1917"/>
      <c r="AL30" s="1917"/>
      <c r="AM30" s="1918"/>
      <c r="AN30" s="1962">
        <f>CG30</f>
        <v>3157010.92</v>
      </c>
      <c r="AO30" s="1963"/>
      <c r="AP30" s="1963"/>
      <c r="AQ30" s="1963"/>
      <c r="AR30" s="1963"/>
      <c r="AS30" s="1963"/>
      <c r="AT30" s="1963"/>
      <c r="AU30" s="1963"/>
      <c r="AV30" s="1963"/>
      <c r="AW30" s="1963"/>
      <c r="AX30" s="1963"/>
      <c r="AY30" s="1963"/>
      <c r="AZ30" s="1963"/>
      <c r="BA30" s="1963"/>
      <c r="BB30" s="1963"/>
      <c r="BC30" s="1964"/>
      <c r="BD30" s="1965">
        <v>1</v>
      </c>
      <c r="BE30" s="1966"/>
      <c r="BF30" s="1966"/>
      <c r="BG30" s="1966"/>
      <c r="BH30" s="1966"/>
      <c r="BI30" s="1966"/>
      <c r="BJ30" s="1966"/>
      <c r="BK30" s="1966"/>
      <c r="BL30" s="1966"/>
      <c r="BM30" s="1967"/>
      <c r="BN30" s="1952">
        <f t="shared" ref="BN30" si="4">AN30*BD30</f>
        <v>3157010.92</v>
      </c>
      <c r="BO30" s="1953"/>
      <c r="BP30" s="1953"/>
      <c r="BQ30" s="1953"/>
      <c r="BR30" s="1953"/>
      <c r="BS30" s="1953"/>
      <c r="BT30" s="1953"/>
      <c r="BU30" s="1953"/>
      <c r="BV30" s="1953"/>
      <c r="BW30" s="1953"/>
      <c r="BX30" s="1953"/>
      <c r="BY30" s="1953"/>
      <c r="BZ30" s="1953"/>
      <c r="CA30" s="1953"/>
      <c r="CB30" s="1954"/>
      <c r="CC30" s="295"/>
      <c r="CD30" s="815"/>
      <c r="CE30" s="295">
        <v>963324045</v>
      </c>
      <c r="CF30" s="295"/>
      <c r="CG30" s="816">
        <f>36125.66+1523324.69+1597560.57</f>
        <v>3157010.92</v>
      </c>
      <c r="CH30" s="17"/>
      <c r="CI30" s="1043"/>
    </row>
    <row r="31" spans="1:87" ht="23.45" customHeight="1" x14ac:dyDescent="0.35">
      <c r="A31" s="1803">
        <v>24</v>
      </c>
      <c r="B31" s="1804"/>
      <c r="C31" s="1804"/>
      <c r="D31" s="1805"/>
      <c r="E31" s="1904" t="s">
        <v>1318</v>
      </c>
      <c r="F31" s="1917"/>
      <c r="G31" s="1917"/>
      <c r="H31" s="1917"/>
      <c r="I31" s="1917"/>
      <c r="J31" s="1917"/>
      <c r="K31" s="1917"/>
      <c r="L31" s="1917"/>
      <c r="M31" s="1917"/>
      <c r="N31" s="1917"/>
      <c r="O31" s="1917"/>
      <c r="P31" s="1917"/>
      <c r="Q31" s="1917"/>
      <c r="R31" s="1917"/>
      <c r="S31" s="1917"/>
      <c r="T31" s="1917"/>
      <c r="U31" s="1917"/>
      <c r="V31" s="1917"/>
      <c r="W31" s="1917"/>
      <c r="X31" s="1917"/>
      <c r="Y31" s="1917"/>
      <c r="Z31" s="1917"/>
      <c r="AA31" s="1917"/>
      <c r="AB31" s="1917"/>
      <c r="AC31" s="1917"/>
      <c r="AD31" s="1917"/>
      <c r="AE31" s="1917"/>
      <c r="AF31" s="1917"/>
      <c r="AG31" s="1917"/>
      <c r="AH31" s="1917"/>
      <c r="AI31" s="1917"/>
      <c r="AJ31" s="1917"/>
      <c r="AK31" s="1917"/>
      <c r="AL31" s="1917"/>
      <c r="AM31" s="1918"/>
      <c r="AN31" s="1919">
        <v>252769.2</v>
      </c>
      <c r="AO31" s="1920"/>
      <c r="AP31" s="1920"/>
      <c r="AQ31" s="1920"/>
      <c r="AR31" s="1920"/>
      <c r="AS31" s="1920"/>
      <c r="AT31" s="1920"/>
      <c r="AU31" s="1920"/>
      <c r="AV31" s="1920"/>
      <c r="AW31" s="1920"/>
      <c r="AX31" s="1920"/>
      <c r="AY31" s="1920"/>
      <c r="AZ31" s="1920"/>
      <c r="BA31" s="1920"/>
      <c r="BB31" s="1920"/>
      <c r="BC31" s="1921"/>
      <c r="BD31" s="1901">
        <v>1</v>
      </c>
      <c r="BE31" s="1546"/>
      <c r="BF31" s="1546"/>
      <c r="BG31" s="1546"/>
      <c r="BH31" s="1546"/>
      <c r="BI31" s="1546"/>
      <c r="BJ31" s="1546"/>
      <c r="BK31" s="1546"/>
      <c r="BL31" s="1546"/>
      <c r="BM31" s="1547"/>
      <c r="BN31" s="1852">
        <f>CC31+CD31+CF31+CG31+CH31</f>
        <v>84995.390000000014</v>
      </c>
      <c r="BO31" s="1853"/>
      <c r="BP31" s="1853"/>
      <c r="BQ31" s="1853"/>
      <c r="BR31" s="1853"/>
      <c r="BS31" s="1853"/>
      <c r="BT31" s="1853"/>
      <c r="BU31" s="1853"/>
      <c r="BV31" s="1853"/>
      <c r="BW31" s="1853"/>
      <c r="BX31" s="1853"/>
      <c r="BY31" s="1853"/>
      <c r="BZ31" s="1853"/>
      <c r="CA31" s="1853"/>
      <c r="CB31" s="1854"/>
      <c r="CC31" s="17"/>
      <c r="CD31" s="23"/>
      <c r="CE31" s="17">
        <v>963324045</v>
      </c>
      <c r="CF31" s="15"/>
      <c r="CG31" s="223">
        <f>252769.2-167773.81</f>
        <v>84995.390000000014</v>
      </c>
      <c r="CH31" s="17"/>
      <c r="CI31" s="1043"/>
    </row>
    <row r="32" spans="1:87" ht="31.15" customHeight="1" x14ac:dyDescent="0.35">
      <c r="A32" s="1803">
        <v>25</v>
      </c>
      <c r="B32" s="1804"/>
      <c r="C32" s="1804"/>
      <c r="D32" s="1805"/>
      <c r="E32" s="1904" t="s">
        <v>1513</v>
      </c>
      <c r="F32" s="1917"/>
      <c r="G32" s="1917"/>
      <c r="H32" s="1917"/>
      <c r="I32" s="1917"/>
      <c r="J32" s="1917"/>
      <c r="K32" s="1917"/>
      <c r="L32" s="1917"/>
      <c r="M32" s="1917"/>
      <c r="N32" s="1917"/>
      <c r="O32" s="1917"/>
      <c r="P32" s="1917"/>
      <c r="Q32" s="1917"/>
      <c r="R32" s="1917"/>
      <c r="S32" s="1917"/>
      <c r="T32" s="1917"/>
      <c r="U32" s="1917"/>
      <c r="V32" s="1917"/>
      <c r="W32" s="1917"/>
      <c r="X32" s="1917"/>
      <c r="Y32" s="1917"/>
      <c r="Z32" s="1917"/>
      <c r="AA32" s="1917"/>
      <c r="AB32" s="1917"/>
      <c r="AC32" s="1917"/>
      <c r="AD32" s="1917"/>
      <c r="AE32" s="1917"/>
      <c r="AF32" s="1917"/>
      <c r="AG32" s="1917"/>
      <c r="AH32" s="1917"/>
      <c r="AI32" s="1917"/>
      <c r="AJ32" s="1917"/>
      <c r="AK32" s="1917"/>
      <c r="AL32" s="1917"/>
      <c r="AM32" s="1918"/>
      <c r="AN32" s="1919">
        <v>11553.7</v>
      </c>
      <c r="AO32" s="1920"/>
      <c r="AP32" s="1920"/>
      <c r="AQ32" s="1920"/>
      <c r="AR32" s="1920"/>
      <c r="AS32" s="1920"/>
      <c r="AT32" s="1920"/>
      <c r="AU32" s="1920"/>
      <c r="AV32" s="1920"/>
      <c r="AW32" s="1920"/>
      <c r="AX32" s="1920"/>
      <c r="AY32" s="1920"/>
      <c r="AZ32" s="1920"/>
      <c r="BA32" s="1920"/>
      <c r="BB32" s="1920"/>
      <c r="BC32" s="1921"/>
      <c r="BD32" s="1901">
        <v>1</v>
      </c>
      <c r="BE32" s="1546"/>
      <c r="BF32" s="1546"/>
      <c r="BG32" s="1546"/>
      <c r="BH32" s="1546"/>
      <c r="BI32" s="1546"/>
      <c r="BJ32" s="1546"/>
      <c r="BK32" s="1546"/>
      <c r="BL32" s="1546"/>
      <c r="BM32" s="1547"/>
      <c r="BN32" s="1852">
        <f>CC32+CD32+CF32+CG32+CH32</f>
        <v>11553.7</v>
      </c>
      <c r="BO32" s="1853"/>
      <c r="BP32" s="1853"/>
      <c r="BQ32" s="1853"/>
      <c r="BR32" s="1853"/>
      <c r="BS32" s="1853"/>
      <c r="BT32" s="1853"/>
      <c r="BU32" s="1853"/>
      <c r="BV32" s="1853"/>
      <c r="BW32" s="1853"/>
      <c r="BX32" s="1853"/>
      <c r="BY32" s="1853"/>
      <c r="BZ32" s="1853"/>
      <c r="CA32" s="1853"/>
      <c r="CB32" s="1854"/>
      <c r="CC32" s="17"/>
      <c r="CD32" s="23">
        <v>11553.7</v>
      </c>
      <c r="CE32" s="1030"/>
      <c r="CF32" s="15"/>
      <c r="CG32" s="223"/>
      <c r="CH32" s="17"/>
      <c r="CI32" s="1069"/>
    </row>
    <row r="33" spans="1:88" x14ac:dyDescent="0.2">
      <c r="A33" s="1803"/>
      <c r="B33" s="1804"/>
      <c r="C33" s="1804"/>
      <c r="D33" s="1805"/>
      <c r="E33" s="1831" t="s">
        <v>151</v>
      </c>
      <c r="F33" s="1832"/>
      <c r="G33" s="1832"/>
      <c r="H33" s="1832"/>
      <c r="I33" s="1832"/>
      <c r="J33" s="1832"/>
      <c r="K33" s="1832"/>
      <c r="L33" s="1832"/>
      <c r="M33" s="1832"/>
      <c r="N33" s="1832"/>
      <c r="O33" s="1832"/>
      <c r="P33" s="1832"/>
      <c r="Q33" s="1832"/>
      <c r="R33" s="1832"/>
      <c r="S33" s="1832"/>
      <c r="T33" s="1832"/>
      <c r="U33" s="1832"/>
      <c r="V33" s="1832"/>
      <c r="W33" s="1832"/>
      <c r="X33" s="1832"/>
      <c r="Y33" s="1832"/>
      <c r="Z33" s="1832"/>
      <c r="AA33" s="1832"/>
      <c r="AB33" s="1832"/>
      <c r="AC33" s="1832"/>
      <c r="AD33" s="1832"/>
      <c r="AE33" s="1832"/>
      <c r="AF33" s="1832"/>
      <c r="AG33" s="1832"/>
      <c r="AH33" s="1832"/>
      <c r="AI33" s="1832"/>
      <c r="AJ33" s="1832"/>
      <c r="AK33" s="1832"/>
      <c r="AL33" s="1832"/>
      <c r="AM33" s="1833"/>
      <c r="AN33" s="1824" t="s">
        <v>3</v>
      </c>
      <c r="AO33" s="1825"/>
      <c r="AP33" s="1825"/>
      <c r="AQ33" s="1825"/>
      <c r="AR33" s="1825"/>
      <c r="AS33" s="1825"/>
      <c r="AT33" s="1825"/>
      <c r="AU33" s="1825"/>
      <c r="AV33" s="1825"/>
      <c r="AW33" s="1825"/>
      <c r="AX33" s="1825"/>
      <c r="AY33" s="1825"/>
      <c r="AZ33" s="1825"/>
      <c r="BA33" s="1825"/>
      <c r="BB33" s="1825"/>
      <c r="BC33" s="1826"/>
      <c r="BD33" s="1797" t="s">
        <v>3</v>
      </c>
      <c r="BE33" s="1798"/>
      <c r="BF33" s="1798"/>
      <c r="BG33" s="1798"/>
      <c r="BH33" s="1798"/>
      <c r="BI33" s="1798"/>
      <c r="BJ33" s="1798"/>
      <c r="BK33" s="1798"/>
      <c r="BL33" s="1798"/>
      <c r="BM33" s="1799"/>
      <c r="BN33" s="1800">
        <f>SUM(BN8:BZ32)</f>
        <v>4308865.92</v>
      </c>
      <c r="BO33" s="1801"/>
      <c r="BP33" s="1801"/>
      <c r="BQ33" s="1801"/>
      <c r="BR33" s="1801"/>
      <c r="BS33" s="1801"/>
      <c r="BT33" s="1801"/>
      <c r="BU33" s="1801"/>
      <c r="BV33" s="1801"/>
      <c r="BW33" s="1801"/>
      <c r="BX33" s="1801"/>
      <c r="BY33" s="1801"/>
      <c r="BZ33" s="1801"/>
      <c r="CA33" s="1801"/>
      <c r="CB33" s="1802"/>
      <c r="CC33" s="869"/>
      <c r="CD33" s="254">
        <f>SUM(CD8:CD32)</f>
        <v>346036.41</v>
      </c>
      <c r="CE33" s="254"/>
      <c r="CF33" s="254"/>
      <c r="CG33" s="254">
        <f>SUM(CG27:CG32)</f>
        <v>3962829.5100000002</v>
      </c>
      <c r="CH33" s="17"/>
      <c r="CI33" s="51" t="s">
        <v>1674</v>
      </c>
    </row>
    <row r="34" spans="1:88" s="4" customFormat="1" ht="30.75" customHeight="1" x14ac:dyDescent="0.25">
      <c r="A34" s="1817" t="s">
        <v>152</v>
      </c>
      <c r="B34" s="1817"/>
      <c r="C34" s="1817"/>
      <c r="D34" s="1817"/>
      <c r="E34" s="1817"/>
      <c r="F34" s="1817"/>
      <c r="G34" s="1817"/>
      <c r="H34" s="1817"/>
      <c r="I34" s="1817"/>
      <c r="J34" s="1817"/>
      <c r="K34" s="1817"/>
      <c r="L34" s="1817"/>
      <c r="M34" s="1817"/>
      <c r="N34" s="1817"/>
      <c r="O34" s="1817"/>
      <c r="P34" s="1817"/>
      <c r="Q34" s="1817"/>
      <c r="R34" s="1817"/>
      <c r="S34" s="1817"/>
      <c r="T34" s="1817"/>
      <c r="U34" s="1817"/>
      <c r="V34" s="1817"/>
      <c r="W34" s="1817"/>
      <c r="X34" s="1817"/>
      <c r="Y34" s="1817"/>
      <c r="Z34" s="1817"/>
      <c r="AA34" s="1817"/>
      <c r="AB34" s="1817"/>
      <c r="AC34" s="1817"/>
      <c r="AD34" s="1817"/>
      <c r="AE34" s="1817"/>
      <c r="AF34" s="1817"/>
      <c r="AG34" s="1817"/>
      <c r="AH34" s="1817"/>
      <c r="AI34" s="1817"/>
      <c r="AJ34" s="1817"/>
      <c r="AK34" s="1817"/>
      <c r="AL34" s="1817"/>
      <c r="AM34" s="1817"/>
      <c r="AN34" s="1817"/>
      <c r="AO34" s="1817"/>
      <c r="AP34" s="1817"/>
      <c r="AQ34" s="1817"/>
      <c r="AR34" s="1817"/>
      <c r="AS34" s="1817"/>
      <c r="AT34" s="1817"/>
      <c r="AU34" s="1817"/>
      <c r="AV34" s="1817"/>
      <c r="AW34" s="1817"/>
      <c r="AX34" s="1817"/>
      <c r="AY34" s="1817"/>
      <c r="AZ34" s="1817"/>
      <c r="BA34" s="1817"/>
      <c r="BB34" s="1817"/>
      <c r="BC34" s="1817"/>
      <c r="BD34" s="1817"/>
      <c r="BE34" s="1817"/>
      <c r="BF34" s="1817"/>
      <c r="BG34" s="1817"/>
      <c r="BH34" s="1817"/>
      <c r="BI34" s="1817"/>
      <c r="BJ34" s="1817"/>
      <c r="BK34" s="1817"/>
      <c r="BL34" s="1817"/>
      <c r="BM34" s="1817"/>
      <c r="BN34" s="1817"/>
      <c r="BO34" s="1817"/>
      <c r="BP34" s="1817"/>
      <c r="BQ34" s="1817"/>
      <c r="BR34" s="1817"/>
      <c r="BS34" s="1817"/>
      <c r="BT34" s="1817"/>
      <c r="BU34" s="1817"/>
      <c r="BV34" s="1817"/>
      <c r="BW34" s="1817"/>
      <c r="BX34" s="1817"/>
      <c r="BY34" s="1817"/>
      <c r="BZ34" s="1817"/>
      <c r="CA34" s="1817"/>
      <c r="CB34" s="1817"/>
      <c r="CD34" s="255"/>
    </row>
    <row r="35" spans="1:88" x14ac:dyDescent="0.2">
      <c r="A35" s="1818" t="s">
        <v>71</v>
      </c>
      <c r="B35" s="1819"/>
      <c r="C35" s="1819"/>
      <c r="D35" s="1820"/>
      <c r="E35" s="1818" t="s">
        <v>4</v>
      </c>
      <c r="F35" s="1933"/>
      <c r="G35" s="1933"/>
      <c r="H35" s="1933"/>
      <c r="I35" s="1933"/>
      <c r="J35" s="1933"/>
      <c r="K35" s="1933"/>
      <c r="L35" s="1933"/>
      <c r="M35" s="1933"/>
      <c r="N35" s="1933"/>
      <c r="O35" s="1933"/>
      <c r="P35" s="1933"/>
      <c r="Q35" s="1933"/>
      <c r="R35" s="1933"/>
      <c r="S35" s="1933"/>
      <c r="T35" s="1933"/>
      <c r="U35" s="1933"/>
      <c r="V35" s="1933"/>
      <c r="W35" s="1933"/>
      <c r="X35" s="1933"/>
      <c r="Y35" s="1933"/>
      <c r="Z35" s="1933"/>
      <c r="AA35" s="1933"/>
      <c r="AB35" s="1933"/>
      <c r="AC35" s="1933"/>
      <c r="AD35" s="1933"/>
      <c r="AE35" s="1933"/>
      <c r="AF35" s="1933"/>
      <c r="AG35" s="1933"/>
      <c r="AH35" s="1933"/>
      <c r="AI35" s="1933"/>
      <c r="AJ35" s="1933"/>
      <c r="AK35" s="1933"/>
      <c r="AL35" s="1933"/>
      <c r="AM35" s="1934"/>
      <c r="AN35" s="1781" t="s">
        <v>139</v>
      </c>
      <c r="AO35" s="1925"/>
      <c r="AP35" s="1925"/>
      <c r="AQ35" s="1925"/>
      <c r="AR35" s="1925"/>
      <c r="AS35" s="1925"/>
      <c r="AT35" s="1925"/>
      <c r="AU35" s="1925"/>
      <c r="AV35" s="1925"/>
      <c r="AW35" s="1925"/>
      <c r="AX35" s="1925"/>
      <c r="AY35" s="1925"/>
      <c r="AZ35" s="1925"/>
      <c r="BA35" s="1925"/>
      <c r="BB35" s="1925"/>
      <c r="BC35" s="1782"/>
      <c r="BD35" s="1781" t="s">
        <v>140</v>
      </c>
      <c r="BE35" s="1925"/>
      <c r="BF35" s="1925"/>
      <c r="BG35" s="1925"/>
      <c r="BH35" s="1925"/>
      <c r="BI35" s="1925"/>
      <c r="BJ35" s="1925"/>
      <c r="BK35" s="1925"/>
      <c r="BL35" s="1925"/>
      <c r="BM35" s="1782"/>
      <c r="BN35" s="1818" t="s">
        <v>105</v>
      </c>
      <c r="BO35" s="1819"/>
      <c r="BP35" s="1819"/>
      <c r="BQ35" s="1819"/>
      <c r="BR35" s="1819"/>
      <c r="BS35" s="1819"/>
      <c r="BT35" s="1819"/>
      <c r="BU35" s="1819"/>
      <c r="BV35" s="1819"/>
      <c r="BW35" s="1819"/>
      <c r="BX35" s="1819"/>
      <c r="BY35" s="1819"/>
      <c r="BZ35" s="1819"/>
      <c r="CA35" s="1819"/>
      <c r="CB35" s="1820"/>
      <c r="CC35" s="1799" t="s">
        <v>52</v>
      </c>
      <c r="CD35" s="1806"/>
      <c r="CE35" s="1806"/>
      <c r="CF35" s="1806"/>
      <c r="CG35" s="1806"/>
      <c r="CH35" s="1806"/>
    </row>
    <row r="36" spans="1:88" ht="12.75" customHeight="1" x14ac:dyDescent="0.2">
      <c r="A36" s="1807" t="s">
        <v>77</v>
      </c>
      <c r="B36" s="1808"/>
      <c r="C36" s="1808"/>
      <c r="D36" s="1809"/>
      <c r="E36" s="1935"/>
      <c r="F36" s="1936"/>
      <c r="G36" s="1936"/>
      <c r="H36" s="1936"/>
      <c r="I36" s="1936"/>
      <c r="J36" s="1936"/>
      <c r="K36" s="1936"/>
      <c r="L36" s="1936"/>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7"/>
      <c r="AN36" s="1783"/>
      <c r="AO36" s="1926"/>
      <c r="AP36" s="1926"/>
      <c r="AQ36" s="1926"/>
      <c r="AR36" s="1926"/>
      <c r="AS36" s="1926"/>
      <c r="AT36" s="1926"/>
      <c r="AU36" s="1926"/>
      <c r="AV36" s="1926"/>
      <c r="AW36" s="1926"/>
      <c r="AX36" s="1926"/>
      <c r="AY36" s="1926"/>
      <c r="AZ36" s="1926"/>
      <c r="BA36" s="1926"/>
      <c r="BB36" s="1926"/>
      <c r="BC36" s="1784"/>
      <c r="BD36" s="1783"/>
      <c r="BE36" s="1926"/>
      <c r="BF36" s="1926"/>
      <c r="BG36" s="1926"/>
      <c r="BH36" s="1926"/>
      <c r="BI36" s="1926"/>
      <c r="BJ36" s="1926"/>
      <c r="BK36" s="1926"/>
      <c r="BL36" s="1926"/>
      <c r="BM36" s="1784"/>
      <c r="BN36" s="1807" t="s">
        <v>153</v>
      </c>
      <c r="BO36" s="1808"/>
      <c r="BP36" s="1808"/>
      <c r="BQ36" s="1808"/>
      <c r="BR36" s="1808"/>
      <c r="BS36" s="1808"/>
      <c r="BT36" s="1808"/>
      <c r="BU36" s="1808"/>
      <c r="BV36" s="1808"/>
      <c r="BW36" s="1808"/>
      <c r="BX36" s="1808"/>
      <c r="BY36" s="1808"/>
      <c r="BZ36" s="1808"/>
      <c r="CA36" s="1808"/>
      <c r="CB36" s="1809"/>
      <c r="CC36" s="1789" t="s">
        <v>35</v>
      </c>
      <c r="CD36" s="1810"/>
      <c r="CE36" s="1788" t="s">
        <v>45</v>
      </c>
      <c r="CF36" s="1790"/>
      <c r="CG36" s="1789"/>
      <c r="CH36" s="1778" t="s">
        <v>46</v>
      </c>
    </row>
    <row r="37" spans="1:88" ht="12.75" customHeight="1" x14ac:dyDescent="0.2">
      <c r="A37" s="1807"/>
      <c r="B37" s="1808"/>
      <c r="C37" s="1808"/>
      <c r="D37" s="1809"/>
      <c r="E37" s="1935"/>
      <c r="F37" s="1936"/>
      <c r="G37" s="1936"/>
      <c r="H37" s="1936"/>
      <c r="I37" s="1936"/>
      <c r="J37" s="1936"/>
      <c r="K37" s="1936"/>
      <c r="L37" s="1936"/>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7"/>
      <c r="AN37" s="1783"/>
      <c r="AO37" s="1926"/>
      <c r="AP37" s="1926"/>
      <c r="AQ37" s="1926"/>
      <c r="AR37" s="1926"/>
      <c r="AS37" s="1926"/>
      <c r="AT37" s="1926"/>
      <c r="AU37" s="1926"/>
      <c r="AV37" s="1926"/>
      <c r="AW37" s="1926"/>
      <c r="AX37" s="1926"/>
      <c r="AY37" s="1926"/>
      <c r="AZ37" s="1926"/>
      <c r="BA37" s="1926"/>
      <c r="BB37" s="1926"/>
      <c r="BC37" s="1784"/>
      <c r="BD37" s="1783"/>
      <c r="BE37" s="1926"/>
      <c r="BF37" s="1926"/>
      <c r="BG37" s="1926"/>
      <c r="BH37" s="1926"/>
      <c r="BI37" s="1926"/>
      <c r="BJ37" s="1926"/>
      <c r="BK37" s="1926"/>
      <c r="BL37" s="1926"/>
      <c r="BM37" s="1784"/>
      <c r="BN37" s="1807"/>
      <c r="BO37" s="1808"/>
      <c r="BP37" s="1808"/>
      <c r="BQ37" s="1808"/>
      <c r="BR37" s="1808"/>
      <c r="BS37" s="1808"/>
      <c r="BT37" s="1808"/>
      <c r="BU37" s="1808"/>
      <c r="BV37" s="1808"/>
      <c r="BW37" s="1808"/>
      <c r="BX37" s="1808"/>
      <c r="BY37" s="1808"/>
      <c r="BZ37" s="1808"/>
      <c r="CA37" s="1808"/>
      <c r="CB37" s="1809"/>
      <c r="CC37" s="1930" t="s">
        <v>43</v>
      </c>
      <c r="CD37" s="1811" t="s">
        <v>44</v>
      </c>
      <c r="CE37" s="1812" t="s">
        <v>55</v>
      </c>
      <c r="CF37" s="1811" t="s">
        <v>43</v>
      </c>
      <c r="CG37" s="1811" t="s">
        <v>44</v>
      </c>
      <c r="CH37" s="1779"/>
    </row>
    <row r="38" spans="1:88" x14ac:dyDescent="0.2">
      <c r="A38" s="1814"/>
      <c r="B38" s="1815"/>
      <c r="C38" s="1815"/>
      <c r="D38" s="1816"/>
      <c r="E38" s="1938"/>
      <c r="F38" s="1939"/>
      <c r="G38" s="1939"/>
      <c r="H38" s="1939"/>
      <c r="I38" s="1939"/>
      <c r="J38" s="1939"/>
      <c r="K38" s="1939"/>
      <c r="L38" s="1939"/>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40"/>
      <c r="AN38" s="1785"/>
      <c r="AO38" s="1927"/>
      <c r="AP38" s="1927"/>
      <c r="AQ38" s="1927"/>
      <c r="AR38" s="1927"/>
      <c r="AS38" s="1927"/>
      <c r="AT38" s="1927"/>
      <c r="AU38" s="1927"/>
      <c r="AV38" s="1927"/>
      <c r="AW38" s="1927"/>
      <c r="AX38" s="1927"/>
      <c r="AY38" s="1927"/>
      <c r="AZ38" s="1927"/>
      <c r="BA38" s="1927"/>
      <c r="BB38" s="1927"/>
      <c r="BC38" s="1786"/>
      <c r="BD38" s="1785"/>
      <c r="BE38" s="1927"/>
      <c r="BF38" s="1927"/>
      <c r="BG38" s="1927"/>
      <c r="BH38" s="1927"/>
      <c r="BI38" s="1927"/>
      <c r="BJ38" s="1927"/>
      <c r="BK38" s="1927"/>
      <c r="BL38" s="1927"/>
      <c r="BM38" s="1786"/>
      <c r="BN38" s="1814"/>
      <c r="BO38" s="1815"/>
      <c r="BP38" s="1815"/>
      <c r="BQ38" s="1815"/>
      <c r="BR38" s="1815"/>
      <c r="BS38" s="1815"/>
      <c r="BT38" s="1815"/>
      <c r="BU38" s="1815"/>
      <c r="BV38" s="1815"/>
      <c r="BW38" s="1815"/>
      <c r="BX38" s="1815"/>
      <c r="BY38" s="1815"/>
      <c r="BZ38" s="1815"/>
      <c r="CA38" s="1815"/>
      <c r="CB38" s="1816"/>
      <c r="CC38" s="1930"/>
      <c r="CD38" s="1811"/>
      <c r="CE38" s="1813"/>
      <c r="CF38" s="1811"/>
      <c r="CG38" s="1811"/>
      <c r="CH38" s="1780"/>
    </row>
    <row r="39" spans="1:88" x14ac:dyDescent="0.2">
      <c r="A39" s="1814">
        <v>1</v>
      </c>
      <c r="B39" s="1815"/>
      <c r="C39" s="1815"/>
      <c r="D39" s="1816"/>
      <c r="E39" s="1770">
        <v>2</v>
      </c>
      <c r="F39" s="1944"/>
      <c r="G39" s="1944"/>
      <c r="H39" s="1944"/>
      <c r="I39" s="1944"/>
      <c r="J39" s="1944"/>
      <c r="K39" s="1944"/>
      <c r="L39" s="1944"/>
      <c r="M39" s="1944"/>
      <c r="N39" s="1944"/>
      <c r="O39" s="1944"/>
      <c r="P39" s="1944"/>
      <c r="Q39" s="1944"/>
      <c r="R39" s="1944"/>
      <c r="S39" s="1944"/>
      <c r="T39" s="1944"/>
      <c r="U39" s="1944"/>
      <c r="V39" s="1944"/>
      <c r="W39" s="1944"/>
      <c r="X39" s="1944"/>
      <c r="Y39" s="1944"/>
      <c r="Z39" s="1944"/>
      <c r="AA39" s="1944"/>
      <c r="AB39" s="1944"/>
      <c r="AC39" s="1944"/>
      <c r="AD39" s="1944"/>
      <c r="AE39" s="1944"/>
      <c r="AF39" s="1944"/>
      <c r="AG39" s="1944"/>
      <c r="AH39" s="1944"/>
      <c r="AI39" s="1944"/>
      <c r="AJ39" s="1944"/>
      <c r="AK39" s="1944"/>
      <c r="AL39" s="1944"/>
      <c r="AM39" s="1945"/>
      <c r="AN39" s="1770">
        <v>3</v>
      </c>
      <c r="AO39" s="1944"/>
      <c r="AP39" s="1944"/>
      <c r="AQ39" s="1944"/>
      <c r="AR39" s="1944"/>
      <c r="AS39" s="1944"/>
      <c r="AT39" s="1944"/>
      <c r="AU39" s="1944"/>
      <c r="AV39" s="1944"/>
      <c r="AW39" s="1944"/>
      <c r="AX39" s="1944"/>
      <c r="AY39" s="1944"/>
      <c r="AZ39" s="1944"/>
      <c r="BA39" s="1944"/>
      <c r="BB39" s="1944"/>
      <c r="BC39" s="1945"/>
      <c r="BD39" s="1770">
        <v>4</v>
      </c>
      <c r="BE39" s="1546"/>
      <c r="BF39" s="1546"/>
      <c r="BG39" s="1546"/>
      <c r="BH39" s="1546"/>
      <c r="BI39" s="1546"/>
      <c r="BJ39" s="1546"/>
      <c r="BK39" s="1546"/>
      <c r="BL39" s="1546"/>
      <c r="BM39" s="1547"/>
      <c r="BN39" s="1830" t="s">
        <v>49</v>
      </c>
      <c r="BO39" s="1830"/>
      <c r="BP39" s="1830"/>
      <c r="BQ39" s="1830"/>
      <c r="BR39" s="1830"/>
      <c r="BS39" s="1830"/>
      <c r="BT39" s="1830"/>
      <c r="BU39" s="1830"/>
      <c r="BV39" s="1830"/>
      <c r="BW39" s="1830"/>
      <c r="BX39" s="1830"/>
      <c r="BY39" s="1830"/>
      <c r="BZ39" s="1830"/>
      <c r="CA39" s="1830"/>
      <c r="CB39" s="1830"/>
      <c r="CC39" s="249">
        <v>6</v>
      </c>
      <c r="CD39" s="249">
        <v>7</v>
      </c>
      <c r="CE39" s="250">
        <v>8</v>
      </c>
      <c r="CF39" s="249">
        <v>9</v>
      </c>
      <c r="CG39" s="249">
        <v>10</v>
      </c>
      <c r="CH39" s="252">
        <v>11</v>
      </c>
    </row>
    <row r="40" spans="1:88" ht="30" hidden="1" customHeight="1" x14ac:dyDescent="0.2">
      <c r="A40" s="1803"/>
      <c r="B40" s="1804"/>
      <c r="C40" s="1804"/>
      <c r="D40" s="1805"/>
      <c r="E40" s="1843"/>
      <c r="F40" s="1946"/>
      <c r="G40" s="1946"/>
      <c r="H40" s="1946"/>
      <c r="I40" s="1946"/>
      <c r="J40" s="1946"/>
      <c r="K40" s="1946"/>
      <c r="L40" s="1946"/>
      <c r="M40" s="1946"/>
      <c r="N40" s="1946"/>
      <c r="O40" s="1946"/>
      <c r="P40" s="1946"/>
      <c r="Q40" s="1946"/>
      <c r="R40" s="1946"/>
      <c r="S40" s="1946"/>
      <c r="T40" s="1946"/>
      <c r="U40" s="1946"/>
      <c r="V40" s="1946"/>
      <c r="W40" s="1946"/>
      <c r="X40" s="1946"/>
      <c r="Y40" s="1946"/>
      <c r="Z40" s="1946"/>
      <c r="AA40" s="1946"/>
      <c r="AB40" s="1946"/>
      <c r="AC40" s="1946"/>
      <c r="AD40" s="1946"/>
      <c r="AE40" s="1946"/>
      <c r="AF40" s="1946"/>
      <c r="AG40" s="1946"/>
      <c r="AH40" s="1946"/>
      <c r="AI40" s="1946"/>
      <c r="AJ40" s="1946"/>
      <c r="AK40" s="1946"/>
      <c r="AL40" s="1946"/>
      <c r="AM40" s="1947"/>
      <c r="AN40" s="1843"/>
      <c r="AO40" s="1946"/>
      <c r="AP40" s="1946"/>
      <c r="AQ40" s="1946"/>
      <c r="AR40" s="1946"/>
      <c r="AS40" s="1946"/>
      <c r="AT40" s="1946"/>
      <c r="AU40" s="1946"/>
      <c r="AV40" s="1946"/>
      <c r="AW40" s="1946"/>
      <c r="AX40" s="1946"/>
      <c r="AY40" s="1946"/>
      <c r="AZ40" s="1946"/>
      <c r="BA40" s="1946"/>
      <c r="BB40" s="1946"/>
      <c r="BC40" s="1947"/>
      <c r="BD40" s="1901"/>
      <c r="BE40" s="1546"/>
      <c r="BF40" s="1546"/>
      <c r="BG40" s="1546"/>
      <c r="BH40" s="1546"/>
      <c r="BI40" s="1546"/>
      <c r="BJ40" s="1546"/>
      <c r="BK40" s="1546"/>
      <c r="BL40" s="1546"/>
      <c r="BM40" s="1547"/>
      <c r="BN40" s="1852"/>
      <c r="BO40" s="1853"/>
      <c r="BP40" s="1853"/>
      <c r="BQ40" s="1853"/>
      <c r="BR40" s="1853"/>
      <c r="BS40" s="1853"/>
      <c r="BT40" s="1853"/>
      <c r="BU40" s="1853"/>
      <c r="BV40" s="1853"/>
      <c r="BW40" s="1853"/>
      <c r="BX40" s="1853"/>
      <c r="BY40" s="1853"/>
      <c r="BZ40" s="1853"/>
      <c r="CA40" s="1853"/>
      <c r="CB40" s="1854"/>
      <c r="CC40" s="17"/>
      <c r="CD40" s="23"/>
      <c r="CE40" s="17"/>
      <c r="CF40" s="256"/>
      <c r="CG40" s="256"/>
      <c r="CH40" s="17"/>
    </row>
    <row r="41" spans="1:88" ht="29.25" customHeight="1" x14ac:dyDescent="0.2">
      <c r="A41" s="1843">
        <v>1</v>
      </c>
      <c r="B41" s="1844"/>
      <c r="C41" s="1844"/>
      <c r="D41" s="1845"/>
      <c r="E41" s="1904" t="s">
        <v>1189</v>
      </c>
      <c r="F41" s="1917"/>
      <c r="G41" s="1917"/>
      <c r="H41" s="1917"/>
      <c r="I41" s="1917"/>
      <c r="J41" s="1917"/>
      <c r="K41" s="1917"/>
      <c r="L41" s="1917"/>
      <c r="M41" s="1917"/>
      <c r="N41" s="1917"/>
      <c r="O41" s="1917"/>
      <c r="P41" s="1917"/>
      <c r="Q41" s="1917"/>
      <c r="R41" s="1917"/>
      <c r="S41" s="1917"/>
      <c r="T41" s="1917"/>
      <c r="U41" s="1917"/>
      <c r="V41" s="1917"/>
      <c r="W41" s="1917"/>
      <c r="X41" s="1917"/>
      <c r="Y41" s="1917"/>
      <c r="Z41" s="1917"/>
      <c r="AA41" s="1917"/>
      <c r="AB41" s="1917"/>
      <c r="AC41" s="1917"/>
      <c r="AD41" s="1917"/>
      <c r="AE41" s="1917"/>
      <c r="AF41" s="1917"/>
      <c r="AG41" s="1917"/>
      <c r="AH41" s="1917"/>
      <c r="AI41" s="1917"/>
      <c r="AJ41" s="1917"/>
      <c r="AK41" s="1917"/>
      <c r="AL41" s="1917"/>
      <c r="AM41" s="1918"/>
      <c r="AN41" s="1919">
        <v>4487.16</v>
      </c>
      <c r="AO41" s="1920"/>
      <c r="AP41" s="1920"/>
      <c r="AQ41" s="1920"/>
      <c r="AR41" s="1920"/>
      <c r="AS41" s="1920"/>
      <c r="AT41" s="1920"/>
      <c r="AU41" s="1920"/>
      <c r="AV41" s="1920"/>
      <c r="AW41" s="1920"/>
      <c r="AX41" s="1920"/>
      <c r="AY41" s="1920"/>
      <c r="AZ41" s="1920"/>
      <c r="BA41" s="1920"/>
      <c r="BB41" s="1920"/>
      <c r="BC41" s="1921"/>
      <c r="BD41" s="1901">
        <v>12</v>
      </c>
      <c r="BE41" s="1546"/>
      <c r="BF41" s="1546"/>
      <c r="BG41" s="1546"/>
      <c r="BH41" s="1546"/>
      <c r="BI41" s="1546"/>
      <c r="BJ41" s="1546"/>
      <c r="BK41" s="1546"/>
      <c r="BL41" s="1546"/>
      <c r="BM41" s="1547"/>
      <c r="BN41" s="1852">
        <f>AN41*BD41</f>
        <v>53845.919999999998</v>
      </c>
      <c r="BO41" s="1853"/>
      <c r="BP41" s="1853"/>
      <c r="BQ41" s="1853"/>
      <c r="BR41" s="1853"/>
      <c r="BS41" s="1853"/>
      <c r="BT41" s="1853"/>
      <c r="BU41" s="1853"/>
      <c r="BV41" s="1853"/>
      <c r="BW41" s="1853"/>
      <c r="BX41" s="1853"/>
      <c r="BY41" s="1853"/>
      <c r="BZ41" s="1853"/>
      <c r="CA41" s="1853"/>
      <c r="CB41" s="1854"/>
      <c r="CC41" s="17"/>
      <c r="CD41" s="23">
        <f t="shared" ref="CD41:CD43" si="5">BN41</f>
        <v>53845.919999999998</v>
      </c>
      <c r="CE41" s="50"/>
      <c r="CF41" s="17"/>
      <c r="CG41" s="17"/>
      <c r="CH41" s="17"/>
    </row>
    <row r="42" spans="1:88" ht="19.5" customHeight="1" x14ac:dyDescent="0.2">
      <c r="A42" s="1803">
        <v>2</v>
      </c>
      <c r="B42" s="1804"/>
      <c r="C42" s="1804"/>
      <c r="D42" s="1805"/>
      <c r="E42" s="1904" t="s">
        <v>154</v>
      </c>
      <c r="F42" s="1917"/>
      <c r="G42" s="1917"/>
      <c r="H42" s="1917"/>
      <c r="I42" s="1917"/>
      <c r="J42" s="1917"/>
      <c r="K42" s="1917"/>
      <c r="L42" s="1917"/>
      <c r="M42" s="1917"/>
      <c r="N42" s="1917"/>
      <c r="O42" s="1917"/>
      <c r="P42" s="1917"/>
      <c r="Q42" s="1917"/>
      <c r="R42" s="1917"/>
      <c r="S42" s="1917"/>
      <c r="T42" s="1917"/>
      <c r="U42" s="1917"/>
      <c r="V42" s="1917"/>
      <c r="W42" s="1917"/>
      <c r="X42" s="1917"/>
      <c r="Y42" s="1917"/>
      <c r="Z42" s="1917"/>
      <c r="AA42" s="1917"/>
      <c r="AB42" s="1917"/>
      <c r="AC42" s="1917"/>
      <c r="AD42" s="1917"/>
      <c r="AE42" s="1917"/>
      <c r="AF42" s="1917"/>
      <c r="AG42" s="1917"/>
      <c r="AH42" s="1917"/>
      <c r="AI42" s="1917"/>
      <c r="AJ42" s="1917"/>
      <c r="AK42" s="1917"/>
      <c r="AL42" s="1917"/>
      <c r="AM42" s="1918"/>
      <c r="AN42" s="1919">
        <f>CD42</f>
        <v>106000</v>
      </c>
      <c r="AO42" s="1920"/>
      <c r="AP42" s="1920"/>
      <c r="AQ42" s="1920"/>
      <c r="AR42" s="1920"/>
      <c r="AS42" s="1920"/>
      <c r="AT42" s="1920"/>
      <c r="AU42" s="1920"/>
      <c r="AV42" s="1920"/>
      <c r="AW42" s="1920"/>
      <c r="AX42" s="1920"/>
      <c r="AY42" s="1920"/>
      <c r="AZ42" s="1920"/>
      <c r="BA42" s="1920"/>
      <c r="BB42" s="1920"/>
      <c r="BC42" s="1921"/>
      <c r="BD42" s="1901">
        <v>1</v>
      </c>
      <c r="BE42" s="1546"/>
      <c r="BF42" s="1546"/>
      <c r="BG42" s="1546"/>
      <c r="BH42" s="1546"/>
      <c r="BI42" s="1546"/>
      <c r="BJ42" s="1546"/>
      <c r="BK42" s="1546"/>
      <c r="BL42" s="1546"/>
      <c r="BM42" s="1547"/>
      <c r="BN42" s="1852">
        <f>AN42</f>
        <v>106000</v>
      </c>
      <c r="BO42" s="1853"/>
      <c r="BP42" s="1853"/>
      <c r="BQ42" s="1853"/>
      <c r="BR42" s="1853"/>
      <c r="BS42" s="1853"/>
      <c r="BT42" s="1853"/>
      <c r="BU42" s="1853"/>
      <c r="BV42" s="1853"/>
      <c r="BW42" s="1853"/>
      <c r="BX42" s="1853"/>
      <c r="BY42" s="1853"/>
      <c r="BZ42" s="1853"/>
      <c r="CA42" s="1853"/>
      <c r="CB42" s="1854"/>
      <c r="CC42" s="17"/>
      <c r="CD42" s="23">
        <f>110500-4500</f>
        <v>106000</v>
      </c>
      <c r="CE42" s="986"/>
      <c r="CF42" s="17"/>
      <c r="CG42" s="17"/>
      <c r="CH42" s="17"/>
      <c r="CI42" s="1071"/>
      <c r="CJ42" s="52"/>
    </row>
    <row r="43" spans="1:88" ht="31.5" customHeight="1" x14ac:dyDescent="0.2">
      <c r="A43" s="1803">
        <v>3</v>
      </c>
      <c r="B43" s="1804"/>
      <c r="C43" s="1804"/>
      <c r="D43" s="1805"/>
      <c r="E43" s="1904" t="s">
        <v>642</v>
      </c>
      <c r="F43" s="1917"/>
      <c r="G43" s="1917"/>
      <c r="H43" s="1917"/>
      <c r="I43" s="1917"/>
      <c r="J43" s="1917"/>
      <c r="K43" s="1917"/>
      <c r="L43" s="1917"/>
      <c r="M43" s="1917"/>
      <c r="N43" s="1917"/>
      <c r="O43" s="1917"/>
      <c r="P43" s="1917"/>
      <c r="Q43" s="1917"/>
      <c r="R43" s="1917"/>
      <c r="S43" s="1917"/>
      <c r="T43" s="1917"/>
      <c r="U43" s="1917"/>
      <c r="V43" s="1917"/>
      <c r="W43" s="1917"/>
      <c r="X43" s="1917"/>
      <c r="Y43" s="1917"/>
      <c r="Z43" s="1917"/>
      <c r="AA43" s="1917"/>
      <c r="AB43" s="1917"/>
      <c r="AC43" s="1917"/>
      <c r="AD43" s="1917"/>
      <c r="AE43" s="1917"/>
      <c r="AF43" s="1917"/>
      <c r="AG43" s="1917"/>
      <c r="AH43" s="1917"/>
      <c r="AI43" s="1917"/>
      <c r="AJ43" s="1917"/>
      <c r="AK43" s="1917"/>
      <c r="AL43" s="1917"/>
      <c r="AM43" s="1918"/>
      <c r="AN43" s="1941">
        <v>5060</v>
      </c>
      <c r="AO43" s="1942"/>
      <c r="AP43" s="1942"/>
      <c r="AQ43" s="1942"/>
      <c r="AR43" s="1942"/>
      <c r="AS43" s="1942"/>
      <c r="AT43" s="1942"/>
      <c r="AU43" s="1942"/>
      <c r="AV43" s="1942"/>
      <c r="AW43" s="1942"/>
      <c r="AX43" s="1942"/>
      <c r="AY43" s="1942"/>
      <c r="AZ43" s="1942"/>
      <c r="BA43" s="1942"/>
      <c r="BB43" s="1942"/>
      <c r="BC43" s="1943"/>
      <c r="BD43" s="1901">
        <v>12</v>
      </c>
      <c r="BE43" s="1546"/>
      <c r="BF43" s="1546"/>
      <c r="BG43" s="1546"/>
      <c r="BH43" s="1546"/>
      <c r="BI43" s="1546"/>
      <c r="BJ43" s="1546"/>
      <c r="BK43" s="1546"/>
      <c r="BL43" s="1546"/>
      <c r="BM43" s="1547"/>
      <c r="BN43" s="1852">
        <f>AN43*BD43</f>
        <v>60720</v>
      </c>
      <c r="BO43" s="1853"/>
      <c r="BP43" s="1853"/>
      <c r="BQ43" s="1853"/>
      <c r="BR43" s="1853"/>
      <c r="BS43" s="1853"/>
      <c r="BT43" s="1853"/>
      <c r="BU43" s="1853"/>
      <c r="BV43" s="1853"/>
      <c r="BW43" s="1853"/>
      <c r="BX43" s="1853"/>
      <c r="BY43" s="1853"/>
      <c r="BZ43" s="1853"/>
      <c r="CA43" s="1853"/>
      <c r="CB43" s="1854"/>
      <c r="CC43" s="17"/>
      <c r="CD43" s="23">
        <f t="shared" si="5"/>
        <v>60720</v>
      </c>
      <c r="CE43" s="50"/>
      <c r="CF43" s="17"/>
      <c r="CG43" s="17"/>
      <c r="CH43" s="17"/>
      <c r="CI43" s="1071"/>
      <c r="CJ43" s="52"/>
    </row>
    <row r="44" spans="1:88" ht="91.5" customHeight="1" x14ac:dyDescent="0.2">
      <c r="A44" s="1803">
        <v>4</v>
      </c>
      <c r="B44" s="1804"/>
      <c r="C44" s="1804"/>
      <c r="D44" s="1805"/>
      <c r="E44" s="1904" t="s">
        <v>1202</v>
      </c>
      <c r="F44" s="1917"/>
      <c r="G44" s="1917"/>
      <c r="H44" s="1917"/>
      <c r="I44" s="1917"/>
      <c r="J44" s="1917"/>
      <c r="K44" s="1917"/>
      <c r="L44" s="1917"/>
      <c r="M44" s="1917"/>
      <c r="N44" s="1917"/>
      <c r="O44" s="1917"/>
      <c r="P44" s="1917"/>
      <c r="Q44" s="1917"/>
      <c r="R44" s="1917"/>
      <c r="S44" s="1917"/>
      <c r="T44" s="1917"/>
      <c r="U44" s="1917"/>
      <c r="V44" s="1917"/>
      <c r="W44" s="1917"/>
      <c r="X44" s="1917"/>
      <c r="Y44" s="1917"/>
      <c r="Z44" s="1917"/>
      <c r="AA44" s="1917"/>
      <c r="AB44" s="1917"/>
      <c r="AC44" s="1917"/>
      <c r="AD44" s="1917"/>
      <c r="AE44" s="1917"/>
      <c r="AF44" s="1917"/>
      <c r="AG44" s="1917"/>
      <c r="AH44" s="1917"/>
      <c r="AI44" s="1917"/>
      <c r="AJ44" s="1917"/>
      <c r="AK44" s="1917"/>
      <c r="AL44" s="1917"/>
      <c r="AM44" s="1918"/>
      <c r="AN44" s="1919">
        <f>CD44</f>
        <v>35794</v>
      </c>
      <c r="AO44" s="1920"/>
      <c r="AP44" s="1920"/>
      <c r="AQ44" s="1920"/>
      <c r="AR44" s="1920"/>
      <c r="AS44" s="1920"/>
      <c r="AT44" s="1920"/>
      <c r="AU44" s="1920"/>
      <c r="AV44" s="1920"/>
      <c r="AW44" s="1920"/>
      <c r="AX44" s="1920"/>
      <c r="AY44" s="1920"/>
      <c r="AZ44" s="1920"/>
      <c r="BA44" s="1920"/>
      <c r="BB44" s="1920"/>
      <c r="BC44" s="1921"/>
      <c r="BD44" s="1901">
        <v>1</v>
      </c>
      <c r="BE44" s="1546"/>
      <c r="BF44" s="1546"/>
      <c r="BG44" s="1546"/>
      <c r="BH44" s="1546"/>
      <c r="BI44" s="1546"/>
      <c r="BJ44" s="1546"/>
      <c r="BK44" s="1546"/>
      <c r="BL44" s="1546"/>
      <c r="BM44" s="1547"/>
      <c r="BN44" s="1852">
        <f t="shared" ref="BN44" si="6">AN44*BD44</f>
        <v>35794</v>
      </c>
      <c r="BO44" s="1853"/>
      <c r="BP44" s="1853"/>
      <c r="BQ44" s="1853"/>
      <c r="BR44" s="1853"/>
      <c r="BS44" s="1853"/>
      <c r="BT44" s="1853"/>
      <c r="BU44" s="1853"/>
      <c r="BV44" s="1853"/>
      <c r="BW44" s="1853"/>
      <c r="BX44" s="1853"/>
      <c r="BY44" s="1853"/>
      <c r="BZ44" s="1853"/>
      <c r="CA44" s="1853"/>
      <c r="CB44" s="1854"/>
      <c r="CC44" s="17"/>
      <c r="CD44" s="23">
        <f>23830-194.08+5158.08+7000</f>
        <v>35794</v>
      </c>
      <c r="CE44" s="1032"/>
      <c r="CF44" s="17"/>
      <c r="CG44" s="17"/>
      <c r="CH44" s="17"/>
      <c r="CI44" s="1071"/>
    </row>
    <row r="45" spans="1:88" ht="18.75" customHeight="1" x14ac:dyDescent="0.2">
      <c r="A45" s="1803">
        <v>5</v>
      </c>
      <c r="B45" s="1804"/>
      <c r="C45" s="1804"/>
      <c r="D45" s="1805"/>
      <c r="E45" s="1904" t="s">
        <v>593</v>
      </c>
      <c r="F45" s="1917"/>
      <c r="G45" s="1917"/>
      <c r="H45" s="1917"/>
      <c r="I45" s="1917"/>
      <c r="J45" s="1917"/>
      <c r="K45" s="1917"/>
      <c r="L45" s="1917"/>
      <c r="M45" s="1917"/>
      <c r="N45" s="1917"/>
      <c r="O45" s="1917"/>
      <c r="P45" s="1917"/>
      <c r="Q45" s="1917"/>
      <c r="R45" s="1917"/>
      <c r="S45" s="1917"/>
      <c r="T45" s="1917"/>
      <c r="U45" s="1917"/>
      <c r="V45" s="1917"/>
      <c r="W45" s="1917"/>
      <c r="X45" s="1917"/>
      <c r="Y45" s="1917"/>
      <c r="Z45" s="1917"/>
      <c r="AA45" s="1917"/>
      <c r="AB45" s="1917"/>
      <c r="AC45" s="1917"/>
      <c r="AD45" s="1917"/>
      <c r="AE45" s="1917"/>
      <c r="AF45" s="1917"/>
      <c r="AG45" s="1917"/>
      <c r="AH45" s="1917"/>
      <c r="AI45" s="1917"/>
      <c r="AJ45" s="1917"/>
      <c r="AK45" s="1917"/>
      <c r="AL45" s="1917"/>
      <c r="AM45" s="1918"/>
      <c r="AN45" s="1948">
        <f>CD45</f>
        <v>15128.04</v>
      </c>
      <c r="AO45" s="1942"/>
      <c r="AP45" s="1942"/>
      <c r="AQ45" s="1942"/>
      <c r="AR45" s="1942"/>
      <c r="AS45" s="1942"/>
      <c r="AT45" s="1942"/>
      <c r="AU45" s="1942"/>
      <c r="AV45" s="1942"/>
      <c r="AW45" s="1942"/>
      <c r="AX45" s="1942"/>
      <c r="AY45" s="1942"/>
      <c r="AZ45" s="1942"/>
      <c r="BA45" s="1942"/>
      <c r="BB45" s="1942"/>
      <c r="BC45" s="1943"/>
      <c r="BD45" s="1901">
        <v>1</v>
      </c>
      <c r="BE45" s="1546"/>
      <c r="BF45" s="1546"/>
      <c r="BG45" s="1546"/>
      <c r="BH45" s="1546"/>
      <c r="BI45" s="1546"/>
      <c r="BJ45" s="1546"/>
      <c r="BK45" s="1546"/>
      <c r="BL45" s="1546"/>
      <c r="BM45" s="1547"/>
      <c r="BN45" s="1852">
        <f>AN45</f>
        <v>15128.04</v>
      </c>
      <c r="BO45" s="1853"/>
      <c r="BP45" s="1853"/>
      <c r="BQ45" s="1853"/>
      <c r="BR45" s="1853"/>
      <c r="BS45" s="1853"/>
      <c r="BT45" s="1853"/>
      <c r="BU45" s="1853"/>
      <c r="BV45" s="1853"/>
      <c r="BW45" s="1853"/>
      <c r="BX45" s="1853"/>
      <c r="BY45" s="1853"/>
      <c r="BZ45" s="1853"/>
      <c r="CA45" s="1853"/>
      <c r="CB45" s="1854"/>
      <c r="CC45" s="17"/>
      <c r="CD45" s="23">
        <f>20000-12570+1500+194.08+4500+1503.96</f>
        <v>15128.04</v>
      </c>
      <c r="CE45" s="1035"/>
      <c r="CF45" s="17"/>
      <c r="CG45" s="17"/>
      <c r="CH45" s="17"/>
      <c r="CI45" s="1071"/>
    </row>
    <row r="46" spans="1:88" ht="17.25" customHeight="1" x14ac:dyDescent="0.2">
      <c r="A46" s="1803">
        <v>6</v>
      </c>
      <c r="B46" s="1804"/>
      <c r="C46" s="1804"/>
      <c r="D46" s="1805"/>
      <c r="E46" s="1904" t="s">
        <v>1194</v>
      </c>
      <c r="F46" s="1917"/>
      <c r="G46" s="1917"/>
      <c r="H46" s="1917"/>
      <c r="I46" s="1917"/>
      <c r="J46" s="1917"/>
      <c r="K46" s="1917"/>
      <c r="L46" s="1917"/>
      <c r="M46" s="1917"/>
      <c r="N46" s="1917"/>
      <c r="O46" s="1917"/>
      <c r="P46" s="1917"/>
      <c r="Q46" s="1917"/>
      <c r="R46" s="1917"/>
      <c r="S46" s="1917"/>
      <c r="T46" s="1917"/>
      <c r="U46" s="1917"/>
      <c r="V46" s="1917"/>
      <c r="W46" s="1917"/>
      <c r="X46" s="1917"/>
      <c r="Y46" s="1917"/>
      <c r="Z46" s="1917"/>
      <c r="AA46" s="1917"/>
      <c r="AB46" s="1917"/>
      <c r="AC46" s="1917"/>
      <c r="AD46" s="1917"/>
      <c r="AE46" s="1917"/>
      <c r="AF46" s="1917"/>
      <c r="AG46" s="1917"/>
      <c r="AH46" s="1917"/>
      <c r="AI46" s="1917"/>
      <c r="AJ46" s="1917"/>
      <c r="AK46" s="1917"/>
      <c r="AL46" s="1917"/>
      <c r="AM46" s="1918"/>
      <c r="AN46" s="1919">
        <v>20250</v>
      </c>
      <c r="AO46" s="1920"/>
      <c r="AP46" s="1920"/>
      <c r="AQ46" s="1920"/>
      <c r="AR46" s="1920"/>
      <c r="AS46" s="1920"/>
      <c r="AT46" s="1920"/>
      <c r="AU46" s="1920"/>
      <c r="AV46" s="1920"/>
      <c r="AW46" s="1920"/>
      <c r="AX46" s="1920"/>
      <c r="AY46" s="1920"/>
      <c r="AZ46" s="1920"/>
      <c r="BA46" s="1920"/>
      <c r="BB46" s="1920"/>
      <c r="BC46" s="1921"/>
      <c r="BD46" s="1901">
        <v>1</v>
      </c>
      <c r="BE46" s="1546"/>
      <c r="BF46" s="1546"/>
      <c r="BG46" s="1546"/>
      <c r="BH46" s="1546"/>
      <c r="BI46" s="1546"/>
      <c r="BJ46" s="1546"/>
      <c r="BK46" s="1546"/>
      <c r="BL46" s="1546"/>
      <c r="BM46" s="1547"/>
      <c r="BN46" s="1852">
        <f>CC46+CD46+CF46+CG46+CH46</f>
        <v>20250</v>
      </c>
      <c r="BO46" s="1853"/>
      <c r="BP46" s="1853"/>
      <c r="BQ46" s="1853"/>
      <c r="BR46" s="1853"/>
      <c r="BS46" s="1853"/>
      <c r="BT46" s="1853"/>
      <c r="BU46" s="1853"/>
      <c r="BV46" s="1853"/>
      <c r="BW46" s="1853"/>
      <c r="BX46" s="1853"/>
      <c r="BY46" s="1853"/>
      <c r="BZ46" s="1853"/>
      <c r="CA46" s="1853"/>
      <c r="CB46" s="1854"/>
      <c r="CC46" s="17"/>
      <c r="CD46" s="23">
        <f>18900+1350</f>
        <v>20250</v>
      </c>
      <c r="CE46" s="50"/>
      <c r="CF46" s="17"/>
      <c r="CG46" s="17"/>
      <c r="CH46" s="242"/>
    </row>
    <row r="47" spans="1:88" ht="28.9" customHeight="1" x14ac:dyDescent="0.3">
      <c r="A47" s="1843">
        <v>7</v>
      </c>
      <c r="B47" s="1844"/>
      <c r="C47" s="1844"/>
      <c r="D47" s="1845"/>
      <c r="E47" s="1904" t="s">
        <v>1518</v>
      </c>
      <c r="F47" s="1917"/>
      <c r="G47" s="1917"/>
      <c r="H47" s="1917"/>
      <c r="I47" s="1917"/>
      <c r="J47" s="1917"/>
      <c r="K47" s="1917"/>
      <c r="L47" s="1917"/>
      <c r="M47" s="1917"/>
      <c r="N47" s="1917"/>
      <c r="O47" s="1917"/>
      <c r="P47" s="1917"/>
      <c r="Q47" s="1917"/>
      <c r="R47" s="1917"/>
      <c r="S47" s="1917"/>
      <c r="T47" s="1917"/>
      <c r="U47" s="1917"/>
      <c r="V47" s="1917"/>
      <c r="W47" s="1917"/>
      <c r="X47" s="1917"/>
      <c r="Y47" s="1917"/>
      <c r="Z47" s="1917"/>
      <c r="AA47" s="1917"/>
      <c r="AB47" s="1917"/>
      <c r="AC47" s="1917"/>
      <c r="AD47" s="1917"/>
      <c r="AE47" s="1917"/>
      <c r="AF47" s="1917"/>
      <c r="AG47" s="1917"/>
      <c r="AH47" s="1917"/>
      <c r="AI47" s="1917"/>
      <c r="AJ47" s="1917"/>
      <c r="AK47" s="1917"/>
      <c r="AL47" s="1917"/>
      <c r="AM47" s="1918"/>
      <c r="AN47" s="1919">
        <v>9000</v>
      </c>
      <c r="AO47" s="1920"/>
      <c r="AP47" s="1920"/>
      <c r="AQ47" s="1920"/>
      <c r="AR47" s="1920"/>
      <c r="AS47" s="1920"/>
      <c r="AT47" s="1920"/>
      <c r="AU47" s="1920"/>
      <c r="AV47" s="1920"/>
      <c r="AW47" s="1920"/>
      <c r="AX47" s="1920"/>
      <c r="AY47" s="1920"/>
      <c r="AZ47" s="1920"/>
      <c r="BA47" s="1920"/>
      <c r="BB47" s="1920"/>
      <c r="BC47" s="1921"/>
      <c r="BD47" s="1901">
        <v>1</v>
      </c>
      <c r="BE47" s="1546"/>
      <c r="BF47" s="1546"/>
      <c r="BG47" s="1546"/>
      <c r="BH47" s="1546"/>
      <c r="BI47" s="1546"/>
      <c r="BJ47" s="1546"/>
      <c r="BK47" s="1546"/>
      <c r="BL47" s="1546"/>
      <c r="BM47" s="1547"/>
      <c r="BN47" s="1852">
        <f>CC47+CD47+CF47+CG47+CH47</f>
        <v>9000</v>
      </c>
      <c r="BO47" s="1853"/>
      <c r="BP47" s="1853"/>
      <c r="BQ47" s="1853"/>
      <c r="BR47" s="1853"/>
      <c r="BS47" s="1853"/>
      <c r="BT47" s="1853"/>
      <c r="BU47" s="1853"/>
      <c r="BV47" s="1853"/>
      <c r="BW47" s="1853"/>
      <c r="BX47" s="1853"/>
      <c r="BY47" s="1853"/>
      <c r="BZ47" s="1853"/>
      <c r="CA47" s="1853"/>
      <c r="CB47" s="1854"/>
      <c r="CC47" s="17"/>
      <c r="CD47" s="23"/>
      <c r="CE47" s="50"/>
      <c r="CF47" s="17"/>
      <c r="CG47" s="17"/>
      <c r="CH47" s="242">
        <f>10676.16-1676.16</f>
        <v>9000</v>
      </c>
      <c r="CI47" s="1112" t="s">
        <v>1598</v>
      </c>
    </row>
    <row r="48" spans="1:88" ht="17.25" customHeight="1" x14ac:dyDescent="0.2">
      <c r="A48" s="1803">
        <v>8</v>
      </c>
      <c r="B48" s="1804"/>
      <c r="C48" s="1804"/>
      <c r="D48" s="1805"/>
      <c r="E48" s="1904" t="s">
        <v>1318</v>
      </c>
      <c r="F48" s="1917"/>
      <c r="G48" s="1917"/>
      <c r="H48" s="1917"/>
      <c r="I48" s="1917"/>
      <c r="J48" s="1917"/>
      <c r="K48" s="1917"/>
      <c r="L48" s="1917"/>
      <c r="M48" s="1917"/>
      <c r="N48" s="1917"/>
      <c r="O48" s="1917"/>
      <c r="P48" s="1917"/>
      <c r="Q48" s="1917"/>
      <c r="R48" s="1917"/>
      <c r="S48" s="1917"/>
      <c r="T48" s="1917"/>
      <c r="U48" s="1917"/>
      <c r="V48" s="1917"/>
      <c r="W48" s="1917"/>
      <c r="X48" s="1917"/>
      <c r="Y48" s="1917"/>
      <c r="Z48" s="1917"/>
      <c r="AA48" s="1917"/>
      <c r="AB48" s="1917"/>
      <c r="AC48" s="1917"/>
      <c r="AD48" s="1917"/>
      <c r="AE48" s="1917"/>
      <c r="AF48" s="1917"/>
      <c r="AG48" s="1917"/>
      <c r="AH48" s="1917"/>
      <c r="AI48" s="1917"/>
      <c r="AJ48" s="1917"/>
      <c r="AK48" s="1917"/>
      <c r="AL48" s="1917"/>
      <c r="AM48" s="1918"/>
      <c r="AN48" s="1919">
        <v>0</v>
      </c>
      <c r="AO48" s="1920"/>
      <c r="AP48" s="1920"/>
      <c r="AQ48" s="1920"/>
      <c r="AR48" s="1920"/>
      <c r="AS48" s="1920"/>
      <c r="AT48" s="1920"/>
      <c r="AU48" s="1920"/>
      <c r="AV48" s="1920"/>
      <c r="AW48" s="1920"/>
      <c r="AX48" s="1920"/>
      <c r="AY48" s="1920"/>
      <c r="AZ48" s="1920"/>
      <c r="BA48" s="1920"/>
      <c r="BB48" s="1920"/>
      <c r="BC48" s="1921"/>
      <c r="BD48" s="1901">
        <v>1</v>
      </c>
      <c r="BE48" s="1546"/>
      <c r="BF48" s="1546"/>
      <c r="BG48" s="1546"/>
      <c r="BH48" s="1546"/>
      <c r="BI48" s="1546"/>
      <c r="BJ48" s="1546"/>
      <c r="BK48" s="1546"/>
      <c r="BL48" s="1546"/>
      <c r="BM48" s="1547"/>
      <c r="BN48" s="1852">
        <v>0</v>
      </c>
      <c r="BO48" s="1853"/>
      <c r="BP48" s="1853"/>
      <c r="BQ48" s="1853"/>
      <c r="BR48" s="1853"/>
      <c r="BS48" s="1853"/>
      <c r="BT48" s="1853"/>
      <c r="BU48" s="1853"/>
      <c r="BV48" s="1853"/>
      <c r="BW48" s="1853"/>
      <c r="BX48" s="1853"/>
      <c r="BY48" s="1853"/>
      <c r="BZ48" s="1853"/>
      <c r="CA48" s="1853"/>
      <c r="CB48" s="1854"/>
      <c r="CC48" s="17"/>
      <c r="CD48" s="23"/>
      <c r="CE48" s="15">
        <v>963324045</v>
      </c>
      <c r="CF48" s="15"/>
      <c r="CG48" s="223">
        <v>0</v>
      </c>
      <c r="CH48" s="242"/>
    </row>
    <row r="49" spans="1:88" x14ac:dyDescent="0.2">
      <c r="A49" s="1843"/>
      <c r="B49" s="1844"/>
      <c r="C49" s="1844"/>
      <c r="D49" s="1845"/>
      <c r="E49" s="1879" t="s">
        <v>159</v>
      </c>
      <c r="F49" s="1880"/>
      <c r="G49" s="1880"/>
      <c r="H49" s="1880"/>
      <c r="I49" s="1880"/>
      <c r="J49" s="1880"/>
      <c r="K49" s="1880"/>
      <c r="L49" s="1880"/>
      <c r="M49" s="1880"/>
      <c r="N49" s="1880"/>
      <c r="O49" s="1880"/>
      <c r="P49" s="1880"/>
      <c r="Q49" s="1880"/>
      <c r="R49" s="1880"/>
      <c r="S49" s="1880"/>
      <c r="T49" s="1880"/>
      <c r="U49" s="1880"/>
      <c r="V49" s="1880"/>
      <c r="W49" s="1880"/>
      <c r="X49" s="1880"/>
      <c r="Y49" s="1880"/>
      <c r="Z49" s="1880"/>
      <c r="AA49" s="1880"/>
      <c r="AB49" s="1880"/>
      <c r="AC49" s="1880"/>
      <c r="AD49" s="1880"/>
      <c r="AE49" s="1880"/>
      <c r="AF49" s="1880"/>
      <c r="AG49" s="1880"/>
      <c r="AH49" s="1880"/>
      <c r="AI49" s="1880"/>
      <c r="AJ49" s="1880"/>
      <c r="AK49" s="1880"/>
      <c r="AL49" s="1880"/>
      <c r="AM49" s="1880"/>
      <c r="AN49" s="1880"/>
      <c r="AO49" s="1880"/>
      <c r="AP49" s="1880"/>
      <c r="AQ49" s="1880"/>
      <c r="AR49" s="1880"/>
      <c r="AS49" s="1880"/>
      <c r="AT49" s="1880"/>
      <c r="AU49" s="1880"/>
      <c r="AV49" s="1880"/>
      <c r="AW49" s="1880"/>
      <c r="AX49" s="1880"/>
      <c r="AY49" s="1880"/>
      <c r="AZ49" s="1880"/>
      <c r="BA49" s="1880"/>
      <c r="BB49" s="1880"/>
      <c r="BC49" s="1881"/>
      <c r="BD49" s="1797" t="s">
        <v>3</v>
      </c>
      <c r="BE49" s="1798"/>
      <c r="BF49" s="1798"/>
      <c r="BG49" s="1798"/>
      <c r="BH49" s="1798"/>
      <c r="BI49" s="1798"/>
      <c r="BJ49" s="1798"/>
      <c r="BK49" s="1798"/>
      <c r="BL49" s="1798"/>
      <c r="BM49" s="1799"/>
      <c r="BN49" s="1855">
        <f>CC49+CD49+CF49+CG49+CH49</f>
        <v>300737.95999999996</v>
      </c>
      <c r="BO49" s="1856"/>
      <c r="BP49" s="1856"/>
      <c r="BQ49" s="1856"/>
      <c r="BR49" s="1856"/>
      <c r="BS49" s="1856"/>
      <c r="BT49" s="1856"/>
      <c r="BU49" s="1856"/>
      <c r="BV49" s="1856"/>
      <c r="BW49" s="1856"/>
      <c r="BX49" s="1856"/>
      <c r="BY49" s="1856"/>
      <c r="BZ49" s="1856"/>
      <c r="CA49" s="1856"/>
      <c r="CB49" s="1857"/>
      <c r="CC49" s="28">
        <f>SUM(CC40:CC45)</f>
        <v>0</v>
      </c>
      <c r="CD49" s="28">
        <f>SUM(CD40:CD48)</f>
        <v>291737.95999999996</v>
      </c>
      <c r="CE49" s="17"/>
      <c r="CF49" s="257">
        <f>SUM(CF40:CF45)</f>
        <v>0</v>
      </c>
      <c r="CG49" s="257">
        <f>SUM(CG41:CG48)</f>
        <v>0</v>
      </c>
      <c r="CH49" s="300">
        <f>SUM(CH41:CH48)</f>
        <v>9000</v>
      </c>
      <c r="CI49" s="51" t="s">
        <v>1649</v>
      </c>
    </row>
    <row r="50" spans="1:88" x14ac:dyDescent="0.2">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45"/>
      <c r="BE50" s="45"/>
      <c r="BF50" s="45"/>
      <c r="BG50" s="45"/>
      <c r="BH50" s="45"/>
      <c r="BI50" s="45"/>
      <c r="BJ50" s="45"/>
      <c r="BK50" s="45"/>
      <c r="BL50" s="45"/>
      <c r="BM50" s="45"/>
      <c r="BN50" s="47"/>
      <c r="BO50" s="47"/>
      <c r="BP50" s="47"/>
      <c r="BQ50" s="47"/>
      <c r="BR50" s="47"/>
      <c r="BS50" s="47"/>
      <c r="BT50" s="47"/>
      <c r="BU50" s="47"/>
      <c r="BV50" s="47"/>
      <c r="BW50" s="47"/>
      <c r="BX50" s="47"/>
      <c r="BY50" s="47"/>
      <c r="BZ50" s="47"/>
      <c r="CA50" s="47"/>
      <c r="CB50" s="47"/>
      <c r="CD50" s="258"/>
    </row>
    <row r="51" spans="1:88" s="4" customFormat="1" ht="15.75" x14ac:dyDescent="0.25">
      <c r="A51" s="19" t="s">
        <v>160</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row>
    <row r="52" spans="1:88" s="7" customFormat="1" ht="3" customHeight="1" x14ac:dyDescent="0.2">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row>
    <row r="53" spans="1:88" x14ac:dyDescent="0.2">
      <c r="A53" s="1810" t="s">
        <v>38</v>
      </c>
      <c r="B53" s="1810"/>
      <c r="C53" s="1810"/>
      <c r="D53" s="1810"/>
      <c r="E53" s="1830" t="s">
        <v>4</v>
      </c>
      <c r="F53" s="1830"/>
      <c r="G53" s="1830"/>
      <c r="H53" s="1830"/>
      <c r="I53" s="1830"/>
      <c r="J53" s="1830"/>
      <c r="K53" s="1830"/>
      <c r="L53" s="1830"/>
      <c r="M53" s="1830"/>
      <c r="N53" s="1830"/>
      <c r="O53" s="1830"/>
      <c r="P53" s="1830"/>
      <c r="Q53" s="1830"/>
      <c r="R53" s="1830"/>
      <c r="S53" s="1830"/>
      <c r="T53" s="1830"/>
      <c r="U53" s="1830"/>
      <c r="V53" s="1830"/>
      <c r="W53" s="1830"/>
      <c r="X53" s="1830"/>
      <c r="Y53" s="1830"/>
      <c r="Z53" s="1830"/>
      <c r="AA53" s="1830"/>
      <c r="AB53" s="1830"/>
      <c r="AC53" s="1830"/>
      <c r="AD53" s="1830"/>
      <c r="AE53" s="1830"/>
      <c r="AF53" s="1830"/>
      <c r="AG53" s="1830"/>
      <c r="AH53" s="1830"/>
      <c r="AI53" s="1830"/>
      <c r="AJ53" s="1830"/>
      <c r="AK53" s="1830"/>
      <c r="AL53" s="1830"/>
      <c r="AM53" s="1830"/>
      <c r="AN53" s="1830"/>
      <c r="AO53" s="1830"/>
      <c r="AP53" s="1830"/>
      <c r="AQ53" s="1830"/>
      <c r="AR53" s="1830"/>
      <c r="AS53" s="1830" t="s">
        <v>5</v>
      </c>
      <c r="AT53" s="1830"/>
      <c r="AU53" s="1830"/>
      <c r="AV53" s="1830"/>
      <c r="AW53" s="1830"/>
      <c r="AX53" s="1830"/>
      <c r="AY53" s="1830"/>
      <c r="AZ53" s="1830"/>
      <c r="BA53" s="1830"/>
      <c r="BB53" s="1830"/>
      <c r="BC53" s="1810" t="s">
        <v>51</v>
      </c>
      <c r="BD53" s="1810"/>
      <c r="BE53" s="1810"/>
      <c r="BF53" s="1810"/>
      <c r="BG53" s="1810"/>
      <c r="BH53" s="1810"/>
      <c r="BI53" s="1810"/>
      <c r="BJ53" s="1810"/>
      <c r="BK53" s="1810"/>
      <c r="BL53" s="1810"/>
      <c r="BM53" s="1810"/>
      <c r="BN53" s="1830" t="s">
        <v>6</v>
      </c>
      <c r="BO53" s="1830"/>
      <c r="BP53" s="1830"/>
      <c r="BQ53" s="1830"/>
      <c r="BR53" s="1830"/>
      <c r="BS53" s="1830"/>
      <c r="BT53" s="1830"/>
      <c r="BU53" s="1830"/>
      <c r="BV53" s="1830"/>
      <c r="BW53" s="1830"/>
      <c r="BX53" s="1830"/>
      <c r="BY53" s="1830"/>
      <c r="BZ53" s="1830"/>
      <c r="CA53" s="1830"/>
      <c r="CB53" s="1830"/>
      <c r="CC53" s="1806" t="s">
        <v>52</v>
      </c>
      <c r="CD53" s="1806"/>
      <c r="CE53" s="1806"/>
      <c r="CF53" s="1806"/>
      <c r="CG53" s="1806"/>
      <c r="CH53" s="1806"/>
    </row>
    <row r="54" spans="1:88" ht="48" customHeight="1" x14ac:dyDescent="0.2">
      <c r="A54" s="1810"/>
      <c r="B54" s="1810"/>
      <c r="C54" s="1810"/>
      <c r="D54" s="1810"/>
      <c r="E54" s="1830"/>
      <c r="F54" s="1830"/>
      <c r="G54" s="1830"/>
      <c r="H54" s="1830"/>
      <c r="I54" s="1830"/>
      <c r="J54" s="1830"/>
      <c r="K54" s="1830"/>
      <c r="L54" s="1830"/>
      <c r="M54" s="1830"/>
      <c r="N54" s="1830"/>
      <c r="O54" s="1830"/>
      <c r="P54" s="1830"/>
      <c r="Q54" s="1830"/>
      <c r="R54" s="1830"/>
      <c r="S54" s="1830"/>
      <c r="T54" s="1830"/>
      <c r="U54" s="1830"/>
      <c r="V54" s="1830"/>
      <c r="W54" s="1830"/>
      <c r="X54" s="1830"/>
      <c r="Y54" s="1830"/>
      <c r="Z54" s="1830"/>
      <c r="AA54" s="1830"/>
      <c r="AB54" s="1830"/>
      <c r="AC54" s="1830"/>
      <c r="AD54" s="1830"/>
      <c r="AE54" s="1830"/>
      <c r="AF54" s="1830"/>
      <c r="AG54" s="1830"/>
      <c r="AH54" s="1830"/>
      <c r="AI54" s="1830"/>
      <c r="AJ54" s="1830"/>
      <c r="AK54" s="1830"/>
      <c r="AL54" s="1830"/>
      <c r="AM54" s="1830"/>
      <c r="AN54" s="1830"/>
      <c r="AO54" s="1830"/>
      <c r="AP54" s="1830"/>
      <c r="AQ54" s="1830"/>
      <c r="AR54" s="1830"/>
      <c r="AS54" s="1830"/>
      <c r="AT54" s="1830"/>
      <c r="AU54" s="1830"/>
      <c r="AV54" s="1830"/>
      <c r="AW54" s="1830"/>
      <c r="AX54" s="1830"/>
      <c r="AY54" s="1830"/>
      <c r="AZ54" s="1830"/>
      <c r="BA54" s="1830"/>
      <c r="BB54" s="1830"/>
      <c r="BC54" s="1810"/>
      <c r="BD54" s="1810"/>
      <c r="BE54" s="1810"/>
      <c r="BF54" s="1810"/>
      <c r="BG54" s="1810"/>
      <c r="BH54" s="1810"/>
      <c r="BI54" s="1810"/>
      <c r="BJ54" s="1810"/>
      <c r="BK54" s="1810"/>
      <c r="BL54" s="1810"/>
      <c r="BM54" s="1810"/>
      <c r="BN54" s="1830"/>
      <c r="BO54" s="1830"/>
      <c r="BP54" s="1830"/>
      <c r="BQ54" s="1830"/>
      <c r="BR54" s="1830"/>
      <c r="BS54" s="1830"/>
      <c r="BT54" s="1830"/>
      <c r="BU54" s="1830"/>
      <c r="BV54" s="1830"/>
      <c r="BW54" s="1830"/>
      <c r="BX54" s="1830"/>
      <c r="BY54" s="1830"/>
      <c r="BZ54" s="1830"/>
      <c r="CA54" s="1830"/>
      <c r="CB54" s="1830"/>
      <c r="CC54" s="1810" t="s">
        <v>35</v>
      </c>
      <c r="CD54" s="1810"/>
      <c r="CE54" s="1788" t="s">
        <v>45</v>
      </c>
      <c r="CF54" s="1790"/>
      <c r="CG54" s="1789"/>
      <c r="CH54" s="1778" t="s">
        <v>46</v>
      </c>
    </row>
    <row r="55" spans="1:88" ht="12.75" customHeight="1" x14ac:dyDescent="0.2">
      <c r="A55" s="1810"/>
      <c r="B55" s="1810"/>
      <c r="C55" s="1810"/>
      <c r="D55" s="1810"/>
      <c r="E55" s="1830"/>
      <c r="F55" s="1830"/>
      <c r="G55" s="1830"/>
      <c r="H55" s="1830"/>
      <c r="I55" s="1830"/>
      <c r="J55" s="1830"/>
      <c r="K55" s="1830"/>
      <c r="L55" s="1830"/>
      <c r="M55" s="1830"/>
      <c r="N55" s="1830"/>
      <c r="O55" s="1830"/>
      <c r="P55" s="1830"/>
      <c r="Q55" s="1830"/>
      <c r="R55" s="1830"/>
      <c r="S55" s="1830"/>
      <c r="T55" s="1830"/>
      <c r="U55" s="1830"/>
      <c r="V55" s="1830"/>
      <c r="W55" s="1830"/>
      <c r="X55" s="1830"/>
      <c r="Y55" s="1830"/>
      <c r="Z55" s="1830"/>
      <c r="AA55" s="1830"/>
      <c r="AB55" s="1830"/>
      <c r="AC55" s="1830"/>
      <c r="AD55" s="1830"/>
      <c r="AE55" s="1830"/>
      <c r="AF55" s="1830"/>
      <c r="AG55" s="1830"/>
      <c r="AH55" s="1830"/>
      <c r="AI55" s="1830"/>
      <c r="AJ55" s="1830"/>
      <c r="AK55" s="1830"/>
      <c r="AL55" s="1830"/>
      <c r="AM55" s="1830"/>
      <c r="AN55" s="1830"/>
      <c r="AO55" s="1830"/>
      <c r="AP55" s="1830"/>
      <c r="AQ55" s="1830"/>
      <c r="AR55" s="1830"/>
      <c r="AS55" s="1830"/>
      <c r="AT55" s="1830"/>
      <c r="AU55" s="1830"/>
      <c r="AV55" s="1830"/>
      <c r="AW55" s="1830"/>
      <c r="AX55" s="1830"/>
      <c r="AY55" s="1830"/>
      <c r="AZ55" s="1830"/>
      <c r="BA55" s="1830"/>
      <c r="BB55" s="1830"/>
      <c r="BC55" s="1810"/>
      <c r="BD55" s="1810"/>
      <c r="BE55" s="1810"/>
      <c r="BF55" s="1810"/>
      <c r="BG55" s="1810"/>
      <c r="BH55" s="1810"/>
      <c r="BI55" s="1810"/>
      <c r="BJ55" s="1810"/>
      <c r="BK55" s="1810"/>
      <c r="BL55" s="1810"/>
      <c r="BM55" s="1810"/>
      <c r="BN55" s="1830"/>
      <c r="BO55" s="1830"/>
      <c r="BP55" s="1830"/>
      <c r="BQ55" s="1830"/>
      <c r="BR55" s="1830"/>
      <c r="BS55" s="1830"/>
      <c r="BT55" s="1830"/>
      <c r="BU55" s="1830"/>
      <c r="BV55" s="1830"/>
      <c r="BW55" s="1830"/>
      <c r="BX55" s="1830"/>
      <c r="BY55" s="1830"/>
      <c r="BZ55" s="1830"/>
      <c r="CA55" s="1830"/>
      <c r="CB55" s="1830"/>
      <c r="CC55" s="1811" t="s">
        <v>43</v>
      </c>
      <c r="CD55" s="1811" t="s">
        <v>44</v>
      </c>
      <c r="CE55" s="1812" t="s">
        <v>55</v>
      </c>
      <c r="CF55" s="1811" t="s">
        <v>43</v>
      </c>
      <c r="CG55" s="1811" t="s">
        <v>44</v>
      </c>
      <c r="CH55" s="1779"/>
    </row>
    <row r="56" spans="1:88" x14ac:dyDescent="0.2">
      <c r="A56" s="1810"/>
      <c r="B56" s="1810"/>
      <c r="C56" s="1810"/>
      <c r="D56" s="1810"/>
      <c r="E56" s="1830"/>
      <c r="F56" s="1830"/>
      <c r="G56" s="1830"/>
      <c r="H56" s="1830"/>
      <c r="I56" s="1830"/>
      <c r="J56" s="1830"/>
      <c r="K56" s="1830"/>
      <c r="L56" s="1830"/>
      <c r="M56" s="1830"/>
      <c r="N56" s="1830"/>
      <c r="O56" s="1830"/>
      <c r="P56" s="1830"/>
      <c r="Q56" s="1830"/>
      <c r="R56" s="1830"/>
      <c r="S56" s="1830"/>
      <c r="T56" s="1830"/>
      <c r="U56" s="1830"/>
      <c r="V56" s="1830"/>
      <c r="W56" s="1830"/>
      <c r="X56" s="1830"/>
      <c r="Y56" s="1830"/>
      <c r="Z56" s="1830"/>
      <c r="AA56" s="1830"/>
      <c r="AB56" s="1830"/>
      <c r="AC56" s="1830"/>
      <c r="AD56" s="1830"/>
      <c r="AE56" s="1830"/>
      <c r="AF56" s="1830"/>
      <c r="AG56" s="1830"/>
      <c r="AH56" s="1830"/>
      <c r="AI56" s="1830"/>
      <c r="AJ56" s="1830"/>
      <c r="AK56" s="1830"/>
      <c r="AL56" s="1830"/>
      <c r="AM56" s="1830"/>
      <c r="AN56" s="1830"/>
      <c r="AO56" s="1830"/>
      <c r="AP56" s="1830"/>
      <c r="AQ56" s="1830"/>
      <c r="AR56" s="1830"/>
      <c r="AS56" s="1830"/>
      <c r="AT56" s="1830"/>
      <c r="AU56" s="1830"/>
      <c r="AV56" s="1830"/>
      <c r="AW56" s="1830"/>
      <c r="AX56" s="1830"/>
      <c r="AY56" s="1830"/>
      <c r="AZ56" s="1830"/>
      <c r="BA56" s="1830"/>
      <c r="BB56" s="1830"/>
      <c r="BC56" s="1810"/>
      <c r="BD56" s="1810"/>
      <c r="BE56" s="1810"/>
      <c r="BF56" s="1810"/>
      <c r="BG56" s="1810"/>
      <c r="BH56" s="1810"/>
      <c r="BI56" s="1810"/>
      <c r="BJ56" s="1810"/>
      <c r="BK56" s="1810"/>
      <c r="BL56" s="1810"/>
      <c r="BM56" s="1810"/>
      <c r="BN56" s="1830"/>
      <c r="BO56" s="1830"/>
      <c r="BP56" s="1830"/>
      <c r="BQ56" s="1830"/>
      <c r="BR56" s="1830"/>
      <c r="BS56" s="1830"/>
      <c r="BT56" s="1830"/>
      <c r="BU56" s="1830"/>
      <c r="BV56" s="1830"/>
      <c r="BW56" s="1830"/>
      <c r="BX56" s="1830"/>
      <c r="BY56" s="1830"/>
      <c r="BZ56" s="1830"/>
      <c r="CA56" s="1830"/>
      <c r="CB56" s="1830"/>
      <c r="CC56" s="1811"/>
      <c r="CD56" s="1811"/>
      <c r="CE56" s="1813"/>
      <c r="CF56" s="1811"/>
      <c r="CG56" s="1811"/>
      <c r="CH56" s="1780"/>
    </row>
    <row r="57" spans="1:88" x14ac:dyDescent="0.2">
      <c r="A57" s="1770">
        <v>1</v>
      </c>
      <c r="B57" s="1787"/>
      <c r="C57" s="1787"/>
      <c r="D57" s="1771"/>
      <c r="E57" s="1770">
        <v>2</v>
      </c>
      <c r="F57" s="1787"/>
      <c r="G57" s="1787"/>
      <c r="H57" s="1787"/>
      <c r="I57" s="1787"/>
      <c r="J57" s="1787"/>
      <c r="K57" s="1787"/>
      <c r="L57" s="1787"/>
      <c r="M57" s="1787"/>
      <c r="N57" s="1787"/>
      <c r="O57" s="1787"/>
      <c r="P57" s="1787"/>
      <c r="Q57" s="1787"/>
      <c r="R57" s="1787"/>
      <c r="S57" s="1787"/>
      <c r="T57" s="1787"/>
      <c r="U57" s="1787"/>
      <c r="V57" s="1787"/>
      <c r="W57" s="1787"/>
      <c r="X57" s="1787"/>
      <c r="Y57" s="1787"/>
      <c r="Z57" s="1787"/>
      <c r="AA57" s="1787"/>
      <c r="AB57" s="1787"/>
      <c r="AC57" s="1787"/>
      <c r="AD57" s="1787"/>
      <c r="AE57" s="1787"/>
      <c r="AF57" s="1787"/>
      <c r="AG57" s="1787"/>
      <c r="AH57" s="1787"/>
      <c r="AI57" s="1787"/>
      <c r="AJ57" s="1787"/>
      <c r="AK57" s="1787"/>
      <c r="AL57" s="1787"/>
      <c r="AM57" s="1787"/>
      <c r="AN57" s="1787"/>
      <c r="AO57" s="1787"/>
      <c r="AP57" s="1787"/>
      <c r="AQ57" s="1787"/>
      <c r="AR57" s="1771"/>
      <c r="AS57" s="1770">
        <v>3</v>
      </c>
      <c r="AT57" s="1787"/>
      <c r="AU57" s="1787"/>
      <c r="AV57" s="1787"/>
      <c r="AW57" s="1787"/>
      <c r="AX57" s="1787"/>
      <c r="AY57" s="1787"/>
      <c r="AZ57" s="1787"/>
      <c r="BA57" s="1787"/>
      <c r="BB57" s="1771"/>
      <c r="BC57" s="1770">
        <v>4</v>
      </c>
      <c r="BD57" s="1787"/>
      <c r="BE57" s="1787"/>
      <c r="BF57" s="1787"/>
      <c r="BG57" s="1787"/>
      <c r="BH57" s="1787"/>
      <c r="BI57" s="1787"/>
      <c r="BJ57" s="1787"/>
      <c r="BK57" s="1787"/>
      <c r="BL57" s="1787"/>
      <c r="BM57" s="1771"/>
      <c r="BN57" s="1770" t="s">
        <v>49</v>
      </c>
      <c r="BO57" s="1787"/>
      <c r="BP57" s="1787"/>
      <c r="BQ57" s="1787"/>
      <c r="BR57" s="1787"/>
      <c r="BS57" s="1787"/>
      <c r="BT57" s="1787"/>
      <c r="BU57" s="1787"/>
      <c r="BV57" s="1787"/>
      <c r="BW57" s="1787"/>
      <c r="BX57" s="1787"/>
      <c r="BY57" s="1787"/>
      <c r="BZ57" s="1787"/>
      <c r="CA57" s="1787"/>
      <c r="CB57" s="1771"/>
      <c r="CC57" s="15">
        <v>6</v>
      </c>
      <c r="CD57" s="15">
        <v>7</v>
      </c>
      <c r="CE57" s="15">
        <v>8</v>
      </c>
      <c r="CF57" s="15">
        <v>9</v>
      </c>
      <c r="CG57" s="15">
        <v>10</v>
      </c>
      <c r="CH57" s="15">
        <v>11</v>
      </c>
    </row>
    <row r="58" spans="1:88" ht="13.15" customHeight="1" x14ac:dyDescent="0.2">
      <c r="A58" s="1886">
        <v>1</v>
      </c>
      <c r="B58" s="1886"/>
      <c r="C58" s="1886"/>
      <c r="D58" s="1886"/>
      <c r="E58" s="1887" t="s">
        <v>1227</v>
      </c>
      <c r="F58" s="1888"/>
      <c r="G58" s="1888"/>
      <c r="H58" s="1888"/>
      <c r="I58" s="1888"/>
      <c r="J58" s="1888"/>
      <c r="K58" s="1888"/>
      <c r="L58" s="1888"/>
      <c r="M58" s="1888"/>
      <c r="N58" s="1888"/>
      <c r="O58" s="1888"/>
      <c r="P58" s="1888"/>
      <c r="Q58" s="1888"/>
      <c r="R58" s="1888"/>
      <c r="S58" s="1888"/>
      <c r="T58" s="1888"/>
      <c r="U58" s="1888"/>
      <c r="V58" s="1888"/>
      <c r="W58" s="1888"/>
      <c r="X58" s="1888"/>
      <c r="Y58" s="1888"/>
      <c r="Z58" s="1888"/>
      <c r="AA58" s="1888"/>
      <c r="AB58" s="1888"/>
      <c r="AC58" s="1888"/>
      <c r="AD58" s="1888"/>
      <c r="AE58" s="1888"/>
      <c r="AF58" s="1888"/>
      <c r="AG58" s="1888"/>
      <c r="AH58" s="1888"/>
      <c r="AI58" s="1888"/>
      <c r="AJ58" s="1888"/>
      <c r="AK58" s="1888"/>
      <c r="AL58" s="1888"/>
      <c r="AM58" s="1888"/>
      <c r="AN58" s="1888"/>
      <c r="AO58" s="1888"/>
      <c r="AP58" s="1888"/>
      <c r="AQ58" s="1888"/>
      <c r="AR58" s="1889"/>
      <c r="AS58" s="1890"/>
      <c r="AT58" s="1890"/>
      <c r="AU58" s="1890"/>
      <c r="AV58" s="1890"/>
      <c r="AW58" s="1890"/>
      <c r="AX58" s="1890"/>
      <c r="AY58" s="1890"/>
      <c r="AZ58" s="1890"/>
      <c r="BA58" s="1890"/>
      <c r="BB58" s="1890"/>
      <c r="BC58" s="1891">
        <v>0</v>
      </c>
      <c r="BD58" s="1891"/>
      <c r="BE58" s="1891"/>
      <c r="BF58" s="1891"/>
      <c r="BG58" s="1891"/>
      <c r="BH58" s="1891"/>
      <c r="BI58" s="1891"/>
      <c r="BJ58" s="1891"/>
      <c r="BK58" s="1891"/>
      <c r="BL58" s="1891"/>
      <c r="BM58" s="1891"/>
      <c r="BN58" s="1891">
        <f t="shared" ref="BN58:BN60" si="7">CC58</f>
        <v>0</v>
      </c>
      <c r="BO58" s="1891"/>
      <c r="BP58" s="1891"/>
      <c r="BQ58" s="1891"/>
      <c r="BR58" s="1891"/>
      <c r="BS58" s="1891"/>
      <c r="BT58" s="1891"/>
      <c r="BU58" s="1891"/>
      <c r="BV58" s="1891"/>
      <c r="BW58" s="1891"/>
      <c r="BX58" s="1891"/>
      <c r="BY58" s="1891"/>
      <c r="BZ58" s="1891"/>
      <c r="CA58" s="1891"/>
      <c r="CB58" s="1891"/>
      <c r="CC58" s="259"/>
      <c r="CD58" s="259"/>
      <c r="CE58" s="260" t="s">
        <v>1226</v>
      </c>
      <c r="CF58" s="259"/>
      <c r="CG58" s="259">
        <v>0</v>
      </c>
      <c r="CH58" s="259"/>
    </row>
    <row r="59" spans="1:88" ht="27.6" customHeight="1" x14ac:dyDescent="0.2">
      <c r="A59" s="1886">
        <v>2</v>
      </c>
      <c r="B59" s="1886"/>
      <c r="C59" s="1886"/>
      <c r="D59" s="1886"/>
      <c r="E59" s="1887" t="s">
        <v>1228</v>
      </c>
      <c r="F59" s="1888"/>
      <c r="G59" s="1888"/>
      <c r="H59" s="1888"/>
      <c r="I59" s="1888"/>
      <c r="J59" s="1888"/>
      <c r="K59" s="1888"/>
      <c r="L59" s="1888"/>
      <c r="M59" s="1888"/>
      <c r="N59" s="1888"/>
      <c r="O59" s="1888"/>
      <c r="P59" s="1888"/>
      <c r="Q59" s="1888"/>
      <c r="R59" s="1888"/>
      <c r="S59" s="1888"/>
      <c r="T59" s="1888"/>
      <c r="U59" s="1888"/>
      <c r="V59" s="1888"/>
      <c r="W59" s="1888"/>
      <c r="X59" s="1888"/>
      <c r="Y59" s="1888"/>
      <c r="Z59" s="1888"/>
      <c r="AA59" s="1888"/>
      <c r="AB59" s="1888"/>
      <c r="AC59" s="1888"/>
      <c r="AD59" s="1888"/>
      <c r="AE59" s="1888"/>
      <c r="AF59" s="1888"/>
      <c r="AG59" s="1888"/>
      <c r="AH59" s="1888"/>
      <c r="AI59" s="1888"/>
      <c r="AJ59" s="1888"/>
      <c r="AK59" s="1888"/>
      <c r="AL59" s="1888"/>
      <c r="AM59" s="1888"/>
      <c r="AN59" s="1888"/>
      <c r="AO59" s="1888"/>
      <c r="AP59" s="1888"/>
      <c r="AQ59" s="1888"/>
      <c r="AR59" s="1889"/>
      <c r="AS59" s="1890"/>
      <c r="AT59" s="1890"/>
      <c r="AU59" s="1890"/>
      <c r="AV59" s="1890"/>
      <c r="AW59" s="1890"/>
      <c r="AX59" s="1890"/>
      <c r="AY59" s="1890"/>
      <c r="AZ59" s="1890"/>
      <c r="BA59" s="1890"/>
      <c r="BB59" s="1890"/>
      <c r="BC59" s="1891">
        <v>0</v>
      </c>
      <c r="BD59" s="1891"/>
      <c r="BE59" s="1891"/>
      <c r="BF59" s="1891"/>
      <c r="BG59" s="1891"/>
      <c r="BH59" s="1891"/>
      <c r="BI59" s="1891"/>
      <c r="BJ59" s="1891"/>
      <c r="BK59" s="1891"/>
      <c r="BL59" s="1891"/>
      <c r="BM59" s="1891"/>
      <c r="BN59" s="1891">
        <f t="shared" si="7"/>
        <v>0</v>
      </c>
      <c r="BO59" s="1891"/>
      <c r="BP59" s="1891"/>
      <c r="BQ59" s="1891"/>
      <c r="BR59" s="1891"/>
      <c r="BS59" s="1891"/>
      <c r="BT59" s="1891"/>
      <c r="BU59" s="1891"/>
      <c r="BV59" s="1891"/>
      <c r="BW59" s="1891"/>
      <c r="BX59" s="1891"/>
      <c r="BY59" s="1891"/>
      <c r="BZ59" s="1891"/>
      <c r="CA59" s="1891"/>
      <c r="CB59" s="1891"/>
      <c r="CC59" s="259"/>
      <c r="CD59" s="259"/>
      <c r="CE59" s="260" t="s">
        <v>1226</v>
      </c>
      <c r="CF59" s="259"/>
      <c r="CG59" s="259">
        <v>0</v>
      </c>
      <c r="CH59" s="259"/>
    </row>
    <row r="60" spans="1:88" ht="13.15" customHeight="1" x14ac:dyDescent="0.2">
      <c r="A60" s="1886">
        <v>3</v>
      </c>
      <c r="B60" s="1886"/>
      <c r="C60" s="1886"/>
      <c r="D60" s="1886"/>
      <c r="E60" s="1887" t="s">
        <v>1229</v>
      </c>
      <c r="F60" s="1888"/>
      <c r="G60" s="1888"/>
      <c r="H60" s="1888"/>
      <c r="I60" s="1888"/>
      <c r="J60" s="1888"/>
      <c r="K60" s="1888"/>
      <c r="L60" s="1888"/>
      <c r="M60" s="1888"/>
      <c r="N60" s="1888"/>
      <c r="O60" s="1888"/>
      <c r="P60" s="1888"/>
      <c r="Q60" s="1888"/>
      <c r="R60" s="1888"/>
      <c r="S60" s="1888"/>
      <c r="T60" s="1888"/>
      <c r="U60" s="1888"/>
      <c r="V60" s="1888"/>
      <c r="W60" s="1888"/>
      <c r="X60" s="1888"/>
      <c r="Y60" s="1888"/>
      <c r="Z60" s="1888"/>
      <c r="AA60" s="1888"/>
      <c r="AB60" s="1888"/>
      <c r="AC60" s="1888"/>
      <c r="AD60" s="1888"/>
      <c r="AE60" s="1888"/>
      <c r="AF60" s="1888"/>
      <c r="AG60" s="1888"/>
      <c r="AH60" s="1888"/>
      <c r="AI60" s="1888"/>
      <c r="AJ60" s="1888"/>
      <c r="AK60" s="1888"/>
      <c r="AL60" s="1888"/>
      <c r="AM60" s="1888"/>
      <c r="AN60" s="1888"/>
      <c r="AO60" s="1888"/>
      <c r="AP60" s="1888"/>
      <c r="AQ60" s="1888"/>
      <c r="AR60" s="1889"/>
      <c r="AS60" s="1890"/>
      <c r="AT60" s="1890"/>
      <c r="AU60" s="1890"/>
      <c r="AV60" s="1890"/>
      <c r="AW60" s="1890"/>
      <c r="AX60" s="1890"/>
      <c r="AY60" s="1890"/>
      <c r="AZ60" s="1890"/>
      <c r="BA60" s="1890"/>
      <c r="BB60" s="1890"/>
      <c r="BC60" s="1891">
        <v>0</v>
      </c>
      <c r="BD60" s="1891"/>
      <c r="BE60" s="1891"/>
      <c r="BF60" s="1891"/>
      <c r="BG60" s="1891"/>
      <c r="BH60" s="1891"/>
      <c r="BI60" s="1891"/>
      <c r="BJ60" s="1891"/>
      <c r="BK60" s="1891"/>
      <c r="BL60" s="1891"/>
      <c r="BM60" s="1891"/>
      <c r="BN60" s="1891">
        <f t="shared" si="7"/>
        <v>0</v>
      </c>
      <c r="BO60" s="1891"/>
      <c r="BP60" s="1891"/>
      <c r="BQ60" s="1891"/>
      <c r="BR60" s="1891"/>
      <c r="BS60" s="1891"/>
      <c r="BT60" s="1891"/>
      <c r="BU60" s="1891"/>
      <c r="BV60" s="1891"/>
      <c r="BW60" s="1891"/>
      <c r="BX60" s="1891"/>
      <c r="BY60" s="1891"/>
      <c r="BZ60" s="1891"/>
      <c r="CA60" s="1891"/>
      <c r="CB60" s="1891"/>
      <c r="CC60" s="259"/>
      <c r="CD60" s="259"/>
      <c r="CE60" s="827" t="s">
        <v>1226</v>
      </c>
      <c r="CF60" s="259"/>
      <c r="CG60" s="259">
        <v>0</v>
      </c>
      <c r="CH60" s="259"/>
      <c r="CJ60" s="142">
        <f>CC61+CC62+CC63</f>
        <v>283940</v>
      </c>
    </row>
    <row r="61" spans="1:88" ht="18" customHeight="1" x14ac:dyDescent="0.2">
      <c r="A61" s="1886">
        <v>4</v>
      </c>
      <c r="B61" s="1886"/>
      <c r="C61" s="1886"/>
      <c r="D61" s="1886"/>
      <c r="E61" s="1887" t="s">
        <v>1284</v>
      </c>
      <c r="F61" s="1888"/>
      <c r="G61" s="1888"/>
      <c r="H61" s="1888"/>
      <c r="I61" s="1888"/>
      <c r="J61" s="1888"/>
      <c r="K61" s="1888"/>
      <c r="L61" s="1888"/>
      <c r="M61" s="1888"/>
      <c r="N61" s="1888"/>
      <c r="O61" s="1888"/>
      <c r="P61" s="1888"/>
      <c r="Q61" s="1888"/>
      <c r="R61" s="1888"/>
      <c r="S61" s="1888"/>
      <c r="T61" s="1888"/>
      <c r="U61" s="1888"/>
      <c r="V61" s="1888"/>
      <c r="W61" s="1888"/>
      <c r="X61" s="1888"/>
      <c r="Y61" s="1888"/>
      <c r="Z61" s="1888"/>
      <c r="AA61" s="1888"/>
      <c r="AB61" s="1888"/>
      <c r="AC61" s="1888"/>
      <c r="AD61" s="1888"/>
      <c r="AE61" s="1888"/>
      <c r="AF61" s="1888"/>
      <c r="AG61" s="1888"/>
      <c r="AH61" s="1888"/>
      <c r="AI61" s="1888"/>
      <c r="AJ61" s="1888"/>
      <c r="AK61" s="1888"/>
      <c r="AL61" s="1888"/>
      <c r="AM61" s="1888"/>
      <c r="AN61" s="1888"/>
      <c r="AO61" s="1888"/>
      <c r="AP61" s="1888"/>
      <c r="AQ61" s="1888"/>
      <c r="AR61" s="1889"/>
      <c r="AS61" s="1890">
        <v>2</v>
      </c>
      <c r="AT61" s="1890"/>
      <c r="AU61" s="1890"/>
      <c r="AV61" s="1890"/>
      <c r="AW61" s="1890"/>
      <c r="AX61" s="1890"/>
      <c r="AY61" s="1890"/>
      <c r="AZ61" s="1890"/>
      <c r="BA61" s="1890"/>
      <c r="BB61" s="1890"/>
      <c r="BC61" s="1891">
        <v>9000</v>
      </c>
      <c r="BD61" s="1891"/>
      <c r="BE61" s="1891"/>
      <c r="BF61" s="1891"/>
      <c r="BG61" s="1891"/>
      <c r="BH61" s="1891"/>
      <c r="BI61" s="1891"/>
      <c r="BJ61" s="1891"/>
      <c r="BK61" s="1891"/>
      <c r="BL61" s="1891"/>
      <c r="BM61" s="1891"/>
      <c r="BN61" s="1891">
        <f>CC61</f>
        <v>18000</v>
      </c>
      <c r="BO61" s="1891"/>
      <c r="BP61" s="1891"/>
      <c r="BQ61" s="1891"/>
      <c r="BR61" s="1891"/>
      <c r="BS61" s="1891"/>
      <c r="BT61" s="1891"/>
      <c r="BU61" s="1891"/>
      <c r="BV61" s="1891"/>
      <c r="BW61" s="1891"/>
      <c r="BX61" s="1891"/>
      <c r="BY61" s="1891"/>
      <c r="BZ61" s="1891"/>
      <c r="CA61" s="1891"/>
      <c r="CB61" s="1891"/>
      <c r="CC61" s="259">
        <f>BC61*AS61</f>
        <v>18000</v>
      </c>
      <c r="CD61" s="259"/>
      <c r="CE61" s="50"/>
      <c r="CF61" s="259"/>
      <c r="CG61" s="259"/>
      <c r="CH61" s="259"/>
    </row>
    <row r="62" spans="1:88" ht="17.25" customHeight="1" x14ac:dyDescent="0.2">
      <c r="A62" s="1886">
        <v>5</v>
      </c>
      <c r="B62" s="1886"/>
      <c r="C62" s="1886"/>
      <c r="D62" s="1886"/>
      <c r="E62" s="1887" t="s">
        <v>1344</v>
      </c>
      <c r="F62" s="1888"/>
      <c r="G62" s="1888"/>
      <c r="H62" s="1888"/>
      <c r="I62" s="1888"/>
      <c r="J62" s="1888"/>
      <c r="K62" s="1888"/>
      <c r="L62" s="1888"/>
      <c r="M62" s="1888"/>
      <c r="N62" s="1888"/>
      <c r="O62" s="1888"/>
      <c r="P62" s="1888"/>
      <c r="Q62" s="1888"/>
      <c r="R62" s="1888"/>
      <c r="S62" s="1888"/>
      <c r="T62" s="1888"/>
      <c r="U62" s="1888"/>
      <c r="V62" s="1888"/>
      <c r="W62" s="1888"/>
      <c r="X62" s="1888"/>
      <c r="Y62" s="1888"/>
      <c r="Z62" s="1888"/>
      <c r="AA62" s="1888"/>
      <c r="AB62" s="1888"/>
      <c r="AC62" s="1888"/>
      <c r="AD62" s="1888"/>
      <c r="AE62" s="1888"/>
      <c r="AF62" s="1888"/>
      <c r="AG62" s="1888"/>
      <c r="AH62" s="1888"/>
      <c r="AI62" s="1888"/>
      <c r="AJ62" s="1888"/>
      <c r="AK62" s="1888"/>
      <c r="AL62" s="1888"/>
      <c r="AM62" s="1888"/>
      <c r="AN62" s="1888"/>
      <c r="AO62" s="1888"/>
      <c r="AP62" s="1888"/>
      <c r="AQ62" s="1888"/>
      <c r="AR62" s="1889"/>
      <c r="AS62" s="1890">
        <v>5</v>
      </c>
      <c r="AT62" s="1890"/>
      <c r="AU62" s="1890"/>
      <c r="AV62" s="1890"/>
      <c r="AW62" s="1890"/>
      <c r="AX62" s="1890"/>
      <c r="AY62" s="1890"/>
      <c r="AZ62" s="1890"/>
      <c r="BA62" s="1890"/>
      <c r="BB62" s="1890"/>
      <c r="BC62" s="1891">
        <f>BN62/AS62</f>
        <v>43990</v>
      </c>
      <c r="BD62" s="1891"/>
      <c r="BE62" s="1891"/>
      <c r="BF62" s="1891"/>
      <c r="BG62" s="1891"/>
      <c r="BH62" s="1891"/>
      <c r="BI62" s="1891"/>
      <c r="BJ62" s="1891"/>
      <c r="BK62" s="1891"/>
      <c r="BL62" s="1891"/>
      <c r="BM62" s="1891"/>
      <c r="BN62" s="1891">
        <f t="shared" ref="BN62:BN63" si="8">CC62</f>
        <v>219950</v>
      </c>
      <c r="BO62" s="1891"/>
      <c r="BP62" s="1891"/>
      <c r="BQ62" s="1891"/>
      <c r="BR62" s="1891"/>
      <c r="BS62" s="1891"/>
      <c r="BT62" s="1891"/>
      <c r="BU62" s="1891"/>
      <c r="BV62" s="1891"/>
      <c r="BW62" s="1891"/>
      <c r="BX62" s="1891"/>
      <c r="BY62" s="1891"/>
      <c r="BZ62" s="1891"/>
      <c r="CA62" s="1891"/>
      <c r="CB62" s="1891"/>
      <c r="CC62" s="259">
        <v>219950</v>
      </c>
      <c r="CD62" s="259"/>
      <c r="CE62" s="50"/>
      <c r="CF62" s="259"/>
      <c r="CG62" s="259"/>
      <c r="CH62" s="259"/>
    </row>
    <row r="63" spans="1:88" ht="18" customHeight="1" x14ac:dyDescent="0.2">
      <c r="A63" s="1886">
        <v>6</v>
      </c>
      <c r="B63" s="1886"/>
      <c r="C63" s="1886"/>
      <c r="D63" s="1886"/>
      <c r="E63" s="1887" t="s">
        <v>1345</v>
      </c>
      <c r="F63" s="1888"/>
      <c r="G63" s="1888"/>
      <c r="H63" s="1888"/>
      <c r="I63" s="1888"/>
      <c r="J63" s="1888"/>
      <c r="K63" s="1888"/>
      <c r="L63" s="1888"/>
      <c r="M63" s="1888"/>
      <c r="N63" s="1888"/>
      <c r="O63" s="1888"/>
      <c r="P63" s="1888"/>
      <c r="Q63" s="1888"/>
      <c r="R63" s="1888"/>
      <c r="S63" s="1888"/>
      <c r="T63" s="1888"/>
      <c r="U63" s="1888"/>
      <c r="V63" s="1888"/>
      <c r="W63" s="1888"/>
      <c r="X63" s="1888"/>
      <c r="Y63" s="1888"/>
      <c r="Z63" s="1888"/>
      <c r="AA63" s="1888"/>
      <c r="AB63" s="1888"/>
      <c r="AC63" s="1888"/>
      <c r="AD63" s="1888"/>
      <c r="AE63" s="1888"/>
      <c r="AF63" s="1888"/>
      <c r="AG63" s="1888"/>
      <c r="AH63" s="1888"/>
      <c r="AI63" s="1888"/>
      <c r="AJ63" s="1888"/>
      <c r="AK63" s="1888"/>
      <c r="AL63" s="1888"/>
      <c r="AM63" s="1888"/>
      <c r="AN63" s="1888"/>
      <c r="AO63" s="1888"/>
      <c r="AP63" s="1888"/>
      <c r="AQ63" s="1888"/>
      <c r="AR63" s="1889"/>
      <c r="AS63" s="1890">
        <v>1</v>
      </c>
      <c r="AT63" s="1890"/>
      <c r="AU63" s="1890"/>
      <c r="AV63" s="1890"/>
      <c r="AW63" s="1890"/>
      <c r="AX63" s="1890"/>
      <c r="AY63" s="1890"/>
      <c r="AZ63" s="1890"/>
      <c r="BA63" s="1890"/>
      <c r="BB63" s="1890"/>
      <c r="BC63" s="1891">
        <f>BN63/AS63</f>
        <v>45990</v>
      </c>
      <c r="BD63" s="1891"/>
      <c r="BE63" s="1891"/>
      <c r="BF63" s="1891"/>
      <c r="BG63" s="1891"/>
      <c r="BH63" s="1891"/>
      <c r="BI63" s="1891"/>
      <c r="BJ63" s="1891"/>
      <c r="BK63" s="1891"/>
      <c r="BL63" s="1891"/>
      <c r="BM63" s="1891"/>
      <c r="BN63" s="1891">
        <f t="shared" si="8"/>
        <v>45990</v>
      </c>
      <c r="BO63" s="1891"/>
      <c r="BP63" s="1891"/>
      <c r="BQ63" s="1891"/>
      <c r="BR63" s="1891"/>
      <c r="BS63" s="1891"/>
      <c r="BT63" s="1891"/>
      <c r="BU63" s="1891"/>
      <c r="BV63" s="1891"/>
      <c r="BW63" s="1891"/>
      <c r="BX63" s="1891"/>
      <c r="BY63" s="1891"/>
      <c r="BZ63" s="1891"/>
      <c r="CA63" s="1891"/>
      <c r="CB63" s="1891"/>
      <c r="CC63" s="259">
        <v>45990</v>
      </c>
      <c r="CD63" s="259"/>
      <c r="CE63" s="50"/>
      <c r="CF63" s="259"/>
      <c r="CG63" s="259"/>
      <c r="CH63" s="259"/>
    </row>
    <row r="64" spans="1:88" ht="18" customHeight="1" x14ac:dyDescent="0.2">
      <c r="A64" s="1886">
        <v>7</v>
      </c>
      <c r="B64" s="1886"/>
      <c r="C64" s="1886"/>
      <c r="D64" s="1886"/>
      <c r="E64" s="1887" t="s">
        <v>1519</v>
      </c>
      <c r="F64" s="1888"/>
      <c r="G64" s="1888"/>
      <c r="H64" s="1888"/>
      <c r="I64" s="1888"/>
      <c r="J64" s="1888"/>
      <c r="K64" s="1888"/>
      <c r="L64" s="1888"/>
      <c r="M64" s="1888"/>
      <c r="N64" s="1888"/>
      <c r="O64" s="1888"/>
      <c r="P64" s="1888"/>
      <c r="Q64" s="1888"/>
      <c r="R64" s="1888"/>
      <c r="S64" s="1888"/>
      <c r="T64" s="1888"/>
      <c r="U64" s="1888"/>
      <c r="V64" s="1888"/>
      <c r="W64" s="1888"/>
      <c r="X64" s="1888"/>
      <c r="Y64" s="1888"/>
      <c r="Z64" s="1888"/>
      <c r="AA64" s="1888"/>
      <c r="AB64" s="1888"/>
      <c r="AC64" s="1888"/>
      <c r="AD64" s="1888"/>
      <c r="AE64" s="1888"/>
      <c r="AF64" s="1888"/>
      <c r="AG64" s="1888"/>
      <c r="AH64" s="1888"/>
      <c r="AI64" s="1888"/>
      <c r="AJ64" s="1888"/>
      <c r="AK64" s="1888"/>
      <c r="AL64" s="1888"/>
      <c r="AM64" s="1888"/>
      <c r="AN64" s="1888"/>
      <c r="AO64" s="1888"/>
      <c r="AP64" s="1888"/>
      <c r="AQ64" s="1888"/>
      <c r="AR64" s="1889"/>
      <c r="AS64" s="1890">
        <v>1</v>
      </c>
      <c r="AT64" s="1890"/>
      <c r="AU64" s="1890"/>
      <c r="AV64" s="1890"/>
      <c r="AW64" s="1890"/>
      <c r="AX64" s="1890"/>
      <c r="AY64" s="1890"/>
      <c r="AZ64" s="1890"/>
      <c r="BA64" s="1890"/>
      <c r="BB64" s="1890"/>
      <c r="BC64" s="1891">
        <v>19790</v>
      </c>
      <c r="BD64" s="1891"/>
      <c r="BE64" s="1891"/>
      <c r="BF64" s="1891"/>
      <c r="BG64" s="1891"/>
      <c r="BH64" s="1891"/>
      <c r="BI64" s="1891"/>
      <c r="BJ64" s="1891"/>
      <c r="BK64" s="1891"/>
      <c r="BL64" s="1891"/>
      <c r="BM64" s="1891"/>
      <c r="BN64" s="1891">
        <f t="shared" ref="BN64" si="9">CC64</f>
        <v>19790</v>
      </c>
      <c r="BO64" s="1891"/>
      <c r="BP64" s="1891"/>
      <c r="BQ64" s="1891"/>
      <c r="BR64" s="1891"/>
      <c r="BS64" s="1891"/>
      <c r="BT64" s="1891"/>
      <c r="BU64" s="1891"/>
      <c r="BV64" s="1891"/>
      <c r="BW64" s="1891"/>
      <c r="BX64" s="1891"/>
      <c r="BY64" s="1891"/>
      <c r="BZ64" s="1891"/>
      <c r="CA64" s="1891"/>
      <c r="CB64" s="1891"/>
      <c r="CC64" s="259">
        <v>19790</v>
      </c>
      <c r="CD64" s="259"/>
      <c r="CE64" s="50"/>
      <c r="CF64" s="259"/>
      <c r="CG64" s="259"/>
      <c r="CH64" s="259"/>
    </row>
    <row r="65" spans="1:88" ht="18" customHeight="1" x14ac:dyDescent="0.2">
      <c r="A65" s="1886">
        <v>8</v>
      </c>
      <c r="B65" s="1886"/>
      <c r="C65" s="1886"/>
      <c r="D65" s="1886"/>
      <c r="E65" s="1887" t="s">
        <v>1520</v>
      </c>
      <c r="F65" s="1888"/>
      <c r="G65" s="1888"/>
      <c r="H65" s="1888"/>
      <c r="I65" s="1888"/>
      <c r="J65" s="1888"/>
      <c r="K65" s="1888"/>
      <c r="L65" s="1888"/>
      <c r="M65" s="1888"/>
      <c r="N65" s="1888"/>
      <c r="O65" s="1888"/>
      <c r="P65" s="1888"/>
      <c r="Q65" s="1888"/>
      <c r="R65" s="1888"/>
      <c r="S65" s="1888"/>
      <c r="T65" s="1888"/>
      <c r="U65" s="1888"/>
      <c r="V65" s="1888"/>
      <c r="W65" s="1888"/>
      <c r="X65" s="1888"/>
      <c r="Y65" s="1888"/>
      <c r="Z65" s="1888"/>
      <c r="AA65" s="1888"/>
      <c r="AB65" s="1888"/>
      <c r="AC65" s="1888"/>
      <c r="AD65" s="1888"/>
      <c r="AE65" s="1888"/>
      <c r="AF65" s="1888"/>
      <c r="AG65" s="1888"/>
      <c r="AH65" s="1888"/>
      <c r="AI65" s="1888"/>
      <c r="AJ65" s="1888"/>
      <c r="AK65" s="1888"/>
      <c r="AL65" s="1888"/>
      <c r="AM65" s="1888"/>
      <c r="AN65" s="1888"/>
      <c r="AO65" s="1888"/>
      <c r="AP65" s="1888"/>
      <c r="AQ65" s="1888"/>
      <c r="AR65" s="1889"/>
      <c r="AS65" s="1890">
        <v>1</v>
      </c>
      <c r="AT65" s="1890"/>
      <c r="AU65" s="1890"/>
      <c r="AV65" s="1890"/>
      <c r="AW65" s="1890"/>
      <c r="AX65" s="1890"/>
      <c r="AY65" s="1890"/>
      <c r="AZ65" s="1890"/>
      <c r="BA65" s="1890"/>
      <c r="BB65" s="1890"/>
      <c r="BC65" s="1891">
        <v>43990</v>
      </c>
      <c r="BD65" s="1891"/>
      <c r="BE65" s="1891"/>
      <c r="BF65" s="1891"/>
      <c r="BG65" s="1891"/>
      <c r="BH65" s="1891"/>
      <c r="BI65" s="1891"/>
      <c r="BJ65" s="1891"/>
      <c r="BK65" s="1891"/>
      <c r="BL65" s="1891"/>
      <c r="BM65" s="1891"/>
      <c r="BN65" s="1891">
        <f t="shared" ref="BN65" si="10">CC65</f>
        <v>43990</v>
      </c>
      <c r="BO65" s="1891"/>
      <c r="BP65" s="1891"/>
      <c r="BQ65" s="1891"/>
      <c r="BR65" s="1891"/>
      <c r="BS65" s="1891"/>
      <c r="BT65" s="1891"/>
      <c r="BU65" s="1891"/>
      <c r="BV65" s="1891"/>
      <c r="BW65" s="1891"/>
      <c r="BX65" s="1891"/>
      <c r="BY65" s="1891"/>
      <c r="BZ65" s="1891"/>
      <c r="CA65" s="1891"/>
      <c r="CB65" s="1891"/>
      <c r="CC65" s="259">
        <v>43990</v>
      </c>
      <c r="CD65" s="259"/>
      <c r="CE65" s="50"/>
      <c r="CF65" s="259"/>
      <c r="CG65" s="259"/>
      <c r="CH65" s="259"/>
    </row>
    <row r="66" spans="1:88" ht="18" customHeight="1" x14ac:dyDescent="0.2">
      <c r="A66" s="1886">
        <v>9</v>
      </c>
      <c r="B66" s="1886"/>
      <c r="C66" s="1886"/>
      <c r="D66" s="1886"/>
      <c r="E66" s="1887" t="s">
        <v>1599</v>
      </c>
      <c r="F66" s="1888"/>
      <c r="G66" s="1888"/>
      <c r="H66" s="1888"/>
      <c r="I66" s="1888"/>
      <c r="J66" s="1888"/>
      <c r="K66" s="1888"/>
      <c r="L66" s="1888"/>
      <c r="M66" s="1888"/>
      <c r="N66" s="1888"/>
      <c r="O66" s="1888"/>
      <c r="P66" s="1888"/>
      <c r="Q66" s="1888"/>
      <c r="R66" s="1888"/>
      <c r="S66" s="1888"/>
      <c r="T66" s="1888"/>
      <c r="U66" s="1888"/>
      <c r="V66" s="1888"/>
      <c r="W66" s="1888"/>
      <c r="X66" s="1888"/>
      <c r="Y66" s="1888"/>
      <c r="Z66" s="1888"/>
      <c r="AA66" s="1888"/>
      <c r="AB66" s="1888"/>
      <c r="AC66" s="1888"/>
      <c r="AD66" s="1888"/>
      <c r="AE66" s="1888"/>
      <c r="AF66" s="1888"/>
      <c r="AG66" s="1888"/>
      <c r="AH66" s="1888"/>
      <c r="AI66" s="1888"/>
      <c r="AJ66" s="1888"/>
      <c r="AK66" s="1888"/>
      <c r="AL66" s="1888"/>
      <c r="AM66" s="1888"/>
      <c r="AN66" s="1888"/>
      <c r="AO66" s="1888"/>
      <c r="AP66" s="1888"/>
      <c r="AQ66" s="1888"/>
      <c r="AR66" s="1889"/>
      <c r="AS66" s="1890">
        <v>2</v>
      </c>
      <c r="AT66" s="1890"/>
      <c r="AU66" s="1890"/>
      <c r="AV66" s="1890"/>
      <c r="AW66" s="1890"/>
      <c r="AX66" s="1890"/>
      <c r="AY66" s="1890"/>
      <c r="AZ66" s="1890"/>
      <c r="BA66" s="1890"/>
      <c r="BB66" s="1890"/>
      <c r="BC66" s="1891">
        <v>206500</v>
      </c>
      <c r="BD66" s="1891"/>
      <c r="BE66" s="1891"/>
      <c r="BF66" s="1891"/>
      <c r="BG66" s="1891"/>
      <c r="BH66" s="1891"/>
      <c r="BI66" s="1891"/>
      <c r="BJ66" s="1891"/>
      <c r="BK66" s="1891"/>
      <c r="BL66" s="1891"/>
      <c r="BM66" s="1891"/>
      <c r="BN66" s="1891">
        <f t="shared" ref="BN66" si="11">CC66</f>
        <v>413000</v>
      </c>
      <c r="BO66" s="1891"/>
      <c r="BP66" s="1891"/>
      <c r="BQ66" s="1891"/>
      <c r="BR66" s="1891"/>
      <c r="BS66" s="1891"/>
      <c r="BT66" s="1891"/>
      <c r="BU66" s="1891"/>
      <c r="BV66" s="1891"/>
      <c r="BW66" s="1891"/>
      <c r="BX66" s="1891"/>
      <c r="BY66" s="1891"/>
      <c r="BZ66" s="1891"/>
      <c r="CA66" s="1891"/>
      <c r="CB66" s="1891"/>
      <c r="CC66" s="259">
        <v>413000</v>
      </c>
      <c r="CD66" s="259"/>
      <c r="CE66" s="50"/>
      <c r="CF66" s="259"/>
      <c r="CG66" s="259"/>
      <c r="CH66" s="259"/>
      <c r="CI66" s="51" t="s">
        <v>1650</v>
      </c>
    </row>
    <row r="67" spans="1:88" x14ac:dyDescent="0.2">
      <c r="A67" s="1831" t="s">
        <v>162</v>
      </c>
      <c r="B67" s="1832"/>
      <c r="C67" s="1832"/>
      <c r="D67" s="1832"/>
      <c r="E67" s="1832"/>
      <c r="F67" s="1832"/>
      <c r="G67" s="1832"/>
      <c r="H67" s="1832"/>
      <c r="I67" s="1832"/>
      <c r="J67" s="1832"/>
      <c r="K67" s="1832"/>
      <c r="L67" s="1832"/>
      <c r="M67" s="1832"/>
      <c r="N67" s="1832"/>
      <c r="O67" s="1832"/>
      <c r="P67" s="1832"/>
      <c r="Q67" s="1832"/>
      <c r="R67" s="1832"/>
      <c r="S67" s="1832"/>
      <c r="T67" s="1832"/>
      <c r="U67" s="1832"/>
      <c r="V67" s="1832"/>
      <c r="W67" s="1832"/>
      <c r="X67" s="1832"/>
      <c r="Y67" s="1832"/>
      <c r="Z67" s="1832"/>
      <c r="AA67" s="1832"/>
      <c r="AB67" s="1832"/>
      <c r="AC67" s="1832"/>
      <c r="AD67" s="1832"/>
      <c r="AE67" s="1832"/>
      <c r="AF67" s="1832"/>
      <c r="AG67" s="1832"/>
      <c r="AH67" s="1832"/>
      <c r="AI67" s="1832"/>
      <c r="AJ67" s="1832"/>
      <c r="AK67" s="1832"/>
      <c r="AL67" s="1832"/>
      <c r="AM67" s="1832"/>
      <c r="AN67" s="1832"/>
      <c r="AO67" s="1832"/>
      <c r="AP67" s="1832"/>
      <c r="AQ67" s="1832"/>
      <c r="AR67" s="1833"/>
      <c r="AS67" s="1913" t="s">
        <v>3</v>
      </c>
      <c r="AT67" s="1913"/>
      <c r="AU67" s="1913"/>
      <c r="AV67" s="1913"/>
      <c r="AW67" s="1913"/>
      <c r="AX67" s="1913"/>
      <c r="AY67" s="1913"/>
      <c r="AZ67" s="1913"/>
      <c r="BA67" s="1913"/>
      <c r="BB67" s="1913"/>
      <c r="BC67" s="1913" t="s">
        <v>3</v>
      </c>
      <c r="BD67" s="1913"/>
      <c r="BE67" s="1913"/>
      <c r="BF67" s="1913"/>
      <c r="BG67" s="1913"/>
      <c r="BH67" s="1913"/>
      <c r="BI67" s="1913"/>
      <c r="BJ67" s="1913"/>
      <c r="BK67" s="1913"/>
      <c r="BL67" s="1913"/>
      <c r="BM67" s="1913"/>
      <c r="BN67" s="1972">
        <f>SUM(BN58:BN66)</f>
        <v>760720</v>
      </c>
      <c r="BO67" s="1972"/>
      <c r="BP67" s="1972"/>
      <c r="BQ67" s="1972"/>
      <c r="BR67" s="1972"/>
      <c r="BS67" s="1972"/>
      <c r="BT67" s="1972"/>
      <c r="BU67" s="1972"/>
      <c r="BV67" s="1972"/>
      <c r="BW67" s="1972"/>
      <c r="BX67" s="1972"/>
      <c r="BY67" s="1972"/>
      <c r="BZ67" s="1972"/>
      <c r="CA67" s="1972"/>
      <c r="CB67" s="1972"/>
      <c r="CC67" s="251">
        <f>SUM(CC58:CC66)</f>
        <v>760720</v>
      </c>
      <c r="CD67" s="251"/>
      <c r="CE67" s="251"/>
      <c r="CF67" s="251"/>
      <c r="CG67" s="251"/>
      <c r="CH67" s="251"/>
      <c r="CI67" s="51" t="s">
        <v>1651</v>
      </c>
    </row>
    <row r="68" spans="1:88" ht="8.25" customHeight="1" x14ac:dyDescent="0.2"/>
    <row r="69" spans="1:88" ht="0.75" customHeight="1" x14ac:dyDescent="0.2">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5"/>
      <c r="AT69" s="45"/>
      <c r="AU69" s="45"/>
      <c r="AV69" s="45"/>
      <c r="AW69" s="45"/>
      <c r="AX69" s="45"/>
      <c r="AY69" s="45"/>
      <c r="AZ69" s="45"/>
      <c r="BA69" s="45"/>
      <c r="BB69" s="45"/>
      <c r="BC69" s="45"/>
      <c r="BD69" s="45"/>
      <c r="BE69" s="45"/>
      <c r="BF69" s="45"/>
      <c r="BG69" s="45"/>
      <c r="BH69" s="45"/>
      <c r="BI69" s="45"/>
      <c r="BJ69" s="45"/>
      <c r="BK69" s="45"/>
      <c r="BL69" s="45"/>
      <c r="BM69" s="45"/>
      <c r="BN69" s="47"/>
      <c r="BO69" s="47"/>
      <c r="BP69" s="47"/>
      <c r="BQ69" s="47"/>
      <c r="BR69" s="47"/>
      <c r="BS69" s="47"/>
      <c r="BT69" s="47"/>
      <c r="BU69" s="47"/>
      <c r="BV69" s="47"/>
      <c r="BW69" s="47"/>
      <c r="BX69" s="47"/>
      <c r="BY69" s="47"/>
      <c r="BZ69" s="47"/>
      <c r="CA69" s="47"/>
      <c r="CB69" s="47"/>
    </row>
    <row r="70" spans="1:88" ht="15.75" x14ac:dyDescent="0.25">
      <c r="A70" s="19" t="s">
        <v>60</v>
      </c>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row>
    <row r="71" spans="1:88" ht="6" customHeight="1" x14ac:dyDescent="0.2">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5"/>
      <c r="AT71" s="45"/>
      <c r="AU71" s="45"/>
      <c r="AV71" s="45"/>
      <c r="AW71" s="45"/>
      <c r="AX71" s="45"/>
      <c r="AY71" s="45"/>
      <c r="AZ71" s="45"/>
      <c r="BA71" s="45"/>
      <c r="BB71" s="45"/>
      <c r="BC71" s="45"/>
      <c r="BD71" s="45"/>
      <c r="BE71" s="45"/>
      <c r="BF71" s="45"/>
      <c r="BG71" s="45"/>
      <c r="BH71" s="45"/>
      <c r="BI71" s="45"/>
      <c r="BJ71" s="45"/>
      <c r="BK71" s="45"/>
      <c r="BL71" s="45"/>
      <c r="BM71" s="45"/>
      <c r="BN71" s="47"/>
      <c r="BO71" s="47"/>
      <c r="BP71" s="47"/>
      <c r="BQ71" s="47"/>
      <c r="BR71" s="47"/>
      <c r="BS71" s="47"/>
      <c r="BT71" s="47"/>
      <c r="BU71" s="47"/>
      <c r="BV71" s="47"/>
      <c r="BW71" s="47"/>
      <c r="BX71" s="47"/>
      <c r="BY71" s="47"/>
      <c r="BZ71" s="47"/>
      <c r="CA71" s="47"/>
      <c r="CB71" s="47"/>
    </row>
    <row r="72" spans="1:88" ht="12.75" customHeight="1" x14ac:dyDescent="0.2">
      <c r="A72" s="1818" t="s">
        <v>71</v>
      </c>
      <c r="B72" s="1819"/>
      <c r="C72" s="1819"/>
      <c r="D72" s="1820"/>
      <c r="E72" s="1818" t="s">
        <v>4</v>
      </c>
      <c r="F72" s="1819"/>
      <c r="G72" s="1819"/>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c r="AL72" s="1819"/>
      <c r="AM72" s="1819"/>
      <c r="AN72" s="1819"/>
      <c r="AO72" s="1819"/>
      <c r="AP72" s="1819"/>
      <c r="AQ72" s="1819"/>
      <c r="AR72" s="1820"/>
      <c r="AS72" s="1818" t="s">
        <v>5</v>
      </c>
      <c r="AT72" s="1819"/>
      <c r="AU72" s="1819"/>
      <c r="AV72" s="1819"/>
      <c r="AW72" s="1819"/>
      <c r="AX72" s="1819"/>
      <c r="AY72" s="1819"/>
      <c r="AZ72" s="1819"/>
      <c r="BA72" s="1819"/>
      <c r="BB72" s="1820"/>
      <c r="BC72" s="1818" t="s">
        <v>164</v>
      </c>
      <c r="BD72" s="1975"/>
      <c r="BE72" s="1975"/>
      <c r="BF72" s="1975"/>
      <c r="BG72" s="1975"/>
      <c r="BH72" s="1975"/>
      <c r="BI72" s="1975"/>
      <c r="BJ72" s="1975"/>
      <c r="BK72" s="1975"/>
      <c r="BL72" s="1975"/>
      <c r="BM72" s="1976"/>
      <c r="BN72" s="1818" t="s">
        <v>6</v>
      </c>
      <c r="BO72" s="1819"/>
      <c r="BP72" s="1819"/>
      <c r="BQ72" s="1819"/>
      <c r="BR72" s="1819"/>
      <c r="BS72" s="1819"/>
      <c r="BT72" s="1819"/>
      <c r="BU72" s="1819"/>
      <c r="BV72" s="1819"/>
      <c r="BW72" s="1819"/>
      <c r="BX72" s="1819"/>
      <c r="BY72" s="1819"/>
      <c r="BZ72" s="1819"/>
      <c r="CA72" s="1819"/>
      <c r="CB72" s="1820"/>
      <c r="CC72" s="1806" t="s">
        <v>52</v>
      </c>
      <c r="CD72" s="1806"/>
      <c r="CE72" s="1806"/>
      <c r="CF72" s="1806"/>
      <c r="CG72" s="1806"/>
      <c r="CH72" s="1806"/>
    </row>
    <row r="73" spans="1:88" ht="55.5" customHeight="1" x14ac:dyDescent="0.2">
      <c r="A73" s="1807" t="s">
        <v>77</v>
      </c>
      <c r="B73" s="1808"/>
      <c r="C73" s="1808"/>
      <c r="D73" s="1809"/>
      <c r="E73" s="1807"/>
      <c r="F73" s="1808"/>
      <c r="G73" s="1808"/>
      <c r="H73" s="1808"/>
      <c r="I73" s="1808"/>
      <c r="J73" s="1808"/>
      <c r="K73" s="1808"/>
      <c r="L73" s="1808"/>
      <c r="M73" s="1808"/>
      <c r="N73" s="1808"/>
      <c r="O73" s="1808"/>
      <c r="P73" s="1808"/>
      <c r="Q73" s="1808"/>
      <c r="R73" s="1808"/>
      <c r="S73" s="1808"/>
      <c r="T73" s="1808"/>
      <c r="U73" s="1808"/>
      <c r="V73" s="1808"/>
      <c r="W73" s="1808"/>
      <c r="X73" s="1808"/>
      <c r="Y73" s="1808"/>
      <c r="Z73" s="1808"/>
      <c r="AA73" s="1808"/>
      <c r="AB73" s="1808"/>
      <c r="AC73" s="1808"/>
      <c r="AD73" s="1808"/>
      <c r="AE73" s="1808"/>
      <c r="AF73" s="1808"/>
      <c r="AG73" s="1808"/>
      <c r="AH73" s="1808"/>
      <c r="AI73" s="1808"/>
      <c r="AJ73" s="1808"/>
      <c r="AK73" s="1808"/>
      <c r="AL73" s="1808"/>
      <c r="AM73" s="1808"/>
      <c r="AN73" s="1808"/>
      <c r="AO73" s="1808"/>
      <c r="AP73" s="1808"/>
      <c r="AQ73" s="1808"/>
      <c r="AR73" s="1809"/>
      <c r="AS73" s="1807"/>
      <c r="AT73" s="1808"/>
      <c r="AU73" s="1808"/>
      <c r="AV73" s="1808"/>
      <c r="AW73" s="1808"/>
      <c r="AX73" s="1808"/>
      <c r="AY73" s="1808"/>
      <c r="AZ73" s="1808"/>
      <c r="BA73" s="1808"/>
      <c r="BB73" s="1809"/>
      <c r="BC73" s="1807" t="s">
        <v>165</v>
      </c>
      <c r="BD73" s="1928"/>
      <c r="BE73" s="1928"/>
      <c r="BF73" s="1928"/>
      <c r="BG73" s="1928"/>
      <c r="BH73" s="1928"/>
      <c r="BI73" s="1928"/>
      <c r="BJ73" s="1928"/>
      <c r="BK73" s="1928"/>
      <c r="BL73" s="1928"/>
      <c r="BM73" s="1929"/>
      <c r="BN73" s="1807"/>
      <c r="BO73" s="1808"/>
      <c r="BP73" s="1808"/>
      <c r="BQ73" s="1808"/>
      <c r="BR73" s="1808"/>
      <c r="BS73" s="1808"/>
      <c r="BT73" s="1808"/>
      <c r="BU73" s="1808"/>
      <c r="BV73" s="1808"/>
      <c r="BW73" s="1808"/>
      <c r="BX73" s="1808"/>
      <c r="BY73" s="1808"/>
      <c r="BZ73" s="1808"/>
      <c r="CA73" s="1808"/>
      <c r="CB73" s="1809"/>
      <c r="CC73" s="1810" t="s">
        <v>35</v>
      </c>
      <c r="CD73" s="1810"/>
      <c r="CE73" s="1788" t="s">
        <v>45</v>
      </c>
      <c r="CF73" s="1790"/>
      <c r="CG73" s="1789"/>
      <c r="CH73" s="1778" t="s">
        <v>46</v>
      </c>
    </row>
    <row r="74" spans="1:88" ht="12.75" customHeight="1" x14ac:dyDescent="0.2">
      <c r="A74" s="1807"/>
      <c r="B74" s="1808"/>
      <c r="C74" s="1808"/>
      <c r="D74" s="1809"/>
      <c r="E74" s="1807"/>
      <c r="F74" s="1808"/>
      <c r="G74" s="1808"/>
      <c r="H74" s="1808"/>
      <c r="I74" s="1808"/>
      <c r="J74" s="1808"/>
      <c r="K74" s="1808"/>
      <c r="L74" s="1808"/>
      <c r="M74" s="1808"/>
      <c r="N74" s="1808"/>
      <c r="O74" s="1808"/>
      <c r="P74" s="1808"/>
      <c r="Q74" s="1808"/>
      <c r="R74" s="1808"/>
      <c r="S74" s="1808"/>
      <c r="T74" s="1808"/>
      <c r="U74" s="1808"/>
      <c r="V74" s="1808"/>
      <c r="W74" s="1808"/>
      <c r="X74" s="1808"/>
      <c r="Y74" s="1808"/>
      <c r="Z74" s="1808"/>
      <c r="AA74" s="1808"/>
      <c r="AB74" s="1808"/>
      <c r="AC74" s="1808"/>
      <c r="AD74" s="1808"/>
      <c r="AE74" s="1808"/>
      <c r="AF74" s="1808"/>
      <c r="AG74" s="1808"/>
      <c r="AH74" s="1808"/>
      <c r="AI74" s="1808"/>
      <c r="AJ74" s="1808"/>
      <c r="AK74" s="1808"/>
      <c r="AL74" s="1808"/>
      <c r="AM74" s="1808"/>
      <c r="AN74" s="1808"/>
      <c r="AO74" s="1808"/>
      <c r="AP74" s="1808"/>
      <c r="AQ74" s="1808"/>
      <c r="AR74" s="1809"/>
      <c r="AS74" s="1807"/>
      <c r="AT74" s="1808"/>
      <c r="AU74" s="1808"/>
      <c r="AV74" s="1808"/>
      <c r="AW74" s="1808"/>
      <c r="AX74" s="1808"/>
      <c r="AY74" s="1808"/>
      <c r="AZ74" s="1808"/>
      <c r="BA74" s="1808"/>
      <c r="BB74" s="1809"/>
      <c r="BC74" s="1807" t="s">
        <v>111</v>
      </c>
      <c r="BD74" s="1928"/>
      <c r="BE74" s="1928"/>
      <c r="BF74" s="1928"/>
      <c r="BG74" s="1928"/>
      <c r="BH74" s="1928"/>
      <c r="BI74" s="1928"/>
      <c r="BJ74" s="1928"/>
      <c r="BK74" s="1928"/>
      <c r="BL74" s="1928"/>
      <c r="BM74" s="1929"/>
      <c r="BN74" s="1807"/>
      <c r="BO74" s="1808"/>
      <c r="BP74" s="1808"/>
      <c r="BQ74" s="1808"/>
      <c r="BR74" s="1808"/>
      <c r="BS74" s="1808"/>
      <c r="BT74" s="1808"/>
      <c r="BU74" s="1808"/>
      <c r="BV74" s="1808"/>
      <c r="BW74" s="1808"/>
      <c r="BX74" s="1808"/>
      <c r="BY74" s="1808"/>
      <c r="BZ74" s="1808"/>
      <c r="CA74" s="1808"/>
      <c r="CB74" s="1809"/>
      <c r="CC74" s="1811" t="s">
        <v>43</v>
      </c>
      <c r="CD74" s="1811" t="s">
        <v>44</v>
      </c>
      <c r="CE74" s="1812" t="s">
        <v>55</v>
      </c>
      <c r="CF74" s="1811" t="s">
        <v>43</v>
      </c>
      <c r="CG74" s="1811" t="s">
        <v>44</v>
      </c>
      <c r="CH74" s="1779"/>
    </row>
    <row r="75" spans="1:88" ht="12.75" customHeight="1" x14ac:dyDescent="0.2">
      <c r="A75" s="246"/>
      <c r="B75" s="247"/>
      <c r="C75" s="247"/>
      <c r="D75" s="248"/>
      <c r="E75" s="1814"/>
      <c r="F75" s="1815"/>
      <c r="G75" s="1815"/>
      <c r="H75" s="1815"/>
      <c r="I75" s="1815"/>
      <c r="J75" s="1815"/>
      <c r="K75" s="1815"/>
      <c r="L75" s="1815"/>
      <c r="M75" s="1815"/>
      <c r="N75" s="1815"/>
      <c r="O75" s="1815"/>
      <c r="P75" s="1815"/>
      <c r="Q75" s="1815"/>
      <c r="R75" s="1815"/>
      <c r="S75" s="1815"/>
      <c r="T75" s="1815"/>
      <c r="U75" s="1815"/>
      <c r="V75" s="1815"/>
      <c r="W75" s="1815"/>
      <c r="X75" s="1815"/>
      <c r="Y75" s="1815"/>
      <c r="Z75" s="1815"/>
      <c r="AA75" s="1815"/>
      <c r="AB75" s="1815"/>
      <c r="AC75" s="1815"/>
      <c r="AD75" s="1815"/>
      <c r="AE75" s="1815"/>
      <c r="AF75" s="1815"/>
      <c r="AG75" s="1815"/>
      <c r="AH75" s="1815"/>
      <c r="AI75" s="1815"/>
      <c r="AJ75" s="1815"/>
      <c r="AK75" s="1815"/>
      <c r="AL75" s="1815"/>
      <c r="AM75" s="1815"/>
      <c r="AN75" s="1815"/>
      <c r="AO75" s="1815"/>
      <c r="AP75" s="1815"/>
      <c r="AQ75" s="1815"/>
      <c r="AR75" s="1816"/>
      <c r="AS75" s="1814"/>
      <c r="AT75" s="1815"/>
      <c r="AU75" s="1815"/>
      <c r="AV75" s="1815"/>
      <c r="AW75" s="1815"/>
      <c r="AX75" s="1815"/>
      <c r="AY75" s="1815"/>
      <c r="AZ75" s="1815"/>
      <c r="BA75" s="1815"/>
      <c r="BB75" s="1816"/>
      <c r="BC75" s="1814"/>
      <c r="BD75" s="1815"/>
      <c r="BE75" s="1815"/>
      <c r="BF75" s="1815"/>
      <c r="BG75" s="1815"/>
      <c r="BH75" s="1815"/>
      <c r="BI75" s="1815"/>
      <c r="BJ75" s="1815"/>
      <c r="BK75" s="1815"/>
      <c r="BL75" s="1815"/>
      <c r="BM75" s="1816"/>
      <c r="BN75" s="1814"/>
      <c r="BO75" s="1815"/>
      <c r="BP75" s="1815"/>
      <c r="BQ75" s="1815"/>
      <c r="BR75" s="1815"/>
      <c r="BS75" s="1815"/>
      <c r="BT75" s="1815"/>
      <c r="BU75" s="1815"/>
      <c r="BV75" s="1815"/>
      <c r="BW75" s="1815"/>
      <c r="BX75" s="1815"/>
      <c r="BY75" s="1815"/>
      <c r="BZ75" s="1815"/>
      <c r="CA75" s="1815"/>
      <c r="CB75" s="1816"/>
      <c r="CC75" s="1811"/>
      <c r="CD75" s="1811"/>
      <c r="CE75" s="1813"/>
      <c r="CF75" s="1811"/>
      <c r="CG75" s="1811"/>
      <c r="CH75" s="1780"/>
    </row>
    <row r="76" spans="1:88" x14ac:dyDescent="0.2">
      <c r="A76" s="1814">
        <v>1</v>
      </c>
      <c r="B76" s="1815"/>
      <c r="C76" s="1815"/>
      <c r="D76" s="1816"/>
      <c r="E76" s="1814">
        <v>2</v>
      </c>
      <c r="F76" s="1815"/>
      <c r="G76" s="1815"/>
      <c r="H76" s="1815"/>
      <c r="I76" s="1815"/>
      <c r="J76" s="1815"/>
      <c r="K76" s="1815"/>
      <c r="L76" s="1815"/>
      <c r="M76" s="1815"/>
      <c r="N76" s="1815"/>
      <c r="O76" s="1815"/>
      <c r="P76" s="1815"/>
      <c r="Q76" s="1815"/>
      <c r="R76" s="1815"/>
      <c r="S76" s="1815"/>
      <c r="T76" s="1815"/>
      <c r="U76" s="1815"/>
      <c r="V76" s="1815"/>
      <c r="W76" s="1815"/>
      <c r="X76" s="1815"/>
      <c r="Y76" s="1815"/>
      <c r="Z76" s="1815"/>
      <c r="AA76" s="1815"/>
      <c r="AB76" s="1815"/>
      <c r="AC76" s="1815"/>
      <c r="AD76" s="1815"/>
      <c r="AE76" s="1815"/>
      <c r="AF76" s="1815"/>
      <c r="AG76" s="1815"/>
      <c r="AH76" s="1815"/>
      <c r="AI76" s="1815"/>
      <c r="AJ76" s="1815"/>
      <c r="AK76" s="1815"/>
      <c r="AL76" s="1815"/>
      <c r="AM76" s="1815"/>
      <c r="AN76" s="1815"/>
      <c r="AO76" s="1815"/>
      <c r="AP76" s="1815"/>
      <c r="AQ76" s="1815"/>
      <c r="AR76" s="1816"/>
      <c r="AS76" s="1814">
        <v>3</v>
      </c>
      <c r="AT76" s="1815"/>
      <c r="AU76" s="1815"/>
      <c r="AV76" s="1815"/>
      <c r="AW76" s="1815"/>
      <c r="AX76" s="1815"/>
      <c r="AY76" s="1815"/>
      <c r="AZ76" s="1815"/>
      <c r="BA76" s="1815"/>
      <c r="BB76" s="1816"/>
      <c r="BC76" s="1814">
        <v>4</v>
      </c>
      <c r="BD76" s="1815"/>
      <c r="BE76" s="1815"/>
      <c r="BF76" s="1815"/>
      <c r="BG76" s="1815"/>
      <c r="BH76" s="1815"/>
      <c r="BI76" s="1815"/>
      <c r="BJ76" s="1815"/>
      <c r="BK76" s="1815"/>
      <c r="BL76" s="1815"/>
      <c r="BM76" s="1816"/>
      <c r="BN76" s="1830" t="s">
        <v>49</v>
      </c>
      <c r="BO76" s="1830"/>
      <c r="BP76" s="1830"/>
      <c r="BQ76" s="1830"/>
      <c r="BR76" s="1830"/>
      <c r="BS76" s="1830"/>
      <c r="BT76" s="1830"/>
      <c r="BU76" s="1830"/>
      <c r="BV76" s="1830"/>
      <c r="BW76" s="1830"/>
      <c r="BX76" s="1830"/>
      <c r="BY76" s="1830"/>
      <c r="BZ76" s="1830"/>
      <c r="CA76" s="1830"/>
      <c r="CB76" s="1830"/>
      <c r="CC76" s="15">
        <v>6</v>
      </c>
      <c r="CD76" s="15">
        <v>7</v>
      </c>
      <c r="CE76" s="15">
        <v>8</v>
      </c>
      <c r="CF76" s="15">
        <v>9</v>
      </c>
      <c r="CG76" s="15">
        <v>10</v>
      </c>
      <c r="CH76" s="15">
        <v>11</v>
      </c>
    </row>
    <row r="77" spans="1:88" ht="18.75" customHeight="1" x14ac:dyDescent="0.2">
      <c r="A77" s="1772">
        <v>1</v>
      </c>
      <c r="B77" s="1882"/>
      <c r="C77" s="1882"/>
      <c r="D77" s="1882"/>
      <c r="E77" s="1772" t="s">
        <v>588</v>
      </c>
      <c r="F77" s="1882"/>
      <c r="G77" s="1882"/>
      <c r="H77" s="1882"/>
      <c r="I77" s="1882"/>
      <c r="J77" s="1882"/>
      <c r="K77" s="1882"/>
      <c r="L77" s="1882"/>
      <c r="M77" s="1882"/>
      <c r="N77" s="1882"/>
      <c r="O77" s="1882"/>
      <c r="P77" s="1882"/>
      <c r="Q77" s="1882"/>
      <c r="R77" s="1882"/>
      <c r="S77" s="1882"/>
      <c r="T77" s="1882"/>
      <c r="U77" s="1882"/>
      <c r="V77" s="1882"/>
      <c r="W77" s="1882"/>
      <c r="X77" s="1882"/>
      <c r="Y77" s="1882"/>
      <c r="Z77" s="1882"/>
      <c r="AA77" s="1882"/>
      <c r="AB77" s="1882"/>
      <c r="AC77" s="1882"/>
      <c r="AD77" s="1882"/>
      <c r="AE77" s="1882"/>
      <c r="AF77" s="1882"/>
      <c r="AG77" s="1882"/>
      <c r="AH77" s="1882"/>
      <c r="AI77" s="1882"/>
      <c r="AJ77" s="1882"/>
      <c r="AK77" s="1882"/>
      <c r="AL77" s="1882"/>
      <c r="AM77" s="1882"/>
      <c r="AN77" s="1882"/>
      <c r="AO77" s="1882"/>
      <c r="AP77" s="1882"/>
      <c r="AQ77" s="1882"/>
      <c r="AR77" s="1773"/>
      <c r="AS77" s="1895"/>
      <c r="AT77" s="1896"/>
      <c r="AU77" s="1896"/>
      <c r="AV77" s="1896"/>
      <c r="AW77" s="1896"/>
      <c r="AX77" s="1896"/>
      <c r="AY77" s="1896"/>
      <c r="AZ77" s="1896"/>
      <c r="BA77" s="1896"/>
      <c r="BB77" s="1897"/>
      <c r="BC77" s="1898"/>
      <c r="BD77" s="1899"/>
      <c r="BE77" s="1899"/>
      <c r="BF77" s="1899"/>
      <c r="BG77" s="1899"/>
      <c r="BH77" s="1899"/>
      <c r="BI77" s="1899"/>
      <c r="BJ77" s="1899"/>
      <c r="BK77" s="1899"/>
      <c r="BL77" s="1899"/>
      <c r="BM77" s="1900"/>
      <c r="BN77" s="1910">
        <f>CD77</f>
        <v>0</v>
      </c>
      <c r="BO77" s="1911"/>
      <c r="BP77" s="1911"/>
      <c r="BQ77" s="1911"/>
      <c r="BR77" s="1911"/>
      <c r="BS77" s="1911"/>
      <c r="BT77" s="1911"/>
      <c r="BU77" s="1911"/>
      <c r="BV77" s="1911"/>
      <c r="BW77" s="1911"/>
      <c r="BX77" s="1911"/>
      <c r="BY77" s="1911"/>
      <c r="BZ77" s="1911"/>
      <c r="CA77" s="1911"/>
      <c r="CB77" s="1912"/>
      <c r="CC77" s="261"/>
      <c r="CD77" s="261"/>
      <c r="CE77" s="262"/>
      <c r="CF77" s="262"/>
      <c r="CG77" s="261">
        <v>0</v>
      </c>
      <c r="CH77" s="262"/>
    </row>
    <row r="78" spans="1:88" ht="20.25" customHeight="1" x14ac:dyDescent="0.2">
      <c r="A78" s="1843"/>
      <c r="B78" s="1844"/>
      <c r="C78" s="1844"/>
      <c r="D78" s="1845"/>
      <c r="E78" s="1892" t="s">
        <v>166</v>
      </c>
      <c r="F78" s="1893"/>
      <c r="G78" s="1893"/>
      <c r="H78" s="1893"/>
      <c r="I78" s="1893"/>
      <c r="J78" s="1893"/>
      <c r="K78" s="1893"/>
      <c r="L78" s="1893"/>
      <c r="M78" s="1893"/>
      <c r="N78" s="1893"/>
      <c r="O78" s="1893"/>
      <c r="P78" s="1893"/>
      <c r="Q78" s="1893"/>
      <c r="R78" s="1893"/>
      <c r="S78" s="1893"/>
      <c r="T78" s="1893"/>
      <c r="U78" s="1893"/>
      <c r="V78" s="1893"/>
      <c r="W78" s="1893"/>
      <c r="X78" s="1893"/>
      <c r="Y78" s="1893"/>
      <c r="Z78" s="1893"/>
      <c r="AA78" s="1893"/>
      <c r="AB78" s="1893"/>
      <c r="AC78" s="1893"/>
      <c r="AD78" s="1893"/>
      <c r="AE78" s="1893"/>
      <c r="AF78" s="1893"/>
      <c r="AG78" s="1893"/>
      <c r="AH78" s="1893"/>
      <c r="AI78" s="1893"/>
      <c r="AJ78" s="1893"/>
      <c r="AK78" s="1893"/>
      <c r="AL78" s="1893"/>
      <c r="AM78" s="1893"/>
      <c r="AN78" s="1893"/>
      <c r="AO78" s="1893"/>
      <c r="AP78" s="1893"/>
      <c r="AQ78" s="1893"/>
      <c r="AR78" s="1894"/>
      <c r="AS78" s="1895"/>
      <c r="AT78" s="1896"/>
      <c r="AU78" s="1896"/>
      <c r="AV78" s="1896"/>
      <c r="AW78" s="1896"/>
      <c r="AX78" s="1896"/>
      <c r="AY78" s="1896"/>
      <c r="AZ78" s="1896"/>
      <c r="BA78" s="1896"/>
      <c r="BB78" s="1897"/>
      <c r="BC78" s="1898"/>
      <c r="BD78" s="1899"/>
      <c r="BE78" s="1899"/>
      <c r="BF78" s="1899"/>
      <c r="BG78" s="1899"/>
      <c r="BH78" s="1899"/>
      <c r="BI78" s="1899"/>
      <c r="BJ78" s="1899"/>
      <c r="BK78" s="1899"/>
      <c r="BL78" s="1899"/>
      <c r="BM78" s="1900"/>
      <c r="BN78" s="1984">
        <f>CD78+CG78</f>
        <v>0</v>
      </c>
      <c r="BO78" s="1985"/>
      <c r="BP78" s="1985"/>
      <c r="BQ78" s="1985"/>
      <c r="BR78" s="1985"/>
      <c r="BS78" s="1985"/>
      <c r="BT78" s="1985"/>
      <c r="BU78" s="1985"/>
      <c r="BV78" s="1985"/>
      <c r="BW78" s="1985"/>
      <c r="BX78" s="1985"/>
      <c r="BY78" s="1985"/>
      <c r="BZ78" s="1985"/>
      <c r="CA78" s="1985"/>
      <c r="CB78" s="1986"/>
      <c r="CC78" s="261"/>
      <c r="CD78" s="263">
        <f>SUM(CD77)</f>
        <v>0</v>
      </c>
      <c r="CE78" s="262"/>
      <c r="CF78" s="262"/>
      <c r="CG78" s="586">
        <f>CG77</f>
        <v>0</v>
      </c>
      <c r="CH78" s="262"/>
    </row>
    <row r="79" spans="1:88" ht="19.5" customHeight="1" x14ac:dyDescent="0.2">
      <c r="A79" s="1772">
        <v>1</v>
      </c>
      <c r="B79" s="1882"/>
      <c r="C79" s="1882"/>
      <c r="D79" s="1882"/>
      <c r="E79" s="1772" t="s">
        <v>167</v>
      </c>
      <c r="F79" s="1882"/>
      <c r="G79" s="1882"/>
      <c r="H79" s="1882"/>
      <c r="I79" s="1882"/>
      <c r="J79" s="1882"/>
      <c r="K79" s="1882"/>
      <c r="L79" s="1882"/>
      <c r="M79" s="1882"/>
      <c r="N79" s="1882"/>
      <c r="O79" s="1882"/>
      <c r="P79" s="1882"/>
      <c r="Q79" s="1882"/>
      <c r="R79" s="1882"/>
      <c r="S79" s="1882"/>
      <c r="T79" s="1882"/>
      <c r="U79" s="1882"/>
      <c r="V79" s="1882"/>
      <c r="W79" s="1882"/>
      <c r="X79" s="1882"/>
      <c r="Y79" s="1882"/>
      <c r="Z79" s="1882"/>
      <c r="AA79" s="1882"/>
      <c r="AB79" s="1882"/>
      <c r="AC79" s="1882"/>
      <c r="AD79" s="1882"/>
      <c r="AE79" s="1882"/>
      <c r="AF79" s="1882"/>
      <c r="AG79" s="1882"/>
      <c r="AH79" s="1882"/>
      <c r="AI79" s="1882"/>
      <c r="AJ79" s="1882"/>
      <c r="AK79" s="1882"/>
      <c r="AL79" s="1882"/>
      <c r="AM79" s="1882"/>
      <c r="AN79" s="1882"/>
      <c r="AO79" s="1882"/>
      <c r="AP79" s="1882"/>
      <c r="AQ79" s="1882"/>
      <c r="AR79" s="1773"/>
      <c r="AS79" s="1981"/>
      <c r="AT79" s="1982"/>
      <c r="AU79" s="1982"/>
      <c r="AV79" s="1982"/>
      <c r="AW79" s="1982"/>
      <c r="AX79" s="1982"/>
      <c r="AY79" s="1982"/>
      <c r="AZ79" s="1982"/>
      <c r="BA79" s="1982"/>
      <c r="BB79" s="1983"/>
      <c r="BC79" s="1978"/>
      <c r="BD79" s="1884"/>
      <c r="BE79" s="1884"/>
      <c r="BF79" s="1884"/>
      <c r="BG79" s="1884"/>
      <c r="BH79" s="1884"/>
      <c r="BI79" s="1884"/>
      <c r="BJ79" s="1884"/>
      <c r="BK79" s="1884"/>
      <c r="BL79" s="1884"/>
      <c r="BM79" s="1885"/>
      <c r="BN79" s="1834">
        <f>CC79+CD79+CF79+CG79+CH79</f>
        <v>1623895.72</v>
      </c>
      <c r="BO79" s="1835"/>
      <c r="BP79" s="1835"/>
      <c r="BQ79" s="1835"/>
      <c r="BR79" s="1835"/>
      <c r="BS79" s="1835"/>
      <c r="BT79" s="1835"/>
      <c r="BU79" s="1835"/>
      <c r="BV79" s="1835"/>
      <c r="BW79" s="1835"/>
      <c r="BX79" s="1835"/>
      <c r="BY79" s="1835"/>
      <c r="BZ79" s="1835"/>
      <c r="CA79" s="1835"/>
      <c r="CB79" s="1836"/>
      <c r="CC79" s="955"/>
      <c r="CD79" s="271">
        <f>851020-179581.28</f>
        <v>671438.72</v>
      </c>
      <c r="CE79" s="265"/>
      <c r="CF79" s="266"/>
      <c r="CG79" s="265"/>
      <c r="CH79" s="1208">
        <f>1157630-205173</f>
        <v>952457</v>
      </c>
      <c r="CI79" s="1206" t="s">
        <v>1723</v>
      </c>
      <c r="CJ79" s="52">
        <f>CD79-725303.9</f>
        <v>-53865.180000000051</v>
      </c>
    </row>
    <row r="80" spans="1:88" ht="19.5" customHeight="1" x14ac:dyDescent="0.2">
      <c r="A80" s="1772"/>
      <c r="B80" s="1882"/>
      <c r="C80" s="1882"/>
      <c r="D80" s="1773"/>
      <c r="E80" s="1772"/>
      <c r="F80" s="1882"/>
      <c r="G80" s="1882"/>
      <c r="H80" s="1882"/>
      <c r="I80" s="1882"/>
      <c r="J80" s="1882"/>
      <c r="K80" s="1882"/>
      <c r="L80" s="1882"/>
      <c r="M80" s="1882"/>
      <c r="N80" s="1882"/>
      <c r="O80" s="1882"/>
      <c r="P80" s="1882"/>
      <c r="Q80" s="1882"/>
      <c r="R80" s="1882"/>
      <c r="S80" s="1882"/>
      <c r="T80" s="1882"/>
      <c r="U80" s="1882"/>
      <c r="V80" s="1882"/>
      <c r="W80" s="1882"/>
      <c r="X80" s="1882"/>
      <c r="Y80" s="1882"/>
      <c r="Z80" s="1882"/>
      <c r="AA80" s="1882"/>
      <c r="AB80" s="1882"/>
      <c r="AC80" s="1882"/>
      <c r="AD80" s="1882"/>
      <c r="AE80" s="1882"/>
      <c r="AF80" s="1882"/>
      <c r="AG80" s="1882"/>
      <c r="AH80" s="1882"/>
      <c r="AI80" s="1882"/>
      <c r="AJ80" s="1882"/>
      <c r="AK80" s="1882"/>
      <c r="AL80" s="1882"/>
      <c r="AM80" s="1882"/>
      <c r="AN80" s="1882"/>
      <c r="AO80" s="1882"/>
      <c r="AP80" s="1882"/>
      <c r="AQ80" s="1882"/>
      <c r="AR80" s="1773"/>
      <c r="AS80" s="1883"/>
      <c r="AT80" s="1884"/>
      <c r="AU80" s="1884"/>
      <c r="AV80" s="1884"/>
      <c r="AW80" s="1884"/>
      <c r="AX80" s="1884"/>
      <c r="AY80" s="1884"/>
      <c r="AZ80" s="1884"/>
      <c r="BA80" s="1884"/>
      <c r="BB80" s="1885"/>
      <c r="BC80" s="1978"/>
      <c r="BD80" s="1979"/>
      <c r="BE80" s="1979"/>
      <c r="BF80" s="1979"/>
      <c r="BG80" s="1979"/>
      <c r="BH80" s="1979"/>
      <c r="BI80" s="1979"/>
      <c r="BJ80" s="1979"/>
      <c r="BK80" s="1979"/>
      <c r="BL80" s="1979"/>
      <c r="BM80" s="1980"/>
      <c r="BN80" s="1849">
        <f>CD80+CH80</f>
        <v>0</v>
      </c>
      <c r="BO80" s="1850"/>
      <c r="BP80" s="1850"/>
      <c r="BQ80" s="1850"/>
      <c r="BR80" s="1850"/>
      <c r="BS80" s="1850"/>
      <c r="BT80" s="1850"/>
      <c r="BU80" s="1850"/>
      <c r="BV80" s="1850"/>
      <c r="BW80" s="1850"/>
      <c r="BX80" s="1850"/>
      <c r="BY80" s="1850"/>
      <c r="BZ80" s="1850"/>
      <c r="CA80" s="1850"/>
      <c r="CB80" s="1851"/>
      <c r="CC80" s="955"/>
      <c r="CD80" s="271">
        <v>0</v>
      </c>
      <c r="CE80" s="265"/>
      <c r="CF80" s="266"/>
      <c r="CG80" s="265"/>
      <c r="CH80" s="1209"/>
      <c r="CJ80" s="52">
        <f>CH81-1111071.5</f>
        <v>-158614.5</v>
      </c>
    </row>
    <row r="81" spans="1:88" ht="20.25" customHeight="1" x14ac:dyDescent="0.2">
      <c r="A81" s="243"/>
      <c r="B81" s="244"/>
      <c r="C81" s="244"/>
      <c r="D81" s="245"/>
      <c r="E81" s="1892" t="s">
        <v>168</v>
      </c>
      <c r="F81" s="1893"/>
      <c r="G81" s="1893"/>
      <c r="H81" s="1893"/>
      <c r="I81" s="1893"/>
      <c r="J81" s="1893"/>
      <c r="K81" s="1893"/>
      <c r="L81" s="1893"/>
      <c r="M81" s="1893"/>
      <c r="N81" s="1893"/>
      <c r="O81" s="1893"/>
      <c r="P81" s="1893"/>
      <c r="Q81" s="1893"/>
      <c r="R81" s="1893"/>
      <c r="S81" s="1893"/>
      <c r="T81" s="1893"/>
      <c r="U81" s="1893"/>
      <c r="V81" s="1893"/>
      <c r="W81" s="1893"/>
      <c r="X81" s="1893"/>
      <c r="Y81" s="1893"/>
      <c r="Z81" s="1893"/>
      <c r="AA81" s="1893"/>
      <c r="AB81" s="1893"/>
      <c r="AC81" s="1893"/>
      <c r="AD81" s="1893"/>
      <c r="AE81" s="1893"/>
      <c r="AF81" s="1893"/>
      <c r="AG81" s="1893"/>
      <c r="AH81" s="1893"/>
      <c r="AI81" s="1893"/>
      <c r="AJ81" s="1893"/>
      <c r="AK81" s="1893"/>
      <c r="AL81" s="1893"/>
      <c r="AM81" s="1893"/>
      <c r="AN81" s="1893"/>
      <c r="AO81" s="1893"/>
      <c r="AP81" s="1893"/>
      <c r="AQ81" s="1893"/>
      <c r="AR81" s="1894"/>
      <c r="AS81" s="1895"/>
      <c r="AT81" s="1896"/>
      <c r="AU81" s="1896"/>
      <c r="AV81" s="1896"/>
      <c r="AW81" s="1896"/>
      <c r="AX81" s="1896"/>
      <c r="AY81" s="1896"/>
      <c r="AZ81" s="1896"/>
      <c r="BA81" s="1896"/>
      <c r="BB81" s="1897"/>
      <c r="BC81" s="1898"/>
      <c r="BD81" s="1899"/>
      <c r="BE81" s="1899"/>
      <c r="BF81" s="1899"/>
      <c r="BG81" s="1899"/>
      <c r="BH81" s="1899"/>
      <c r="BI81" s="1899"/>
      <c r="BJ81" s="1899"/>
      <c r="BK81" s="1899"/>
      <c r="BL81" s="1899"/>
      <c r="BM81" s="1900"/>
      <c r="BN81" s="1968">
        <f>SUM(BN79:BN80)</f>
        <v>1623895.72</v>
      </c>
      <c r="BO81" s="1969"/>
      <c r="BP81" s="1969"/>
      <c r="BQ81" s="1969"/>
      <c r="BR81" s="1969"/>
      <c r="BS81" s="1969"/>
      <c r="BT81" s="1969"/>
      <c r="BU81" s="1969"/>
      <c r="BV81" s="1969"/>
      <c r="BW81" s="1969"/>
      <c r="BX81" s="1969"/>
      <c r="BY81" s="1969"/>
      <c r="BZ81" s="1969"/>
      <c r="CA81" s="1969"/>
      <c r="CB81" s="1970"/>
      <c r="CC81" s="956"/>
      <c r="CD81" s="956">
        <f>SUM(CD79:CD80)</f>
        <v>671438.72</v>
      </c>
      <c r="CE81" s="265"/>
      <c r="CF81" s="262"/>
      <c r="CG81" s="262"/>
      <c r="CH81" s="1207">
        <f>SUM(CH79:CH80)</f>
        <v>952457</v>
      </c>
    </row>
    <row r="82" spans="1:88" x14ac:dyDescent="0.2">
      <c r="A82" s="1973">
        <v>1</v>
      </c>
      <c r="B82" s="1973"/>
      <c r="C82" s="1973"/>
      <c r="D82" s="1973"/>
      <c r="E82" s="1973" t="s">
        <v>880</v>
      </c>
      <c r="F82" s="1973"/>
      <c r="G82" s="1973"/>
      <c r="H82" s="1973"/>
      <c r="I82" s="1973"/>
      <c r="J82" s="1973"/>
      <c r="K82" s="1973"/>
      <c r="L82" s="1973"/>
      <c r="M82" s="1973"/>
      <c r="N82" s="1973"/>
      <c r="O82" s="1973"/>
      <c r="P82" s="1973"/>
      <c r="Q82" s="1973"/>
      <c r="R82" s="1973"/>
      <c r="S82" s="1973"/>
      <c r="T82" s="1973"/>
      <c r="U82" s="1973"/>
      <c r="V82" s="1973"/>
      <c r="W82" s="1973"/>
      <c r="X82" s="1973"/>
      <c r="Y82" s="1973"/>
      <c r="Z82" s="1973"/>
      <c r="AA82" s="1973"/>
      <c r="AB82" s="1973"/>
      <c r="AC82" s="1973"/>
      <c r="AD82" s="1973"/>
      <c r="AE82" s="1973"/>
      <c r="AF82" s="1973"/>
      <c r="AG82" s="1973"/>
      <c r="AH82" s="1973"/>
      <c r="AI82" s="1973"/>
      <c r="AJ82" s="1973"/>
      <c r="AK82" s="1973"/>
      <c r="AL82" s="1973"/>
      <c r="AM82" s="1973"/>
      <c r="AN82" s="1973"/>
      <c r="AO82" s="1973"/>
      <c r="AP82" s="1973"/>
      <c r="AQ82" s="1973"/>
      <c r="AR82" s="1973"/>
      <c r="AS82" s="1974">
        <v>5</v>
      </c>
      <c r="AT82" s="1974"/>
      <c r="AU82" s="1974"/>
      <c r="AV82" s="1974"/>
      <c r="AW82" s="1974"/>
      <c r="AX82" s="1974"/>
      <c r="AY82" s="1974"/>
      <c r="AZ82" s="1974"/>
      <c r="BA82" s="1974"/>
      <c r="BB82" s="1974"/>
      <c r="BC82" s="1977">
        <v>51.2</v>
      </c>
      <c r="BD82" s="1977"/>
      <c r="BE82" s="1977"/>
      <c r="BF82" s="1977"/>
      <c r="BG82" s="1977"/>
      <c r="BH82" s="1977"/>
      <c r="BI82" s="1977"/>
      <c r="BJ82" s="1977"/>
      <c r="BK82" s="1977"/>
      <c r="BL82" s="1977"/>
      <c r="BM82" s="1977"/>
      <c r="BN82" s="1977">
        <f>AS82*BC82</f>
        <v>256</v>
      </c>
      <c r="BO82" s="1977"/>
      <c r="BP82" s="1977"/>
      <c r="BQ82" s="1977"/>
      <c r="BR82" s="1977"/>
      <c r="BS82" s="1977"/>
      <c r="BT82" s="1977"/>
      <c r="BU82" s="1977"/>
      <c r="BV82" s="1977"/>
      <c r="BW82" s="1977"/>
      <c r="BX82" s="1977"/>
      <c r="BY82" s="1977"/>
      <c r="BZ82" s="1977"/>
      <c r="CA82" s="1977"/>
      <c r="CB82" s="1977"/>
      <c r="CC82" s="223"/>
      <c r="CD82" s="223">
        <f>1000-744</f>
        <v>256</v>
      </c>
      <c r="CE82" s="1024"/>
      <c r="CF82" s="223"/>
      <c r="CG82" s="223"/>
      <c r="CH82" s="223"/>
    </row>
    <row r="83" spans="1:88" s="29" customFormat="1" x14ac:dyDescent="0.2">
      <c r="A83" s="1831" t="s">
        <v>620</v>
      </c>
      <c r="B83" s="1832"/>
      <c r="C83" s="1832"/>
      <c r="D83" s="1832"/>
      <c r="E83" s="1832"/>
      <c r="F83" s="1832"/>
      <c r="G83" s="1832"/>
      <c r="H83" s="1832"/>
      <c r="I83" s="1832"/>
      <c r="J83" s="1832"/>
      <c r="K83" s="1832"/>
      <c r="L83" s="1832"/>
      <c r="M83" s="1832"/>
      <c r="N83" s="1832"/>
      <c r="O83" s="1832"/>
      <c r="P83" s="1832"/>
      <c r="Q83" s="1832"/>
      <c r="R83" s="1832"/>
      <c r="S83" s="1832"/>
      <c r="T83" s="1832"/>
      <c r="U83" s="1832"/>
      <c r="V83" s="1832"/>
      <c r="W83" s="1832"/>
      <c r="X83" s="1832"/>
      <c r="Y83" s="1832"/>
      <c r="Z83" s="1832"/>
      <c r="AA83" s="1832"/>
      <c r="AB83" s="1832"/>
      <c r="AC83" s="1832"/>
      <c r="AD83" s="1832"/>
      <c r="AE83" s="1832"/>
      <c r="AF83" s="1832"/>
      <c r="AG83" s="1832"/>
      <c r="AH83" s="1832"/>
      <c r="AI83" s="1832"/>
      <c r="AJ83" s="1832"/>
      <c r="AK83" s="1832"/>
      <c r="AL83" s="1832"/>
      <c r="AM83" s="1832"/>
      <c r="AN83" s="1832"/>
      <c r="AO83" s="1832"/>
      <c r="AP83" s="1832"/>
      <c r="AQ83" s="1832"/>
      <c r="AR83" s="1833"/>
      <c r="AS83" s="1913" t="s">
        <v>3</v>
      </c>
      <c r="AT83" s="1913"/>
      <c r="AU83" s="1913"/>
      <c r="AV83" s="1913"/>
      <c r="AW83" s="1913"/>
      <c r="AX83" s="1913"/>
      <c r="AY83" s="1913"/>
      <c r="AZ83" s="1913"/>
      <c r="BA83" s="1913"/>
      <c r="BB83" s="1913"/>
      <c r="BC83" s="1971" t="s">
        <v>3</v>
      </c>
      <c r="BD83" s="1971"/>
      <c r="BE83" s="1971"/>
      <c r="BF83" s="1971"/>
      <c r="BG83" s="1971"/>
      <c r="BH83" s="1971"/>
      <c r="BI83" s="1971"/>
      <c r="BJ83" s="1971"/>
      <c r="BK83" s="1971"/>
      <c r="BL83" s="1971"/>
      <c r="BM83" s="1971"/>
      <c r="BN83" s="1971">
        <f>BN82</f>
        <v>256</v>
      </c>
      <c r="BO83" s="1971"/>
      <c r="BP83" s="1971"/>
      <c r="BQ83" s="1971"/>
      <c r="BR83" s="1971"/>
      <c r="BS83" s="1971"/>
      <c r="BT83" s="1971"/>
      <c r="BU83" s="1971"/>
      <c r="BV83" s="1971"/>
      <c r="BW83" s="1971"/>
      <c r="BX83" s="1971"/>
      <c r="BY83" s="1971"/>
      <c r="BZ83" s="1971"/>
      <c r="CA83" s="1971"/>
      <c r="CB83" s="1971"/>
      <c r="CC83" s="239"/>
      <c r="CD83" s="239">
        <f>SUM(CD82)</f>
        <v>256</v>
      </c>
      <c r="CE83" s="239"/>
      <c r="CF83" s="239"/>
      <c r="CG83" s="239"/>
      <c r="CH83" s="239"/>
    </row>
    <row r="84" spans="1:88" ht="17.25" customHeight="1" x14ac:dyDescent="0.3">
      <c r="A84" s="1772">
        <v>1</v>
      </c>
      <c r="B84" s="1882"/>
      <c r="C84" s="1882"/>
      <c r="D84" s="1773"/>
      <c r="E84" s="1772" t="s">
        <v>169</v>
      </c>
      <c r="F84" s="1882"/>
      <c r="G84" s="1882"/>
      <c r="H84" s="1882"/>
      <c r="I84" s="1882"/>
      <c r="J84" s="1882"/>
      <c r="K84" s="1882"/>
      <c r="L84" s="1882"/>
      <c r="M84" s="1882"/>
      <c r="N84" s="1882"/>
      <c r="O84" s="1882"/>
      <c r="P84" s="1882"/>
      <c r="Q84" s="1882"/>
      <c r="R84" s="1882"/>
      <c r="S84" s="1882"/>
      <c r="T84" s="1882"/>
      <c r="U84" s="1882"/>
      <c r="V84" s="1882"/>
      <c r="W84" s="1882"/>
      <c r="X84" s="1882"/>
      <c r="Y84" s="1882"/>
      <c r="Z84" s="1882"/>
      <c r="AA84" s="1882"/>
      <c r="AB84" s="1882"/>
      <c r="AC84" s="1882"/>
      <c r="AD84" s="1882"/>
      <c r="AE84" s="1882"/>
      <c r="AF84" s="1882"/>
      <c r="AG84" s="1882"/>
      <c r="AH84" s="1882"/>
      <c r="AI84" s="1882"/>
      <c r="AJ84" s="1882"/>
      <c r="AK84" s="1882"/>
      <c r="AL84" s="1882"/>
      <c r="AM84" s="1882"/>
      <c r="AN84" s="1882"/>
      <c r="AO84" s="1882"/>
      <c r="AP84" s="1882"/>
      <c r="AQ84" s="1882"/>
      <c r="AR84" s="1773"/>
      <c r="AS84" s="1895"/>
      <c r="AT84" s="1896"/>
      <c r="AU84" s="1896"/>
      <c r="AV84" s="1896"/>
      <c r="AW84" s="1896"/>
      <c r="AX84" s="1896"/>
      <c r="AY84" s="1896"/>
      <c r="AZ84" s="1896"/>
      <c r="BA84" s="1896"/>
      <c r="BB84" s="1897"/>
      <c r="BC84" s="1898"/>
      <c r="BD84" s="1899"/>
      <c r="BE84" s="1899"/>
      <c r="BF84" s="1899"/>
      <c r="BG84" s="1899"/>
      <c r="BH84" s="1899"/>
      <c r="BI84" s="1899"/>
      <c r="BJ84" s="1899"/>
      <c r="BK84" s="1899"/>
      <c r="BL84" s="1899"/>
      <c r="BM84" s="1900"/>
      <c r="BN84" s="1849">
        <f>CH84</f>
        <v>18430</v>
      </c>
      <c r="BO84" s="1850"/>
      <c r="BP84" s="1850"/>
      <c r="BQ84" s="1850"/>
      <c r="BR84" s="1850"/>
      <c r="BS84" s="1850"/>
      <c r="BT84" s="1850"/>
      <c r="BU84" s="1850"/>
      <c r="BV84" s="1850"/>
      <c r="BW84" s="1850"/>
      <c r="BX84" s="1850"/>
      <c r="BY84" s="1850"/>
      <c r="BZ84" s="1850"/>
      <c r="CA84" s="1850"/>
      <c r="CB84" s="1851"/>
      <c r="CC84" s="271"/>
      <c r="CD84" s="271">
        <v>0</v>
      </c>
      <c r="CE84" s="265"/>
      <c r="CF84" s="262"/>
      <c r="CG84" s="262"/>
      <c r="CH84" s="1210">
        <f>20000-1570</f>
        <v>18430</v>
      </c>
      <c r="CI84" s="1042"/>
    </row>
    <row r="85" spans="1:88" ht="18.75" customHeight="1" x14ac:dyDescent="0.3">
      <c r="A85" s="48"/>
      <c r="B85" s="9"/>
      <c r="C85" s="9"/>
      <c r="D85" s="49"/>
      <c r="E85" s="1892" t="s">
        <v>170</v>
      </c>
      <c r="F85" s="1893"/>
      <c r="G85" s="1893"/>
      <c r="H85" s="1893"/>
      <c r="I85" s="1893"/>
      <c r="J85" s="1893"/>
      <c r="K85" s="1893"/>
      <c r="L85" s="1893"/>
      <c r="M85" s="1893"/>
      <c r="N85" s="1893"/>
      <c r="O85" s="1893"/>
      <c r="P85" s="1893"/>
      <c r="Q85" s="1893"/>
      <c r="R85" s="1893"/>
      <c r="S85" s="1893"/>
      <c r="T85" s="1893"/>
      <c r="U85" s="1893"/>
      <c r="V85" s="1893"/>
      <c r="W85" s="1893"/>
      <c r="X85" s="1893"/>
      <c r="Y85" s="1893"/>
      <c r="Z85" s="1893"/>
      <c r="AA85" s="1893"/>
      <c r="AB85" s="1893"/>
      <c r="AC85" s="1893"/>
      <c r="AD85" s="1893"/>
      <c r="AE85" s="1893"/>
      <c r="AF85" s="1893"/>
      <c r="AG85" s="1893"/>
      <c r="AH85" s="1893"/>
      <c r="AI85" s="1893"/>
      <c r="AJ85" s="1893"/>
      <c r="AK85" s="1893"/>
      <c r="AL85" s="1893"/>
      <c r="AM85" s="1893"/>
      <c r="AN85" s="1893"/>
      <c r="AO85" s="1893"/>
      <c r="AP85" s="1893"/>
      <c r="AQ85" s="1893"/>
      <c r="AR85" s="1894"/>
      <c r="AS85" s="1895"/>
      <c r="AT85" s="1896"/>
      <c r="AU85" s="1896"/>
      <c r="AV85" s="1896"/>
      <c r="AW85" s="1896"/>
      <c r="AX85" s="1896"/>
      <c r="AY85" s="1896"/>
      <c r="AZ85" s="1896"/>
      <c r="BA85" s="1896"/>
      <c r="BB85" s="1897"/>
      <c r="BC85" s="1898"/>
      <c r="BD85" s="1899"/>
      <c r="BE85" s="1899"/>
      <c r="BF85" s="1899"/>
      <c r="BG85" s="1899"/>
      <c r="BH85" s="1899"/>
      <c r="BI85" s="1899"/>
      <c r="BJ85" s="1899"/>
      <c r="BK85" s="1899"/>
      <c r="BL85" s="1899"/>
      <c r="BM85" s="1900"/>
      <c r="BN85" s="1968">
        <f>CH85</f>
        <v>18430</v>
      </c>
      <c r="BO85" s="1969"/>
      <c r="BP85" s="1969"/>
      <c r="BQ85" s="1969"/>
      <c r="BR85" s="1969"/>
      <c r="BS85" s="1969"/>
      <c r="BT85" s="1969"/>
      <c r="BU85" s="1969"/>
      <c r="BV85" s="1969"/>
      <c r="BW85" s="1969"/>
      <c r="BX85" s="1969"/>
      <c r="BY85" s="1969"/>
      <c r="BZ85" s="1969"/>
      <c r="CA85" s="1969"/>
      <c r="CB85" s="1970"/>
      <c r="CC85" s="271"/>
      <c r="CD85" s="956">
        <f>SUM(CD84:CD84)</f>
        <v>0</v>
      </c>
      <c r="CE85" s="262"/>
      <c r="CF85" s="262"/>
      <c r="CG85" s="262"/>
      <c r="CH85" s="1207">
        <f>CH84</f>
        <v>18430</v>
      </c>
      <c r="CI85" s="1042"/>
    </row>
    <row r="86" spans="1:88" ht="36.75" customHeight="1" x14ac:dyDescent="0.2">
      <c r="A86" s="1772">
        <v>1</v>
      </c>
      <c r="B86" s="1882"/>
      <c r="C86" s="1882"/>
      <c r="D86" s="1882"/>
      <c r="E86" s="1772" t="s">
        <v>1735</v>
      </c>
      <c r="F86" s="1882"/>
      <c r="G86" s="1882"/>
      <c r="H86" s="1882"/>
      <c r="I86" s="1882"/>
      <c r="J86" s="1882"/>
      <c r="K86" s="1882"/>
      <c r="L86" s="1882"/>
      <c r="M86" s="1882"/>
      <c r="N86" s="1882"/>
      <c r="O86" s="1882"/>
      <c r="P86" s="1882"/>
      <c r="Q86" s="1882"/>
      <c r="R86" s="1882"/>
      <c r="S86" s="1882"/>
      <c r="T86" s="1882"/>
      <c r="U86" s="1882"/>
      <c r="V86" s="1882"/>
      <c r="W86" s="1882"/>
      <c r="X86" s="1882"/>
      <c r="Y86" s="1882"/>
      <c r="Z86" s="1882"/>
      <c r="AA86" s="1882"/>
      <c r="AB86" s="1882"/>
      <c r="AC86" s="1882"/>
      <c r="AD86" s="1882"/>
      <c r="AE86" s="1882"/>
      <c r="AF86" s="1882"/>
      <c r="AG86" s="1882"/>
      <c r="AH86" s="1882"/>
      <c r="AI86" s="1882"/>
      <c r="AJ86" s="1882"/>
      <c r="AK86" s="1882"/>
      <c r="AL86" s="1882"/>
      <c r="AM86" s="1882"/>
      <c r="AN86" s="1882"/>
      <c r="AO86" s="1882"/>
      <c r="AP86" s="1882"/>
      <c r="AQ86" s="1882"/>
      <c r="AR86" s="1773"/>
      <c r="AS86" s="1901"/>
      <c r="AT86" s="1902"/>
      <c r="AU86" s="1902"/>
      <c r="AV86" s="1902"/>
      <c r="AW86" s="1902"/>
      <c r="AX86" s="1902"/>
      <c r="AY86" s="1902"/>
      <c r="AZ86" s="1902"/>
      <c r="BA86" s="1902"/>
      <c r="BB86" s="1903"/>
      <c r="BC86" s="1907"/>
      <c r="BD86" s="1908"/>
      <c r="BE86" s="1908"/>
      <c r="BF86" s="1908"/>
      <c r="BG86" s="1908"/>
      <c r="BH86" s="1908"/>
      <c r="BI86" s="1908"/>
      <c r="BJ86" s="1908"/>
      <c r="BK86" s="1908"/>
      <c r="BL86" s="1908"/>
      <c r="BM86" s="1909"/>
      <c r="BN86" s="1849">
        <f>CD86+CC86+CH86</f>
        <v>434976.32</v>
      </c>
      <c r="BO86" s="1850"/>
      <c r="BP86" s="1850"/>
      <c r="BQ86" s="1850"/>
      <c r="BR86" s="1850"/>
      <c r="BS86" s="1850"/>
      <c r="BT86" s="1850"/>
      <c r="BU86" s="1850"/>
      <c r="BV86" s="1850"/>
      <c r="BW86" s="1850"/>
      <c r="BX86" s="1850"/>
      <c r="BY86" s="1850"/>
      <c r="BZ86" s="1850"/>
      <c r="CA86" s="1850"/>
      <c r="CB86" s="1851"/>
      <c r="CC86" s="271">
        <v>80000</v>
      </c>
      <c r="CD86" s="271">
        <f>13337.8+127471.05-104.58-13233.22+744-61850+52999.96+4782.33+179581.28+2853.83</f>
        <v>306582.45</v>
      </c>
      <c r="CE86" s="989"/>
      <c r="CF86" s="262"/>
      <c r="CG86" s="262"/>
      <c r="CH86" s="1210">
        <f>45147.71+1570+1676.16</f>
        <v>48393.87</v>
      </c>
      <c r="CI86" s="1122" t="s">
        <v>1724</v>
      </c>
      <c r="CJ86" s="52">
        <f>CC86+CD86+CH86+CC87+CC88+CH89-5200-11500-8050-12000</f>
        <v>1061378.5199999998</v>
      </c>
    </row>
    <row r="87" spans="1:88" ht="50.25" customHeight="1" x14ac:dyDescent="0.2">
      <c r="A87" s="1772">
        <v>2</v>
      </c>
      <c r="B87" s="1882"/>
      <c r="C87" s="1882"/>
      <c r="D87" s="1882"/>
      <c r="E87" s="1772" t="s">
        <v>1311</v>
      </c>
      <c r="F87" s="1882"/>
      <c r="G87" s="1882"/>
      <c r="H87" s="1882"/>
      <c r="I87" s="1882"/>
      <c r="J87" s="1882"/>
      <c r="K87" s="1882"/>
      <c r="L87" s="1882"/>
      <c r="M87" s="1882"/>
      <c r="N87" s="1882"/>
      <c r="O87" s="1882"/>
      <c r="P87" s="1882"/>
      <c r="Q87" s="1882"/>
      <c r="R87" s="1882"/>
      <c r="S87" s="1882"/>
      <c r="T87" s="1882"/>
      <c r="U87" s="1882"/>
      <c r="V87" s="1882"/>
      <c r="W87" s="1882"/>
      <c r="X87" s="1882"/>
      <c r="Y87" s="1882"/>
      <c r="Z87" s="1882"/>
      <c r="AA87" s="1882"/>
      <c r="AB87" s="1882"/>
      <c r="AC87" s="1882"/>
      <c r="AD87" s="1882"/>
      <c r="AE87" s="1882"/>
      <c r="AF87" s="1882"/>
      <c r="AG87" s="1882"/>
      <c r="AH87" s="1882"/>
      <c r="AI87" s="1882"/>
      <c r="AJ87" s="1882"/>
      <c r="AK87" s="1882"/>
      <c r="AL87" s="1882"/>
      <c r="AM87" s="1882"/>
      <c r="AN87" s="1882"/>
      <c r="AO87" s="1882"/>
      <c r="AP87" s="1882"/>
      <c r="AQ87" s="1882"/>
      <c r="AR87" s="1773"/>
      <c r="AS87" s="1901"/>
      <c r="AT87" s="1902"/>
      <c r="AU87" s="1902"/>
      <c r="AV87" s="1902"/>
      <c r="AW87" s="1902"/>
      <c r="AX87" s="1902"/>
      <c r="AY87" s="1902"/>
      <c r="AZ87" s="1902"/>
      <c r="BA87" s="1902"/>
      <c r="BB87" s="1903"/>
      <c r="BC87" s="1907"/>
      <c r="BD87" s="1908"/>
      <c r="BE87" s="1908"/>
      <c r="BF87" s="1908"/>
      <c r="BG87" s="1908"/>
      <c r="BH87" s="1908"/>
      <c r="BI87" s="1908"/>
      <c r="BJ87" s="1908"/>
      <c r="BK87" s="1908"/>
      <c r="BL87" s="1908"/>
      <c r="BM87" s="1909"/>
      <c r="BN87" s="1849">
        <f>CD87+CC87</f>
        <v>621152.19999999972</v>
      </c>
      <c r="BO87" s="1850"/>
      <c r="BP87" s="1850"/>
      <c r="BQ87" s="1850"/>
      <c r="BR87" s="1850"/>
      <c r="BS87" s="1850"/>
      <c r="BT87" s="1850"/>
      <c r="BU87" s="1850"/>
      <c r="BV87" s="1850"/>
      <c r="BW87" s="1850"/>
      <c r="BX87" s="1850"/>
      <c r="BY87" s="1850"/>
      <c r="BZ87" s="1850"/>
      <c r="CA87" s="1850"/>
      <c r="CB87" s="1851"/>
      <c r="CC87" s="271">
        <f>635107.58+(576292.02-200000-30000)+29928.71+898.3+120000-1796.6-41557.81-63780-413000+9060</f>
        <v>621152.19999999972</v>
      </c>
      <c r="CD87" s="271"/>
      <c r="CE87" s="265"/>
      <c r="CF87" s="262"/>
      <c r="CG87" s="262"/>
      <c r="CH87" s="1210"/>
      <c r="CI87" s="988" t="s">
        <v>1726</v>
      </c>
      <c r="CJ87" s="52">
        <f>CD90+CC90-CJ88</f>
        <v>1037734.6499999997</v>
      </c>
    </row>
    <row r="88" spans="1:88" ht="20.25" customHeight="1" x14ac:dyDescent="0.2">
      <c r="A88" s="1772">
        <v>3</v>
      </c>
      <c r="B88" s="1882"/>
      <c r="C88" s="1882"/>
      <c r="D88" s="1882"/>
      <c r="E88" s="1956" t="s">
        <v>1419</v>
      </c>
      <c r="F88" s="1957"/>
      <c r="G88" s="1957"/>
      <c r="H88" s="1957"/>
      <c r="I88" s="1957"/>
      <c r="J88" s="1957"/>
      <c r="K88" s="1957"/>
      <c r="L88" s="1957"/>
      <c r="M88" s="1957"/>
      <c r="N88" s="1957"/>
      <c r="O88" s="1957"/>
      <c r="P88" s="1957"/>
      <c r="Q88" s="1957"/>
      <c r="R88" s="1957"/>
      <c r="S88" s="1957"/>
      <c r="T88" s="1957"/>
      <c r="U88" s="1957"/>
      <c r="V88" s="1957"/>
      <c r="W88" s="1957"/>
      <c r="X88" s="1957"/>
      <c r="Y88" s="1957"/>
      <c r="Z88" s="1957"/>
      <c r="AA88" s="1957"/>
      <c r="AB88" s="1957"/>
      <c r="AC88" s="1957"/>
      <c r="AD88" s="1957"/>
      <c r="AE88" s="1957"/>
      <c r="AF88" s="1957"/>
      <c r="AG88" s="1957"/>
      <c r="AH88" s="1957"/>
      <c r="AI88" s="1957"/>
      <c r="AJ88" s="1957"/>
      <c r="AK88" s="1957"/>
      <c r="AL88" s="1957"/>
      <c r="AM88" s="1957"/>
      <c r="AN88" s="1957"/>
      <c r="AO88" s="1957"/>
      <c r="AP88" s="1957"/>
      <c r="AQ88" s="1957"/>
      <c r="AR88" s="1958"/>
      <c r="AS88" s="1901"/>
      <c r="AT88" s="1902"/>
      <c r="AU88" s="1902"/>
      <c r="AV88" s="1902"/>
      <c r="AW88" s="1902"/>
      <c r="AX88" s="1902"/>
      <c r="AY88" s="1902"/>
      <c r="AZ88" s="1902"/>
      <c r="BA88" s="1902"/>
      <c r="BB88" s="1903"/>
      <c r="BC88" s="1907"/>
      <c r="BD88" s="1908"/>
      <c r="BE88" s="1908"/>
      <c r="BF88" s="1908"/>
      <c r="BG88" s="1908"/>
      <c r="BH88" s="1908"/>
      <c r="BI88" s="1908"/>
      <c r="BJ88" s="1908"/>
      <c r="BK88" s="1908"/>
      <c r="BL88" s="1908"/>
      <c r="BM88" s="1909"/>
      <c r="BN88" s="1849">
        <f>CD88+CC88</f>
        <v>30000</v>
      </c>
      <c r="BO88" s="1850"/>
      <c r="BP88" s="1850"/>
      <c r="BQ88" s="1850"/>
      <c r="BR88" s="1850"/>
      <c r="BS88" s="1850"/>
      <c r="BT88" s="1850"/>
      <c r="BU88" s="1850"/>
      <c r="BV88" s="1850"/>
      <c r="BW88" s="1850"/>
      <c r="BX88" s="1850"/>
      <c r="BY88" s="1850"/>
      <c r="BZ88" s="1850"/>
      <c r="CA88" s="1850"/>
      <c r="CB88" s="1851"/>
      <c r="CC88" s="271">
        <v>30000</v>
      </c>
      <c r="CD88" s="261"/>
      <c r="CE88" s="265"/>
      <c r="CF88" s="262"/>
      <c r="CG88" s="262"/>
      <c r="CH88" s="1210"/>
      <c r="CJ88" s="1064">
        <f>CE87+CE88</f>
        <v>0</v>
      </c>
    </row>
    <row r="89" spans="1:88" ht="19.5" customHeight="1" x14ac:dyDescent="0.2">
      <c r="A89" s="1772">
        <v>4</v>
      </c>
      <c r="B89" s="1882"/>
      <c r="C89" s="1882"/>
      <c r="D89" s="1882"/>
      <c r="E89" s="1772" t="s">
        <v>1293</v>
      </c>
      <c r="F89" s="1882"/>
      <c r="G89" s="1882"/>
      <c r="H89" s="1882"/>
      <c r="I89" s="1882"/>
      <c r="J89" s="1882"/>
      <c r="K89" s="1882"/>
      <c r="L89" s="1882"/>
      <c r="M89" s="1882"/>
      <c r="N89" s="1882"/>
      <c r="O89" s="1882"/>
      <c r="P89" s="1882"/>
      <c r="Q89" s="1882"/>
      <c r="R89" s="1882"/>
      <c r="S89" s="1882"/>
      <c r="T89" s="1882"/>
      <c r="U89" s="1882"/>
      <c r="V89" s="1882"/>
      <c r="W89" s="1882"/>
      <c r="X89" s="1882"/>
      <c r="Y89" s="1882"/>
      <c r="Z89" s="1882"/>
      <c r="AA89" s="1882"/>
      <c r="AB89" s="1882"/>
      <c r="AC89" s="1882"/>
      <c r="AD89" s="1882"/>
      <c r="AE89" s="1882"/>
      <c r="AF89" s="1882"/>
      <c r="AG89" s="1882"/>
      <c r="AH89" s="1882"/>
      <c r="AI89" s="1882"/>
      <c r="AJ89" s="1882"/>
      <c r="AK89" s="1882"/>
      <c r="AL89" s="1882"/>
      <c r="AM89" s="1882"/>
      <c r="AN89" s="1882"/>
      <c r="AO89" s="1882"/>
      <c r="AP89" s="1882"/>
      <c r="AQ89" s="1882"/>
      <c r="AR89" s="1773"/>
      <c r="AS89" s="1901"/>
      <c r="AT89" s="1902"/>
      <c r="AU89" s="1902"/>
      <c r="AV89" s="1902"/>
      <c r="AW89" s="1902"/>
      <c r="AX89" s="1902"/>
      <c r="AY89" s="1902"/>
      <c r="AZ89" s="1902"/>
      <c r="BA89" s="1902"/>
      <c r="BB89" s="1903"/>
      <c r="BC89" s="1907"/>
      <c r="BD89" s="1908"/>
      <c r="BE89" s="1908"/>
      <c r="BF89" s="1908"/>
      <c r="BG89" s="1908"/>
      <c r="BH89" s="1908"/>
      <c r="BI89" s="1908"/>
      <c r="BJ89" s="1908"/>
      <c r="BK89" s="1908"/>
      <c r="BL89" s="1908"/>
      <c r="BM89" s="1909"/>
      <c r="BN89" s="1910">
        <f>CH89</f>
        <v>12000</v>
      </c>
      <c r="BO89" s="1911"/>
      <c r="BP89" s="1911"/>
      <c r="BQ89" s="1911"/>
      <c r="BR89" s="1911"/>
      <c r="BS89" s="1911"/>
      <c r="BT89" s="1911"/>
      <c r="BU89" s="1911"/>
      <c r="BV89" s="1911"/>
      <c r="BW89" s="1911"/>
      <c r="BX89" s="1911"/>
      <c r="BY89" s="1911"/>
      <c r="BZ89" s="1911"/>
      <c r="CA89" s="1911"/>
      <c r="CB89" s="1912"/>
      <c r="CC89" s="264"/>
      <c r="CD89" s="264"/>
      <c r="CE89" s="265"/>
      <c r="CF89" s="265"/>
      <c r="CG89" s="265"/>
      <c r="CH89" s="1210">
        <v>12000</v>
      </c>
    </row>
    <row r="90" spans="1:88" x14ac:dyDescent="0.2">
      <c r="A90" s="1814"/>
      <c r="B90" s="1815"/>
      <c r="C90" s="1815"/>
      <c r="D90" s="1816"/>
      <c r="E90" s="1892" t="s">
        <v>174</v>
      </c>
      <c r="F90" s="1893"/>
      <c r="G90" s="1893"/>
      <c r="H90" s="1893"/>
      <c r="I90" s="1893"/>
      <c r="J90" s="1893"/>
      <c r="K90" s="1893"/>
      <c r="L90" s="1893"/>
      <c r="M90" s="1893"/>
      <c r="N90" s="1893"/>
      <c r="O90" s="1893"/>
      <c r="P90" s="1893"/>
      <c r="Q90" s="1893"/>
      <c r="R90" s="1893"/>
      <c r="S90" s="1893"/>
      <c r="T90" s="1893"/>
      <c r="U90" s="1893"/>
      <c r="V90" s="1893"/>
      <c r="W90" s="1893"/>
      <c r="X90" s="1893"/>
      <c r="Y90" s="1893"/>
      <c r="Z90" s="1893"/>
      <c r="AA90" s="1893"/>
      <c r="AB90" s="1893"/>
      <c r="AC90" s="1893"/>
      <c r="AD90" s="1893"/>
      <c r="AE90" s="1893"/>
      <c r="AF90" s="1893"/>
      <c r="AG90" s="1893"/>
      <c r="AH90" s="1893"/>
      <c r="AI90" s="1893"/>
      <c r="AJ90" s="1893"/>
      <c r="AK90" s="1893"/>
      <c r="AL90" s="1893"/>
      <c r="AM90" s="1893"/>
      <c r="AN90" s="1893"/>
      <c r="AO90" s="1893"/>
      <c r="AP90" s="1893"/>
      <c r="AQ90" s="1893"/>
      <c r="AR90" s="1894"/>
      <c r="AS90" s="1895"/>
      <c r="AT90" s="1896"/>
      <c r="AU90" s="1896"/>
      <c r="AV90" s="1896"/>
      <c r="AW90" s="1896"/>
      <c r="AX90" s="1896"/>
      <c r="AY90" s="1896"/>
      <c r="AZ90" s="1896"/>
      <c r="BA90" s="1896"/>
      <c r="BB90" s="1897"/>
      <c r="BC90" s="1898"/>
      <c r="BD90" s="1899"/>
      <c r="BE90" s="1899"/>
      <c r="BF90" s="1899"/>
      <c r="BG90" s="1899"/>
      <c r="BH90" s="1899"/>
      <c r="BI90" s="1899"/>
      <c r="BJ90" s="1899"/>
      <c r="BK90" s="1899"/>
      <c r="BL90" s="1899"/>
      <c r="BM90" s="1900"/>
      <c r="BN90" s="1959">
        <f>SUM(BN86:CB89)</f>
        <v>1098128.5199999998</v>
      </c>
      <c r="BO90" s="1960"/>
      <c r="BP90" s="1960"/>
      <c r="BQ90" s="1960"/>
      <c r="BR90" s="1960"/>
      <c r="BS90" s="1960"/>
      <c r="BT90" s="1960"/>
      <c r="BU90" s="1960"/>
      <c r="BV90" s="1960"/>
      <c r="BW90" s="1960"/>
      <c r="BX90" s="1960"/>
      <c r="BY90" s="1960"/>
      <c r="BZ90" s="1960"/>
      <c r="CA90" s="1960"/>
      <c r="CB90" s="1961"/>
      <c r="CC90" s="257">
        <f>SUM(CC86:CC89)</f>
        <v>731152.19999999972</v>
      </c>
      <c r="CD90" s="272">
        <f>SUM(CD86:CD89)</f>
        <v>306582.45</v>
      </c>
      <c r="CE90" s="272"/>
      <c r="CF90" s="272"/>
      <c r="CG90" s="272"/>
      <c r="CH90" s="1207">
        <f>SUM(CH86:CH89)</f>
        <v>60393.87</v>
      </c>
      <c r="CI90" s="51" t="s">
        <v>1654</v>
      </c>
    </row>
    <row r="91" spans="1:88" ht="13.5" customHeight="1" x14ac:dyDescent="0.2">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33"/>
      <c r="AT91" s="33"/>
      <c r="AU91" s="33"/>
      <c r="AV91" s="33"/>
      <c r="AW91" s="33"/>
      <c r="AX91" s="33"/>
      <c r="AY91" s="33"/>
      <c r="AZ91" s="33"/>
      <c r="BA91" s="33"/>
      <c r="BB91" s="33"/>
      <c r="BC91" s="33"/>
      <c r="BD91" s="33"/>
      <c r="BE91" s="33"/>
      <c r="BF91" s="33"/>
      <c r="BG91" s="33"/>
      <c r="BH91" s="33"/>
      <c r="BI91" s="33"/>
      <c r="BJ91" s="33"/>
      <c r="BK91" s="33"/>
      <c r="BL91" s="33"/>
      <c r="BM91" s="33"/>
      <c r="BN91" s="274"/>
      <c r="BO91" s="274"/>
      <c r="BP91" s="274"/>
      <c r="BQ91" s="274"/>
      <c r="BR91" s="274"/>
      <c r="BS91" s="274"/>
      <c r="BT91" s="274"/>
      <c r="BU91" s="274"/>
      <c r="BV91" s="274"/>
      <c r="BW91" s="274"/>
      <c r="BX91" s="274"/>
      <c r="BY91" s="274"/>
      <c r="BZ91" s="274"/>
      <c r="CA91" s="274"/>
      <c r="CB91" s="274"/>
      <c r="CC91" s="275"/>
      <c r="CD91" s="276"/>
      <c r="CE91" s="275"/>
      <c r="CF91" s="275"/>
      <c r="CG91" s="275"/>
      <c r="CH91" s="275"/>
      <c r="CI91" s="51" t="s">
        <v>1652</v>
      </c>
    </row>
    <row r="92" spans="1:88" s="4" customFormat="1" ht="15.75" x14ac:dyDescent="0.25">
      <c r="A92" s="1955" t="s">
        <v>175</v>
      </c>
      <c r="B92" s="1955"/>
      <c r="C92" s="1955"/>
      <c r="D92" s="1955"/>
      <c r="E92" s="1955"/>
      <c r="F92" s="1955"/>
      <c r="G92" s="1955"/>
      <c r="H92" s="1955"/>
      <c r="I92" s="1955"/>
      <c r="J92" s="1955"/>
      <c r="K92" s="1955"/>
      <c r="L92" s="1955"/>
      <c r="M92" s="1955"/>
      <c r="N92" s="1955"/>
      <c r="O92" s="1955"/>
      <c r="P92" s="1955"/>
      <c r="Q92" s="1955"/>
      <c r="R92" s="1955"/>
      <c r="S92" s="1955"/>
      <c r="T92" s="1955"/>
      <c r="U92" s="1955"/>
      <c r="V92" s="1955"/>
      <c r="W92" s="1955"/>
      <c r="X92" s="1955"/>
      <c r="Y92" s="1955"/>
      <c r="Z92" s="1955"/>
      <c r="AA92" s="1955"/>
      <c r="AB92" s="1955"/>
      <c r="AC92" s="1955"/>
      <c r="AD92" s="1955"/>
      <c r="AE92" s="1955"/>
      <c r="AF92" s="1955"/>
      <c r="AG92" s="1955"/>
      <c r="AH92" s="1955"/>
      <c r="AI92" s="1955"/>
      <c r="AJ92" s="1955"/>
      <c r="AK92" s="1955"/>
      <c r="AL92" s="1955"/>
      <c r="AM92" s="1955"/>
      <c r="AN92" s="1955"/>
      <c r="AO92" s="1955"/>
      <c r="AP92" s="1955"/>
      <c r="AQ92" s="1955"/>
      <c r="AR92" s="1955"/>
      <c r="AS92" s="1955"/>
      <c r="AT92" s="1955"/>
      <c r="AU92" s="1955"/>
      <c r="AV92" s="1955"/>
      <c r="AW92" s="1955"/>
      <c r="AX92" s="1955"/>
      <c r="AY92" s="1955"/>
      <c r="AZ92" s="1955"/>
      <c r="BA92" s="1955"/>
      <c r="BB92" s="1955"/>
      <c r="BC92" s="1955"/>
      <c r="BD92" s="1955"/>
      <c r="BE92" s="1955"/>
      <c r="BF92" s="1955"/>
      <c r="BG92" s="1955"/>
      <c r="BH92" s="1955"/>
      <c r="BI92" s="1955"/>
      <c r="BJ92" s="1955"/>
      <c r="BK92" s="1955"/>
      <c r="BL92" s="1955"/>
      <c r="BM92" s="1955"/>
      <c r="BN92" s="1955"/>
      <c r="BO92" s="1955"/>
      <c r="BP92" s="1955"/>
      <c r="BQ92" s="1955"/>
      <c r="BR92" s="1955"/>
      <c r="BS92" s="1955"/>
      <c r="BT92" s="1955"/>
      <c r="BU92" s="1955"/>
      <c r="BV92" s="1955"/>
      <c r="BW92" s="1955"/>
      <c r="BX92" s="1955"/>
      <c r="BY92" s="1955"/>
      <c r="BZ92" s="1955"/>
      <c r="CA92" s="1955"/>
      <c r="CB92" s="1955"/>
      <c r="CC92" s="1955"/>
      <c r="CD92" s="1955"/>
      <c r="CE92" s="1955"/>
      <c r="CF92" s="1955"/>
      <c r="CG92" s="1955"/>
      <c r="CH92" s="1955"/>
      <c r="CI92" s="1131" t="s">
        <v>1653</v>
      </c>
    </row>
    <row r="93" spans="1:88" ht="15.75" x14ac:dyDescent="0.25">
      <c r="A93" s="19" t="s">
        <v>176</v>
      </c>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51" t="s">
        <v>1655</v>
      </c>
    </row>
    <row r="95" spans="1:88" ht="12.75" customHeight="1" x14ac:dyDescent="0.2">
      <c r="A95" s="1818" t="s">
        <v>71</v>
      </c>
      <c r="B95" s="1819"/>
      <c r="C95" s="1819"/>
      <c r="D95" s="1820"/>
      <c r="E95" s="1818" t="s">
        <v>4</v>
      </c>
      <c r="F95" s="181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19"/>
      <c r="AK95" s="1819"/>
      <c r="AL95" s="1819"/>
      <c r="AM95" s="1819"/>
      <c r="AN95" s="1819"/>
      <c r="AO95" s="1819"/>
      <c r="AP95" s="1819"/>
      <c r="AQ95" s="1819"/>
      <c r="AR95" s="1820"/>
      <c r="AS95" s="1818" t="s">
        <v>5</v>
      </c>
      <c r="AT95" s="1819"/>
      <c r="AU95" s="1819"/>
      <c r="AV95" s="1819"/>
      <c r="AW95" s="1819"/>
      <c r="AX95" s="1819"/>
      <c r="AY95" s="1819"/>
      <c r="AZ95" s="1819"/>
      <c r="BA95" s="1819"/>
      <c r="BB95" s="1820"/>
      <c r="BC95" s="1818" t="s">
        <v>164</v>
      </c>
      <c r="BD95" s="1819"/>
      <c r="BE95" s="1819"/>
      <c r="BF95" s="1819"/>
      <c r="BG95" s="1819"/>
      <c r="BH95" s="1819"/>
      <c r="BI95" s="1819"/>
      <c r="BJ95" s="1819"/>
      <c r="BK95" s="1819"/>
      <c r="BL95" s="1819"/>
      <c r="BM95" s="1820"/>
      <c r="BN95" s="1818" t="s">
        <v>6</v>
      </c>
      <c r="BO95" s="1819"/>
      <c r="BP95" s="1819"/>
      <c r="BQ95" s="1819"/>
      <c r="BR95" s="1819"/>
      <c r="BS95" s="1819"/>
      <c r="BT95" s="1819"/>
      <c r="BU95" s="1819"/>
      <c r="BV95" s="1819"/>
      <c r="BW95" s="1819"/>
      <c r="BX95" s="1819"/>
      <c r="BY95" s="1819"/>
      <c r="BZ95" s="1819"/>
      <c r="CA95" s="1819"/>
      <c r="CB95" s="1820"/>
      <c r="CC95" s="1797" t="s">
        <v>52</v>
      </c>
      <c r="CD95" s="1798"/>
      <c r="CE95" s="1798"/>
      <c r="CF95" s="1798"/>
      <c r="CG95" s="1798"/>
      <c r="CH95" s="1799"/>
    </row>
    <row r="96" spans="1:88" ht="55.5" customHeight="1" x14ac:dyDescent="0.2">
      <c r="A96" s="1807" t="s">
        <v>77</v>
      </c>
      <c r="B96" s="1808"/>
      <c r="C96" s="1808"/>
      <c r="D96" s="1809"/>
      <c r="E96" s="1807"/>
      <c r="F96" s="1808"/>
      <c r="G96" s="1808"/>
      <c r="H96" s="1808"/>
      <c r="I96" s="1808"/>
      <c r="J96" s="1808"/>
      <c r="K96" s="1808"/>
      <c r="L96" s="1808"/>
      <c r="M96" s="1808"/>
      <c r="N96" s="1808"/>
      <c r="O96" s="1808"/>
      <c r="P96" s="1808"/>
      <c r="Q96" s="1808"/>
      <c r="R96" s="1808"/>
      <c r="S96" s="1808"/>
      <c r="T96" s="1808"/>
      <c r="U96" s="1808"/>
      <c r="V96" s="1808"/>
      <c r="W96" s="1808"/>
      <c r="X96" s="1808"/>
      <c r="Y96" s="1808"/>
      <c r="Z96" s="1808"/>
      <c r="AA96" s="1808"/>
      <c r="AB96" s="1808"/>
      <c r="AC96" s="1808"/>
      <c r="AD96" s="1808"/>
      <c r="AE96" s="1808"/>
      <c r="AF96" s="1808"/>
      <c r="AG96" s="1808"/>
      <c r="AH96" s="1808"/>
      <c r="AI96" s="1808"/>
      <c r="AJ96" s="1808"/>
      <c r="AK96" s="1808"/>
      <c r="AL96" s="1808"/>
      <c r="AM96" s="1808"/>
      <c r="AN96" s="1808"/>
      <c r="AO96" s="1808"/>
      <c r="AP96" s="1808"/>
      <c r="AQ96" s="1808"/>
      <c r="AR96" s="1809"/>
      <c r="AS96" s="1807"/>
      <c r="AT96" s="1808"/>
      <c r="AU96" s="1808"/>
      <c r="AV96" s="1808"/>
      <c r="AW96" s="1808"/>
      <c r="AX96" s="1808"/>
      <c r="AY96" s="1808"/>
      <c r="AZ96" s="1808"/>
      <c r="BA96" s="1808"/>
      <c r="BB96" s="1809"/>
      <c r="BC96" s="1807" t="s">
        <v>165</v>
      </c>
      <c r="BD96" s="1808"/>
      <c r="BE96" s="1808"/>
      <c r="BF96" s="1808"/>
      <c r="BG96" s="1808"/>
      <c r="BH96" s="1808"/>
      <c r="BI96" s="1808"/>
      <c r="BJ96" s="1808"/>
      <c r="BK96" s="1808"/>
      <c r="BL96" s="1808"/>
      <c r="BM96" s="1809"/>
      <c r="BN96" s="1807"/>
      <c r="BO96" s="1808"/>
      <c r="BP96" s="1808"/>
      <c r="BQ96" s="1808"/>
      <c r="BR96" s="1808"/>
      <c r="BS96" s="1808"/>
      <c r="BT96" s="1808"/>
      <c r="BU96" s="1808"/>
      <c r="BV96" s="1808"/>
      <c r="BW96" s="1808"/>
      <c r="BX96" s="1808"/>
      <c r="BY96" s="1808"/>
      <c r="BZ96" s="1808"/>
      <c r="CA96" s="1808"/>
      <c r="CB96" s="1809"/>
      <c r="CC96" s="1788" t="s">
        <v>35</v>
      </c>
      <c r="CD96" s="1789"/>
      <c r="CE96" s="1788" t="s">
        <v>45</v>
      </c>
      <c r="CF96" s="1790"/>
      <c r="CG96" s="1789"/>
      <c r="CH96" s="1778" t="s">
        <v>46</v>
      </c>
    </row>
    <row r="97" spans="1:88" ht="12.75" customHeight="1" x14ac:dyDescent="0.2">
      <c r="A97" s="1807"/>
      <c r="B97" s="1808"/>
      <c r="C97" s="1808"/>
      <c r="D97" s="1809"/>
      <c r="E97" s="1807"/>
      <c r="F97" s="1808"/>
      <c r="G97" s="1808"/>
      <c r="H97" s="1808"/>
      <c r="I97" s="1808"/>
      <c r="J97" s="1808"/>
      <c r="K97" s="1808"/>
      <c r="L97" s="1808"/>
      <c r="M97" s="1808"/>
      <c r="N97" s="1808"/>
      <c r="O97" s="1808"/>
      <c r="P97" s="1808"/>
      <c r="Q97" s="1808"/>
      <c r="R97" s="1808"/>
      <c r="S97" s="1808"/>
      <c r="T97" s="1808"/>
      <c r="U97" s="1808"/>
      <c r="V97" s="1808"/>
      <c r="W97" s="1808"/>
      <c r="X97" s="1808"/>
      <c r="Y97" s="1808"/>
      <c r="Z97" s="1808"/>
      <c r="AA97" s="1808"/>
      <c r="AB97" s="1808"/>
      <c r="AC97" s="1808"/>
      <c r="AD97" s="1808"/>
      <c r="AE97" s="1808"/>
      <c r="AF97" s="1808"/>
      <c r="AG97" s="1808"/>
      <c r="AH97" s="1808"/>
      <c r="AI97" s="1808"/>
      <c r="AJ97" s="1808"/>
      <c r="AK97" s="1808"/>
      <c r="AL97" s="1808"/>
      <c r="AM97" s="1808"/>
      <c r="AN97" s="1808"/>
      <c r="AO97" s="1808"/>
      <c r="AP97" s="1808"/>
      <c r="AQ97" s="1808"/>
      <c r="AR97" s="1809"/>
      <c r="AS97" s="1807"/>
      <c r="AT97" s="1808"/>
      <c r="AU97" s="1808"/>
      <c r="AV97" s="1808"/>
      <c r="AW97" s="1808"/>
      <c r="AX97" s="1808"/>
      <c r="AY97" s="1808"/>
      <c r="AZ97" s="1808"/>
      <c r="BA97" s="1808"/>
      <c r="BB97" s="1809"/>
      <c r="BC97" s="1807" t="s">
        <v>111</v>
      </c>
      <c r="BD97" s="1808"/>
      <c r="BE97" s="1808"/>
      <c r="BF97" s="1808"/>
      <c r="BG97" s="1808"/>
      <c r="BH97" s="1808"/>
      <c r="BI97" s="1808"/>
      <c r="BJ97" s="1808"/>
      <c r="BK97" s="1808"/>
      <c r="BL97" s="1808"/>
      <c r="BM97" s="1809"/>
      <c r="BN97" s="1807"/>
      <c r="BO97" s="1808"/>
      <c r="BP97" s="1808"/>
      <c r="BQ97" s="1808"/>
      <c r="BR97" s="1808"/>
      <c r="BS97" s="1808"/>
      <c r="BT97" s="1808"/>
      <c r="BU97" s="1808"/>
      <c r="BV97" s="1808"/>
      <c r="BW97" s="1808"/>
      <c r="BX97" s="1808"/>
      <c r="BY97" s="1808"/>
      <c r="BZ97" s="1808"/>
      <c r="CA97" s="1808"/>
      <c r="CB97" s="1809"/>
      <c r="CC97" s="1812" t="s">
        <v>43</v>
      </c>
      <c r="CD97" s="1812" t="s">
        <v>44</v>
      </c>
      <c r="CE97" s="1812" t="s">
        <v>55</v>
      </c>
      <c r="CF97" s="1812" t="s">
        <v>43</v>
      </c>
      <c r="CG97" s="1812" t="s">
        <v>44</v>
      </c>
      <c r="CH97" s="1779"/>
    </row>
    <row r="98" spans="1:88" ht="12.75" customHeight="1" x14ac:dyDescent="0.2">
      <c r="A98" s="246"/>
      <c r="B98" s="247"/>
      <c r="C98" s="247"/>
      <c r="D98" s="248"/>
      <c r="E98" s="1814"/>
      <c r="F98" s="1815"/>
      <c r="G98" s="1815"/>
      <c r="H98" s="1815"/>
      <c r="I98" s="1815"/>
      <c r="J98" s="1815"/>
      <c r="K98" s="1815"/>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15"/>
      <c r="AH98" s="1815"/>
      <c r="AI98" s="1815"/>
      <c r="AJ98" s="1815"/>
      <c r="AK98" s="1815"/>
      <c r="AL98" s="1815"/>
      <c r="AM98" s="1815"/>
      <c r="AN98" s="1815"/>
      <c r="AO98" s="1815"/>
      <c r="AP98" s="1815"/>
      <c r="AQ98" s="1815"/>
      <c r="AR98" s="1816"/>
      <c r="AS98" s="1814"/>
      <c r="AT98" s="1815"/>
      <c r="AU98" s="1815"/>
      <c r="AV98" s="1815"/>
      <c r="AW98" s="1815"/>
      <c r="AX98" s="1815"/>
      <c r="AY98" s="1815"/>
      <c r="AZ98" s="1815"/>
      <c r="BA98" s="1815"/>
      <c r="BB98" s="1816"/>
      <c r="BC98" s="1814"/>
      <c r="BD98" s="1815"/>
      <c r="BE98" s="1815"/>
      <c r="BF98" s="1815"/>
      <c r="BG98" s="1815"/>
      <c r="BH98" s="1815"/>
      <c r="BI98" s="1815"/>
      <c r="BJ98" s="1815"/>
      <c r="BK98" s="1815"/>
      <c r="BL98" s="1815"/>
      <c r="BM98" s="1816"/>
      <c r="BN98" s="1814"/>
      <c r="BO98" s="1815"/>
      <c r="BP98" s="1815"/>
      <c r="BQ98" s="1815"/>
      <c r="BR98" s="1815"/>
      <c r="BS98" s="1815"/>
      <c r="BT98" s="1815"/>
      <c r="BU98" s="1815"/>
      <c r="BV98" s="1815"/>
      <c r="BW98" s="1815"/>
      <c r="BX98" s="1815"/>
      <c r="BY98" s="1815"/>
      <c r="BZ98" s="1815"/>
      <c r="CA98" s="1815"/>
      <c r="CB98" s="1816"/>
      <c r="CC98" s="1813"/>
      <c r="CD98" s="1813"/>
      <c r="CE98" s="1813"/>
      <c r="CF98" s="1813"/>
      <c r="CG98" s="1813"/>
      <c r="CH98" s="1780"/>
    </row>
    <row r="99" spans="1:88" x14ac:dyDescent="0.2">
      <c r="A99" s="1770">
        <v>1</v>
      </c>
      <c r="B99" s="1787"/>
      <c r="C99" s="1787"/>
      <c r="D99" s="1771"/>
      <c r="E99" s="1770">
        <v>2</v>
      </c>
      <c r="F99" s="1787"/>
      <c r="G99" s="1787"/>
      <c r="H99" s="1787"/>
      <c r="I99" s="1787"/>
      <c r="J99" s="1787"/>
      <c r="K99" s="1787"/>
      <c r="L99" s="1787"/>
      <c r="M99" s="1787"/>
      <c r="N99" s="1787"/>
      <c r="O99" s="1787"/>
      <c r="P99" s="1787"/>
      <c r="Q99" s="1787"/>
      <c r="R99" s="1787"/>
      <c r="S99" s="1787"/>
      <c r="T99" s="1787"/>
      <c r="U99" s="1787"/>
      <c r="V99" s="1787"/>
      <c r="W99" s="1787"/>
      <c r="X99" s="1787"/>
      <c r="Y99" s="1787"/>
      <c r="Z99" s="1787"/>
      <c r="AA99" s="1787"/>
      <c r="AB99" s="1787"/>
      <c r="AC99" s="1787"/>
      <c r="AD99" s="1787"/>
      <c r="AE99" s="1787"/>
      <c r="AF99" s="1787"/>
      <c r="AG99" s="1787"/>
      <c r="AH99" s="1787"/>
      <c r="AI99" s="1787"/>
      <c r="AJ99" s="1787"/>
      <c r="AK99" s="1787"/>
      <c r="AL99" s="1787"/>
      <c r="AM99" s="1787"/>
      <c r="AN99" s="1787"/>
      <c r="AO99" s="1787"/>
      <c r="AP99" s="1787"/>
      <c r="AQ99" s="1787"/>
      <c r="AR99" s="1771"/>
      <c r="AS99" s="1770">
        <v>3</v>
      </c>
      <c r="AT99" s="1787"/>
      <c r="AU99" s="1787"/>
      <c r="AV99" s="1787"/>
      <c r="AW99" s="1787"/>
      <c r="AX99" s="1787"/>
      <c r="AY99" s="1787"/>
      <c r="AZ99" s="1787"/>
      <c r="BA99" s="1787"/>
      <c r="BB99" s="1771"/>
      <c r="BC99" s="1770">
        <v>4</v>
      </c>
      <c r="BD99" s="1787"/>
      <c r="BE99" s="1787"/>
      <c r="BF99" s="1787"/>
      <c r="BG99" s="1787"/>
      <c r="BH99" s="1787"/>
      <c r="BI99" s="1787"/>
      <c r="BJ99" s="1787"/>
      <c r="BK99" s="1787"/>
      <c r="BL99" s="1787"/>
      <c r="BM99" s="1771"/>
      <c r="BN99" s="1770" t="s">
        <v>49</v>
      </c>
      <c r="BO99" s="1787"/>
      <c r="BP99" s="1787"/>
      <c r="BQ99" s="1787"/>
      <c r="BR99" s="1787"/>
      <c r="BS99" s="1787"/>
      <c r="BT99" s="1787"/>
      <c r="BU99" s="1787"/>
      <c r="BV99" s="1787"/>
      <c r="BW99" s="1787"/>
      <c r="BX99" s="1787"/>
      <c r="BY99" s="1787"/>
      <c r="BZ99" s="1787"/>
      <c r="CA99" s="1787"/>
      <c r="CB99" s="1771"/>
      <c r="CC99" s="15">
        <v>6</v>
      </c>
      <c r="CD99" s="15">
        <v>7</v>
      </c>
      <c r="CE99" s="15">
        <v>8</v>
      </c>
      <c r="CF99" s="15">
        <v>9</v>
      </c>
      <c r="CG99" s="15">
        <v>10</v>
      </c>
      <c r="CH99" s="15">
        <v>11</v>
      </c>
    </row>
    <row r="100" spans="1:88" ht="33" customHeight="1" x14ac:dyDescent="0.2">
      <c r="A100" s="1797"/>
      <c r="B100" s="1798"/>
      <c r="C100" s="1798"/>
      <c r="D100" s="1799"/>
      <c r="E100" s="1772" t="s">
        <v>793</v>
      </c>
      <c r="F100" s="1882"/>
      <c r="G100" s="1882"/>
      <c r="H100" s="1882"/>
      <c r="I100" s="1882"/>
      <c r="J100" s="1882"/>
      <c r="K100" s="1882"/>
      <c r="L100" s="1882"/>
      <c r="M100" s="1882"/>
      <c r="N100" s="1882"/>
      <c r="O100" s="1882"/>
      <c r="P100" s="1882"/>
      <c r="Q100" s="1882"/>
      <c r="R100" s="1882"/>
      <c r="S100" s="1882"/>
      <c r="T100" s="1882"/>
      <c r="U100" s="1882"/>
      <c r="V100" s="1882"/>
      <c r="W100" s="1882"/>
      <c r="X100" s="1882"/>
      <c r="Y100" s="1882"/>
      <c r="Z100" s="1882"/>
      <c r="AA100" s="1882"/>
      <c r="AB100" s="1882"/>
      <c r="AC100" s="1882"/>
      <c r="AD100" s="1882"/>
      <c r="AE100" s="1882"/>
      <c r="AF100" s="1882"/>
      <c r="AG100" s="1882"/>
      <c r="AH100" s="1882"/>
      <c r="AI100" s="1882"/>
      <c r="AJ100" s="1882"/>
      <c r="AK100" s="1882"/>
      <c r="AL100" s="1882"/>
      <c r="AM100" s="1882"/>
      <c r="AN100" s="1882"/>
      <c r="AO100" s="1882"/>
      <c r="AP100" s="1882"/>
      <c r="AQ100" s="1882"/>
      <c r="AR100" s="1773"/>
      <c r="AS100" s="1895"/>
      <c r="AT100" s="1896"/>
      <c r="AU100" s="1896"/>
      <c r="AV100" s="1896"/>
      <c r="AW100" s="1896"/>
      <c r="AX100" s="1896"/>
      <c r="AY100" s="1896"/>
      <c r="AZ100" s="1896"/>
      <c r="BA100" s="1896"/>
      <c r="BB100" s="1897"/>
      <c r="BC100" s="1898"/>
      <c r="BD100" s="1899"/>
      <c r="BE100" s="1899"/>
      <c r="BF100" s="1899"/>
      <c r="BG100" s="1899"/>
      <c r="BH100" s="1899"/>
      <c r="BI100" s="1899"/>
      <c r="BJ100" s="1899"/>
      <c r="BK100" s="1899"/>
      <c r="BL100" s="1899"/>
      <c r="BM100" s="1900"/>
      <c r="BN100" s="1952">
        <f>CC100</f>
        <v>510000</v>
      </c>
      <c r="BO100" s="1953"/>
      <c r="BP100" s="1953"/>
      <c r="BQ100" s="1953"/>
      <c r="BR100" s="1953"/>
      <c r="BS100" s="1953"/>
      <c r="BT100" s="1953"/>
      <c r="BU100" s="1953"/>
      <c r="BV100" s="1953"/>
      <c r="BW100" s="1953"/>
      <c r="BX100" s="1953"/>
      <c r="BY100" s="1953"/>
      <c r="BZ100" s="1953"/>
      <c r="CA100" s="1953"/>
      <c r="CB100" s="1954"/>
      <c r="CC100" s="277">
        <f>600000-90000</f>
        <v>510000</v>
      </c>
      <c r="CD100" s="270"/>
      <c r="CE100" s="50"/>
      <c r="CF100" s="17"/>
      <c r="CG100" s="17"/>
      <c r="CH100" s="17"/>
      <c r="CI100" s="51" t="s">
        <v>1656</v>
      </c>
      <c r="CJ100" s="52">
        <f>BN90+BN85+BN83+BN81+BN67+BN49+BN33+BN101</f>
        <v>8621034.1199999992</v>
      </c>
    </row>
    <row r="101" spans="1:88" ht="20.25" customHeight="1" x14ac:dyDescent="0.2">
      <c r="A101" s="243"/>
      <c r="B101" s="244"/>
      <c r="C101" s="244"/>
      <c r="D101" s="245"/>
      <c r="E101" s="1892" t="s">
        <v>168</v>
      </c>
      <c r="F101" s="1893"/>
      <c r="G101" s="1893"/>
      <c r="H101" s="1893"/>
      <c r="I101" s="1893"/>
      <c r="J101" s="1893"/>
      <c r="K101" s="1893"/>
      <c r="L101" s="1893"/>
      <c r="M101" s="1893"/>
      <c r="N101" s="1893"/>
      <c r="O101" s="1893"/>
      <c r="P101" s="1893"/>
      <c r="Q101" s="1893"/>
      <c r="R101" s="1893"/>
      <c r="S101" s="1893"/>
      <c r="T101" s="1893"/>
      <c r="U101" s="1893"/>
      <c r="V101" s="1893"/>
      <c r="W101" s="1893"/>
      <c r="X101" s="1893"/>
      <c r="Y101" s="1893"/>
      <c r="Z101" s="1893"/>
      <c r="AA101" s="1893"/>
      <c r="AB101" s="1893"/>
      <c r="AC101" s="1893"/>
      <c r="AD101" s="1893"/>
      <c r="AE101" s="1893"/>
      <c r="AF101" s="1893"/>
      <c r="AG101" s="1893"/>
      <c r="AH101" s="1893"/>
      <c r="AI101" s="1893"/>
      <c r="AJ101" s="1893"/>
      <c r="AK101" s="1893"/>
      <c r="AL101" s="1893"/>
      <c r="AM101" s="1893"/>
      <c r="AN101" s="1893"/>
      <c r="AO101" s="1893"/>
      <c r="AP101" s="1893"/>
      <c r="AQ101" s="1893"/>
      <c r="AR101" s="1894"/>
      <c r="AS101" s="1895"/>
      <c r="AT101" s="1896"/>
      <c r="AU101" s="1896"/>
      <c r="AV101" s="1896"/>
      <c r="AW101" s="1896"/>
      <c r="AX101" s="1896"/>
      <c r="AY101" s="1896"/>
      <c r="AZ101" s="1896"/>
      <c r="BA101" s="1896"/>
      <c r="BB101" s="1897"/>
      <c r="BC101" s="1898"/>
      <c r="BD101" s="1899"/>
      <c r="BE101" s="1899"/>
      <c r="BF101" s="1899"/>
      <c r="BG101" s="1899"/>
      <c r="BH101" s="1899"/>
      <c r="BI101" s="1899"/>
      <c r="BJ101" s="1899"/>
      <c r="BK101" s="1899"/>
      <c r="BL101" s="1899"/>
      <c r="BM101" s="1900"/>
      <c r="BN101" s="1949">
        <f>CC101</f>
        <v>510000</v>
      </c>
      <c r="BO101" s="1950"/>
      <c r="BP101" s="1950"/>
      <c r="BQ101" s="1950"/>
      <c r="BR101" s="1950"/>
      <c r="BS101" s="1950"/>
      <c r="BT101" s="1950"/>
      <c r="BU101" s="1950"/>
      <c r="BV101" s="1950"/>
      <c r="BW101" s="1950"/>
      <c r="BX101" s="1950"/>
      <c r="BY101" s="1950"/>
      <c r="BZ101" s="1950"/>
      <c r="CA101" s="1950"/>
      <c r="CB101" s="1951"/>
      <c r="CC101" s="278">
        <f>SUM(CC100:CC100)</f>
        <v>510000</v>
      </c>
      <c r="CD101" s="279"/>
      <c r="CE101" s="17"/>
      <c r="CF101" s="17"/>
      <c r="CG101" s="17"/>
      <c r="CH101" s="280"/>
    </row>
    <row r="102" spans="1:88" x14ac:dyDescent="0.2">
      <c r="CC102" s="142">
        <f>BN101+BN90+BN85+BN83+BN81+BN67+BN49+BN33</f>
        <v>8621034.1199999992</v>
      </c>
    </row>
    <row r="103" spans="1:88" s="4" customFormat="1" ht="13.5"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872">
        <f>CC33+CC67+CC90+'0701 264'!G9</f>
        <v>1580043.2199999997</v>
      </c>
      <c r="CD103" s="281">
        <f>CC103+600000</f>
        <v>2180043.2199999997</v>
      </c>
    </row>
    <row r="104" spans="1:88" x14ac:dyDescent="0.2">
      <c r="CC104" s="8" t="s">
        <v>1197</v>
      </c>
      <c r="CD104" s="52">
        <v>6337600</v>
      </c>
    </row>
    <row r="105" spans="1:88" x14ac:dyDescent="0.2">
      <c r="CC105" s="8" t="s">
        <v>1255</v>
      </c>
      <c r="CD105" s="52">
        <v>2342112.4900000002</v>
      </c>
      <c r="CH105" s="142">
        <f>CC90+CD90+CC67+CD49+CD33+CC33+CG33</f>
        <v>6399058.5299999993</v>
      </c>
    </row>
    <row r="106" spans="1:88" x14ac:dyDescent="0.2">
      <c r="CC106" s="8" t="s">
        <v>1256</v>
      </c>
      <c r="CD106" s="52">
        <v>707317.97</v>
      </c>
    </row>
    <row r="107" spans="1:88" x14ac:dyDescent="0.2">
      <c r="CC107" s="8" t="s">
        <v>1199</v>
      </c>
      <c r="CD107" s="258">
        <v>1841831.49</v>
      </c>
      <c r="CF107" s="52"/>
    </row>
    <row r="108" spans="1:88" x14ac:dyDescent="0.2">
      <c r="CD108" s="142"/>
    </row>
    <row r="109" spans="1:88" x14ac:dyDescent="0.2">
      <c r="CC109" s="8" t="s">
        <v>819</v>
      </c>
      <c r="CD109" s="52">
        <f>CD104-CD106-CD107-CD105</f>
        <v>1446338.0499999998</v>
      </c>
      <c r="CE109" s="8">
        <v>221</v>
      </c>
      <c r="CF109" s="8">
        <f>'0701 221,223'!CD12</f>
        <v>57052.3</v>
      </c>
    </row>
    <row r="110" spans="1:88" x14ac:dyDescent="0.2">
      <c r="CD110" s="142">
        <f>CD90+CD85+CD83+CD81+CD78+CD49+CD33+'0701 221,223'!CD12+'0701 221,223'!CD34+'0701 221,223'!CD32+'0701 221,223'!CD33</f>
        <v>1739709.15</v>
      </c>
      <c r="CE110" s="8">
        <v>223</v>
      </c>
      <c r="CF110" s="8">
        <f>'0701 221,223'!CD32+'0701 221,223'!CD33+'0701 221,223'!CD34</f>
        <v>66605.31</v>
      </c>
    </row>
    <row r="111" spans="1:88" x14ac:dyDescent="0.2">
      <c r="CD111" s="52">
        <f>CD109-CD110</f>
        <v>-293371.10000000009</v>
      </c>
      <c r="CE111" s="8">
        <v>225</v>
      </c>
      <c r="CF111" s="258">
        <f>CD33</f>
        <v>346036.41</v>
      </c>
    </row>
    <row r="112" spans="1:88" x14ac:dyDescent="0.2">
      <c r="CE112" s="8">
        <v>226</v>
      </c>
      <c r="CF112" s="258">
        <f>CD49</f>
        <v>291737.95999999996</v>
      </c>
    </row>
    <row r="113" spans="83:84" x14ac:dyDescent="0.2">
      <c r="CE113" s="8">
        <v>342</v>
      </c>
      <c r="CF113" s="258">
        <f>CD79</f>
        <v>671438.72</v>
      </c>
    </row>
    <row r="114" spans="83:84" x14ac:dyDescent="0.2">
      <c r="CE114" s="8">
        <v>343</v>
      </c>
      <c r="CF114" s="142">
        <f>CD82</f>
        <v>256</v>
      </c>
    </row>
    <row r="115" spans="83:84" x14ac:dyDescent="0.2">
      <c r="CE115" s="8">
        <v>346</v>
      </c>
      <c r="CF115" s="258" t="e">
        <f>#REF!</f>
        <v>#REF!</v>
      </c>
    </row>
    <row r="116" spans="83:84" x14ac:dyDescent="0.2">
      <c r="CF116" s="8" t="e">
        <f>SUM(CF109:CF115)</f>
        <v>#REF!</v>
      </c>
    </row>
  </sheetData>
  <mergeCells count="445">
    <mergeCell ref="A41:D41"/>
    <mergeCell ref="A39:D39"/>
    <mergeCell ref="A40:D40"/>
    <mergeCell ref="A60:D60"/>
    <mergeCell ref="E60:AR60"/>
    <mergeCell ref="AS60:BB60"/>
    <mergeCell ref="BC60:BM60"/>
    <mergeCell ref="BN60:CB60"/>
    <mergeCell ref="A58:D58"/>
    <mergeCell ref="E58:AR58"/>
    <mergeCell ref="AS58:BB58"/>
    <mergeCell ref="BC58:BM58"/>
    <mergeCell ref="BN58:CB58"/>
    <mergeCell ref="A59:D59"/>
    <mergeCell ref="AN40:BC40"/>
    <mergeCell ref="BD40:BM40"/>
    <mergeCell ref="A57:D57"/>
    <mergeCell ref="E57:AR57"/>
    <mergeCell ref="AS57:BB57"/>
    <mergeCell ref="A44:D44"/>
    <mergeCell ref="E44:AM44"/>
    <mergeCell ref="AN44:BC44"/>
    <mergeCell ref="BD44:BM44"/>
    <mergeCell ref="A46:D46"/>
    <mergeCell ref="A34:CB34"/>
    <mergeCell ref="A47:D47"/>
    <mergeCell ref="E47:AM47"/>
    <mergeCell ref="AN47:BC47"/>
    <mergeCell ref="BD47:BM47"/>
    <mergeCell ref="BN47:CB47"/>
    <mergeCell ref="BN31:CB31"/>
    <mergeCell ref="BC82:BM82"/>
    <mergeCell ref="BN82:CB82"/>
    <mergeCell ref="BC62:BM62"/>
    <mergeCell ref="BC80:BM80"/>
    <mergeCell ref="BN80:CB80"/>
    <mergeCell ref="E79:AR79"/>
    <mergeCell ref="AS79:BB79"/>
    <mergeCell ref="BC79:BM79"/>
    <mergeCell ref="BN79:CB79"/>
    <mergeCell ref="BC57:BM57"/>
    <mergeCell ref="BN57:CB57"/>
    <mergeCell ref="A78:D78"/>
    <mergeCell ref="E78:AR78"/>
    <mergeCell ref="AS78:BB78"/>
    <mergeCell ref="BC78:BM78"/>
    <mergeCell ref="BN78:CB78"/>
    <mergeCell ref="A67:AR67"/>
    <mergeCell ref="A84:D84"/>
    <mergeCell ref="A83:AR83"/>
    <mergeCell ref="A82:D82"/>
    <mergeCell ref="E82:AR82"/>
    <mergeCell ref="AS82:BB82"/>
    <mergeCell ref="A66:D66"/>
    <mergeCell ref="E66:AR66"/>
    <mergeCell ref="AS66:BB66"/>
    <mergeCell ref="BC66:BM66"/>
    <mergeCell ref="BC84:BM84"/>
    <mergeCell ref="AS83:BB83"/>
    <mergeCell ref="BC83:BM83"/>
    <mergeCell ref="AS67:BB67"/>
    <mergeCell ref="AS72:BB72"/>
    <mergeCell ref="BC72:BM72"/>
    <mergeCell ref="BN85:CB85"/>
    <mergeCell ref="E81:AR81"/>
    <mergeCell ref="AS81:BB81"/>
    <mergeCell ref="BC81:BM81"/>
    <mergeCell ref="BN81:CB81"/>
    <mergeCell ref="BN66:CB66"/>
    <mergeCell ref="BN84:CB84"/>
    <mergeCell ref="BN83:CB83"/>
    <mergeCell ref="BN72:CB72"/>
    <mergeCell ref="BN67:CB67"/>
    <mergeCell ref="AS84:BB84"/>
    <mergeCell ref="A27:D27"/>
    <mergeCell ref="E27:AM27"/>
    <mergeCell ref="AN27:BC27"/>
    <mergeCell ref="BD27:BM27"/>
    <mergeCell ref="BN27:CB27"/>
    <mergeCell ref="A33:D33"/>
    <mergeCell ref="E33:AM33"/>
    <mergeCell ref="AN33:BC33"/>
    <mergeCell ref="BD33:BM33"/>
    <mergeCell ref="A28:D28"/>
    <mergeCell ref="E28:AM28"/>
    <mergeCell ref="AN28:BC28"/>
    <mergeCell ref="BD28:BM28"/>
    <mergeCell ref="BN28:CB28"/>
    <mergeCell ref="A29:D29"/>
    <mergeCell ref="A30:D30"/>
    <mergeCell ref="E30:AM30"/>
    <mergeCell ref="AN30:BC30"/>
    <mergeCell ref="BD30:BM30"/>
    <mergeCell ref="E29:AM29"/>
    <mergeCell ref="AN29:BC29"/>
    <mergeCell ref="BD29:BM29"/>
    <mergeCell ref="BN29:CB29"/>
    <mergeCell ref="BN33:CB33"/>
    <mergeCell ref="BN30:CB30"/>
    <mergeCell ref="A31:D31"/>
    <mergeCell ref="E31:AM31"/>
    <mergeCell ref="AN31:BC31"/>
    <mergeCell ref="BD31:BM31"/>
    <mergeCell ref="CC95:CH95"/>
    <mergeCell ref="CF97:CF98"/>
    <mergeCell ref="CG97:CG98"/>
    <mergeCell ref="AS96:BB96"/>
    <mergeCell ref="BC96:BM96"/>
    <mergeCell ref="CE96:CG96"/>
    <mergeCell ref="E95:AR95"/>
    <mergeCell ref="BN98:CB98"/>
    <mergeCell ref="AS97:BB97"/>
    <mergeCell ref="BC97:BM97"/>
    <mergeCell ref="BN97:CB97"/>
    <mergeCell ref="A90:D90"/>
    <mergeCell ref="E90:AR90"/>
    <mergeCell ref="AS90:BB90"/>
    <mergeCell ref="BC90:BM90"/>
    <mergeCell ref="BN90:CB90"/>
    <mergeCell ref="E98:AR98"/>
    <mergeCell ref="AS98:BB98"/>
    <mergeCell ref="A96:D96"/>
    <mergeCell ref="E46:AM46"/>
    <mergeCell ref="AN46:BC46"/>
    <mergeCell ref="BD46:BM46"/>
    <mergeCell ref="BN96:CB96"/>
    <mergeCell ref="BN44:CB44"/>
    <mergeCell ref="A92:CH92"/>
    <mergeCell ref="CH96:CH98"/>
    <mergeCell ref="A97:D97"/>
    <mergeCell ref="E97:AR97"/>
    <mergeCell ref="CE97:CE98"/>
    <mergeCell ref="CC96:CD96"/>
    <mergeCell ref="E59:AR59"/>
    <mergeCell ref="AS59:BB59"/>
    <mergeCell ref="BC59:BM59"/>
    <mergeCell ref="BN59:CB59"/>
    <mergeCell ref="BN62:CB62"/>
    <mergeCell ref="A63:D63"/>
    <mergeCell ref="E63:AR63"/>
    <mergeCell ref="AS63:BB63"/>
    <mergeCell ref="E88:AR88"/>
    <mergeCell ref="AS88:BB88"/>
    <mergeCell ref="BC88:BM88"/>
    <mergeCell ref="BN88:CB88"/>
    <mergeCell ref="E84:AR84"/>
    <mergeCell ref="E101:AR101"/>
    <mergeCell ref="AS101:BB101"/>
    <mergeCell ref="BC101:BM101"/>
    <mergeCell ref="BN101:CB101"/>
    <mergeCell ref="CC97:CC98"/>
    <mergeCell ref="A95:D95"/>
    <mergeCell ref="BC98:BM98"/>
    <mergeCell ref="CD97:CD98"/>
    <mergeCell ref="A99:D99"/>
    <mergeCell ref="E99:AR99"/>
    <mergeCell ref="AS99:BB99"/>
    <mergeCell ref="BC99:BM99"/>
    <mergeCell ref="BN99:CB99"/>
    <mergeCell ref="E96:AR96"/>
    <mergeCell ref="AS95:BB95"/>
    <mergeCell ref="BC95:BM95"/>
    <mergeCell ref="BN95:CB95"/>
    <mergeCell ref="A100:D100"/>
    <mergeCell ref="E100:AR100"/>
    <mergeCell ref="AS100:BB100"/>
    <mergeCell ref="BC100:BM100"/>
    <mergeCell ref="BN100:CB100"/>
    <mergeCell ref="CD74:CD75"/>
    <mergeCell ref="A76:D76"/>
    <mergeCell ref="E76:AR76"/>
    <mergeCell ref="AS76:BB76"/>
    <mergeCell ref="BC76:BM76"/>
    <mergeCell ref="BN76:CB76"/>
    <mergeCell ref="A77:D77"/>
    <mergeCell ref="E77:AR77"/>
    <mergeCell ref="AS77:BB77"/>
    <mergeCell ref="BC77:BM77"/>
    <mergeCell ref="BN77:CB77"/>
    <mergeCell ref="CC72:CH72"/>
    <mergeCell ref="A73:D73"/>
    <mergeCell ref="E73:AR73"/>
    <mergeCell ref="AS73:BB73"/>
    <mergeCell ref="BC73:BM73"/>
    <mergeCell ref="BN73:CB73"/>
    <mergeCell ref="CC73:CD73"/>
    <mergeCell ref="CE73:CG73"/>
    <mergeCell ref="CH73:CH75"/>
    <mergeCell ref="A74:D74"/>
    <mergeCell ref="CE74:CE75"/>
    <mergeCell ref="CF74:CF75"/>
    <mergeCell ref="CG74:CG75"/>
    <mergeCell ref="E75:AR75"/>
    <mergeCell ref="AS75:BB75"/>
    <mergeCell ref="BC75:BM75"/>
    <mergeCell ref="BN75:CB75"/>
    <mergeCell ref="A72:D72"/>
    <mergeCell ref="E72:AR72"/>
    <mergeCell ref="E74:AR74"/>
    <mergeCell ref="AS74:BB74"/>
    <mergeCell ref="BC74:BM74"/>
    <mergeCell ref="BN74:CB74"/>
    <mergeCell ref="CC74:CC75"/>
    <mergeCell ref="CD55:CD56"/>
    <mergeCell ref="CE55:CE56"/>
    <mergeCell ref="CF55:CF56"/>
    <mergeCell ref="A42:D42"/>
    <mergeCell ref="E42:AM42"/>
    <mergeCell ref="AN42:BC42"/>
    <mergeCell ref="BD42:BM42"/>
    <mergeCell ref="BN42:CB42"/>
    <mergeCell ref="A43:D43"/>
    <mergeCell ref="AN45:BC45"/>
    <mergeCell ref="BD45:BM45"/>
    <mergeCell ref="BN45:CB45"/>
    <mergeCell ref="BN46:CB46"/>
    <mergeCell ref="E45:AM45"/>
    <mergeCell ref="A45:D45"/>
    <mergeCell ref="A49:D49"/>
    <mergeCell ref="E49:BC49"/>
    <mergeCell ref="BD49:BM49"/>
    <mergeCell ref="BN49:CB49"/>
    <mergeCell ref="A53:D56"/>
    <mergeCell ref="A48:D48"/>
    <mergeCell ref="E48:AM48"/>
    <mergeCell ref="AN48:BC48"/>
    <mergeCell ref="BD48:BM48"/>
    <mergeCell ref="BN26:CB26"/>
    <mergeCell ref="A23:D23"/>
    <mergeCell ref="E23:AM23"/>
    <mergeCell ref="AN23:BC23"/>
    <mergeCell ref="BD23:BM23"/>
    <mergeCell ref="BN23:CB23"/>
    <mergeCell ref="A24:D24"/>
    <mergeCell ref="E24:AM24"/>
    <mergeCell ref="AN24:BC24"/>
    <mergeCell ref="BD24:BM24"/>
    <mergeCell ref="BN24:CB24"/>
    <mergeCell ref="E25:AM25"/>
    <mergeCell ref="AN25:BC25"/>
    <mergeCell ref="BD25:BM25"/>
    <mergeCell ref="BN25:CB25"/>
    <mergeCell ref="A25:D25"/>
    <mergeCell ref="A26:D26"/>
    <mergeCell ref="E26:AM26"/>
    <mergeCell ref="AN26:BC26"/>
    <mergeCell ref="BD26:BM26"/>
    <mergeCell ref="CG55:CG56"/>
    <mergeCell ref="BN40:CB40"/>
    <mergeCell ref="E43:AM43"/>
    <mergeCell ref="AN43:BC43"/>
    <mergeCell ref="BD43:BM43"/>
    <mergeCell ref="BN43:CB43"/>
    <mergeCell ref="E39:AM39"/>
    <mergeCell ref="AN39:BC39"/>
    <mergeCell ref="BD39:BM39"/>
    <mergeCell ref="BN39:CB39"/>
    <mergeCell ref="E41:AM41"/>
    <mergeCell ref="AN41:BC41"/>
    <mergeCell ref="BD41:BM41"/>
    <mergeCell ref="BN41:CB41"/>
    <mergeCell ref="E40:AM40"/>
    <mergeCell ref="E53:AR56"/>
    <mergeCell ref="AS53:BB56"/>
    <mergeCell ref="BC53:BM56"/>
    <mergeCell ref="BN53:CB56"/>
    <mergeCell ref="CC53:CH53"/>
    <mergeCell ref="CC54:CD54"/>
    <mergeCell ref="CE54:CG54"/>
    <mergeCell ref="CH54:CH56"/>
    <mergeCell ref="CC55:CC56"/>
    <mergeCell ref="CC35:CH35"/>
    <mergeCell ref="A36:D36"/>
    <mergeCell ref="BN36:CB36"/>
    <mergeCell ref="CC36:CD36"/>
    <mergeCell ref="CE36:CG36"/>
    <mergeCell ref="CH36:CH38"/>
    <mergeCell ref="A37:D37"/>
    <mergeCell ref="BN37:CB37"/>
    <mergeCell ref="CC37:CC38"/>
    <mergeCell ref="CD37:CD38"/>
    <mergeCell ref="CE37:CE38"/>
    <mergeCell ref="CF37:CF38"/>
    <mergeCell ref="CG37:CG38"/>
    <mergeCell ref="A38:D38"/>
    <mergeCell ref="BN38:CB38"/>
    <mergeCell ref="A35:D35"/>
    <mergeCell ref="E35:AM38"/>
    <mergeCell ref="AN35:BC38"/>
    <mergeCell ref="BD35:BM38"/>
    <mergeCell ref="BN35:CB35"/>
    <mergeCell ref="A21:D21"/>
    <mergeCell ref="E21:AM21"/>
    <mergeCell ref="AN21:BC21"/>
    <mergeCell ref="BD21:BM21"/>
    <mergeCell ref="BN21:CB21"/>
    <mergeCell ref="AN19:BC19"/>
    <mergeCell ref="BD19:BM19"/>
    <mergeCell ref="BN19:CB19"/>
    <mergeCell ref="E22:AM22"/>
    <mergeCell ref="AN22:BC22"/>
    <mergeCell ref="BD22:BM22"/>
    <mergeCell ref="BN22:CB22"/>
    <mergeCell ref="A22:D22"/>
    <mergeCell ref="A20:D20"/>
    <mergeCell ref="E20:AM20"/>
    <mergeCell ref="AN20:BC20"/>
    <mergeCell ref="BD20:BM20"/>
    <mergeCell ref="BN20:CB20"/>
    <mergeCell ref="A19:D19"/>
    <mergeCell ref="E19:AM19"/>
    <mergeCell ref="A17:D17"/>
    <mergeCell ref="E17:AM17"/>
    <mergeCell ref="AN17:BC17"/>
    <mergeCell ref="BD17:BM17"/>
    <mergeCell ref="A18:D18"/>
    <mergeCell ref="E18:AM18"/>
    <mergeCell ref="AN18:BC18"/>
    <mergeCell ref="BD18:BM18"/>
    <mergeCell ref="BN18:CB18"/>
    <mergeCell ref="AN9:BC9"/>
    <mergeCell ref="BD9:BM9"/>
    <mergeCell ref="BN9:CB9"/>
    <mergeCell ref="A16:D16"/>
    <mergeCell ref="E16:AM16"/>
    <mergeCell ref="AN16:BC16"/>
    <mergeCell ref="BD16:BM16"/>
    <mergeCell ref="BN16:CB16"/>
    <mergeCell ref="BN11:CB11"/>
    <mergeCell ref="E13:AM13"/>
    <mergeCell ref="AN13:BC13"/>
    <mergeCell ref="BD13:BM13"/>
    <mergeCell ref="BN13:CB13"/>
    <mergeCell ref="A14:D14"/>
    <mergeCell ref="E14:AM14"/>
    <mergeCell ref="AN14:BC14"/>
    <mergeCell ref="A15:D15"/>
    <mergeCell ref="E15:AM15"/>
    <mergeCell ref="AN15:BC15"/>
    <mergeCell ref="BD15:BM15"/>
    <mergeCell ref="BN15:CB15"/>
    <mergeCell ref="BD10:BM10"/>
    <mergeCell ref="BN10:CB10"/>
    <mergeCell ref="AN11:BC11"/>
    <mergeCell ref="CC3:CH3"/>
    <mergeCell ref="A4:D4"/>
    <mergeCell ref="E4:AM4"/>
    <mergeCell ref="BN4:CB4"/>
    <mergeCell ref="CC4:CD4"/>
    <mergeCell ref="CE4:CG4"/>
    <mergeCell ref="CH4:CH6"/>
    <mergeCell ref="A5:D5"/>
    <mergeCell ref="E5:AM5"/>
    <mergeCell ref="BN5:CB5"/>
    <mergeCell ref="CC5:CC6"/>
    <mergeCell ref="CD5:CD6"/>
    <mergeCell ref="CE5:CE6"/>
    <mergeCell ref="CF5:CF6"/>
    <mergeCell ref="CG5:CG6"/>
    <mergeCell ref="A6:D6"/>
    <mergeCell ref="E6:AM6"/>
    <mergeCell ref="BN6:CB6"/>
    <mergeCell ref="A1:CB1"/>
    <mergeCell ref="A3:D3"/>
    <mergeCell ref="E3:AM3"/>
    <mergeCell ref="AN3:BC6"/>
    <mergeCell ref="BD3:BM6"/>
    <mergeCell ref="BN3:CB3"/>
    <mergeCell ref="A7:D7"/>
    <mergeCell ref="E7:AM7"/>
    <mergeCell ref="AN7:BC7"/>
    <mergeCell ref="BD7:BM7"/>
    <mergeCell ref="BN7:CB7"/>
    <mergeCell ref="BD8:BM8"/>
    <mergeCell ref="BN8:CB8"/>
    <mergeCell ref="BD14:BM14"/>
    <mergeCell ref="BN14:CB14"/>
    <mergeCell ref="A11:D11"/>
    <mergeCell ref="BN48:CB48"/>
    <mergeCell ref="E11:AM11"/>
    <mergeCell ref="A12:D12"/>
    <mergeCell ref="E12:AM12"/>
    <mergeCell ref="AN12:BC12"/>
    <mergeCell ref="A32:D32"/>
    <mergeCell ref="E32:AM32"/>
    <mergeCell ref="AN32:BC32"/>
    <mergeCell ref="BD32:BM32"/>
    <mergeCell ref="BN32:CB32"/>
    <mergeCell ref="A8:D8"/>
    <mergeCell ref="E8:AM8"/>
    <mergeCell ref="AN8:BC8"/>
    <mergeCell ref="A9:D9"/>
    <mergeCell ref="BD12:BM12"/>
    <mergeCell ref="BN12:CB12"/>
    <mergeCell ref="A10:D10"/>
    <mergeCell ref="E10:AM10"/>
    <mergeCell ref="AN10:BC10"/>
    <mergeCell ref="BD11:BM11"/>
    <mergeCell ref="E9:AM9"/>
    <mergeCell ref="BN17:CB17"/>
    <mergeCell ref="A13:D13"/>
    <mergeCell ref="A89:D89"/>
    <mergeCell ref="E89:AR89"/>
    <mergeCell ref="AS89:BB89"/>
    <mergeCell ref="BC89:BM89"/>
    <mergeCell ref="BN89:CB89"/>
    <mergeCell ref="A61:D61"/>
    <mergeCell ref="E61:AR61"/>
    <mergeCell ref="AS61:BB61"/>
    <mergeCell ref="BC61:BM61"/>
    <mergeCell ref="BN61:CB61"/>
    <mergeCell ref="A86:D86"/>
    <mergeCell ref="E86:AR86"/>
    <mergeCell ref="AS86:BB86"/>
    <mergeCell ref="BC86:BM86"/>
    <mergeCell ref="BN86:CB86"/>
    <mergeCell ref="A87:D87"/>
    <mergeCell ref="E87:AR87"/>
    <mergeCell ref="AS87:BB87"/>
    <mergeCell ref="BC87:BM87"/>
    <mergeCell ref="BC67:BM67"/>
    <mergeCell ref="BN87:CB87"/>
    <mergeCell ref="A80:D80"/>
    <mergeCell ref="E80:AR80"/>
    <mergeCell ref="AS80:BB80"/>
    <mergeCell ref="A79:D79"/>
    <mergeCell ref="A88:D88"/>
    <mergeCell ref="A62:D62"/>
    <mergeCell ref="E62:AR62"/>
    <mergeCell ref="AS62:BB62"/>
    <mergeCell ref="A64:D64"/>
    <mergeCell ref="E64:AR64"/>
    <mergeCell ref="AS64:BB64"/>
    <mergeCell ref="BC64:BM64"/>
    <mergeCell ref="BN64:CB64"/>
    <mergeCell ref="A65:D65"/>
    <mergeCell ref="E65:AR65"/>
    <mergeCell ref="AS65:BB65"/>
    <mergeCell ref="BC65:BM65"/>
    <mergeCell ref="BN65:CB65"/>
    <mergeCell ref="BC63:BM63"/>
    <mergeCell ref="BN63:CB63"/>
    <mergeCell ref="E85:AR85"/>
    <mergeCell ref="AS85:BB85"/>
    <mergeCell ref="BC85:BM85"/>
  </mergeCells>
  <pageMargins left="0.70866141732283472" right="0.70866141732283472" top="0.74803149606299213" bottom="0.74803149606299213" header="0.31496062992125984" footer="0.31496062992125984"/>
  <pageSetup paperSize="9" scale="68" fitToHeight="0" orientation="landscape" r:id="rId1"/>
  <rowBreaks count="2" manualBreakCount="2">
    <brk id="33" max="16383" man="1"/>
    <brk id="6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51"/>
  <sheetViews>
    <sheetView view="pageBreakPreview" zoomScale="60" zoomScaleNormal="60" workbookViewId="0">
      <selection activeCell="E12" sqref="E12"/>
    </sheetView>
  </sheetViews>
  <sheetFormatPr defaultColWidth="9.140625" defaultRowHeight="15.75" x14ac:dyDescent="0.25"/>
  <cols>
    <col min="1" max="1" width="35.7109375" style="1157" customWidth="1"/>
    <col min="2" max="2" width="17.42578125" style="1157" customWidth="1"/>
    <col min="3" max="3" width="14.42578125" style="1157" customWidth="1"/>
    <col min="4" max="4" width="19.85546875" style="1157" customWidth="1"/>
    <col min="5" max="5" width="17.7109375" style="1157" customWidth="1"/>
    <col min="6" max="6" width="16.140625" style="1157" customWidth="1"/>
    <col min="7" max="7" width="15" style="1205" customWidth="1"/>
    <col min="8" max="8" width="17.5703125" style="1205" customWidth="1"/>
    <col min="9" max="9" width="16.28515625" style="1205" customWidth="1"/>
    <col min="10" max="10" width="22.42578125" style="1157" customWidth="1"/>
    <col min="11" max="11" width="17.140625" style="1157" customWidth="1"/>
    <col min="12" max="12" width="18.85546875" style="1157" customWidth="1"/>
    <col min="13" max="13" width="22.28515625" style="1157" customWidth="1"/>
    <col min="14" max="14" width="16.85546875" style="1157" customWidth="1"/>
    <col min="15" max="15" width="14.42578125" style="1157" customWidth="1"/>
    <col min="16" max="16" width="14.7109375" style="1157" customWidth="1"/>
    <col min="17" max="17" width="12.85546875" style="1157" bestFit="1" customWidth="1"/>
    <col min="18" max="18" width="11.28515625" style="1157" bestFit="1" customWidth="1"/>
    <col min="19" max="16384" width="9.140625" style="1157"/>
  </cols>
  <sheetData>
    <row r="1" spans="1:18" x14ac:dyDescent="0.25">
      <c r="A1" s="2001"/>
      <c r="B1" s="2001"/>
      <c r="C1" s="2001"/>
      <c r="D1" s="2001"/>
      <c r="E1" s="2001"/>
      <c r="F1" s="2001"/>
      <c r="G1" s="2001"/>
      <c r="H1" s="1155"/>
      <c r="I1" s="1155"/>
      <c r="J1" s="1156"/>
      <c r="K1" s="1156"/>
      <c r="L1" s="1156"/>
      <c r="M1" s="1156"/>
      <c r="N1" s="1156"/>
      <c r="O1" s="1157" t="s">
        <v>1703</v>
      </c>
    </row>
    <row r="2" spans="1:18" x14ac:dyDescent="0.25">
      <c r="A2" s="1158"/>
      <c r="B2" s="1158"/>
      <c r="C2" s="1158"/>
      <c r="D2" s="1158"/>
      <c r="E2" s="1158"/>
      <c r="F2" s="1158"/>
      <c r="G2" s="1159"/>
      <c r="H2" s="1155"/>
      <c r="I2" s="1155"/>
      <c r="J2" s="1156"/>
      <c r="K2" s="1156"/>
      <c r="L2" s="1156"/>
      <c r="M2" s="1156"/>
      <c r="N2" s="1156"/>
    </row>
    <row r="3" spans="1:18" x14ac:dyDescent="0.25">
      <c r="A3" s="2004" t="s">
        <v>179</v>
      </c>
      <c r="B3" s="2004"/>
      <c r="C3" s="2004"/>
      <c r="D3" s="2004"/>
      <c r="E3" s="2004"/>
      <c r="F3" s="2004"/>
      <c r="G3" s="2004"/>
      <c r="H3" s="1155"/>
      <c r="I3" s="1155"/>
      <c r="J3" s="1156"/>
      <c r="K3" s="1156"/>
      <c r="L3" s="1156"/>
      <c r="M3" s="1156"/>
      <c r="N3" s="1156"/>
    </row>
    <row r="4" spans="1:18" x14ac:dyDescent="0.25">
      <c r="A4" s="2004" t="s">
        <v>1149</v>
      </c>
      <c r="B4" s="2004"/>
      <c r="C4" s="2004"/>
      <c r="D4" s="2004"/>
      <c r="E4" s="2004"/>
      <c r="F4" s="2004"/>
      <c r="G4" s="2004"/>
      <c r="H4" s="1155"/>
      <c r="I4" s="1155"/>
      <c r="J4" s="1156"/>
      <c r="K4" s="1156"/>
      <c r="L4" s="1156"/>
      <c r="M4" s="1156"/>
      <c r="N4" s="1156"/>
    </row>
    <row r="5" spans="1:18" x14ac:dyDescent="0.25">
      <c r="A5" s="2004"/>
      <c r="B5" s="2004"/>
      <c r="C5" s="2004"/>
      <c r="D5" s="2004"/>
      <c r="E5" s="2004"/>
      <c r="F5" s="2004"/>
      <c r="G5" s="2004"/>
      <c r="H5" s="1155"/>
      <c r="I5" s="1155"/>
      <c r="J5" s="1156"/>
      <c r="K5" s="1156"/>
      <c r="L5" s="1156"/>
      <c r="M5" s="1156"/>
      <c r="N5" s="1156"/>
    </row>
    <row r="6" spans="1:18" x14ac:dyDescent="0.25">
      <c r="A6" s="1158"/>
      <c r="B6" s="1158"/>
      <c r="C6" s="1158"/>
      <c r="D6" s="1158"/>
      <c r="E6" s="1158"/>
      <c r="F6" s="1158"/>
      <c r="G6" s="1159"/>
      <c r="H6" s="1155"/>
      <c r="I6" s="1155"/>
      <c r="J6" s="1156"/>
      <c r="K6" s="1156"/>
      <c r="L6" s="1156"/>
      <c r="M6" s="1156"/>
      <c r="N6" s="1156"/>
    </row>
    <row r="7" spans="1:18" ht="40.15" customHeight="1" x14ac:dyDescent="0.25">
      <c r="A7" s="2002"/>
      <c r="B7" s="2007" t="s">
        <v>1704</v>
      </c>
      <c r="C7" s="2007"/>
      <c r="D7" s="2007"/>
      <c r="E7" s="2007"/>
      <c r="F7" s="2007" t="s">
        <v>1705</v>
      </c>
      <c r="G7" s="2007"/>
      <c r="H7" s="2007"/>
      <c r="I7" s="2007"/>
      <c r="J7" s="2005" t="s">
        <v>1706</v>
      </c>
      <c r="K7" s="1997" t="s">
        <v>1151</v>
      </c>
      <c r="L7" s="1995" t="s">
        <v>1707</v>
      </c>
      <c r="M7" s="1997" t="s">
        <v>1708</v>
      </c>
      <c r="N7" s="1999" t="s">
        <v>1709</v>
      </c>
    </row>
    <row r="8" spans="1:18" ht="30" customHeight="1" x14ac:dyDescent="0.25">
      <c r="A8" s="2002"/>
      <c r="B8" s="1160" t="s">
        <v>183</v>
      </c>
      <c r="C8" s="1161" t="s">
        <v>184</v>
      </c>
      <c r="D8" s="1161" t="s">
        <v>185</v>
      </c>
      <c r="E8" s="1161" t="s">
        <v>186</v>
      </c>
      <c r="F8" s="1161" t="s">
        <v>183</v>
      </c>
      <c r="G8" s="1162" t="s">
        <v>184</v>
      </c>
      <c r="H8" s="1161" t="s">
        <v>185</v>
      </c>
      <c r="I8" s="1161" t="s">
        <v>186</v>
      </c>
      <c r="J8" s="2006"/>
      <c r="K8" s="1998"/>
      <c r="L8" s="1996"/>
      <c r="M8" s="1998"/>
      <c r="N8" s="2000"/>
    </row>
    <row r="9" spans="1:18" x14ac:dyDescent="0.25">
      <c r="A9" s="1163" t="s">
        <v>184</v>
      </c>
      <c r="B9" s="1161">
        <v>84</v>
      </c>
      <c r="C9" s="1164">
        <v>9088</v>
      </c>
      <c r="D9" s="1165">
        <f>D11-D22</f>
        <v>34.848465712876163</v>
      </c>
      <c r="E9" s="1164">
        <f>C9*D9</f>
        <v>316702.85639861855</v>
      </c>
      <c r="F9" s="1161">
        <v>84</v>
      </c>
      <c r="G9" s="1165">
        <v>1190</v>
      </c>
      <c r="H9" s="1165">
        <f>H11-H22</f>
        <v>36.838328075709782</v>
      </c>
      <c r="I9" s="1211">
        <f>G9*H9</f>
        <v>43837.61041009464</v>
      </c>
      <c r="J9" s="1212"/>
      <c r="K9" s="1212"/>
      <c r="L9" s="1166"/>
      <c r="M9" s="1212"/>
      <c r="N9" s="1167"/>
    </row>
    <row r="10" spans="1:18" x14ac:dyDescent="0.25">
      <c r="A10" s="1163" t="s">
        <v>187</v>
      </c>
      <c r="B10" s="1161">
        <v>11</v>
      </c>
      <c r="C10" s="1164">
        <v>2094</v>
      </c>
      <c r="D10" s="1165">
        <f>D11-D23</f>
        <v>93.784232856438081</v>
      </c>
      <c r="E10" s="1164">
        <f t="shared" ref="E10:E11" si="0">C10*D10</f>
        <v>196384.18360138134</v>
      </c>
      <c r="F10" s="1161">
        <v>11</v>
      </c>
      <c r="G10" s="1165">
        <v>156</v>
      </c>
      <c r="H10" s="1165">
        <f>H9+H23</f>
        <v>95.919164037854898</v>
      </c>
      <c r="I10" s="1211">
        <f t="shared" ref="I10:I11" si="1">G10*H10</f>
        <v>14963.389589905364</v>
      </c>
      <c r="J10" s="1212"/>
      <c r="K10" s="1212"/>
      <c r="L10" s="1166"/>
      <c r="M10" s="1212"/>
      <c r="N10" s="1167"/>
    </row>
    <row r="11" spans="1:18" x14ac:dyDescent="0.25">
      <c r="A11" s="1163" t="s">
        <v>188</v>
      </c>
      <c r="B11" s="1161">
        <v>4</v>
      </c>
      <c r="C11" s="1164">
        <v>594</v>
      </c>
      <c r="D11" s="1164">
        <v>152.72</v>
      </c>
      <c r="E11" s="1164">
        <f t="shared" si="0"/>
        <v>90715.68</v>
      </c>
      <c r="F11" s="1161">
        <v>4</v>
      </c>
      <c r="G11" s="1165">
        <v>57</v>
      </c>
      <c r="H11" s="1164">
        <v>155</v>
      </c>
      <c r="I11" s="1211">
        <f t="shared" si="1"/>
        <v>8835</v>
      </c>
      <c r="J11" s="1212"/>
      <c r="K11" s="1212"/>
      <c r="L11" s="1166"/>
      <c r="M11" s="1212"/>
      <c r="N11" s="1167"/>
    </row>
    <row r="12" spans="1:18" ht="25.5" customHeight="1" x14ac:dyDescent="0.25">
      <c r="A12" s="1168" t="s">
        <v>189</v>
      </c>
      <c r="B12" s="1169">
        <f>B11+B10+B9</f>
        <v>99</v>
      </c>
      <c r="C12" s="1170">
        <f>SUM(C9:C11)</f>
        <v>11776</v>
      </c>
      <c r="D12" s="1170"/>
      <c r="E12" s="1213">
        <f>SUM(E9:E11)</f>
        <v>603802.72</v>
      </c>
      <c r="F12" s="1170">
        <f>F9+F10+F11</f>
        <v>99</v>
      </c>
      <c r="G12" s="1172">
        <f>SUM(G9:G11)</f>
        <v>1403</v>
      </c>
      <c r="H12" s="1172"/>
      <c r="I12" s="1173">
        <f>SUM(I9:I11)</f>
        <v>67636</v>
      </c>
      <c r="J12" s="1213">
        <f>SUM(E12+I12)</f>
        <v>671438.72</v>
      </c>
      <c r="K12" s="1174">
        <v>392000</v>
      </c>
      <c r="L12" s="1174">
        <f>J12+K12</f>
        <v>1063438.72</v>
      </c>
      <c r="M12" s="1213">
        <v>1451020</v>
      </c>
      <c r="N12" s="1171">
        <f>J12-M12</f>
        <v>-779581.28</v>
      </c>
      <c r="P12" s="1175"/>
      <c r="Q12" s="1176"/>
      <c r="R12" s="1176"/>
    </row>
    <row r="13" spans="1:18" ht="15" customHeight="1" x14ac:dyDescent="0.25">
      <c r="A13" s="1177"/>
      <c r="B13" s="1177"/>
      <c r="C13" s="1178"/>
      <c r="D13" s="1178">
        <v>152.72</v>
      </c>
      <c r="E13" s="1214"/>
      <c r="F13" s="1215"/>
      <c r="G13" s="1180">
        <v>4930</v>
      </c>
      <c r="H13" s="1180"/>
      <c r="I13" s="1181"/>
      <c r="J13" s="1216"/>
      <c r="K13" s="1184"/>
      <c r="L13" s="1184"/>
      <c r="M13" s="1216"/>
      <c r="N13" s="1186"/>
      <c r="P13" s="1175"/>
    </row>
    <row r="14" spans="1:18" ht="15" customHeight="1" x14ac:dyDescent="0.25">
      <c r="A14" s="1177"/>
      <c r="B14" s="1177"/>
      <c r="C14" s="1178"/>
      <c r="D14" s="1186"/>
      <c r="E14" s="1187"/>
      <c r="F14" s="1188"/>
      <c r="G14" s="1179">
        <f>C12+G12</f>
        <v>13179</v>
      </c>
      <c r="H14" s="1180"/>
      <c r="I14" s="1181"/>
      <c r="J14" s="1182">
        <f>J13-J12</f>
        <v>-671438.72</v>
      </c>
      <c r="K14" s="1183"/>
      <c r="L14" s="1184"/>
      <c r="M14" s="1185"/>
      <c r="N14" s="1186"/>
      <c r="P14" s="1175"/>
    </row>
    <row r="15" spans="1:18" ht="60" customHeight="1" x14ac:dyDescent="0.25">
      <c r="A15" s="1156"/>
      <c r="B15" s="1156"/>
      <c r="C15" s="1189"/>
      <c r="D15" s="1189"/>
      <c r="E15" s="1190"/>
      <c r="F15" s="1189"/>
      <c r="G15" s="1191"/>
      <c r="H15" s="1189"/>
      <c r="I15" s="1189"/>
      <c r="J15" s="1192"/>
      <c r="K15" s="1156"/>
      <c r="L15" s="1156"/>
      <c r="M15" s="1156"/>
      <c r="N15" s="1156"/>
    </row>
    <row r="16" spans="1:18" x14ac:dyDescent="0.25">
      <c r="A16" s="1156"/>
      <c r="B16" s="1156"/>
      <c r="C16" s="1189" t="s">
        <v>190</v>
      </c>
      <c r="D16" s="1189"/>
      <c r="E16" s="1189"/>
      <c r="F16" s="1189"/>
      <c r="G16" s="1191"/>
      <c r="H16" s="1189"/>
      <c r="I16" s="1189"/>
      <c r="J16" s="1192"/>
      <c r="K16" s="1156"/>
      <c r="L16" s="1156"/>
      <c r="M16" s="1156"/>
      <c r="N16" s="1156"/>
    </row>
    <row r="17" spans="1:17" x14ac:dyDescent="0.25">
      <c r="A17" s="1158"/>
      <c r="B17" s="1158"/>
      <c r="C17" s="1189" t="s">
        <v>191</v>
      </c>
      <c r="D17" s="1189"/>
      <c r="E17" s="1189"/>
      <c r="F17" s="1189"/>
      <c r="G17" s="1189"/>
      <c r="H17" s="1189"/>
      <c r="I17" s="1189"/>
      <c r="J17" s="1156"/>
      <c r="K17" s="1156"/>
      <c r="L17" s="1156"/>
      <c r="M17" s="1156"/>
      <c r="N17" s="1156"/>
    </row>
    <row r="18" spans="1:17" x14ac:dyDescent="0.25">
      <c r="A18" s="1158"/>
      <c r="B18" s="1158"/>
      <c r="C18" s="1158"/>
      <c r="D18" s="1158"/>
      <c r="E18" s="1156"/>
      <c r="F18" s="1156"/>
      <c r="G18" s="1155"/>
      <c r="H18" s="1155"/>
      <c r="I18" s="1155"/>
      <c r="J18" s="1156"/>
      <c r="K18" s="1156"/>
      <c r="L18" s="1156"/>
      <c r="M18" s="1156"/>
      <c r="N18" s="1156"/>
    </row>
    <row r="19" spans="1:17" x14ac:dyDescent="0.25">
      <c r="A19" s="1158"/>
      <c r="B19" s="1158"/>
      <c r="C19" s="1158"/>
      <c r="D19" s="1158"/>
      <c r="E19" s="2004"/>
      <c r="F19" s="2004"/>
      <c r="G19" s="2004"/>
      <c r="H19" s="2004"/>
      <c r="I19" s="2004"/>
      <c r="J19" s="2004"/>
      <c r="K19" s="2004"/>
      <c r="L19" s="1156"/>
      <c r="M19" s="1156"/>
      <c r="N19" s="1156"/>
    </row>
    <row r="20" spans="1:17" ht="34.9" customHeight="1" x14ac:dyDescent="0.25">
      <c r="A20" s="2002"/>
      <c r="B20" s="2003" t="s">
        <v>1704</v>
      </c>
      <c r="C20" s="2003"/>
      <c r="D20" s="2003"/>
      <c r="E20" s="2003"/>
      <c r="F20" s="2003" t="s">
        <v>1705</v>
      </c>
      <c r="G20" s="2003"/>
      <c r="H20" s="2003"/>
      <c r="I20" s="2003"/>
      <c r="J20" s="1993" t="s">
        <v>1706</v>
      </c>
      <c r="K20" s="1993" t="s">
        <v>1710</v>
      </c>
      <c r="L20" s="1993" t="s">
        <v>1151</v>
      </c>
      <c r="M20" s="1989" t="s">
        <v>1711</v>
      </c>
      <c r="N20" s="1993" t="s">
        <v>1712</v>
      </c>
      <c r="O20" s="1987" t="s">
        <v>1713</v>
      </c>
    </row>
    <row r="21" spans="1:17" ht="64.900000000000006" customHeight="1" x14ac:dyDescent="0.25">
      <c r="A21" s="2002"/>
      <c r="B21" s="1217" t="s">
        <v>183</v>
      </c>
      <c r="C21" s="1218" t="s">
        <v>1714</v>
      </c>
      <c r="D21" s="1218" t="s">
        <v>185</v>
      </c>
      <c r="E21" s="1218" t="s">
        <v>186</v>
      </c>
      <c r="F21" s="1218" t="s">
        <v>183</v>
      </c>
      <c r="G21" s="1218" t="s">
        <v>184</v>
      </c>
      <c r="H21" s="1218" t="s">
        <v>185</v>
      </c>
      <c r="I21" s="1218" t="s">
        <v>186</v>
      </c>
      <c r="J21" s="1994"/>
      <c r="K21" s="1994"/>
      <c r="L21" s="1994"/>
      <c r="M21" s="1991"/>
      <c r="N21" s="1994"/>
      <c r="O21" s="1988"/>
      <c r="Q21" s="1176"/>
    </row>
    <row r="22" spans="1:17" x14ac:dyDescent="0.25">
      <c r="A22" s="1163" t="s">
        <v>184</v>
      </c>
      <c r="B22" s="1218">
        <v>84</v>
      </c>
      <c r="C22" s="1219">
        <v>9088</v>
      </c>
      <c r="D22" s="1219">
        <f>D45</f>
        <v>117.87153428712384</v>
      </c>
      <c r="E22" s="1219">
        <f>C22*D22</f>
        <v>1071216.5036013813</v>
      </c>
      <c r="F22" s="1219">
        <v>84</v>
      </c>
      <c r="G22" s="1220">
        <v>1190</v>
      </c>
      <c r="H22" s="1219">
        <f>H45</f>
        <v>118.16167192429022</v>
      </c>
      <c r="I22" s="1221">
        <f>G22*H22</f>
        <v>140612.38958990536</v>
      </c>
      <c r="J22" s="1222"/>
      <c r="K22" s="1222"/>
      <c r="L22" s="1222"/>
      <c r="M22" s="1221"/>
      <c r="N22" s="1222"/>
      <c r="O22" s="1222"/>
    </row>
    <row r="23" spans="1:17" x14ac:dyDescent="0.25">
      <c r="A23" s="1163" t="s">
        <v>193</v>
      </c>
      <c r="B23" s="1218">
        <v>11</v>
      </c>
      <c r="C23" s="1219">
        <v>2094</v>
      </c>
      <c r="D23" s="1219">
        <f>D22/2</f>
        <v>58.935767143561918</v>
      </c>
      <c r="E23" s="1219">
        <f>C23*D23</f>
        <v>123411.49639861866</v>
      </c>
      <c r="F23" s="1219">
        <v>11</v>
      </c>
      <c r="G23" s="1220">
        <v>156</v>
      </c>
      <c r="H23" s="1219">
        <f>H22/2</f>
        <v>59.080835962145109</v>
      </c>
      <c r="I23" s="1221">
        <f>G23*H23</f>
        <v>9216.6104100946377</v>
      </c>
      <c r="J23" s="1222"/>
      <c r="K23" s="1222"/>
      <c r="L23" s="1222"/>
      <c r="M23" s="1222"/>
      <c r="N23" s="1222"/>
      <c r="O23" s="1222"/>
    </row>
    <row r="24" spans="1:17" x14ac:dyDescent="0.25">
      <c r="A24" s="1163" t="s">
        <v>1157</v>
      </c>
      <c r="B24" s="1218">
        <v>4</v>
      </c>
      <c r="C24" s="1219">
        <v>594</v>
      </c>
      <c r="D24" s="1219">
        <v>0</v>
      </c>
      <c r="E24" s="1219">
        <f>C24*D24</f>
        <v>0</v>
      </c>
      <c r="F24" s="1219">
        <v>4</v>
      </c>
      <c r="G24" s="1220">
        <v>57</v>
      </c>
      <c r="H24" s="1221"/>
      <c r="I24" s="1221"/>
      <c r="J24" s="1222"/>
      <c r="K24" s="1222"/>
      <c r="L24" s="1222"/>
      <c r="M24" s="1222"/>
      <c r="N24" s="1222"/>
      <c r="O24" s="1222"/>
    </row>
    <row r="25" spans="1:17" x14ac:dyDescent="0.25">
      <c r="A25" s="1193" t="s">
        <v>838</v>
      </c>
      <c r="B25" s="1223">
        <f>SUM(B22:B24)</f>
        <v>99</v>
      </c>
      <c r="C25" s="1224">
        <f>SUM(C22:C24)</f>
        <v>11776</v>
      </c>
      <c r="D25" s="1225"/>
      <c r="E25" s="1226">
        <f>E22+E23+E24</f>
        <v>1194628</v>
      </c>
      <c r="F25" s="1224">
        <f>F22+F23+F24</f>
        <v>99</v>
      </c>
      <c r="G25" s="1227">
        <f>SUM(G22:G24)</f>
        <v>1403</v>
      </c>
      <c r="H25" s="1227"/>
      <c r="I25" s="1228">
        <f>I24+I23+I22</f>
        <v>149829</v>
      </c>
      <c r="J25" s="1213">
        <f>SUM(E25+I25)</f>
        <v>1344457</v>
      </c>
      <c r="K25" s="1229"/>
      <c r="L25" s="1229"/>
      <c r="M25" s="1229"/>
      <c r="N25" s="1229"/>
      <c r="O25" s="1229"/>
    </row>
    <row r="26" spans="1:17" ht="15.75" hidden="1" customHeight="1" x14ac:dyDescent="0.25">
      <c r="A26" s="1193" t="s">
        <v>1156</v>
      </c>
      <c r="B26" s="1223"/>
      <c r="C26" s="1224">
        <v>0</v>
      </c>
      <c r="D26" s="1225">
        <v>81.099999999999994</v>
      </c>
      <c r="E26" s="1224">
        <f>C26*D26</f>
        <v>0</v>
      </c>
      <c r="F26" s="1224"/>
      <c r="G26" s="1227"/>
      <c r="H26" s="1227"/>
      <c r="I26" s="1227">
        <f>H26*G26</f>
        <v>0</v>
      </c>
      <c r="J26" s="1213">
        <f t="shared" ref="J26:J29" si="2">SUM(E26+I26)</f>
        <v>0</v>
      </c>
      <c r="K26" s="1229"/>
      <c r="L26" s="1229"/>
      <c r="M26" s="1229"/>
      <c r="N26" s="1229"/>
      <c r="O26" s="1229"/>
    </row>
    <row r="27" spans="1:17" ht="15.75" hidden="1" customHeight="1" x14ac:dyDescent="0.25">
      <c r="A27" s="1193" t="s">
        <v>1158</v>
      </c>
      <c r="B27" s="1223"/>
      <c r="C27" s="1224">
        <v>0</v>
      </c>
      <c r="D27" s="1225">
        <v>40.549999999999997</v>
      </c>
      <c r="E27" s="1224">
        <f>C27*D27</f>
        <v>0</v>
      </c>
      <c r="F27" s="1224"/>
      <c r="G27" s="1227"/>
      <c r="H27" s="1227"/>
      <c r="I27" s="1227">
        <f>H27*G27</f>
        <v>0</v>
      </c>
      <c r="J27" s="1213">
        <f t="shared" si="2"/>
        <v>0</v>
      </c>
      <c r="K27" s="1229"/>
      <c r="L27" s="1229"/>
      <c r="M27" s="1229"/>
      <c r="N27" s="1229"/>
      <c r="O27" s="1229"/>
    </row>
    <row r="28" spans="1:17" ht="15.75" hidden="1" customHeight="1" x14ac:dyDescent="0.25">
      <c r="A28" s="1193" t="s">
        <v>1159</v>
      </c>
      <c r="B28" s="1223"/>
      <c r="C28" s="1224">
        <v>0</v>
      </c>
      <c r="D28" s="1225">
        <v>0</v>
      </c>
      <c r="E28" s="1224">
        <f>C28*D28</f>
        <v>0</v>
      </c>
      <c r="F28" s="1224"/>
      <c r="G28" s="1227"/>
      <c r="H28" s="1227"/>
      <c r="I28" s="1227">
        <f>H28*G28</f>
        <v>0</v>
      </c>
      <c r="J28" s="1213">
        <f t="shared" si="2"/>
        <v>0</v>
      </c>
      <c r="K28" s="1229"/>
      <c r="L28" s="1229"/>
      <c r="M28" s="1229"/>
      <c r="N28" s="1229"/>
      <c r="O28" s="1229"/>
    </row>
    <row r="29" spans="1:17" ht="15.75" hidden="1" customHeight="1" x14ac:dyDescent="0.25">
      <c r="A29" s="1193" t="s">
        <v>1160</v>
      </c>
      <c r="B29" s="1223"/>
      <c r="C29" s="1224">
        <f>SUM(C26:C28)</f>
        <v>0</v>
      </c>
      <c r="D29" s="1225"/>
      <c r="E29" s="1224">
        <f>E26+E27+E28</f>
        <v>0</v>
      </c>
      <c r="F29" s="1224"/>
      <c r="G29" s="1227"/>
      <c r="H29" s="1227"/>
      <c r="I29" s="1227">
        <f>I28+I27+I26</f>
        <v>0</v>
      </c>
      <c r="J29" s="1213">
        <f t="shared" si="2"/>
        <v>0</v>
      </c>
      <c r="K29" s="1229"/>
      <c r="L29" s="1229"/>
      <c r="M29" s="1229"/>
      <c r="N29" s="1229"/>
      <c r="O29" s="1229"/>
    </row>
    <row r="30" spans="1:17" x14ac:dyDescent="0.25">
      <c r="A30" s="1193" t="s">
        <v>189</v>
      </c>
      <c r="B30" s="1223"/>
      <c r="C30" s="1225">
        <f>C29+C25</f>
        <v>11776</v>
      </c>
      <c r="D30" s="1225"/>
      <c r="E30" s="1213">
        <f>E29+E25</f>
        <v>1194628</v>
      </c>
      <c r="F30" s="1225"/>
      <c r="G30" s="1224">
        <f>G29+G25</f>
        <v>1403</v>
      </c>
      <c r="H30" s="1224"/>
      <c r="I30" s="1226">
        <f>I29+I25</f>
        <v>149829</v>
      </c>
      <c r="J30" s="1213">
        <f>SUM(E30+I30)</f>
        <v>1344457</v>
      </c>
      <c r="K30" s="1213">
        <f>D37+H37</f>
        <v>1356957</v>
      </c>
      <c r="L30" s="1225">
        <v>392000</v>
      </c>
      <c r="M30" s="1213">
        <f>K30-L30</f>
        <v>964957</v>
      </c>
      <c r="N30" s="1213">
        <f>D41+H41</f>
        <v>12500</v>
      </c>
      <c r="O30" s="1213">
        <f>K30-L30-N30</f>
        <v>952457</v>
      </c>
      <c r="P30" s="1176"/>
      <c r="Q30" s="1176"/>
    </row>
    <row r="31" spans="1:17" ht="31.5" x14ac:dyDescent="0.25">
      <c r="A31" s="1194" t="s">
        <v>1715</v>
      </c>
      <c r="B31" s="1195"/>
      <c r="C31" s="1156"/>
      <c r="D31" s="1156"/>
      <c r="E31" s="1196"/>
      <c r="F31" s="1156"/>
      <c r="G31" s="1197">
        <f>I30</f>
        <v>149829</v>
      </c>
      <c r="H31" s="1198"/>
      <c r="I31" s="1197">
        <f>I30+E30</f>
        <v>1344457</v>
      </c>
      <c r="J31" s="1192"/>
      <c r="K31" s="1192"/>
      <c r="L31" s="1192"/>
      <c r="M31" s="1192"/>
      <c r="N31" s="1199">
        <f>D42</f>
        <v>847175.5</v>
      </c>
    </row>
    <row r="32" spans="1:17" x14ac:dyDescent="0.25">
      <c r="A32" s="1200"/>
      <c r="B32" s="1195"/>
      <c r="C32" s="1156"/>
      <c r="D32" s="1156"/>
      <c r="E32" s="1156"/>
      <c r="F32" s="1156"/>
      <c r="G32" s="1197"/>
      <c r="H32" s="1198"/>
      <c r="I32" s="1198"/>
      <c r="J32" s="1192"/>
      <c r="K32" s="1192"/>
      <c r="L32" s="1192"/>
      <c r="M32" s="1192"/>
      <c r="N32" s="1201">
        <f>N31-O30</f>
        <v>-105281.5</v>
      </c>
    </row>
    <row r="33" spans="1:14" x14ac:dyDescent="0.25">
      <c r="A33" s="1156"/>
      <c r="B33" s="1156"/>
      <c r="C33" s="1156"/>
      <c r="D33" s="1156"/>
      <c r="E33" s="1156"/>
      <c r="F33" s="1156"/>
      <c r="G33" s="1198"/>
      <c r="H33" s="1198">
        <v>150</v>
      </c>
      <c r="I33" s="1198">
        <v>165.43</v>
      </c>
      <c r="J33" s="1192"/>
      <c r="K33" s="1192" t="s">
        <v>1716</v>
      </c>
      <c r="L33" s="1192"/>
      <c r="M33" s="1192"/>
      <c r="N33" s="1192"/>
    </row>
    <row r="34" spans="1:14" ht="18.600000000000001" customHeight="1" x14ac:dyDescent="0.25">
      <c r="A34" s="1989" t="s">
        <v>194</v>
      </c>
      <c r="B34" s="1231">
        <f>C22</f>
        <v>9088</v>
      </c>
      <c r="C34" s="1231">
        <v>119</v>
      </c>
      <c r="D34" s="1231">
        <f>C34*B34</f>
        <v>1081472</v>
      </c>
      <c r="E34" s="1232"/>
      <c r="F34" s="1231">
        <f>G22</f>
        <v>1190</v>
      </c>
      <c r="G34" s="1231">
        <v>119</v>
      </c>
      <c r="H34" s="1231">
        <f>G34*F34</f>
        <v>141610</v>
      </c>
      <c r="I34" s="1233"/>
      <c r="J34" s="1231">
        <f>D34+H34</f>
        <v>1223082</v>
      </c>
      <c r="K34" s="1202" t="s">
        <v>1717</v>
      </c>
      <c r="L34" s="1192"/>
      <c r="M34" s="1192"/>
      <c r="N34" s="1192"/>
    </row>
    <row r="35" spans="1:14" ht="20.45" customHeight="1" x14ac:dyDescent="0.25">
      <c r="A35" s="1990"/>
      <c r="B35" s="1231">
        <f>C23</f>
        <v>2094</v>
      </c>
      <c r="C35" s="1231">
        <f>C34/2</f>
        <v>59.5</v>
      </c>
      <c r="D35" s="1231">
        <f>C35*B35</f>
        <v>124593</v>
      </c>
      <c r="E35" s="1232"/>
      <c r="F35" s="1231">
        <f>G23</f>
        <v>156</v>
      </c>
      <c r="G35" s="1231">
        <f>G34/2</f>
        <v>59.5</v>
      </c>
      <c r="H35" s="1231">
        <f>G35*F35</f>
        <v>9282</v>
      </c>
      <c r="I35" s="1234">
        <f>I33-I34</f>
        <v>165.43</v>
      </c>
      <c r="J35" s="1231">
        <f t="shared" ref="J35:J41" si="3">D35+H35</f>
        <v>133875</v>
      </c>
      <c r="K35" s="1192" t="s">
        <v>1718</v>
      </c>
      <c r="L35" s="1192"/>
      <c r="M35" s="1192"/>
      <c r="N35" s="1192"/>
    </row>
    <row r="36" spans="1:14" ht="20.45" customHeight="1" x14ac:dyDescent="0.25">
      <c r="A36" s="1990"/>
      <c r="B36" s="1231">
        <f>C24</f>
        <v>594</v>
      </c>
      <c r="C36" s="1231">
        <v>0</v>
      </c>
      <c r="D36" s="1231">
        <f t="shared" ref="D36" si="4">C36*B36</f>
        <v>0</v>
      </c>
      <c r="E36" s="1232"/>
      <c r="F36" s="1231">
        <f>G24</f>
        <v>57</v>
      </c>
      <c r="G36" s="1231">
        <v>0</v>
      </c>
      <c r="H36" s="1231">
        <f t="shared" ref="H36" si="5">G36*F36</f>
        <v>0</v>
      </c>
      <c r="I36" s="1235">
        <f>I34/2+I35</f>
        <v>165.43</v>
      </c>
      <c r="J36" s="1231">
        <f t="shared" si="3"/>
        <v>0</v>
      </c>
      <c r="K36" s="1202" t="s">
        <v>1719</v>
      </c>
      <c r="L36" s="1202"/>
      <c r="M36" s="1202"/>
      <c r="N36" s="1192"/>
    </row>
    <row r="37" spans="1:14" x14ac:dyDescent="0.25">
      <c r="A37" s="1991"/>
      <c r="B37" s="1231">
        <f>SUM(B34:B36)</f>
        <v>11776</v>
      </c>
      <c r="C37" s="1231">
        <f t="shared" ref="C37:H37" si="6">SUM(C34:C36)</f>
        <v>178.5</v>
      </c>
      <c r="D37" s="1231">
        <f>SUM(D34:D36)</f>
        <v>1206065</v>
      </c>
      <c r="E37" s="1236">
        <f t="shared" si="6"/>
        <v>0</v>
      </c>
      <c r="F37" s="1231">
        <f t="shared" si="6"/>
        <v>1403</v>
      </c>
      <c r="G37" s="1231">
        <f t="shared" si="6"/>
        <v>178.5</v>
      </c>
      <c r="H37" s="1231">
        <f t="shared" si="6"/>
        <v>150892</v>
      </c>
      <c r="I37" s="1237"/>
      <c r="J37" s="1231">
        <f t="shared" si="3"/>
        <v>1356957</v>
      </c>
      <c r="K37" s="1192" t="s">
        <v>1718</v>
      </c>
      <c r="L37" s="1192"/>
      <c r="M37" s="1192"/>
      <c r="N37" s="1192"/>
    </row>
    <row r="38" spans="1:14" ht="47.25" x14ac:dyDescent="0.25">
      <c r="A38" s="1238" t="s">
        <v>1162</v>
      </c>
      <c r="B38" s="1231"/>
      <c r="C38" s="1231"/>
      <c r="D38" s="1231">
        <v>347452.5</v>
      </c>
      <c r="E38" s="1232" t="s">
        <v>1720</v>
      </c>
      <c r="F38" s="1231"/>
      <c r="G38" s="1231"/>
      <c r="H38" s="1231">
        <v>44547.5</v>
      </c>
      <c r="I38" s="1232" t="s">
        <v>1721</v>
      </c>
      <c r="J38" s="1231">
        <f>D38+H38</f>
        <v>392000</v>
      </c>
      <c r="K38" s="1202" t="s">
        <v>1719</v>
      </c>
      <c r="L38" s="1202"/>
      <c r="M38" s="1202"/>
      <c r="N38" s="1192"/>
    </row>
    <row r="39" spans="1:14" x14ac:dyDescent="0.25">
      <c r="A39" s="1238" t="s">
        <v>1163</v>
      </c>
      <c r="B39" s="1238"/>
      <c r="C39" s="1238"/>
      <c r="D39" s="1230">
        <f>D37-D38</f>
        <v>858612.5</v>
      </c>
      <c r="E39" s="1232"/>
      <c r="F39" s="1238"/>
      <c r="G39" s="1238"/>
      <c r="H39" s="1230">
        <f>H37-H38</f>
        <v>106344.5</v>
      </c>
      <c r="I39" s="1237"/>
      <c r="J39" s="1231">
        <f>D39+H39</f>
        <v>964957</v>
      </c>
      <c r="K39" s="1992"/>
      <c r="L39" s="1992"/>
      <c r="M39" s="1992"/>
      <c r="N39" s="1192"/>
    </row>
    <row r="40" spans="1:14" x14ac:dyDescent="0.25">
      <c r="A40" s="1238" t="s">
        <v>196</v>
      </c>
      <c r="B40" s="1239"/>
      <c r="C40" s="1238"/>
      <c r="D40" s="1231">
        <f>D39*B40</f>
        <v>0</v>
      </c>
      <c r="E40" s="1232"/>
      <c r="F40" s="1239"/>
      <c r="G40" s="1238"/>
      <c r="H40" s="1231">
        <f>H39*F40</f>
        <v>0</v>
      </c>
      <c r="I40" s="1237"/>
      <c r="J40" s="1231">
        <f t="shared" si="3"/>
        <v>0</v>
      </c>
      <c r="K40" s="1192"/>
      <c r="L40" s="1192"/>
      <c r="M40" s="1192"/>
      <c r="N40" s="1192"/>
    </row>
    <row r="41" spans="1:14" x14ac:dyDescent="0.25">
      <c r="A41" s="1238" t="s">
        <v>1722</v>
      </c>
      <c r="B41" s="1239">
        <v>0.01</v>
      </c>
      <c r="C41" s="1238"/>
      <c r="D41" s="1230">
        <v>11437</v>
      </c>
      <c r="E41" s="1232"/>
      <c r="F41" s="1239">
        <v>0.01</v>
      </c>
      <c r="G41" s="1238"/>
      <c r="H41" s="1230">
        <f>ROUND((H37-H38)*F41,0)</f>
        <v>1063</v>
      </c>
      <c r="I41" s="1237"/>
      <c r="J41" s="1231">
        <f t="shared" si="3"/>
        <v>12500</v>
      </c>
      <c r="K41" s="1192"/>
      <c r="L41" s="1192"/>
      <c r="M41" s="1192"/>
      <c r="N41" s="1192"/>
    </row>
    <row r="42" spans="1:14" x14ac:dyDescent="0.25">
      <c r="A42" s="1238" t="s">
        <v>198</v>
      </c>
      <c r="B42" s="1238"/>
      <c r="C42" s="1238"/>
      <c r="D42" s="1230">
        <f>D39-D40-D41</f>
        <v>847175.5</v>
      </c>
      <c r="E42" s="1232" t="s">
        <v>199</v>
      </c>
      <c r="F42" s="1238"/>
      <c r="G42" s="1238"/>
      <c r="H42" s="1230">
        <f>H39-H40-H41</f>
        <v>105281.5</v>
      </c>
      <c r="I42" s="1237"/>
      <c r="J42" s="1231">
        <f>D42+H42</f>
        <v>952457</v>
      </c>
      <c r="K42" s="1192"/>
      <c r="L42" s="1192"/>
      <c r="M42" s="1192"/>
      <c r="N42" s="1192"/>
    </row>
    <row r="43" spans="1:14" s="1156" customFormat="1" x14ac:dyDescent="0.25">
      <c r="A43" s="2001"/>
      <c r="B43" s="2001"/>
      <c r="C43" s="2001"/>
      <c r="D43" s="2001"/>
      <c r="E43" s="2001"/>
      <c r="F43" s="2001"/>
      <c r="G43" s="2001"/>
      <c r="H43" s="1240"/>
      <c r="I43" s="1240"/>
      <c r="J43" s="1240"/>
    </row>
    <row r="44" spans="1:14" s="1156" customFormat="1" x14ac:dyDescent="0.25">
      <c r="A44" s="1158"/>
      <c r="B44" s="1158"/>
      <c r="C44" s="1158"/>
      <c r="D44" s="1203">
        <f>(D37-D41)/D37</f>
        <v>0.99051709484978012</v>
      </c>
      <c r="E44" s="1158"/>
      <c r="F44" s="1158"/>
      <c r="G44" s="1159"/>
      <c r="H44" s="1203">
        <f>(H37-H41)/H37</f>
        <v>0.99295522625453969</v>
      </c>
      <c r="I44" s="1155"/>
    </row>
    <row r="45" spans="1:14" s="1156" customFormat="1" x14ac:dyDescent="0.25">
      <c r="D45" s="1204">
        <f>C34*D44</f>
        <v>117.87153428712384</v>
      </c>
      <c r="H45" s="1204">
        <f>G34*H44</f>
        <v>118.16167192429022</v>
      </c>
    </row>
    <row r="46" spans="1:14" s="1156" customFormat="1" x14ac:dyDescent="0.25">
      <c r="G46" s="1155"/>
      <c r="H46" s="1155"/>
      <c r="I46" s="1155"/>
    </row>
    <row r="47" spans="1:14" s="1156" customFormat="1" x14ac:dyDescent="0.25">
      <c r="G47" s="1155"/>
      <c r="H47" s="1155"/>
      <c r="I47" s="1155"/>
    </row>
    <row r="48" spans="1:14" s="1156" customFormat="1" x14ac:dyDescent="0.25">
      <c r="G48" s="1155"/>
      <c r="H48" s="1155"/>
      <c r="I48" s="1155"/>
    </row>
    <row r="49" spans="7:9" s="1156" customFormat="1" x14ac:dyDescent="0.25"/>
    <row r="50" spans="7:9" s="1156" customFormat="1" x14ac:dyDescent="0.25">
      <c r="G50" s="1155"/>
      <c r="H50" s="1155"/>
      <c r="I50" s="1155"/>
    </row>
    <row r="51" spans="7:9" s="1156" customFormat="1" x14ac:dyDescent="0.25">
      <c r="G51" s="1155"/>
      <c r="H51" s="1155"/>
      <c r="I51" s="1155"/>
    </row>
  </sheetData>
  <mergeCells count="25">
    <mergeCell ref="A1:G1"/>
    <mergeCell ref="A3:G3"/>
    <mergeCell ref="A4:G4"/>
    <mergeCell ref="A5:G5"/>
    <mergeCell ref="A7:A8"/>
    <mergeCell ref="B7:E7"/>
    <mergeCell ref="F7:I7"/>
    <mergeCell ref="L7:L8"/>
    <mergeCell ref="M7:M8"/>
    <mergeCell ref="N7:N8"/>
    <mergeCell ref="A43:G43"/>
    <mergeCell ref="A20:A21"/>
    <mergeCell ref="B20:E20"/>
    <mergeCell ref="F20:I20"/>
    <mergeCell ref="J20:J21"/>
    <mergeCell ref="M20:M21"/>
    <mergeCell ref="N20:N21"/>
    <mergeCell ref="E19:K19"/>
    <mergeCell ref="J7:J8"/>
    <mergeCell ref="K7:K8"/>
    <mergeCell ref="O20:O21"/>
    <mergeCell ref="A34:A37"/>
    <mergeCell ref="K39:M39"/>
    <mergeCell ref="K20:K21"/>
    <mergeCell ref="L20:L21"/>
  </mergeCells>
  <pageMargins left="0" right="0" top="0.55118110236220474" bottom="0.55118110236220474" header="0.31496062992125984" footer="0.31496062992125984"/>
  <pageSetup paperSize="9"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J36"/>
  <sheetViews>
    <sheetView view="pageBreakPreview" zoomScale="80" zoomScaleNormal="100" zoomScaleSheetLayoutView="80" workbookViewId="0">
      <selection activeCell="O10" sqref="O10"/>
    </sheetView>
  </sheetViews>
  <sheetFormatPr defaultColWidth="12.85546875" defaultRowHeight="12.75" x14ac:dyDescent="0.2"/>
  <cols>
    <col min="1" max="1" width="24.5703125" style="55" customWidth="1"/>
    <col min="2" max="2" width="13.5703125" style="55" customWidth="1"/>
    <col min="3" max="3" width="11.85546875" style="55" customWidth="1"/>
    <col min="4" max="4" width="22.5703125" style="55" customWidth="1"/>
    <col min="5" max="5" width="24.42578125" style="55" customWidth="1"/>
    <col min="6" max="6" width="16.140625" style="55" customWidth="1"/>
    <col min="7" max="7" width="18.7109375" style="55" customWidth="1"/>
    <col min="8" max="8" width="9.140625" style="55" customWidth="1"/>
    <col min="9" max="16384" width="12.85546875" style="55"/>
  </cols>
  <sheetData>
    <row r="1" spans="1:9" x14ac:dyDescent="0.2">
      <c r="A1" s="2008" t="s">
        <v>178</v>
      </c>
      <c r="B1" s="2008"/>
      <c r="C1" s="2008"/>
      <c r="D1" s="2008"/>
      <c r="E1" s="2008"/>
      <c r="F1" s="54"/>
    </row>
    <row r="2" spans="1:9" ht="6" customHeight="1" x14ac:dyDescent="0.2">
      <c r="A2" s="56"/>
      <c r="B2" s="56"/>
      <c r="C2" s="56"/>
      <c r="D2" s="56"/>
      <c r="E2" s="56"/>
      <c r="F2" s="56"/>
    </row>
    <row r="3" spans="1:9" x14ac:dyDescent="0.2">
      <c r="A3" s="2009" t="s">
        <v>179</v>
      </c>
      <c r="B3" s="2009"/>
      <c r="C3" s="2009"/>
      <c r="D3" s="2009"/>
      <c r="E3" s="2009"/>
      <c r="F3" s="57"/>
    </row>
    <row r="4" spans="1:9" x14ac:dyDescent="0.2">
      <c r="A4" s="2009" t="s">
        <v>180</v>
      </c>
      <c r="B4" s="2009"/>
      <c r="C4" s="2009"/>
      <c r="D4" s="2009"/>
      <c r="E4" s="2009"/>
      <c r="F4" s="57"/>
    </row>
    <row r="5" spans="1:9" x14ac:dyDescent="0.2">
      <c r="A5" s="56"/>
      <c r="B5" s="56"/>
      <c r="C5" s="56"/>
      <c r="D5" s="56"/>
      <c r="E5" s="56"/>
      <c r="F5" s="56"/>
    </row>
    <row r="6" spans="1:9" x14ac:dyDescent="0.2">
      <c r="A6" s="2010"/>
      <c r="B6" s="2011" t="s">
        <v>1587</v>
      </c>
      <c r="C6" s="2011"/>
      <c r="D6" s="2011"/>
      <c r="E6" s="2011"/>
      <c r="F6" s="2013" t="s">
        <v>181</v>
      </c>
      <c r="G6" s="2013" t="s">
        <v>182</v>
      </c>
    </row>
    <row r="7" spans="1:9" ht="54.75" customHeight="1" x14ac:dyDescent="0.2">
      <c r="A7" s="2010"/>
      <c r="B7" s="59" t="s">
        <v>183</v>
      </c>
      <c r="C7" s="58" t="s">
        <v>184</v>
      </c>
      <c r="D7" s="58" t="s">
        <v>185</v>
      </c>
      <c r="E7" s="58" t="s">
        <v>186</v>
      </c>
      <c r="F7" s="2013"/>
      <c r="G7" s="2013"/>
      <c r="I7" s="91"/>
    </row>
    <row r="8" spans="1:9" x14ac:dyDescent="0.2">
      <c r="A8" s="60" t="s">
        <v>184</v>
      </c>
      <c r="B8" s="58">
        <v>84</v>
      </c>
      <c r="C8" s="61">
        <f>B8*170</f>
        <v>14280</v>
      </c>
      <c r="D8" s="62">
        <f>D10-D17</f>
        <v>36.832999999999998</v>
      </c>
      <c r="E8" s="63">
        <f>SUM(C8*D8)-179.1</f>
        <v>525796.14</v>
      </c>
      <c r="F8" s="63"/>
      <c r="G8" s="64"/>
      <c r="I8" s="91"/>
    </row>
    <row r="9" spans="1:9" x14ac:dyDescent="0.2">
      <c r="A9" s="60" t="s">
        <v>187</v>
      </c>
      <c r="B9" s="58">
        <v>11</v>
      </c>
      <c r="C9" s="61">
        <f>B9*170</f>
        <v>1870</v>
      </c>
      <c r="D9" s="62">
        <f>D18+D8</f>
        <v>95.916499999999999</v>
      </c>
      <c r="E9" s="63">
        <f>SUM(C9*D9)</f>
        <v>179363.85500000001</v>
      </c>
      <c r="F9" s="63"/>
      <c r="G9" s="64"/>
    </row>
    <row r="10" spans="1:9" x14ac:dyDescent="0.2">
      <c r="A10" s="60" t="s">
        <v>1196</v>
      </c>
      <c r="B10" s="58">
        <v>4</v>
      </c>
      <c r="C10" s="61">
        <f>B10*170</f>
        <v>680</v>
      </c>
      <c r="D10" s="63">
        <v>155</v>
      </c>
      <c r="E10" s="63">
        <f>SUM(C10*D10)</f>
        <v>105400</v>
      </c>
      <c r="F10" s="63"/>
      <c r="G10" s="64"/>
    </row>
    <row r="11" spans="1:9" s="71" customFormat="1" x14ac:dyDescent="0.2">
      <c r="A11" s="65" t="s">
        <v>189</v>
      </c>
      <c r="B11" s="66">
        <f>B8+B9+B10</f>
        <v>99</v>
      </c>
      <c r="C11" s="67">
        <f>SUM(C8:C10)</f>
        <v>16830</v>
      </c>
      <c r="D11" s="68"/>
      <c r="E11" s="69">
        <f>SUM(E8:E10)</f>
        <v>810559.995</v>
      </c>
      <c r="F11" s="69">
        <f>D26</f>
        <v>510000</v>
      </c>
      <c r="G11" s="70">
        <f>SUM(E11)+F11</f>
        <v>1320559.9950000001</v>
      </c>
    </row>
    <row r="12" spans="1:9" ht="18" customHeight="1" x14ac:dyDescent="0.2">
      <c r="C12" s="57" t="s">
        <v>190</v>
      </c>
      <c r="D12" s="57"/>
      <c r="E12" s="57"/>
      <c r="F12" s="57"/>
    </row>
    <row r="13" spans="1:9" x14ac:dyDescent="0.2">
      <c r="A13" s="56"/>
      <c r="B13" s="56"/>
      <c r="C13" s="57" t="s">
        <v>191</v>
      </c>
      <c r="D13" s="57"/>
      <c r="E13" s="57"/>
      <c r="F13" s="57"/>
    </row>
    <row r="14" spans="1:9" ht="6.75" customHeight="1" x14ac:dyDescent="0.2">
      <c r="A14" s="56"/>
      <c r="B14" s="56"/>
      <c r="C14" s="56"/>
      <c r="D14" s="56"/>
      <c r="E14" s="2009"/>
      <c r="F14" s="2009"/>
      <c r="G14" s="2009"/>
    </row>
    <row r="15" spans="1:9" x14ac:dyDescent="0.2">
      <c r="A15" s="2010"/>
      <c r="B15" s="2011" t="str">
        <f>B6</f>
        <v>План на 2024 год</v>
      </c>
      <c r="C15" s="2011"/>
      <c r="D15" s="2011"/>
      <c r="E15" s="2011"/>
      <c r="F15" s="2013" t="s">
        <v>181</v>
      </c>
      <c r="G15" s="2014" t="s">
        <v>192</v>
      </c>
    </row>
    <row r="16" spans="1:9" ht="47.25" customHeight="1" x14ac:dyDescent="0.2">
      <c r="A16" s="2010"/>
      <c r="B16" s="59" t="s">
        <v>183</v>
      </c>
      <c r="C16" s="58" t="s">
        <v>184</v>
      </c>
      <c r="D16" s="58" t="s">
        <v>185</v>
      </c>
      <c r="E16" s="58" t="s">
        <v>186</v>
      </c>
      <c r="F16" s="2013"/>
      <c r="G16" s="2015"/>
    </row>
    <row r="17" spans="1:10" x14ac:dyDescent="0.2">
      <c r="A17" s="60" t="s">
        <v>184</v>
      </c>
      <c r="B17" s="58">
        <f>B8</f>
        <v>84</v>
      </c>
      <c r="C17" s="61">
        <f>B17*170</f>
        <v>14280</v>
      </c>
      <c r="D17" s="63">
        <f>D33</f>
        <v>118.167</v>
      </c>
      <c r="E17" s="63">
        <f>C17*D17-0.01+179.1</f>
        <v>1687603.85</v>
      </c>
      <c r="F17" s="63"/>
      <c r="G17" s="64"/>
    </row>
    <row r="18" spans="1:10" x14ac:dyDescent="0.2">
      <c r="A18" s="60" t="s">
        <v>193</v>
      </c>
      <c r="B18" s="58">
        <v>11</v>
      </c>
      <c r="C18" s="61">
        <f>B18*170</f>
        <v>1870</v>
      </c>
      <c r="D18" s="63">
        <f>D17/2</f>
        <v>59.083500000000001</v>
      </c>
      <c r="E18" s="63">
        <f>C18*D18</f>
        <v>110486.145</v>
      </c>
      <c r="F18" s="63"/>
      <c r="G18" s="64"/>
    </row>
    <row r="19" spans="1:10" x14ac:dyDescent="0.2">
      <c r="A19" s="60" t="s">
        <v>188</v>
      </c>
      <c r="B19" s="58">
        <v>4</v>
      </c>
      <c r="C19" s="61">
        <f>B19*170</f>
        <v>680</v>
      </c>
      <c r="D19" s="63">
        <v>0</v>
      </c>
      <c r="E19" s="63">
        <f>SUM(C19*D19)</f>
        <v>0</v>
      </c>
      <c r="F19" s="63"/>
      <c r="G19" s="64"/>
    </row>
    <row r="20" spans="1:10" s="71" customFormat="1" x14ac:dyDescent="0.2">
      <c r="A20" s="65" t="s">
        <v>189</v>
      </c>
      <c r="B20" s="66">
        <f>SUM(B17:B19)</f>
        <v>99</v>
      </c>
      <c r="C20" s="67">
        <f>SUM(C17:C19)</f>
        <v>16830</v>
      </c>
      <c r="D20" s="68"/>
      <c r="E20" s="69">
        <f>SUM(E17:E18)</f>
        <v>1798089.9950000001</v>
      </c>
      <c r="F20" s="69">
        <f>D26</f>
        <v>510000</v>
      </c>
      <c r="G20" s="72">
        <f>D30</f>
        <v>1288090</v>
      </c>
      <c r="J20" s="73">
        <f>SUM(G20:I20)</f>
        <v>1288090</v>
      </c>
    </row>
    <row r="21" spans="1:10" ht="10.5" customHeight="1" x14ac:dyDescent="0.2">
      <c r="A21" s="74"/>
      <c r="B21" s="75"/>
    </row>
    <row r="22" spans="1:10" x14ac:dyDescent="0.2">
      <c r="A22" s="2012" t="s">
        <v>194</v>
      </c>
      <c r="B22" s="76">
        <f>C17</f>
        <v>14280</v>
      </c>
      <c r="C22" s="77">
        <v>119</v>
      </c>
      <c r="D22" s="78">
        <f>B22*C22</f>
        <v>1699320</v>
      </c>
      <c r="E22" s="79"/>
      <c r="I22" s="80">
        <f>SUM(B22:H22)</f>
        <v>1713719</v>
      </c>
    </row>
    <row r="23" spans="1:10" x14ac:dyDescent="0.2">
      <c r="A23" s="2012"/>
      <c r="B23" s="76">
        <f>C18</f>
        <v>1870</v>
      </c>
      <c r="C23" s="77">
        <v>59.5</v>
      </c>
      <c r="D23" s="78">
        <f>B23*C23+5</f>
        <v>111270</v>
      </c>
      <c r="E23" s="79"/>
      <c r="I23" s="80"/>
    </row>
    <row r="24" spans="1:10" x14ac:dyDescent="0.2">
      <c r="A24" s="2012"/>
      <c r="B24" s="76"/>
      <c r="C24" s="79"/>
      <c r="D24" s="78">
        <f t="shared" ref="D24" si="0">B24*C24</f>
        <v>0</v>
      </c>
      <c r="E24" s="79"/>
      <c r="I24" s="80"/>
    </row>
    <row r="25" spans="1:10" s="71" customFormat="1" x14ac:dyDescent="0.2">
      <c r="A25" s="2012"/>
      <c r="B25" s="81">
        <f>SUM(B22:B24)</f>
        <v>16150</v>
      </c>
      <c r="C25" s="82"/>
      <c r="D25" s="83">
        <f>SUM(D22:D24)</f>
        <v>1810590</v>
      </c>
      <c r="E25" s="82"/>
      <c r="I25" s="84"/>
    </row>
    <row r="26" spans="1:10" s="71" customFormat="1" ht="31.15" customHeight="1" x14ac:dyDescent="0.2">
      <c r="A26" s="85" t="s">
        <v>1296</v>
      </c>
      <c r="B26" s="76"/>
      <c r="C26" s="79"/>
      <c r="D26" s="78">
        <v>510000</v>
      </c>
      <c r="E26" s="79"/>
      <c r="F26" s="71">
        <v>51000</v>
      </c>
      <c r="I26" s="84"/>
    </row>
    <row r="27" spans="1:10" s="71" customFormat="1" ht="16.899999999999999" customHeight="1" x14ac:dyDescent="0.2">
      <c r="A27" s="85" t="s">
        <v>195</v>
      </c>
      <c r="B27" s="76"/>
      <c r="C27" s="79"/>
      <c r="D27" s="78">
        <f>D25-D26</f>
        <v>1300590</v>
      </c>
      <c r="E27" s="79"/>
      <c r="I27" s="84"/>
    </row>
    <row r="28" spans="1:10" ht="25.5" x14ac:dyDescent="0.2">
      <c r="A28" s="85" t="s">
        <v>195</v>
      </c>
      <c r="B28" s="79"/>
      <c r="C28" s="86"/>
      <c r="D28" s="78">
        <f>D27</f>
        <v>1300590</v>
      </c>
      <c r="E28" s="87" t="s">
        <v>1294</v>
      </c>
    </row>
    <row r="29" spans="1:10" x14ac:dyDescent="0.2">
      <c r="A29" s="79" t="s">
        <v>1295</v>
      </c>
      <c r="B29" s="79"/>
      <c r="C29" s="86">
        <v>0.01</v>
      </c>
      <c r="D29" s="78">
        <v>12500</v>
      </c>
      <c r="E29" s="79" t="s">
        <v>197</v>
      </c>
    </row>
    <row r="30" spans="1:10" x14ac:dyDescent="0.2">
      <c r="A30" s="79" t="s">
        <v>198</v>
      </c>
      <c r="B30" s="79"/>
      <c r="C30" s="79"/>
      <c r="D30" s="78">
        <f>D28-D29</f>
        <v>1288090</v>
      </c>
      <c r="E30" s="79" t="s">
        <v>199</v>
      </c>
    </row>
    <row r="31" spans="1:10" ht="6" customHeight="1" x14ac:dyDescent="0.2">
      <c r="D31" s="88"/>
    </row>
    <row r="32" spans="1:10" x14ac:dyDescent="0.2">
      <c r="D32" s="89">
        <v>0.99299999999999999</v>
      </c>
    </row>
    <row r="33" spans="4:5" x14ac:dyDescent="0.2">
      <c r="D33" s="90">
        <f>C22*D32</f>
        <v>118.167</v>
      </c>
    </row>
    <row r="35" spans="4:5" x14ac:dyDescent="0.2">
      <c r="E35" s="91"/>
    </row>
    <row r="36" spans="4:5" x14ac:dyDescent="0.2">
      <c r="D36" s="91"/>
    </row>
  </sheetData>
  <mergeCells count="13">
    <mergeCell ref="A22:A25"/>
    <mergeCell ref="G6:G7"/>
    <mergeCell ref="E14:G14"/>
    <mergeCell ref="A15:A16"/>
    <mergeCell ref="B15:E15"/>
    <mergeCell ref="F15:F16"/>
    <mergeCell ref="G15:G16"/>
    <mergeCell ref="F6:F7"/>
    <mergeCell ref="A1:E1"/>
    <mergeCell ref="A3:E3"/>
    <mergeCell ref="A4:E4"/>
    <mergeCell ref="A6:A7"/>
    <mergeCell ref="B6:E6"/>
  </mergeCells>
  <pageMargins left="0.23622047244094491" right="0.23622047244094491"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AF235"/>
  <sheetViews>
    <sheetView view="pageBreakPreview" topLeftCell="A73" zoomScale="76" zoomScaleNormal="100" zoomScaleSheetLayoutView="76" workbookViewId="0">
      <selection activeCell="J104" sqref="J104"/>
    </sheetView>
  </sheetViews>
  <sheetFormatPr defaultColWidth="1.140625" defaultRowHeight="15.75" x14ac:dyDescent="0.2"/>
  <cols>
    <col min="1" max="1" width="4" style="128" customWidth="1"/>
    <col min="2" max="2" width="27.42578125" style="128" customWidth="1"/>
    <col min="3" max="3" width="12.85546875" style="128" customWidth="1"/>
    <col min="4" max="4" width="13.140625" style="128" customWidth="1"/>
    <col min="5" max="5" width="14.5703125" style="128" customWidth="1"/>
    <col min="6" max="6" width="16.28515625" style="128" customWidth="1"/>
    <col min="7" max="7" width="15" style="128" customWidth="1"/>
    <col min="8" max="8" width="16" style="128" customWidth="1"/>
    <col min="9" max="9" width="15.140625" style="128" customWidth="1"/>
    <col min="10" max="10" width="16.28515625" style="128" customWidth="1"/>
    <col min="11" max="11" width="15" style="128" customWidth="1"/>
    <col min="12" max="12" width="9.7109375" style="128" customWidth="1"/>
    <col min="13" max="13" width="12.85546875" style="128" customWidth="1"/>
    <col min="14" max="14" width="11.42578125" style="128" customWidth="1"/>
    <col min="15" max="15" width="20.42578125" style="128" customWidth="1"/>
    <col min="16" max="16" width="13.5703125" style="128" hidden="1" customWidth="1"/>
    <col min="17" max="17" width="12.42578125" style="128" hidden="1" customWidth="1"/>
    <col min="18" max="18" width="4.5703125" style="128" hidden="1" customWidth="1"/>
    <col min="19" max="24" width="1.140625" style="128"/>
    <col min="25" max="25" width="15.5703125" style="128" bestFit="1" customWidth="1"/>
    <col min="26" max="27" width="1.140625" style="128"/>
    <col min="28" max="28" width="15.5703125" style="128" bestFit="1" customWidth="1"/>
    <col min="29" max="16384" width="1.140625" style="128"/>
  </cols>
  <sheetData>
    <row r="1" spans="1:15" s="34" customFormat="1" x14ac:dyDescent="0.2">
      <c r="O1" s="124" t="s">
        <v>33</v>
      </c>
    </row>
    <row r="2" spans="1:15" s="34" customFormat="1" ht="17.25" customHeight="1" x14ac:dyDescent="0.2">
      <c r="O2" s="124" t="s">
        <v>59</v>
      </c>
    </row>
    <row r="3" spans="1:15" s="34" customFormat="1" ht="11.25" x14ac:dyDescent="0.2">
      <c r="O3" s="35"/>
    </row>
    <row r="4" spans="1:15" s="37" customFormat="1" x14ac:dyDescent="0.2">
      <c r="A4" s="1634" t="s">
        <v>1206</v>
      </c>
      <c r="B4" s="1634"/>
      <c r="C4" s="1634"/>
      <c r="D4" s="1634"/>
      <c r="E4" s="1634"/>
      <c r="F4" s="1634"/>
      <c r="G4" s="1634"/>
      <c r="H4" s="1634"/>
      <c r="I4" s="1634"/>
      <c r="J4" s="1634"/>
      <c r="K4" s="1634"/>
      <c r="L4" s="1634"/>
      <c r="M4" s="1634"/>
      <c r="N4" s="1634"/>
      <c r="O4" s="1634"/>
    </row>
    <row r="5" spans="1:15" s="39" customFormat="1" ht="9.75" x14ac:dyDescent="0.2">
      <c r="A5" s="38"/>
      <c r="B5" s="38"/>
      <c r="C5" s="38"/>
      <c r="D5" s="38"/>
      <c r="E5" s="38"/>
      <c r="F5" s="38"/>
      <c r="G5" s="38"/>
      <c r="H5" s="38"/>
    </row>
    <row r="6" spans="1:15" s="39" customFormat="1" ht="17.25" customHeight="1" x14ac:dyDescent="0.2">
      <c r="A6" s="37" t="s">
        <v>58</v>
      </c>
      <c r="B6" s="38"/>
      <c r="C6" s="38"/>
      <c r="D6" s="38"/>
      <c r="E6" s="38"/>
      <c r="F6" s="340" t="s">
        <v>591</v>
      </c>
      <c r="G6" s="125"/>
      <c r="H6" s="125"/>
      <c r="I6" s="125"/>
      <c r="J6" s="125"/>
      <c r="K6" s="125"/>
      <c r="L6" s="125"/>
      <c r="M6" s="125"/>
      <c r="N6" s="125"/>
      <c r="O6" s="125"/>
    </row>
    <row r="7" spans="1:15" s="37" customFormat="1" x14ac:dyDescent="0.2">
      <c r="A7" s="126" t="s">
        <v>34</v>
      </c>
      <c r="B7" s="126"/>
      <c r="C7" s="126"/>
      <c r="D7" s="126"/>
      <c r="E7" s="126"/>
      <c r="F7" s="126"/>
      <c r="G7" s="126"/>
      <c r="H7" s="126"/>
    </row>
    <row r="8" spans="1:15" x14ac:dyDescent="0.2">
      <c r="A8" s="126" t="s">
        <v>48</v>
      </c>
      <c r="B8" s="126"/>
      <c r="C8" s="126"/>
      <c r="D8" s="126"/>
      <c r="E8" s="126"/>
      <c r="F8" s="126"/>
      <c r="G8" s="126"/>
      <c r="H8" s="126"/>
      <c r="I8" s="126"/>
      <c r="J8" s="126"/>
      <c r="K8" s="126"/>
      <c r="L8" s="126"/>
      <c r="M8" s="126"/>
      <c r="N8" s="126"/>
      <c r="O8" s="126"/>
    </row>
    <row r="9" spans="1:15" x14ac:dyDescent="0.2">
      <c r="A9" s="126"/>
      <c r="B9" s="126"/>
      <c r="C9" s="126"/>
      <c r="D9" s="126"/>
      <c r="E9" s="126"/>
      <c r="F9" s="126"/>
      <c r="G9" s="126"/>
      <c r="H9" s="126"/>
      <c r="I9" s="126"/>
      <c r="J9" s="126"/>
      <c r="K9" s="126"/>
      <c r="L9" s="126"/>
      <c r="M9" s="126"/>
      <c r="N9" s="126"/>
      <c r="O9" s="126"/>
    </row>
    <row r="10" spans="1:15" s="132" customFormat="1" ht="33.75" customHeight="1" x14ac:dyDescent="0.2">
      <c r="A10" s="2022"/>
      <c r="B10" s="2022"/>
      <c r="D10" s="133"/>
      <c r="E10" s="133"/>
      <c r="F10" s="2023" t="s">
        <v>1391</v>
      </c>
      <c r="G10" s="2023"/>
      <c r="H10" s="2023"/>
      <c r="I10" s="133"/>
      <c r="J10" s="133"/>
      <c r="K10" s="133"/>
      <c r="L10" s="133"/>
      <c r="M10" s="133"/>
      <c r="N10" s="133"/>
      <c r="O10" s="133"/>
    </row>
    <row r="11" spans="1:15" s="127" customFormat="1" ht="12.75" x14ac:dyDescent="0.2">
      <c r="A11" s="2018" t="s">
        <v>38</v>
      </c>
      <c r="B11" s="2024" t="s">
        <v>36</v>
      </c>
      <c r="C11" s="2018" t="s">
        <v>37</v>
      </c>
      <c r="D11" s="2018" t="s">
        <v>0</v>
      </c>
      <c r="E11" s="2018"/>
      <c r="F11" s="2018"/>
      <c r="G11" s="2018"/>
      <c r="H11" s="2018" t="s">
        <v>882</v>
      </c>
      <c r="I11" s="2018" t="s">
        <v>52</v>
      </c>
      <c r="J11" s="2018"/>
      <c r="K11" s="2018"/>
      <c r="L11" s="2018"/>
      <c r="M11" s="2018"/>
      <c r="N11" s="2018"/>
      <c r="O11" s="2018"/>
    </row>
    <row r="12" spans="1:15" s="127" customFormat="1" ht="12.75" x14ac:dyDescent="0.2">
      <c r="A12" s="2018"/>
      <c r="B12" s="2024"/>
      <c r="C12" s="2018"/>
      <c r="D12" s="2018" t="s">
        <v>1</v>
      </c>
      <c r="E12" s="2018" t="s">
        <v>39</v>
      </c>
      <c r="F12" s="2018" t="s">
        <v>40</v>
      </c>
      <c r="G12" s="2018" t="s">
        <v>41</v>
      </c>
      <c r="H12" s="2018"/>
      <c r="I12" s="2018" t="s">
        <v>35</v>
      </c>
      <c r="J12" s="2018"/>
      <c r="K12" s="2018"/>
      <c r="L12" s="2019" t="s">
        <v>45</v>
      </c>
      <c r="M12" s="2020"/>
      <c r="N12" s="2021"/>
      <c r="O12" s="2018" t="s">
        <v>46</v>
      </c>
    </row>
    <row r="13" spans="1:15" s="127" customFormat="1" ht="25.5" x14ac:dyDescent="0.2">
      <c r="A13" s="2018"/>
      <c r="B13" s="2024"/>
      <c r="C13" s="2018"/>
      <c r="D13" s="2018"/>
      <c r="E13" s="2018"/>
      <c r="F13" s="2018"/>
      <c r="G13" s="2018"/>
      <c r="H13" s="2018"/>
      <c r="I13" s="42" t="s">
        <v>43</v>
      </c>
      <c r="J13" s="42" t="s">
        <v>592</v>
      </c>
      <c r="K13" s="42" t="s">
        <v>44</v>
      </c>
      <c r="L13" s="42" t="s">
        <v>55</v>
      </c>
      <c r="M13" s="42" t="s">
        <v>43</v>
      </c>
      <c r="N13" s="42" t="s">
        <v>44</v>
      </c>
      <c r="O13" s="2018"/>
    </row>
    <row r="14" spans="1:15" s="127" customFormat="1" ht="12.75" x14ac:dyDescent="0.2">
      <c r="A14" s="43">
        <v>1</v>
      </c>
      <c r="B14" s="43">
        <v>2</v>
      </c>
      <c r="C14" s="43">
        <v>3</v>
      </c>
      <c r="D14" s="43" t="s">
        <v>47</v>
      </c>
      <c r="E14" s="43">
        <v>5</v>
      </c>
      <c r="F14" s="43">
        <v>6</v>
      </c>
      <c r="G14" s="43">
        <v>7</v>
      </c>
      <c r="H14" s="43" t="s">
        <v>63</v>
      </c>
      <c r="I14" s="43">
        <v>9</v>
      </c>
      <c r="J14" s="43"/>
      <c r="K14" s="43">
        <v>10</v>
      </c>
      <c r="L14" s="43">
        <v>11</v>
      </c>
      <c r="M14" s="43">
        <v>12</v>
      </c>
      <c r="N14" s="43">
        <v>13</v>
      </c>
      <c r="O14" s="43">
        <v>14</v>
      </c>
    </row>
    <row r="15" spans="1:15" s="127" customFormat="1" ht="15" x14ac:dyDescent="0.2">
      <c r="A15" s="43">
        <v>1</v>
      </c>
      <c r="B15" s="130" t="s">
        <v>202</v>
      </c>
      <c r="C15" s="303">
        <f>'расчет ФОТ шк обл'!C6</f>
        <v>1</v>
      </c>
      <c r="D15" s="341">
        <f>E15+G15+F15</f>
        <v>70973.341400000005</v>
      </c>
      <c r="E15" s="341">
        <f>'расчет ФОТ обл ш с 01.01-30.06.'!L6</f>
        <v>58174.87</v>
      </c>
      <c r="F15" s="341">
        <f>'расчет ФОТ обл ш с 01.01-30.06.'!R6</f>
        <v>0</v>
      </c>
      <c r="G15" s="341">
        <f>'расчет ФОТ обл ш с 01.01-30.06.'!T6</f>
        <v>12798.4714</v>
      </c>
      <c r="H15" s="341">
        <f>I15</f>
        <v>425840.04840000003</v>
      </c>
      <c r="I15" s="341">
        <f>'расчет ФОТ обл ш с 01.01-30.06.'!V6</f>
        <v>425840.04840000003</v>
      </c>
      <c r="J15" s="341"/>
      <c r="K15" s="341"/>
      <c r="L15" s="341"/>
      <c r="M15" s="341"/>
      <c r="N15" s="341"/>
      <c r="O15" s="341"/>
    </row>
    <row r="16" spans="1:15" s="127" customFormat="1" ht="15" x14ac:dyDescent="0.2">
      <c r="A16" s="43">
        <v>2</v>
      </c>
      <c r="B16" s="130" t="s">
        <v>853</v>
      </c>
      <c r="C16" s="303">
        <f>'расчет ФОТ шк обл'!C7</f>
        <v>1</v>
      </c>
      <c r="D16" s="341">
        <f t="shared" ref="D16:D21" si="0">E16+G16+F16</f>
        <v>55544.355200000005</v>
      </c>
      <c r="E16" s="341">
        <f>'расчет ФОТ обл ш с 01.01-30.06.'!L7</f>
        <v>45528.160000000003</v>
      </c>
      <c r="F16" s="341">
        <f>'расчет ФОТ обл ш с 01.01-30.06.'!R7</f>
        <v>0</v>
      </c>
      <c r="G16" s="341">
        <f>'расчет ФОТ обл ш с 01.01-30.06.'!T7</f>
        <v>10016.1952</v>
      </c>
      <c r="H16" s="341">
        <f t="shared" ref="H16:H35" si="1">I16</f>
        <v>333266.13120000006</v>
      </c>
      <c r="I16" s="341">
        <f>'расчет ФОТ обл ш с 01.01-30.06.'!V7</f>
        <v>333266.13120000006</v>
      </c>
      <c r="J16" s="341"/>
      <c r="K16" s="341"/>
      <c r="L16" s="341"/>
      <c r="M16" s="341"/>
      <c r="N16" s="341"/>
      <c r="O16" s="341"/>
    </row>
    <row r="17" spans="1:28" s="127" customFormat="1" ht="15" x14ac:dyDescent="0.2">
      <c r="A17" s="43">
        <v>3</v>
      </c>
      <c r="B17" s="130" t="s">
        <v>855</v>
      </c>
      <c r="C17" s="303">
        <f>'расчет ФОТ шк обл'!C8</f>
        <v>0.5</v>
      </c>
      <c r="D17" s="341">
        <f t="shared" si="0"/>
        <v>27772.177600000003</v>
      </c>
      <c r="E17" s="341">
        <f>'расчет ФОТ обл ш с 01.01-30.06.'!L8</f>
        <v>22764.080000000002</v>
      </c>
      <c r="F17" s="341">
        <f>'расчет ФОТ обл ш с 01.01-30.06.'!R8</f>
        <v>0</v>
      </c>
      <c r="G17" s="341">
        <f>'расчет ФОТ обл ш с 01.01-30.06.'!T8</f>
        <v>5008.0976000000001</v>
      </c>
      <c r="H17" s="341">
        <f t="shared" si="1"/>
        <v>166633.06560000003</v>
      </c>
      <c r="I17" s="341">
        <f>'расчет ФОТ обл ш с 01.01-30.06.'!V8</f>
        <v>166633.06560000003</v>
      </c>
      <c r="J17" s="341"/>
      <c r="K17" s="341"/>
      <c r="L17" s="341"/>
      <c r="M17" s="341"/>
      <c r="N17" s="341"/>
      <c r="O17" s="341"/>
    </row>
    <row r="18" spans="1:28" s="127" customFormat="1" ht="15" x14ac:dyDescent="0.2">
      <c r="A18" s="43">
        <v>4</v>
      </c>
      <c r="B18" s="130" t="s">
        <v>857</v>
      </c>
      <c r="C18" s="303">
        <f>'расчет ФОТ шк обл'!C9</f>
        <v>0.25</v>
      </c>
      <c r="D18" s="341">
        <f t="shared" si="0"/>
        <v>13886.088800000001</v>
      </c>
      <c r="E18" s="341">
        <f>'расчет ФОТ обл ш с 01.01-30.06.'!L9</f>
        <v>11382.04</v>
      </c>
      <c r="F18" s="341">
        <f>'расчет ФОТ обл ш с 01.01-30.06.'!R9</f>
        <v>0</v>
      </c>
      <c r="G18" s="341">
        <f>'расчет ФОТ обл ш с 01.01-30.06.'!T9</f>
        <v>2504.0488</v>
      </c>
      <c r="H18" s="341">
        <f t="shared" si="1"/>
        <v>83316.532800000015</v>
      </c>
      <c r="I18" s="341">
        <f>'расчет ФОТ обл ш с 01.01-30.06.'!V9</f>
        <v>83316.532800000015</v>
      </c>
      <c r="J18" s="341"/>
      <c r="K18" s="341"/>
      <c r="L18" s="341"/>
      <c r="M18" s="341"/>
      <c r="N18" s="341"/>
      <c r="O18" s="341"/>
    </row>
    <row r="19" spans="1:28" s="127" customFormat="1" ht="15" x14ac:dyDescent="0.2">
      <c r="A19" s="43">
        <v>5</v>
      </c>
      <c r="B19" s="130" t="s">
        <v>564</v>
      </c>
      <c r="C19" s="303">
        <f>'расчет ФОТ шк обл'!C10</f>
        <v>0.5</v>
      </c>
      <c r="D19" s="341">
        <f t="shared" si="0"/>
        <v>27772.177600000003</v>
      </c>
      <c r="E19" s="341">
        <f>'расчет ФОТ обл ш с 01.01-30.06.'!L10</f>
        <v>22764.080000000002</v>
      </c>
      <c r="F19" s="341">
        <f>'расчет ФОТ обл ш с 01.01-30.06.'!R10</f>
        <v>0</v>
      </c>
      <c r="G19" s="341">
        <f>'расчет ФОТ обл ш с 01.01-30.06.'!T10</f>
        <v>5008.0976000000001</v>
      </c>
      <c r="H19" s="341">
        <f t="shared" si="1"/>
        <v>166633.06560000003</v>
      </c>
      <c r="I19" s="341">
        <f>'расчет ФОТ обл ш с 01.01-30.06.'!V10</f>
        <v>166633.06560000003</v>
      </c>
      <c r="J19" s="341"/>
      <c r="K19" s="341"/>
      <c r="L19" s="341"/>
      <c r="M19" s="341"/>
      <c r="N19" s="341"/>
      <c r="O19" s="341"/>
    </row>
    <row r="20" spans="1:28" s="127" customFormat="1" ht="15" x14ac:dyDescent="0.2">
      <c r="A20" s="43">
        <v>6</v>
      </c>
      <c r="B20" s="130" t="s">
        <v>859</v>
      </c>
      <c r="C20" s="303">
        <f>'расчет ФОТ шк обл'!C11</f>
        <v>0.5</v>
      </c>
      <c r="D20" s="341">
        <f t="shared" si="0"/>
        <v>13466.97</v>
      </c>
      <c r="E20" s="341">
        <f>'расчет ФОТ обл ш с 01.01-30.06.'!L11</f>
        <v>11038.5</v>
      </c>
      <c r="F20" s="341">
        <f>'расчет ФОТ обл ш с 01.01-30.06.'!R11</f>
        <v>0</v>
      </c>
      <c r="G20" s="341">
        <f>'расчет ФОТ обл ш с 01.01-30.06.'!T11</f>
        <v>2428.4699999999998</v>
      </c>
      <c r="H20" s="341">
        <f t="shared" si="1"/>
        <v>80801.819999999992</v>
      </c>
      <c r="I20" s="341">
        <f>'расчет ФОТ обл ш с 01.01-30.06.'!V11</f>
        <v>80801.819999999992</v>
      </c>
      <c r="J20" s="341"/>
      <c r="K20" s="341"/>
      <c r="L20" s="341"/>
      <c r="M20" s="341"/>
      <c r="N20" s="341"/>
      <c r="O20" s="341"/>
    </row>
    <row r="21" spans="1:28" s="127" customFormat="1" ht="15" x14ac:dyDescent="0.2">
      <c r="A21" s="43">
        <v>7</v>
      </c>
      <c r="B21" s="130" t="s">
        <v>860</v>
      </c>
      <c r="C21" s="303">
        <f>'расчет ФОТ шк обл'!C12</f>
        <v>5.37</v>
      </c>
      <c r="D21" s="341">
        <f t="shared" si="0"/>
        <v>170060.42860000001</v>
      </c>
      <c r="E21" s="341">
        <f>'расчет ФОТ обл ш с 01.01-30.06.'!L12</f>
        <v>116600.63</v>
      </c>
      <c r="F21" s="341">
        <f>'расчет ФОТ обл ш с 01.01-30.06.'!R12</f>
        <v>27807.66</v>
      </c>
      <c r="G21" s="341">
        <f>'расчет ФОТ обл ш с 01.01-30.06.'!T12</f>
        <v>25652.138600000002</v>
      </c>
      <c r="H21" s="341">
        <f t="shared" si="1"/>
        <v>1019545.8516000002</v>
      </c>
      <c r="I21" s="341">
        <f>'расчет ФОТ обл ш с 01.01-30.06.'!V12</f>
        <v>1019545.8516000002</v>
      </c>
      <c r="J21" s="341"/>
      <c r="K21" s="341"/>
      <c r="L21" s="341"/>
      <c r="M21" s="341"/>
      <c r="N21" s="341"/>
      <c r="O21" s="341"/>
    </row>
    <row r="22" spans="1:28" s="127" customFormat="1" ht="15" x14ac:dyDescent="0.2">
      <c r="A22" s="43">
        <v>8</v>
      </c>
      <c r="B22" s="130" t="s">
        <v>861</v>
      </c>
      <c r="C22" s="303">
        <f>'расчет ФОТ шк обл'!C13</f>
        <v>18.690000000000001</v>
      </c>
      <c r="D22" s="341">
        <f>E22+G22+F22</f>
        <v>714401.86160000006</v>
      </c>
      <c r="E22" s="341">
        <f>'расчет ФОТ обл ш с 01.01-30.06.'!L13</f>
        <v>531842.28</v>
      </c>
      <c r="F22" s="341">
        <f>'расчет ФОТ обл ш с 01.01-30.06.'!R13</f>
        <v>65554.28</v>
      </c>
      <c r="G22" s="341">
        <f>'расчет ФОТ обл ш с 01.01-30.06.'!T13</f>
        <v>117005.30160000001</v>
      </c>
      <c r="H22" s="341">
        <f t="shared" si="1"/>
        <v>4286411.1696000006</v>
      </c>
      <c r="I22" s="341">
        <f>'расчет ФОТ обл ш с 01.01-30.06.'!V13</f>
        <v>4286411.1696000006</v>
      </c>
      <c r="J22" s="341"/>
      <c r="K22" s="341"/>
      <c r="L22" s="341"/>
      <c r="M22" s="341"/>
      <c r="N22" s="341"/>
      <c r="O22" s="341"/>
    </row>
    <row r="23" spans="1:28" s="127" customFormat="1" ht="15" x14ac:dyDescent="0.2">
      <c r="A23" s="43">
        <v>9</v>
      </c>
      <c r="B23" s="130" t="s">
        <v>862</v>
      </c>
      <c r="C23" s="303">
        <f>'расчет ФОТ шк обл'!C14</f>
        <v>0.33</v>
      </c>
      <c r="D23" s="341">
        <f t="shared" ref="D23:D27" si="2">E23+G23+F23</f>
        <v>9381.9951999999994</v>
      </c>
      <c r="E23" s="341">
        <f>'расчет ФОТ обл ш с 01.01-30.06.'!L14</f>
        <v>7690.16</v>
      </c>
      <c r="F23" s="341">
        <f>'расчет ФОТ обл ш с 01.01-30.06.'!R14</f>
        <v>0</v>
      </c>
      <c r="G23" s="341">
        <f>'расчет ФОТ обл ш с 01.01-30.06.'!T14</f>
        <v>1691.8352</v>
      </c>
      <c r="H23" s="341">
        <f t="shared" si="1"/>
        <v>56291.9712</v>
      </c>
      <c r="I23" s="341">
        <f>'расчет ФОТ обл ш с 01.01-30.06.'!V14</f>
        <v>56291.9712</v>
      </c>
      <c r="J23" s="341"/>
      <c r="K23" s="341"/>
      <c r="L23" s="341"/>
      <c r="M23" s="341"/>
      <c r="N23" s="341"/>
      <c r="O23" s="341"/>
    </row>
    <row r="24" spans="1:28" s="127" customFormat="1" ht="15" x14ac:dyDescent="0.2">
      <c r="A24" s="43">
        <v>10</v>
      </c>
      <c r="B24" s="130" t="s">
        <v>863</v>
      </c>
      <c r="C24" s="303">
        <f>'расчет ФОТ шк обл'!C15</f>
        <v>0.33</v>
      </c>
      <c r="D24" s="341">
        <f t="shared" si="2"/>
        <v>8888.2001999999993</v>
      </c>
      <c r="E24" s="341">
        <f>'расчет ФОТ обл ш с 01.01-30.06.'!L15</f>
        <v>7285.41</v>
      </c>
      <c r="F24" s="341">
        <f>'расчет ФОТ обл ш с 01.01-30.06.'!R15</f>
        <v>0</v>
      </c>
      <c r="G24" s="341">
        <f>'расчет ФОТ обл ш с 01.01-30.06.'!T15</f>
        <v>1602.7901999999999</v>
      </c>
      <c r="H24" s="341">
        <f t="shared" si="1"/>
        <v>53329.201199999996</v>
      </c>
      <c r="I24" s="341">
        <f>'расчет ФОТ обл ш с 01.01-30.06.'!V15</f>
        <v>53329.201199999996</v>
      </c>
      <c r="J24" s="341"/>
      <c r="K24" s="341"/>
      <c r="L24" s="341"/>
      <c r="M24" s="341"/>
      <c r="N24" s="341"/>
      <c r="O24" s="341"/>
    </row>
    <row r="25" spans="1:28" s="127" customFormat="1" ht="15" x14ac:dyDescent="0.2">
      <c r="A25" s="43">
        <v>11</v>
      </c>
      <c r="B25" s="130" t="s">
        <v>864</v>
      </c>
      <c r="C25" s="303">
        <f>'расчет ФОТ шк обл'!C16</f>
        <v>0.33</v>
      </c>
      <c r="D25" s="341">
        <f t="shared" si="2"/>
        <v>8641.3088000000007</v>
      </c>
      <c r="E25" s="341">
        <f>'расчет ФОТ обл ш с 01.01-30.06.'!L16</f>
        <v>7083.04</v>
      </c>
      <c r="F25" s="341">
        <f>'расчет ФОТ обл ш с 01.01-30.06.'!R16</f>
        <v>0</v>
      </c>
      <c r="G25" s="341">
        <f>'расчет ФОТ обл ш с 01.01-30.06.'!T16</f>
        <v>1558.2688000000001</v>
      </c>
      <c r="H25" s="341">
        <f t="shared" si="1"/>
        <v>51847.852800000008</v>
      </c>
      <c r="I25" s="341">
        <f>'расчет ФОТ обл ш с 01.01-30.06.'!V16</f>
        <v>51847.852800000008</v>
      </c>
      <c r="J25" s="341"/>
      <c r="K25" s="341"/>
      <c r="L25" s="341"/>
      <c r="M25" s="341"/>
      <c r="N25" s="341"/>
      <c r="O25" s="341"/>
    </row>
    <row r="26" spans="1:28" s="127" customFormat="1" ht="38.25" x14ac:dyDescent="0.2">
      <c r="A26" s="43">
        <v>12</v>
      </c>
      <c r="B26" s="130" t="s">
        <v>1275</v>
      </c>
      <c r="C26" s="303">
        <f>'расчет ФОТ шк обл'!C17</f>
        <v>1.39</v>
      </c>
      <c r="D26" s="341">
        <f t="shared" si="2"/>
        <v>31198.486599999997</v>
      </c>
      <c r="E26" s="341">
        <f>'расчет ФОТ обл ш с 01.01-30.06.'!L17</f>
        <v>25572.53</v>
      </c>
      <c r="F26" s="341">
        <f>'расчет ФОТ обл ш с 01.01-30.06.'!R17</f>
        <v>0</v>
      </c>
      <c r="G26" s="341">
        <f>'расчет ФОТ обл ш с 01.01-30.06.'!T17</f>
        <v>5625.9565999999995</v>
      </c>
      <c r="H26" s="341">
        <f t="shared" si="1"/>
        <v>187190.91959999996</v>
      </c>
      <c r="I26" s="341">
        <f>'расчет ФОТ обл ш с 01.01-30.06.'!V17</f>
        <v>187190.91959999996</v>
      </c>
      <c r="J26" s="341"/>
      <c r="K26" s="341"/>
      <c r="L26" s="341"/>
      <c r="M26" s="341"/>
      <c r="N26" s="341"/>
      <c r="O26" s="341"/>
      <c r="AB26" s="480"/>
    </row>
    <row r="27" spans="1:28" s="127" customFormat="1" ht="38.25" x14ac:dyDescent="0.2">
      <c r="A27" s="43">
        <v>13</v>
      </c>
      <c r="B27" s="130" t="s">
        <v>1276</v>
      </c>
      <c r="C27" s="303">
        <f>'расчет ФОТ шк обл'!C18</f>
        <v>2.61</v>
      </c>
      <c r="D27" s="341">
        <f t="shared" si="2"/>
        <v>70297.583400000003</v>
      </c>
      <c r="E27" s="341">
        <f>'расчет ФОТ обл ш с 01.01-30.06.'!L18</f>
        <v>57620.97</v>
      </c>
      <c r="F27" s="341">
        <f>'расчет ФОТ обл ш с 01.01-30.06.'!R18</f>
        <v>0</v>
      </c>
      <c r="G27" s="341">
        <f>'расчет ФОТ обл ш с 01.01-30.06.'!T18</f>
        <v>12676.6134</v>
      </c>
      <c r="H27" s="341">
        <f t="shared" si="1"/>
        <v>421785.50040000002</v>
      </c>
      <c r="I27" s="341">
        <f>'расчет ФОТ обл ш с 01.01-30.06.'!V18</f>
        <v>421785.50040000002</v>
      </c>
      <c r="J27" s="341"/>
      <c r="K27" s="341"/>
      <c r="L27" s="341"/>
      <c r="M27" s="341"/>
      <c r="N27" s="341"/>
      <c r="O27" s="341"/>
      <c r="Y27" s="480"/>
      <c r="AB27" s="481"/>
    </row>
    <row r="28" spans="1:28" s="127" customFormat="1" ht="25.5" x14ac:dyDescent="0.2">
      <c r="A28" s="43">
        <v>14</v>
      </c>
      <c r="B28" s="130" t="s">
        <v>822</v>
      </c>
      <c r="C28" s="303">
        <v>2</v>
      </c>
      <c r="D28" s="341">
        <f>BO22+E28+G28+F28</f>
        <v>0</v>
      </c>
      <c r="E28" s="341">
        <f>'расчет ФОТ обл ш с 01.01-30.06.'!L19</f>
        <v>0</v>
      </c>
      <c r="F28" s="341">
        <f>'расчет ФОТ обл ш с 01.01-30.06.'!R19</f>
        <v>0</v>
      </c>
      <c r="G28" s="341">
        <f>'расчет ФОТ обл ш с 01.01-30.06.'!T19</f>
        <v>0</v>
      </c>
      <c r="H28" s="341">
        <f>K28</f>
        <v>355800</v>
      </c>
      <c r="I28" s="341">
        <f>'расчет ФОТ обл ш с 01.01-30.06.'!V19</f>
        <v>0</v>
      </c>
      <c r="J28" s="341"/>
      <c r="K28" s="341">
        <v>355800</v>
      </c>
      <c r="L28" s="341"/>
      <c r="M28" s="341"/>
      <c r="N28" s="341"/>
      <c r="O28" s="341"/>
      <c r="Y28" s="481"/>
    </row>
    <row r="29" spans="1:28" s="127" customFormat="1" ht="15.75" customHeight="1" x14ac:dyDescent="0.2">
      <c r="A29" s="43">
        <v>15</v>
      </c>
      <c r="B29" s="130" t="s">
        <v>867</v>
      </c>
      <c r="C29" s="303">
        <f>'расчет ФОТ шк обл'!C21</f>
        <v>0.25</v>
      </c>
      <c r="D29" s="341">
        <f t="shared" ref="D29:D35" si="3">E29+G29+F29</f>
        <v>4863.0785999999998</v>
      </c>
      <c r="E29" s="341">
        <f>'расчет ФОТ обл ш с 01.01-30.06.'!L21</f>
        <v>3986.13</v>
      </c>
      <c r="F29" s="341">
        <f>'расчет ФОТ обл ш с 01.01-30.06.'!R20</f>
        <v>0</v>
      </c>
      <c r="G29" s="341">
        <f>'расчет ФОТ обл ш с 01.01-30.06.'!T21</f>
        <v>876.94860000000006</v>
      </c>
      <c r="H29" s="341">
        <f t="shared" si="1"/>
        <v>29178.471599999997</v>
      </c>
      <c r="I29" s="341">
        <f>'расчет ФОТ обл ш с 01.01-30.06.'!V21</f>
        <v>29178.471599999997</v>
      </c>
      <c r="J29" s="341"/>
      <c r="K29" s="341"/>
      <c r="L29" s="341"/>
      <c r="M29" s="341"/>
      <c r="N29" s="341"/>
      <c r="O29" s="341"/>
      <c r="P29" s="127">
        <v>1114460</v>
      </c>
      <c r="Q29" s="127">
        <v>100</v>
      </c>
      <c r="AB29" s="481"/>
    </row>
    <row r="30" spans="1:28" s="127" customFormat="1" ht="39" customHeight="1" x14ac:dyDescent="0.2">
      <c r="A30" s="43">
        <v>16</v>
      </c>
      <c r="B30" s="130" t="s">
        <v>1210</v>
      </c>
      <c r="C30" s="303">
        <f>'расчет ФОТ шк обл'!C22</f>
        <v>0.5</v>
      </c>
      <c r="D30" s="341">
        <f t="shared" si="3"/>
        <v>8977.98</v>
      </c>
      <c r="E30" s="341">
        <f>'расчет ФОТ обл ш с 01.01-30.06.'!L22</f>
        <v>7359</v>
      </c>
      <c r="F30" s="341">
        <f>'расчет ФОТ обл ш с 01.01-30.06.'!R21</f>
        <v>0</v>
      </c>
      <c r="G30" s="341">
        <f>'расчет ФОТ обл ш с 01.01-30.06.'!T22</f>
        <v>1618.98</v>
      </c>
      <c r="H30" s="341">
        <f t="shared" si="1"/>
        <v>53867.88</v>
      </c>
      <c r="I30" s="341">
        <f>'расчет ФОТ обл ш с 01.01-30.06.'!V22</f>
        <v>53867.88</v>
      </c>
      <c r="J30" s="341"/>
      <c r="K30" s="341"/>
      <c r="L30" s="341"/>
      <c r="M30" s="341"/>
      <c r="N30" s="341"/>
      <c r="O30" s="341"/>
      <c r="AB30" s="481"/>
    </row>
    <row r="31" spans="1:28" s="127" customFormat="1" ht="27.75" customHeight="1" x14ac:dyDescent="0.2">
      <c r="A31" s="43">
        <v>17</v>
      </c>
      <c r="B31" s="130" t="s">
        <v>874</v>
      </c>
      <c r="C31" s="303">
        <f>'расчет ФОТ шк обл'!C23</f>
        <v>4.7</v>
      </c>
      <c r="D31" s="341">
        <f t="shared" si="3"/>
        <v>91588.169399999999</v>
      </c>
      <c r="E31" s="341">
        <f>'расчет ФОТ обл ш с 01.01-30.06.'!L23</f>
        <v>60527.78</v>
      </c>
      <c r="F31" s="341">
        <f>'расчет ФОТ обл ш с 01.01-30.06.'!R22</f>
        <v>0</v>
      </c>
      <c r="G31" s="341">
        <f>'расчет ФОТ обл ш с 01.01-30.06.'!T23</f>
        <v>31060.3894</v>
      </c>
      <c r="H31" s="341">
        <f t="shared" si="1"/>
        <v>549529.01639999996</v>
      </c>
      <c r="I31" s="341">
        <f>'расчет ФОТ обл ш с 01.01-30.06.'!V23</f>
        <v>549529.01639999996</v>
      </c>
      <c r="J31" s="341"/>
      <c r="K31" s="341"/>
      <c r="L31" s="341"/>
      <c r="M31" s="341"/>
      <c r="N31" s="341"/>
      <c r="O31" s="341"/>
    </row>
    <row r="32" spans="1:28" s="127" customFormat="1" ht="15.75" customHeight="1" x14ac:dyDescent="0.2">
      <c r="A32" s="43">
        <f t="shared" ref="A32:A36" si="4">A31+1</f>
        <v>18</v>
      </c>
      <c r="B32" s="130" t="s">
        <v>869</v>
      </c>
      <c r="C32" s="303">
        <f>'расчет ФОТ шк обл'!C24</f>
        <v>1</v>
      </c>
      <c r="D32" s="341">
        <f t="shared" si="3"/>
        <v>32154.71</v>
      </c>
      <c r="E32" s="341">
        <f>'расчет ФОТ обл ш с 01.01-30.06.'!L24</f>
        <v>22077</v>
      </c>
      <c r="F32" s="341">
        <f>'расчет ФОТ обл ш с 01.01-30.06.'!R23</f>
        <v>0</v>
      </c>
      <c r="G32" s="341">
        <f>'расчет ФОТ обл ш с 01.01-30.06.'!T24</f>
        <v>10077.709999999999</v>
      </c>
      <c r="H32" s="341">
        <f t="shared" si="1"/>
        <v>192928.26</v>
      </c>
      <c r="I32" s="341">
        <f>'расчет ФОТ обл ш с 01.01-30.06.'!V24</f>
        <v>192928.26</v>
      </c>
      <c r="J32" s="341"/>
      <c r="K32" s="341"/>
      <c r="L32" s="341"/>
      <c r="M32" s="341"/>
      <c r="N32" s="341"/>
      <c r="O32" s="341"/>
      <c r="Y32" s="480"/>
      <c r="AB32" s="481"/>
    </row>
    <row r="33" spans="1:28" s="132" customFormat="1" ht="21" customHeight="1" x14ac:dyDescent="0.2">
      <c r="A33" s="43">
        <f t="shared" si="4"/>
        <v>19</v>
      </c>
      <c r="B33" s="130" t="s">
        <v>830</v>
      </c>
      <c r="C33" s="303">
        <f>'расчет ФОТ шк обл'!C25</f>
        <v>2</v>
      </c>
      <c r="D33" s="341">
        <f t="shared" si="3"/>
        <v>35965.244999999995</v>
      </c>
      <c r="E33" s="341">
        <f>'расчет ФОТ обл ш с 01.01-30.06.'!L25</f>
        <v>25756.5</v>
      </c>
      <c r="F33" s="341">
        <f>'расчет ФОТ обл ш с 01.01-30.06.'!R24</f>
        <v>0</v>
      </c>
      <c r="G33" s="341">
        <f>'расчет ФОТ обл ш с 01.01-30.06.'!T25</f>
        <v>10208.744999999999</v>
      </c>
      <c r="H33" s="341">
        <f t="shared" si="1"/>
        <v>215791.46999999997</v>
      </c>
      <c r="I33" s="341">
        <f>'расчет ФОТ обл ш с 01.01-30.06.'!V25</f>
        <v>215791.46999999997</v>
      </c>
      <c r="J33" s="341"/>
      <c r="K33" s="341"/>
      <c r="L33" s="341"/>
      <c r="M33" s="341"/>
      <c r="N33" s="341"/>
      <c r="O33" s="341"/>
    </row>
    <row r="34" spans="1:28" s="132" customFormat="1" ht="21" customHeight="1" x14ac:dyDescent="0.2">
      <c r="A34" s="43">
        <f t="shared" si="4"/>
        <v>20</v>
      </c>
      <c r="B34" s="130" t="s">
        <v>870</v>
      </c>
      <c r="C34" s="303">
        <f>'расчет ФОТ шк обл'!C26</f>
        <v>2</v>
      </c>
      <c r="D34" s="341">
        <f t="shared" si="3"/>
        <v>40249.994999999995</v>
      </c>
      <c r="E34" s="341">
        <f>'расчет ФОТ обл ш с 01.01-30.06.'!L26</f>
        <v>25756.5</v>
      </c>
      <c r="F34" s="341">
        <f>'расчет ФОТ обл ш с 01.01-30.06.'!R25</f>
        <v>0</v>
      </c>
      <c r="G34" s="341">
        <f>'расчет ФОТ обл ш с 01.01-30.06.'!T26</f>
        <v>14493.494999999999</v>
      </c>
      <c r="H34" s="341">
        <f t="shared" si="1"/>
        <v>241499.96999999997</v>
      </c>
      <c r="I34" s="341">
        <f>'расчет ФОТ обл ш с 01.01-30.06.'!V26</f>
        <v>241499.96999999997</v>
      </c>
      <c r="J34" s="341"/>
      <c r="K34" s="341"/>
      <c r="L34" s="341"/>
      <c r="M34" s="341"/>
      <c r="N34" s="341"/>
      <c r="O34" s="341"/>
      <c r="Y34" s="845"/>
      <c r="AB34" s="843"/>
    </row>
    <row r="35" spans="1:28" s="127" customFormat="1" ht="15" x14ac:dyDescent="0.2">
      <c r="A35" s="43">
        <f t="shared" si="4"/>
        <v>21</v>
      </c>
      <c r="B35" s="130" t="s">
        <v>871</v>
      </c>
      <c r="C35" s="303">
        <f>'расчет ФОТ шк обл'!C27</f>
        <v>1</v>
      </c>
      <c r="D35" s="341">
        <f t="shared" si="3"/>
        <v>20125</v>
      </c>
      <c r="E35" s="341">
        <f>'расчет ФОТ обл ш с 01.01-30.06.'!L27</f>
        <v>14718</v>
      </c>
      <c r="F35" s="341">
        <f>'расчет ФОТ обл ш с 01.01-30.06.'!R26</f>
        <v>0</v>
      </c>
      <c r="G35" s="341">
        <f>'расчет ФОТ обл ш с 01.01-30.06.'!T27</f>
        <v>5407</v>
      </c>
      <c r="H35" s="341">
        <f t="shared" si="1"/>
        <v>120750</v>
      </c>
      <c r="I35" s="341">
        <f>'расчет ФОТ обл ш с 01.01-30.06.'!V27</f>
        <v>120750</v>
      </c>
      <c r="J35" s="341"/>
      <c r="K35" s="341"/>
      <c r="L35" s="341"/>
      <c r="M35" s="341"/>
      <c r="N35" s="341"/>
      <c r="O35" s="341"/>
    </row>
    <row r="36" spans="1:28" s="127" customFormat="1" ht="30" customHeight="1" x14ac:dyDescent="0.2">
      <c r="A36" s="43">
        <f t="shared" si="4"/>
        <v>22</v>
      </c>
      <c r="B36" s="134" t="s">
        <v>875</v>
      </c>
      <c r="C36" s="43">
        <v>14</v>
      </c>
      <c r="D36" s="341"/>
      <c r="E36" s="341">
        <v>5000</v>
      </c>
      <c r="F36" s="341"/>
      <c r="G36" s="341"/>
      <c r="H36" s="341">
        <f>J36</f>
        <v>420000</v>
      </c>
      <c r="I36" s="341"/>
      <c r="J36" s="341">
        <f>C36*E36*6</f>
        <v>420000</v>
      </c>
      <c r="K36" s="341"/>
      <c r="L36" s="341"/>
      <c r="M36" s="341"/>
      <c r="N36" s="341"/>
      <c r="O36" s="341"/>
    </row>
    <row r="37" spans="1:28" s="127" customFormat="1" ht="12.75" x14ac:dyDescent="0.2">
      <c r="A37" s="2016" t="s">
        <v>102</v>
      </c>
      <c r="B37" s="2016"/>
      <c r="C37" s="131" t="s">
        <v>3</v>
      </c>
      <c r="D37" s="343" t="s">
        <v>3</v>
      </c>
      <c r="E37" s="343" t="s">
        <v>3</v>
      </c>
      <c r="F37" s="343" t="s">
        <v>3</v>
      </c>
      <c r="G37" s="343" t="s">
        <v>3</v>
      </c>
      <c r="H37" s="343">
        <f>I37+J37+K37</f>
        <v>9512238.1980000008</v>
      </c>
      <c r="I37" s="343">
        <f>SUM(I15:I36)</f>
        <v>8736438.1980000008</v>
      </c>
      <c r="J37" s="345">
        <f>J36</f>
        <v>420000</v>
      </c>
      <c r="K37" s="343">
        <f>SUM(K15:K36)</f>
        <v>355800</v>
      </c>
      <c r="L37" s="343">
        <f t="shared" ref="L37:M39" si="5">SUM(L32:L32)</f>
        <v>0</v>
      </c>
      <c r="M37" s="343">
        <f t="shared" si="5"/>
        <v>0</v>
      </c>
      <c r="N37" s="343">
        <v>0</v>
      </c>
      <c r="O37" s="343">
        <f>SUM(O32:O33)</f>
        <v>0</v>
      </c>
      <c r="AB37" s="481"/>
    </row>
    <row r="38" spans="1:28" s="127" customFormat="1" ht="48.75" customHeight="1" x14ac:dyDescent="0.2">
      <c r="A38" s="2017" t="str">
        <f>B112</f>
        <v>Первые три дня пособие по временной нетрудоспособности за счет средств работодателя</v>
      </c>
      <c r="B38" s="2017"/>
      <c r="C38" s="131" t="s">
        <v>3</v>
      </c>
      <c r="D38" s="343" t="s">
        <v>3</v>
      </c>
      <c r="E38" s="343"/>
      <c r="F38" s="343" t="s">
        <v>3</v>
      </c>
      <c r="G38" s="343"/>
      <c r="H38" s="343"/>
      <c r="I38" s="343">
        <f>ROUND((80000/12)*6,2)</f>
        <v>40000</v>
      </c>
      <c r="J38" s="345"/>
      <c r="K38" s="343"/>
      <c r="L38" s="343">
        <f t="shared" si="5"/>
        <v>0</v>
      </c>
      <c r="M38" s="343">
        <f t="shared" si="5"/>
        <v>0</v>
      </c>
      <c r="N38" s="343">
        <v>0</v>
      </c>
      <c r="O38" s="343">
        <f>SUM(O33:O34)</f>
        <v>0</v>
      </c>
      <c r="AB38" s="481"/>
    </row>
    <row r="39" spans="1:28" s="127" customFormat="1" ht="12.75" x14ac:dyDescent="0.2">
      <c r="A39" s="2016" t="s">
        <v>102</v>
      </c>
      <c r="B39" s="2016"/>
      <c r="C39" s="131" t="s">
        <v>3</v>
      </c>
      <c r="D39" s="343" t="s">
        <v>3</v>
      </c>
      <c r="E39" s="343"/>
      <c r="F39" s="343" t="s">
        <v>3</v>
      </c>
      <c r="G39" s="343"/>
      <c r="H39" s="343">
        <f>I39+J39+K39</f>
        <v>9472238.1980000008</v>
      </c>
      <c r="I39" s="343">
        <f>I37-I38</f>
        <v>8696438.1980000008</v>
      </c>
      <c r="J39" s="343">
        <f>J37-J38</f>
        <v>420000</v>
      </c>
      <c r="K39" s="343">
        <f>K37-K38</f>
        <v>355800</v>
      </c>
      <c r="L39" s="343">
        <f t="shared" si="5"/>
        <v>0</v>
      </c>
      <c r="M39" s="343">
        <f t="shared" si="5"/>
        <v>0</v>
      </c>
      <c r="N39" s="343">
        <v>0</v>
      </c>
      <c r="O39" s="343">
        <f>SUM(O34:O35)</f>
        <v>0</v>
      </c>
      <c r="AB39" s="481"/>
    </row>
    <row r="40" spans="1:28" s="127" customFormat="1" ht="30" customHeight="1" x14ac:dyDescent="0.2">
      <c r="A40" s="2022"/>
      <c r="B40" s="2022"/>
      <c r="C40" s="132"/>
      <c r="D40" s="133"/>
      <c r="E40" s="133"/>
      <c r="F40" s="2023" t="s">
        <v>1390</v>
      </c>
      <c r="G40" s="2023"/>
      <c r="H40" s="2023"/>
      <c r="I40" s="133"/>
      <c r="J40" s="133"/>
      <c r="K40" s="133"/>
      <c r="L40" s="133"/>
      <c r="M40" s="133"/>
      <c r="N40" s="133"/>
      <c r="O40" s="133"/>
      <c r="AB40" s="481"/>
    </row>
    <row r="41" spans="1:28" s="127" customFormat="1" ht="12.75" x14ac:dyDescent="0.2">
      <c r="A41" s="2018" t="s">
        <v>38</v>
      </c>
      <c r="B41" s="2024" t="s">
        <v>36</v>
      </c>
      <c r="C41" s="2018" t="s">
        <v>37</v>
      </c>
      <c r="D41" s="2018" t="s">
        <v>0</v>
      </c>
      <c r="E41" s="2018"/>
      <c r="F41" s="2018"/>
      <c r="G41" s="2018"/>
      <c r="H41" s="2018" t="s">
        <v>882</v>
      </c>
      <c r="I41" s="2018" t="s">
        <v>52</v>
      </c>
      <c r="J41" s="2018"/>
      <c r="K41" s="2018"/>
      <c r="L41" s="2018"/>
      <c r="M41" s="2018"/>
      <c r="N41" s="2018"/>
      <c r="O41" s="2018"/>
      <c r="AB41" s="481"/>
    </row>
    <row r="42" spans="1:28" s="127" customFormat="1" ht="12.75" x14ac:dyDescent="0.2">
      <c r="A42" s="2018"/>
      <c r="B42" s="2024"/>
      <c r="C42" s="2018"/>
      <c r="D42" s="2018" t="s">
        <v>1</v>
      </c>
      <c r="E42" s="2018" t="s">
        <v>39</v>
      </c>
      <c r="F42" s="2018" t="s">
        <v>40</v>
      </c>
      <c r="G42" s="2018" t="s">
        <v>41</v>
      </c>
      <c r="H42" s="2018"/>
      <c r="I42" s="2018" t="s">
        <v>35</v>
      </c>
      <c r="J42" s="2018"/>
      <c r="K42" s="2018"/>
      <c r="L42" s="2019" t="s">
        <v>45</v>
      </c>
      <c r="M42" s="2020"/>
      <c r="N42" s="2021"/>
      <c r="O42" s="2018" t="s">
        <v>46</v>
      </c>
      <c r="AB42" s="481"/>
    </row>
    <row r="43" spans="1:28" s="127" customFormat="1" ht="25.5" x14ac:dyDescent="0.2">
      <c r="A43" s="2018"/>
      <c r="B43" s="2024"/>
      <c r="C43" s="2018"/>
      <c r="D43" s="2018"/>
      <c r="E43" s="2018"/>
      <c r="F43" s="2018"/>
      <c r="G43" s="2018"/>
      <c r="H43" s="2018"/>
      <c r="I43" s="42" t="s">
        <v>43</v>
      </c>
      <c r="J43" s="42" t="s">
        <v>592</v>
      </c>
      <c r="K43" s="42" t="s">
        <v>44</v>
      </c>
      <c r="L43" s="42" t="s">
        <v>55</v>
      </c>
      <c r="M43" s="42" t="s">
        <v>43</v>
      </c>
      <c r="N43" s="42" t="s">
        <v>44</v>
      </c>
      <c r="O43" s="2018"/>
      <c r="AB43" s="481"/>
    </row>
    <row r="44" spans="1:28" s="127" customFormat="1" ht="12.75" x14ac:dyDescent="0.2">
      <c r="A44" s="43">
        <v>1</v>
      </c>
      <c r="B44" s="43">
        <v>2</v>
      </c>
      <c r="C44" s="43">
        <v>3</v>
      </c>
      <c r="D44" s="43" t="s">
        <v>47</v>
      </c>
      <c r="E44" s="43">
        <v>5</v>
      </c>
      <c r="F44" s="43">
        <v>6</v>
      </c>
      <c r="G44" s="43">
        <v>7</v>
      </c>
      <c r="H44" s="43" t="s">
        <v>63</v>
      </c>
      <c r="I44" s="43">
        <v>9</v>
      </c>
      <c r="J44" s="43"/>
      <c r="K44" s="43">
        <v>10</v>
      </c>
      <c r="L44" s="43">
        <v>11</v>
      </c>
      <c r="M44" s="43">
        <v>12</v>
      </c>
      <c r="N44" s="43">
        <v>13</v>
      </c>
      <c r="O44" s="43">
        <v>14</v>
      </c>
      <c r="AB44" s="481"/>
    </row>
    <row r="45" spans="1:28" s="127" customFormat="1" ht="15" x14ac:dyDescent="0.2">
      <c r="A45" s="43">
        <v>1</v>
      </c>
      <c r="B45" s="130" t="s">
        <v>202</v>
      </c>
      <c r="C45" s="303">
        <f>'расчет ФОТ обл ш с 01.07-31.08.'!C6</f>
        <v>1</v>
      </c>
      <c r="D45" s="341">
        <f>E45+G45+F45</f>
        <v>71107.475642989579</v>
      </c>
      <c r="E45" s="341">
        <f>'расчет ФОТ обл ш с 01.07-31.08.'!L6</f>
        <v>58284.816100811127</v>
      </c>
      <c r="F45" s="341">
        <f>'расчет ФОТ обл ш с 01.07-31.08.'!R6</f>
        <v>0</v>
      </c>
      <c r="G45" s="341">
        <f>'расчет ФОТ обл ш с 01.07-31.08.'!T6</f>
        <v>12822.659542178448</v>
      </c>
      <c r="H45" s="341">
        <f>I45</f>
        <v>142214.95128597916</v>
      </c>
      <c r="I45" s="341">
        <f>'расчет ФОТ обл ш с 01.07-31.08.'!V6</f>
        <v>142214.95128597916</v>
      </c>
      <c r="J45" s="341"/>
      <c r="K45" s="341"/>
      <c r="L45" s="341"/>
      <c r="M45" s="341"/>
      <c r="N45" s="341"/>
      <c r="O45" s="341"/>
      <c r="AB45" s="481"/>
    </row>
    <row r="46" spans="1:28" s="127" customFormat="1" ht="15" x14ac:dyDescent="0.2">
      <c r="A46" s="43">
        <v>2</v>
      </c>
      <c r="B46" s="130" t="s">
        <v>853</v>
      </c>
      <c r="C46" s="303">
        <f>'расчет ФОТ обл ш с 01.07-31.08.'!C7</f>
        <v>1</v>
      </c>
      <c r="D46" s="341">
        <f t="shared" ref="D46:D51" si="6">E46+G46+F46</f>
        <v>55649.328764078804</v>
      </c>
      <c r="E46" s="341">
        <f>'расчет ФОТ обл ш с 01.07-31.08.'!L7</f>
        <v>45614.203904982627</v>
      </c>
      <c r="F46" s="341">
        <f>'расчет ФОТ обл ш с 01.07-31.08.'!R7</f>
        <v>0</v>
      </c>
      <c r="G46" s="341">
        <f>'расчет ФОТ обл ш с 01.07-31.08.'!T7</f>
        <v>10035.124859096179</v>
      </c>
      <c r="H46" s="341">
        <f t="shared" ref="H46:H66" si="7">I46</f>
        <v>111298.65752815761</v>
      </c>
      <c r="I46" s="341">
        <f>'расчет ФОТ обл ш с 01.07-31.08.'!V7</f>
        <v>111298.65752815761</v>
      </c>
      <c r="J46" s="341"/>
      <c r="K46" s="341"/>
      <c r="L46" s="341"/>
      <c r="M46" s="341"/>
      <c r="N46" s="341"/>
      <c r="O46" s="341"/>
      <c r="AB46" s="481"/>
    </row>
    <row r="47" spans="1:28" s="127" customFormat="1" ht="15" x14ac:dyDescent="0.2">
      <c r="A47" s="43">
        <v>3</v>
      </c>
      <c r="B47" s="130" t="s">
        <v>855</v>
      </c>
      <c r="C47" s="303">
        <f>'расчет ФОТ обл ш с 01.07-31.08.'!C8</f>
        <v>0.5</v>
      </c>
      <c r="D47" s="341">
        <f t="shared" si="6"/>
        <v>27824.664382039402</v>
      </c>
      <c r="E47" s="341">
        <f>'расчет ФОТ обл ш с 01.07-31.08.'!L8</f>
        <v>22807.101952491314</v>
      </c>
      <c r="F47" s="341">
        <f>'расчет ФОТ обл ш с 01.07-31.08.'!R8</f>
        <v>0</v>
      </c>
      <c r="G47" s="341">
        <f>'расчет ФОТ обл ш с 01.07-31.08.'!T8</f>
        <v>5017.5624295480893</v>
      </c>
      <c r="H47" s="341">
        <f t="shared" si="7"/>
        <v>55649.328764078804</v>
      </c>
      <c r="I47" s="341">
        <f>'расчет ФОТ обл ш с 01.07-31.08.'!V8</f>
        <v>55649.328764078804</v>
      </c>
      <c r="J47" s="341"/>
      <c r="K47" s="341"/>
      <c r="L47" s="341"/>
      <c r="M47" s="341"/>
      <c r="N47" s="341"/>
      <c r="O47" s="341"/>
      <c r="AB47" s="481"/>
    </row>
    <row r="48" spans="1:28" s="127" customFormat="1" ht="15" x14ac:dyDescent="0.2">
      <c r="A48" s="43">
        <v>4</v>
      </c>
      <c r="B48" s="130" t="s">
        <v>857</v>
      </c>
      <c r="C48" s="303">
        <f>'расчет ФОТ обл ш с 01.07-31.08.'!C9</f>
        <v>0.25</v>
      </c>
      <c r="D48" s="341">
        <f t="shared" si="6"/>
        <v>13912.332191019701</v>
      </c>
      <c r="E48" s="341">
        <f>'расчет ФОТ обл ш с 01.07-31.08.'!L9</f>
        <v>11403.550976245657</v>
      </c>
      <c r="F48" s="341">
        <f>'расчет ФОТ обл ш с 01.07-31.08.'!R9</f>
        <v>0</v>
      </c>
      <c r="G48" s="341">
        <f>'расчет ФОТ обл ш с 01.07-31.08.'!T9</f>
        <v>2508.7812147740447</v>
      </c>
      <c r="H48" s="341">
        <f t="shared" si="7"/>
        <v>27824.664382039402</v>
      </c>
      <c r="I48" s="341">
        <f>'расчет ФОТ обл ш с 01.07-31.08.'!V9</f>
        <v>27824.664382039402</v>
      </c>
      <c r="J48" s="341"/>
      <c r="K48" s="341"/>
      <c r="L48" s="341"/>
      <c r="M48" s="341"/>
      <c r="N48" s="341"/>
      <c r="O48" s="341"/>
      <c r="AB48" s="481"/>
    </row>
    <row r="49" spans="1:28" s="127" customFormat="1" ht="15" x14ac:dyDescent="0.2">
      <c r="A49" s="43">
        <v>5</v>
      </c>
      <c r="B49" s="130" t="s">
        <v>564</v>
      </c>
      <c r="C49" s="303">
        <f>'расчет ФОТ обл ш с 01.07-31.08.'!C10</f>
        <v>0.5</v>
      </c>
      <c r="D49" s="341">
        <f t="shared" si="6"/>
        <v>27824.664382039402</v>
      </c>
      <c r="E49" s="341">
        <f>'расчет ФОТ обл ш с 01.07-31.08.'!L10</f>
        <v>22807.101952491314</v>
      </c>
      <c r="F49" s="341">
        <f>'расчет ФОТ обл ш с 01.07-31.08.'!R10</f>
        <v>0</v>
      </c>
      <c r="G49" s="341">
        <f>'расчет ФОТ обл ш с 01.07-31.08.'!T10</f>
        <v>5017.5624295480893</v>
      </c>
      <c r="H49" s="341">
        <f t="shared" si="7"/>
        <v>55649.328764078804</v>
      </c>
      <c r="I49" s="341">
        <f>'расчет ФОТ обл ш с 01.07-31.08.'!V10</f>
        <v>55649.328764078804</v>
      </c>
      <c r="J49" s="341"/>
      <c r="K49" s="341"/>
      <c r="L49" s="341"/>
      <c r="M49" s="341"/>
      <c r="N49" s="341"/>
      <c r="O49" s="341"/>
      <c r="AB49" s="481"/>
    </row>
    <row r="50" spans="1:28" s="127" customFormat="1" ht="15" x14ac:dyDescent="0.2">
      <c r="A50" s="43">
        <v>6</v>
      </c>
      <c r="B50" s="130" t="s">
        <v>859</v>
      </c>
      <c r="C50" s="303">
        <f>'расчет ФОТ обл ш с 01.07-31.08.'!C11</f>
        <v>0.5</v>
      </c>
      <c r="D50" s="341">
        <f t="shared" si="6"/>
        <v>13466.97</v>
      </c>
      <c r="E50" s="341">
        <f>'расчет ФОТ обл ш с 01.07-31.08.'!L11</f>
        <v>11038.5</v>
      </c>
      <c r="F50" s="341">
        <f>'расчет ФОТ обл ш с 01.07-31.08.'!R11</f>
        <v>0</v>
      </c>
      <c r="G50" s="341">
        <f>'расчет ФОТ обл ш с 01.07-31.08.'!T11</f>
        <v>2428.4699999999998</v>
      </c>
      <c r="H50" s="341">
        <f t="shared" si="7"/>
        <v>26933.94</v>
      </c>
      <c r="I50" s="341">
        <f>'расчет ФОТ обл ш с 01.07-31.08.'!V11</f>
        <v>26933.94</v>
      </c>
      <c r="J50" s="341"/>
      <c r="K50" s="341"/>
      <c r="L50" s="341"/>
      <c r="M50" s="341"/>
      <c r="N50" s="341"/>
      <c r="O50" s="341"/>
      <c r="AB50" s="481"/>
    </row>
    <row r="51" spans="1:28" s="127" customFormat="1" ht="15" x14ac:dyDescent="0.2">
      <c r="A51" s="43">
        <v>7</v>
      </c>
      <c r="B51" s="130" t="s">
        <v>860</v>
      </c>
      <c r="C51" s="303">
        <f>'расчет ФОТ обл ш с 01.07-31.08.'!C12</f>
        <v>5.37</v>
      </c>
      <c r="D51" s="341">
        <f t="shared" si="6"/>
        <v>169605.55419999998</v>
      </c>
      <c r="E51" s="341">
        <f>'расчет ФОТ обл ш с 01.07-31.08.'!L12</f>
        <v>115905.61</v>
      </c>
      <c r="F51" s="341">
        <f>'расчет ФОТ обл ш с 01.07-31.08.'!R12</f>
        <v>28200.71</v>
      </c>
      <c r="G51" s="341">
        <f>'расчет ФОТ обл ш с 01.07-31.08.'!T12</f>
        <v>25499.234199999999</v>
      </c>
      <c r="H51" s="341">
        <f t="shared" si="7"/>
        <v>338938.86840000004</v>
      </c>
      <c r="I51" s="341">
        <f>'расчет ФОТ обл ш с 01.07-31.08.'!V12</f>
        <v>338938.86840000004</v>
      </c>
      <c r="J51" s="341"/>
      <c r="K51" s="341"/>
      <c r="L51" s="341"/>
      <c r="M51" s="341"/>
      <c r="N51" s="341"/>
      <c r="O51" s="341"/>
      <c r="AB51" s="481"/>
    </row>
    <row r="52" spans="1:28" s="127" customFormat="1" ht="15" x14ac:dyDescent="0.2">
      <c r="A52" s="43">
        <v>8</v>
      </c>
      <c r="B52" s="130" t="s">
        <v>861</v>
      </c>
      <c r="C52" s="303">
        <f>'расчет ФОТ обл ш с 01.07-31.08.'!C13</f>
        <v>18.690000000000001</v>
      </c>
      <c r="D52" s="341">
        <f>E52+G52+F52</f>
        <v>716958.58400000003</v>
      </c>
      <c r="E52" s="341">
        <f>'расчет ФОТ обл ш с 01.07-31.08.'!L13</f>
        <v>530011.69999999995</v>
      </c>
      <c r="F52" s="341">
        <f>'расчет ФОТ обл ш с 01.07-31.08.'!R13</f>
        <v>70344.31</v>
      </c>
      <c r="G52" s="341">
        <f>'расчет ФОТ обл ш с 01.07-31.08.'!T13</f>
        <v>116602.57399999999</v>
      </c>
      <c r="H52" s="341">
        <f t="shared" si="7"/>
        <v>1433917.1680000001</v>
      </c>
      <c r="I52" s="341">
        <f>'расчет ФОТ обл ш с 01.07-31.08.'!V13</f>
        <v>1433917.1680000001</v>
      </c>
      <c r="J52" s="341"/>
      <c r="K52" s="341"/>
      <c r="L52" s="341"/>
      <c r="M52" s="341"/>
      <c r="N52" s="341"/>
      <c r="O52" s="341"/>
      <c r="AB52" s="481"/>
    </row>
    <row r="53" spans="1:28" s="127" customFormat="1" ht="15" x14ac:dyDescent="0.2">
      <c r="A53" s="43">
        <v>9</v>
      </c>
      <c r="B53" s="130" t="s">
        <v>862</v>
      </c>
      <c r="C53" s="303">
        <f>'расчет ФОТ обл ш с 01.07-31.08.'!C14</f>
        <v>0.33</v>
      </c>
      <c r="D53" s="341">
        <f t="shared" ref="D53:D56" si="8">E53+G53+F53</f>
        <v>9381.9951999999994</v>
      </c>
      <c r="E53" s="341">
        <f>'расчет ФОТ обл ш с 01.07-31.08.'!L14</f>
        <v>7690.16</v>
      </c>
      <c r="F53" s="341">
        <f>'расчет ФОТ обл ш с 01.07-31.08.'!R14</f>
        <v>0</v>
      </c>
      <c r="G53" s="341">
        <f>'расчет ФОТ обл ш с 01.07-31.08.'!T14</f>
        <v>1691.8352</v>
      </c>
      <c r="H53" s="341">
        <f t="shared" si="7"/>
        <v>18763.990399999999</v>
      </c>
      <c r="I53" s="341">
        <f>'расчет ФОТ обл ш с 01.07-31.08.'!V14</f>
        <v>18763.990399999999</v>
      </c>
      <c r="J53" s="341"/>
      <c r="K53" s="341"/>
      <c r="L53" s="341"/>
      <c r="M53" s="341"/>
      <c r="N53" s="341"/>
      <c r="O53" s="341"/>
      <c r="AB53" s="481"/>
    </row>
    <row r="54" spans="1:28" s="127" customFormat="1" ht="15" x14ac:dyDescent="0.2">
      <c r="A54" s="43">
        <v>10</v>
      </c>
      <c r="B54" s="130" t="s">
        <v>863</v>
      </c>
      <c r="C54" s="303">
        <f>'расчет ФОТ обл ш с 01.07-31.08.'!C15</f>
        <v>0.33</v>
      </c>
      <c r="D54" s="341">
        <f t="shared" si="8"/>
        <v>8888.2001999999993</v>
      </c>
      <c r="E54" s="341">
        <f>'расчет ФОТ обл ш с 01.07-31.08.'!L15</f>
        <v>7285.41</v>
      </c>
      <c r="F54" s="341">
        <f>'расчет ФОТ обл ш с 01.07-31.08.'!R15</f>
        <v>0</v>
      </c>
      <c r="G54" s="341">
        <f>'расчет ФОТ обл ш с 01.07-31.08.'!T15</f>
        <v>1602.7901999999999</v>
      </c>
      <c r="H54" s="341">
        <f t="shared" si="7"/>
        <v>17776.400399999999</v>
      </c>
      <c r="I54" s="341">
        <f>'расчет ФОТ обл ш с 01.07-31.08.'!V15</f>
        <v>17776.400399999999</v>
      </c>
      <c r="J54" s="341"/>
      <c r="K54" s="341"/>
      <c r="L54" s="341"/>
      <c r="M54" s="341"/>
      <c r="N54" s="341"/>
      <c r="O54" s="341"/>
      <c r="AB54" s="481"/>
    </row>
    <row r="55" spans="1:28" s="127" customFormat="1" ht="15" x14ac:dyDescent="0.2">
      <c r="A55" s="43">
        <v>11</v>
      </c>
      <c r="B55" s="130" t="s">
        <v>864</v>
      </c>
      <c r="C55" s="303">
        <f>'расчет ФОТ обл ш с 01.07-31.08.'!C16</f>
        <v>0.33</v>
      </c>
      <c r="D55" s="341">
        <f t="shared" si="8"/>
        <v>8641.3088000000007</v>
      </c>
      <c r="E55" s="341">
        <f>'расчет ФОТ обл ш с 01.07-31.08.'!L16</f>
        <v>7083.04</v>
      </c>
      <c r="F55" s="341">
        <f>'расчет ФОТ обл ш с 01.07-31.08.'!R16</f>
        <v>0</v>
      </c>
      <c r="G55" s="341">
        <f>'расчет ФОТ обл ш с 01.07-31.08.'!T16</f>
        <v>1558.2688000000001</v>
      </c>
      <c r="H55" s="341">
        <f t="shared" si="7"/>
        <v>17282.617600000001</v>
      </c>
      <c r="I55" s="341">
        <f>'расчет ФОТ обл ш с 01.07-31.08.'!V16</f>
        <v>17282.617600000001</v>
      </c>
      <c r="J55" s="341"/>
      <c r="K55" s="341"/>
      <c r="L55" s="341"/>
      <c r="M55" s="341"/>
      <c r="N55" s="341"/>
      <c r="O55" s="341"/>
      <c r="AB55" s="481"/>
    </row>
    <row r="56" spans="1:28" s="127" customFormat="1" ht="38.25" x14ac:dyDescent="0.2">
      <c r="A56" s="43">
        <v>12</v>
      </c>
      <c r="B56" s="130" t="s">
        <v>1275</v>
      </c>
      <c r="C56" s="303">
        <f>'расчет ФОТ обл ш с 01.07-31.08.'!C17</f>
        <v>1.39</v>
      </c>
      <c r="D56" s="341">
        <f t="shared" si="8"/>
        <v>31198.486599999997</v>
      </c>
      <c r="E56" s="341">
        <f>'расчет ФОТ обл ш с 01.07-31.08.'!L17</f>
        <v>25572.53</v>
      </c>
      <c r="F56" s="341">
        <f>'расчет ФОТ обл ш с 01.07-31.08.'!R17</f>
        <v>0</v>
      </c>
      <c r="G56" s="341">
        <f>'расчет ФОТ обл ш с 01.07-31.08.'!T17</f>
        <v>5625.9565999999995</v>
      </c>
      <c r="H56" s="341">
        <f t="shared" si="7"/>
        <v>62396.973199999993</v>
      </c>
      <c r="I56" s="341">
        <f>'расчет ФОТ обл ш с 01.07-31.08.'!V17</f>
        <v>62396.973199999993</v>
      </c>
      <c r="J56" s="341"/>
      <c r="K56" s="341"/>
      <c r="L56" s="341"/>
      <c r="M56" s="341"/>
      <c r="N56" s="341"/>
      <c r="O56" s="341"/>
      <c r="AB56" s="481"/>
    </row>
    <row r="57" spans="1:28" s="127" customFormat="1" ht="38.25" x14ac:dyDescent="0.2">
      <c r="A57" s="43">
        <v>13</v>
      </c>
      <c r="B57" s="130" t="s">
        <v>1276</v>
      </c>
      <c r="C57" s="303">
        <f>'расчет ФОТ обл ш с 01.07-31.08.'!C18</f>
        <v>2.61</v>
      </c>
      <c r="D57" s="341">
        <f>E57+G57+F57</f>
        <v>70297.583400000003</v>
      </c>
      <c r="E57" s="341">
        <f>'расчет ФОТ обл ш с 01.07-31.08.'!L18</f>
        <v>57620.97</v>
      </c>
      <c r="F57" s="341">
        <f>'расчет ФОТ обл ш с 01.07-31.08.'!R18</f>
        <v>0</v>
      </c>
      <c r="G57" s="341">
        <f>'расчет ФОТ обл ш с 01.07-31.08.'!T18</f>
        <v>12676.6134</v>
      </c>
      <c r="H57" s="341">
        <f t="shared" si="7"/>
        <v>140595.16680000001</v>
      </c>
      <c r="I57" s="341">
        <f>'расчет ФОТ обл ш с 01.07-31.08.'!V18</f>
        <v>140595.16680000001</v>
      </c>
      <c r="J57" s="341"/>
      <c r="K57" s="341"/>
      <c r="L57" s="341"/>
      <c r="M57" s="341"/>
      <c r="N57" s="341"/>
      <c r="O57" s="341"/>
      <c r="AB57" s="481"/>
    </row>
    <row r="58" spans="1:28" s="127" customFormat="1" ht="25.5" x14ac:dyDescent="0.2">
      <c r="A58" s="43">
        <v>14</v>
      </c>
      <c r="B58" s="130" t="s">
        <v>822</v>
      </c>
      <c r="C58" s="303">
        <v>2</v>
      </c>
      <c r="D58" s="341">
        <f>BO52+E58+G58+F58</f>
        <v>0</v>
      </c>
      <c r="E58" s="341">
        <v>0</v>
      </c>
      <c r="F58" s="341">
        <v>0</v>
      </c>
      <c r="G58" s="341">
        <v>0</v>
      </c>
      <c r="H58" s="341">
        <f>K58</f>
        <v>118600</v>
      </c>
      <c r="I58" s="341">
        <v>0</v>
      </c>
      <c r="J58" s="341"/>
      <c r="K58" s="341">
        <v>118600</v>
      </c>
      <c r="L58" s="341"/>
      <c r="M58" s="341"/>
      <c r="N58" s="341"/>
      <c r="O58" s="341"/>
      <c r="AB58" s="481"/>
    </row>
    <row r="59" spans="1:28" s="127" customFormat="1" ht="15" x14ac:dyDescent="0.2">
      <c r="A59" s="43">
        <v>15</v>
      </c>
      <c r="B59" s="130" t="s">
        <v>867</v>
      </c>
      <c r="C59" s="303">
        <f>'расчет ФОТ обл ш с 01.07-31.08.'!C21</f>
        <v>0.25</v>
      </c>
      <c r="D59" s="341">
        <f t="shared" ref="D59:D61" si="9">E59+G59+F59</f>
        <v>4863.0785999999998</v>
      </c>
      <c r="E59" s="341">
        <f>'расчет ФОТ обл ш с 01.07-31.08.'!L21</f>
        <v>3986.13</v>
      </c>
      <c r="F59" s="341">
        <f>'расчет ФОТ обл ш с 01.07-31.08.'!R21</f>
        <v>0</v>
      </c>
      <c r="G59" s="341">
        <f>'расчет ФОТ обл ш с 01.07-31.08.'!T21</f>
        <v>876.94860000000006</v>
      </c>
      <c r="H59" s="341">
        <f t="shared" si="7"/>
        <v>9726.1571999999996</v>
      </c>
      <c r="I59" s="341">
        <f>'расчет ФОТ обл ш с 01.07-31.08.'!V21</f>
        <v>9726.1571999999996</v>
      </c>
      <c r="J59" s="341"/>
      <c r="K59" s="341"/>
      <c r="L59" s="341"/>
      <c r="M59" s="341"/>
      <c r="N59" s="341"/>
      <c r="O59" s="341"/>
      <c r="AB59" s="481"/>
    </row>
    <row r="60" spans="1:28" s="127" customFormat="1" ht="38.25" x14ac:dyDescent="0.2">
      <c r="A60" s="43">
        <v>16</v>
      </c>
      <c r="B60" s="130" t="s">
        <v>1210</v>
      </c>
      <c r="C60" s="303">
        <f>'расчет ФОТ обл ш с 01.07-31.08.'!C22</f>
        <v>0.5</v>
      </c>
      <c r="D60" s="341">
        <f t="shared" si="9"/>
        <v>8977.98</v>
      </c>
      <c r="E60" s="341">
        <f>'расчет ФОТ обл ш с 01.07-31.08.'!L22</f>
        <v>7359</v>
      </c>
      <c r="F60" s="341">
        <f>'расчет ФОТ обл ш с 01.07-31.08.'!R22</f>
        <v>0</v>
      </c>
      <c r="G60" s="341">
        <f>'расчет ФОТ обл ш с 01.07-31.08.'!T22</f>
        <v>1618.98</v>
      </c>
      <c r="H60" s="341">
        <f t="shared" si="7"/>
        <v>17955.96</v>
      </c>
      <c r="I60" s="341">
        <f>'расчет ФОТ обл ш с 01.07-31.08.'!V22</f>
        <v>17955.96</v>
      </c>
      <c r="J60" s="341"/>
      <c r="K60" s="341"/>
      <c r="L60" s="341"/>
      <c r="M60" s="341"/>
      <c r="N60" s="341"/>
      <c r="O60" s="341"/>
      <c r="AB60" s="481"/>
    </row>
    <row r="61" spans="1:28" s="127" customFormat="1" ht="25.5" x14ac:dyDescent="0.2">
      <c r="A61" s="43">
        <v>17</v>
      </c>
      <c r="B61" s="130" t="s">
        <v>874</v>
      </c>
      <c r="C61" s="303">
        <f>'расчет ФОТ обл ш с 01.07-31.08.'!C23</f>
        <v>4.7</v>
      </c>
      <c r="D61" s="341">
        <f t="shared" si="9"/>
        <v>91588.169399999999</v>
      </c>
      <c r="E61" s="341">
        <f>'расчет ФОТ обл ш с 01.07-31.08.'!L23</f>
        <v>60527.78</v>
      </c>
      <c r="F61" s="341">
        <f>'расчет ФОТ обл ш с 01.07-31.08.'!R23</f>
        <v>0</v>
      </c>
      <c r="G61" s="341">
        <f>'расчет ФОТ обл ш с 01.07-31.08.'!T23</f>
        <v>31060.3894</v>
      </c>
      <c r="H61" s="341">
        <f t="shared" si="7"/>
        <v>183176.3388</v>
      </c>
      <c r="I61" s="341">
        <f>'расчет ФОТ обл ш с 01.07-31.08.'!V23</f>
        <v>183176.3388</v>
      </c>
      <c r="J61" s="341"/>
      <c r="K61" s="341"/>
      <c r="L61" s="341"/>
      <c r="M61" s="341"/>
      <c r="N61" s="341"/>
      <c r="O61" s="341"/>
      <c r="AB61" s="481"/>
    </row>
    <row r="62" spans="1:28" s="127" customFormat="1" ht="15" x14ac:dyDescent="0.2">
      <c r="A62" s="43">
        <f t="shared" ref="A62:A67" si="10">A61+1</f>
        <v>18</v>
      </c>
      <c r="B62" s="130" t="s">
        <v>869</v>
      </c>
      <c r="C62" s="303">
        <f>'расчет ФОТ обл ш с 01.07-31.08.'!C24</f>
        <v>1</v>
      </c>
      <c r="D62" s="341">
        <f>E62+G62+F62</f>
        <v>32154.71</v>
      </c>
      <c r="E62" s="341">
        <f>'расчет ФОТ обл ш с 01.07-31.08.'!L24</f>
        <v>22077</v>
      </c>
      <c r="F62" s="341">
        <f>'расчет ФОТ обл ш с 01.07-31.08.'!R24</f>
        <v>0</v>
      </c>
      <c r="G62" s="341">
        <f>'расчет ФОТ обл ш с 01.07-31.08.'!T24</f>
        <v>10077.709999999999</v>
      </c>
      <c r="H62" s="341">
        <f t="shared" si="7"/>
        <v>64309.42</v>
      </c>
      <c r="I62" s="341">
        <f>'расчет ФОТ обл ш с 01.07-31.08.'!V24</f>
        <v>64309.42</v>
      </c>
      <c r="J62" s="341"/>
      <c r="K62" s="341"/>
      <c r="L62" s="341"/>
      <c r="M62" s="341"/>
      <c r="N62" s="341"/>
      <c r="O62" s="341"/>
      <c r="AB62" s="481"/>
    </row>
    <row r="63" spans="1:28" s="127" customFormat="1" ht="15" x14ac:dyDescent="0.2">
      <c r="A63" s="43">
        <f t="shared" si="10"/>
        <v>19</v>
      </c>
      <c r="B63" s="130" t="s">
        <v>830</v>
      </c>
      <c r="C63" s="303">
        <f>'расчет ФОТ обл ш с 01.07-31.08.'!C25</f>
        <v>2</v>
      </c>
      <c r="D63" s="341">
        <f t="shared" ref="D63:D66" si="11">E63+G63+F63</f>
        <v>35965.244999999995</v>
      </c>
      <c r="E63" s="341">
        <f>'расчет ФОТ обл ш с 01.07-31.08.'!L25</f>
        <v>25756.5</v>
      </c>
      <c r="F63" s="341">
        <f>'расчет ФОТ обл ш с 01.07-31.08.'!R25</f>
        <v>0</v>
      </c>
      <c r="G63" s="341">
        <f>'расчет ФОТ обл ш с 01.07-31.08.'!T25</f>
        <v>10208.744999999999</v>
      </c>
      <c r="H63" s="341">
        <f t="shared" si="7"/>
        <v>71930.489999999991</v>
      </c>
      <c r="I63" s="341">
        <f>'расчет ФОТ обл ш с 01.07-31.08.'!V25</f>
        <v>71930.489999999991</v>
      </c>
      <c r="J63" s="341"/>
      <c r="K63" s="341"/>
      <c r="L63" s="341"/>
      <c r="M63" s="341"/>
      <c r="N63" s="341"/>
      <c r="O63" s="341"/>
      <c r="AB63" s="481"/>
    </row>
    <row r="64" spans="1:28" s="127" customFormat="1" ht="15" x14ac:dyDescent="0.2">
      <c r="A64" s="43">
        <v>20</v>
      </c>
      <c r="B64" s="130" t="s">
        <v>839</v>
      </c>
      <c r="C64" s="303">
        <f>'расчет ФОТ обл ш с 01.07-31.08.'!C26</f>
        <v>1</v>
      </c>
      <c r="D64" s="341">
        <f t="shared" si="11"/>
        <v>23383.2225</v>
      </c>
      <c r="E64" s="341">
        <f>'расчет ФОТ обл ш с 01.07-31.08.'!L26</f>
        <v>19010.75</v>
      </c>
      <c r="F64" s="341">
        <f>'расчет ФОТ обл ш с 01.07-31.08.'!R26</f>
        <v>0</v>
      </c>
      <c r="G64" s="341">
        <f>'расчет ФОТ обл ш с 01.07-31.08.'!T26</f>
        <v>4372.4724999999999</v>
      </c>
      <c r="H64" s="341">
        <f t="shared" si="7"/>
        <v>46766.445</v>
      </c>
      <c r="I64" s="341">
        <f>'расчет ФОТ обл ш с 01.07-31.08.'!V26</f>
        <v>46766.445</v>
      </c>
      <c r="J64" s="341"/>
      <c r="K64" s="341"/>
      <c r="L64" s="341"/>
      <c r="M64" s="341"/>
      <c r="N64" s="341"/>
      <c r="O64" s="341"/>
      <c r="AB64" s="481"/>
    </row>
    <row r="65" spans="1:28" s="127" customFormat="1" ht="15" x14ac:dyDescent="0.2">
      <c r="A65" s="43">
        <v>21</v>
      </c>
      <c r="B65" s="130" t="s">
        <v>870</v>
      </c>
      <c r="C65" s="303">
        <f>'расчет ФОТ обл ш с 01.07-31.08.'!C27</f>
        <v>2</v>
      </c>
      <c r="D65" s="341">
        <f t="shared" si="11"/>
        <v>40249.994999999995</v>
      </c>
      <c r="E65" s="341">
        <f>'расчет ФОТ обл ш с 01.07-31.08.'!L27</f>
        <v>25756.5</v>
      </c>
      <c r="F65" s="341">
        <f>'расчет ФОТ обл ш с 01.07-31.08.'!R27</f>
        <v>0</v>
      </c>
      <c r="G65" s="341">
        <f>'расчет ФОТ обл ш с 01.07-31.08.'!T27</f>
        <v>14493.494999999999</v>
      </c>
      <c r="H65" s="341">
        <f t="shared" si="7"/>
        <v>80499.989999999991</v>
      </c>
      <c r="I65" s="341">
        <f>'расчет ФОТ обл ш с 01.07-31.08.'!V27</f>
        <v>80499.989999999991</v>
      </c>
      <c r="J65" s="341"/>
      <c r="K65" s="341"/>
      <c r="L65" s="341"/>
      <c r="M65" s="341"/>
      <c r="N65" s="341"/>
      <c r="O65" s="341"/>
      <c r="AB65" s="481"/>
    </row>
    <row r="66" spans="1:28" s="127" customFormat="1" ht="15" x14ac:dyDescent="0.2">
      <c r="A66" s="43">
        <v>22</v>
      </c>
      <c r="B66" s="130" t="s">
        <v>871</v>
      </c>
      <c r="C66" s="303">
        <f>'расчет ФОТ обл ш с 01.07-31.08.'!C28</f>
        <v>1</v>
      </c>
      <c r="D66" s="341">
        <f t="shared" si="11"/>
        <v>20125</v>
      </c>
      <c r="E66" s="341">
        <f>'расчет ФОТ обл ш с 01.07-31.08.'!L28</f>
        <v>14718</v>
      </c>
      <c r="F66" s="341">
        <f>'расчет ФОТ обл ш с 01.07-31.08.'!R28</f>
        <v>0</v>
      </c>
      <c r="G66" s="341">
        <f>'расчет ФОТ обл ш с 01.07-31.08.'!T28</f>
        <v>5407</v>
      </c>
      <c r="H66" s="341">
        <f t="shared" si="7"/>
        <v>40250</v>
      </c>
      <c r="I66" s="341">
        <f>'расчет ФОТ обл ш с 01.07-31.08.'!V28</f>
        <v>40250</v>
      </c>
      <c r="J66" s="341"/>
      <c r="K66" s="341"/>
      <c r="L66" s="341"/>
      <c r="M66" s="341"/>
      <c r="N66" s="341"/>
      <c r="O66" s="341"/>
      <c r="AB66" s="481"/>
    </row>
    <row r="67" spans="1:28" s="127" customFormat="1" ht="12.75" x14ac:dyDescent="0.2">
      <c r="A67" s="43">
        <f t="shared" si="10"/>
        <v>23</v>
      </c>
      <c r="B67" s="134" t="s">
        <v>875</v>
      </c>
      <c r="C67" s="43">
        <v>14</v>
      </c>
      <c r="D67" s="341"/>
      <c r="E67" s="341">
        <v>10000</v>
      </c>
      <c r="F67" s="341"/>
      <c r="G67" s="341"/>
      <c r="H67" s="341">
        <f>J67</f>
        <v>301674.34999999998</v>
      </c>
      <c r="I67" s="341"/>
      <c r="J67" s="341">
        <f>140000+161674.35</f>
        <v>301674.34999999998</v>
      </c>
      <c r="K67" s="341"/>
      <c r="L67" s="341"/>
      <c r="M67" s="341"/>
      <c r="N67" s="341"/>
      <c r="O67" s="341"/>
      <c r="AB67" s="481"/>
    </row>
    <row r="68" spans="1:28" s="127" customFormat="1" ht="12.75" x14ac:dyDescent="0.2">
      <c r="A68" s="2016" t="s">
        <v>102</v>
      </c>
      <c r="B68" s="2016"/>
      <c r="C68" s="131" t="s">
        <v>3</v>
      </c>
      <c r="D68" s="343" t="s">
        <v>3</v>
      </c>
      <c r="E68" s="343" t="s">
        <v>3</v>
      </c>
      <c r="F68" s="343" t="s">
        <v>3</v>
      </c>
      <c r="G68" s="343" t="s">
        <v>3</v>
      </c>
      <c r="H68" s="343">
        <f>I68+J68+K68</f>
        <v>3384131.2065243335</v>
      </c>
      <c r="I68" s="343">
        <f>SUM(I45:I67)</f>
        <v>2963856.8565243334</v>
      </c>
      <c r="J68" s="345">
        <f>J67</f>
        <v>301674.34999999998</v>
      </c>
      <c r="K68" s="343">
        <f>SUM(K45:K67)</f>
        <v>118600</v>
      </c>
      <c r="L68" s="343">
        <f t="shared" ref="L68:M68" si="12">SUM(L62:L62)</f>
        <v>0</v>
      </c>
      <c r="M68" s="343">
        <f t="shared" si="12"/>
        <v>0</v>
      </c>
      <c r="N68" s="343">
        <v>0</v>
      </c>
      <c r="O68" s="343">
        <f>SUM(O62:O63)</f>
        <v>0</v>
      </c>
      <c r="AB68" s="481"/>
    </row>
    <row r="69" spans="1:28" s="127" customFormat="1" ht="48" customHeight="1" x14ac:dyDescent="0.2">
      <c r="A69" s="2017" t="s">
        <v>876</v>
      </c>
      <c r="B69" s="2017"/>
      <c r="C69" s="131" t="s">
        <v>3</v>
      </c>
      <c r="D69" s="343" t="s">
        <v>3</v>
      </c>
      <c r="E69" s="343"/>
      <c r="F69" s="343" t="s">
        <v>3</v>
      </c>
      <c r="G69" s="343"/>
      <c r="H69" s="343"/>
      <c r="I69" s="343">
        <f>ROUND((80000/12)*2,2)</f>
        <v>13333.33</v>
      </c>
      <c r="J69" s="345"/>
      <c r="K69" s="343"/>
      <c r="L69" s="343">
        <f t="shared" ref="L69:M69" si="13">SUM(L63:L63)</f>
        <v>0</v>
      </c>
      <c r="M69" s="343">
        <f t="shared" si="13"/>
        <v>0</v>
      </c>
      <c r="N69" s="343">
        <v>0</v>
      </c>
      <c r="O69" s="343">
        <f>SUM(O63:O65)</f>
        <v>0</v>
      </c>
      <c r="Y69" s="480">
        <f>I68+I100+I37</f>
        <v>17888021.797490001</v>
      </c>
      <c r="AB69" s="481"/>
    </row>
    <row r="70" spans="1:28" s="127" customFormat="1" ht="12.75" x14ac:dyDescent="0.2">
      <c r="A70" s="2016" t="s">
        <v>102</v>
      </c>
      <c r="B70" s="2016"/>
      <c r="C70" s="131" t="s">
        <v>3</v>
      </c>
      <c r="D70" s="343" t="s">
        <v>3</v>
      </c>
      <c r="E70" s="343"/>
      <c r="F70" s="343" t="s">
        <v>3</v>
      </c>
      <c r="G70" s="343"/>
      <c r="H70" s="343">
        <f>I70+J70+K70</f>
        <v>3370797.8765243334</v>
      </c>
      <c r="I70" s="343">
        <f>I68-I69</f>
        <v>2950523.5265243333</v>
      </c>
      <c r="J70" s="343">
        <f>J68-J69</f>
        <v>301674.34999999998</v>
      </c>
      <c r="K70" s="343">
        <f>K68-K69</f>
        <v>118600</v>
      </c>
      <c r="L70" s="343">
        <f t="shared" ref="L70:M70" si="14">SUM(L65:L65)</f>
        <v>0</v>
      </c>
      <c r="M70" s="343">
        <f t="shared" si="14"/>
        <v>0</v>
      </c>
      <c r="N70" s="343">
        <v>0</v>
      </c>
      <c r="O70" s="343">
        <f>SUM(O65:O66)</f>
        <v>0</v>
      </c>
      <c r="AB70" s="481"/>
    </row>
    <row r="71" spans="1:28" s="127" customFormat="1" ht="27" customHeight="1" x14ac:dyDescent="0.2">
      <c r="F71" s="2023" t="s">
        <v>1365</v>
      </c>
      <c r="G71" s="2023"/>
      <c r="H71" s="2023"/>
      <c r="I71" s="842"/>
      <c r="J71" s="346"/>
      <c r="K71" s="346"/>
      <c r="M71" s="347"/>
      <c r="O71" s="347"/>
    </row>
    <row r="72" spans="1:28" s="127" customFormat="1" ht="34.5" customHeight="1" x14ac:dyDescent="0.2">
      <c r="A72" s="2018" t="s">
        <v>38</v>
      </c>
      <c r="B72" s="2024" t="s">
        <v>36</v>
      </c>
      <c r="C72" s="2018" t="s">
        <v>37</v>
      </c>
      <c r="D72" s="2018" t="s">
        <v>0</v>
      </c>
      <c r="E72" s="2018"/>
      <c r="F72" s="2018"/>
      <c r="G72" s="2018"/>
      <c r="H72" s="2018" t="s">
        <v>882</v>
      </c>
      <c r="I72" s="2018" t="s">
        <v>52</v>
      </c>
      <c r="J72" s="2018"/>
      <c r="K72" s="2018"/>
      <c r="L72" s="2018"/>
      <c r="M72" s="2018"/>
      <c r="N72" s="2018"/>
      <c r="O72" s="2018"/>
    </row>
    <row r="73" spans="1:28" s="127" customFormat="1" ht="37.5" customHeight="1" x14ac:dyDescent="0.2">
      <c r="A73" s="2018"/>
      <c r="B73" s="2024"/>
      <c r="C73" s="2018"/>
      <c r="D73" s="2018" t="s">
        <v>1</v>
      </c>
      <c r="E73" s="2018" t="s">
        <v>39</v>
      </c>
      <c r="F73" s="2018" t="s">
        <v>40</v>
      </c>
      <c r="G73" s="2018" t="s">
        <v>41</v>
      </c>
      <c r="H73" s="2018"/>
      <c r="I73" s="2018" t="s">
        <v>35</v>
      </c>
      <c r="J73" s="2018"/>
      <c r="K73" s="2018"/>
      <c r="L73" s="2019" t="s">
        <v>45</v>
      </c>
      <c r="M73" s="2020"/>
      <c r="N73" s="2021"/>
      <c r="O73" s="2018" t="s">
        <v>46</v>
      </c>
    </row>
    <row r="74" spans="1:28" s="127" customFormat="1" ht="25.5" x14ac:dyDescent="0.2">
      <c r="A74" s="2018"/>
      <c r="B74" s="2024"/>
      <c r="C74" s="2018"/>
      <c r="D74" s="2018"/>
      <c r="E74" s="2018"/>
      <c r="F74" s="2018"/>
      <c r="G74" s="2018"/>
      <c r="H74" s="2018"/>
      <c r="I74" s="42" t="s">
        <v>43</v>
      </c>
      <c r="J74" s="42" t="s">
        <v>592</v>
      </c>
      <c r="K74" s="42" t="s">
        <v>44</v>
      </c>
      <c r="L74" s="42" t="s">
        <v>55</v>
      </c>
      <c r="M74" s="42" t="s">
        <v>43</v>
      </c>
      <c r="N74" s="42" t="s">
        <v>44</v>
      </c>
      <c r="O74" s="2018"/>
    </row>
    <row r="75" spans="1:28" s="127" customFormat="1" ht="13.15" customHeight="1" x14ac:dyDescent="0.2">
      <c r="A75" s="43">
        <v>1</v>
      </c>
      <c r="B75" s="43">
        <v>2</v>
      </c>
      <c r="C75" s="43">
        <v>3</v>
      </c>
      <c r="D75" s="43" t="s">
        <v>47</v>
      </c>
      <c r="E75" s="43">
        <v>5</v>
      </c>
      <c r="F75" s="43">
        <v>6</v>
      </c>
      <c r="G75" s="43">
        <v>7</v>
      </c>
      <c r="H75" s="43" t="s">
        <v>63</v>
      </c>
      <c r="I75" s="43">
        <v>9</v>
      </c>
      <c r="J75" s="43"/>
      <c r="K75" s="43">
        <v>10</v>
      </c>
      <c r="L75" s="43">
        <v>11</v>
      </c>
      <c r="M75" s="43">
        <v>12</v>
      </c>
      <c r="N75" s="43">
        <v>13</v>
      </c>
      <c r="O75" s="43">
        <v>14</v>
      </c>
    </row>
    <row r="76" spans="1:28" s="127" customFormat="1" ht="13.15" customHeight="1" x14ac:dyDescent="0.2">
      <c r="A76" s="43">
        <v>1</v>
      </c>
      <c r="B76" s="130" t="s">
        <v>202</v>
      </c>
      <c r="C76" s="303">
        <f>'расчет ФОТ обл ш с 01.09-31.12.'!C6</f>
        <v>1</v>
      </c>
      <c r="D76" s="341">
        <f>G76+F76+E76</f>
        <v>72371.212410277105</v>
      </c>
      <c r="E76" s="341">
        <f>'расчет ФОТ обл ш с 01.09-31.12.'!L6</f>
        <v>57896.96992822169</v>
      </c>
      <c r="F76" s="341">
        <f>'расчет ФОТ обл ш с 01.09-31.12.'!R6</f>
        <v>0</v>
      </c>
      <c r="G76" s="341">
        <f>'расчет ФОТ обл ш с 01.09-31.12.'!T6</f>
        <v>14474.242482055422</v>
      </c>
      <c r="H76" s="341">
        <f>I76</f>
        <v>289484.84964110842</v>
      </c>
      <c r="I76" s="341">
        <f>'расчет ФОТ обл ш с 01.09-31.12.'!V6</f>
        <v>289484.84964110842</v>
      </c>
      <c r="J76" s="341"/>
      <c r="K76" s="341"/>
      <c r="L76" s="341"/>
      <c r="M76" s="341"/>
      <c r="N76" s="341"/>
      <c r="O76" s="341"/>
      <c r="Y76" s="127">
        <v>283893.37</v>
      </c>
    </row>
    <row r="77" spans="1:28" s="127" customFormat="1" ht="15" x14ac:dyDescent="0.2">
      <c r="A77" s="43">
        <v>2</v>
      </c>
      <c r="B77" s="130" t="s">
        <v>853</v>
      </c>
      <c r="C77" s="303">
        <f>'расчет ФОТ обл ш с 01.09-31.12.'!C7</f>
        <v>1</v>
      </c>
      <c r="D77" s="341">
        <f t="shared" ref="D77:D97" si="15">G77+F77+E77</f>
        <v>56638.340147173396</v>
      </c>
      <c r="E77" s="341">
        <f>'расчет ФОТ обл ш с 01.09-31.12.'!L7</f>
        <v>45310.672117738715</v>
      </c>
      <c r="F77" s="341">
        <f>'расчет ФОТ обл ш с 01.09-31.12.'!R7</f>
        <v>0</v>
      </c>
      <c r="G77" s="341">
        <f>'расчет ФОТ обл ш с 01.09-31.12.'!T7</f>
        <v>11327.668029434679</v>
      </c>
      <c r="H77" s="341">
        <f t="shared" ref="H77:H96" si="16">I77</f>
        <v>226553.36058869358</v>
      </c>
      <c r="I77" s="341">
        <f>'расчет ФОТ обл ш с 01.09-31.12.'!V7</f>
        <v>226553.36058869358</v>
      </c>
      <c r="J77" s="341"/>
      <c r="K77" s="341"/>
      <c r="L77" s="341"/>
      <c r="M77" s="341"/>
      <c r="N77" s="341"/>
      <c r="O77" s="341"/>
      <c r="Y77" s="127">
        <v>222147.42</v>
      </c>
    </row>
    <row r="78" spans="1:28" s="127" customFormat="1" ht="15" x14ac:dyDescent="0.2">
      <c r="A78" s="43">
        <v>3</v>
      </c>
      <c r="B78" s="130" t="s">
        <v>855</v>
      </c>
      <c r="C78" s="303">
        <f>'расчет ФОТ обл ш с 01.09-31.12.'!C8</f>
        <v>0.5</v>
      </c>
      <c r="D78" s="341">
        <f t="shared" si="15"/>
        <v>28319.170073586698</v>
      </c>
      <c r="E78" s="341">
        <f>'расчет ФОТ обл ш с 01.09-31.12.'!L8</f>
        <v>22655.336058869358</v>
      </c>
      <c r="F78" s="341">
        <f>'расчет ФОТ обл ш с 01.09-31.12.'!R8</f>
        <v>0</v>
      </c>
      <c r="G78" s="341">
        <f>'расчет ФОТ обл ш с 01.09-31.12.'!T8</f>
        <v>5663.8340147173394</v>
      </c>
      <c r="H78" s="341">
        <f t="shared" si="16"/>
        <v>113276.68029434679</v>
      </c>
      <c r="I78" s="341">
        <f>'расчет ФОТ обл ш с 01.09-31.12.'!V8</f>
        <v>113276.68029434679</v>
      </c>
      <c r="J78" s="341"/>
      <c r="K78" s="341"/>
      <c r="L78" s="341"/>
      <c r="M78" s="341"/>
      <c r="N78" s="341"/>
      <c r="O78" s="341"/>
      <c r="Y78" s="127">
        <v>111088.71</v>
      </c>
    </row>
    <row r="79" spans="1:28" s="127" customFormat="1" ht="21" customHeight="1" x14ac:dyDescent="0.2">
      <c r="A79" s="43">
        <v>4</v>
      </c>
      <c r="B79" s="130" t="s">
        <v>857</v>
      </c>
      <c r="C79" s="303">
        <f>'расчет ФОТ обл ш с 01.09-31.12.'!C9</f>
        <v>0.25</v>
      </c>
      <c r="D79" s="341">
        <f t="shared" si="15"/>
        <v>14159.585036793349</v>
      </c>
      <c r="E79" s="341">
        <f>'расчет ФОТ обл ш с 01.09-31.12.'!L9</f>
        <v>11327.668029434679</v>
      </c>
      <c r="F79" s="341">
        <f>'расчет ФОТ обл ш с 01.09-31.12.'!R9</f>
        <v>0</v>
      </c>
      <c r="G79" s="341">
        <f>'расчет ФОТ обл ш с 01.09-31.12.'!T9</f>
        <v>2831.9170073586697</v>
      </c>
      <c r="H79" s="341">
        <f t="shared" si="16"/>
        <v>56638.340147173396</v>
      </c>
      <c r="I79" s="341">
        <f>'расчет ФОТ обл ш с 01.09-31.12.'!V9</f>
        <v>56638.340147173396</v>
      </c>
      <c r="J79" s="341"/>
      <c r="K79" s="341"/>
      <c r="L79" s="341"/>
      <c r="M79" s="341"/>
      <c r="N79" s="341"/>
      <c r="O79" s="341"/>
      <c r="Y79" s="127">
        <v>55544.36</v>
      </c>
    </row>
    <row r="80" spans="1:28" s="127" customFormat="1" ht="15" x14ac:dyDescent="0.2">
      <c r="A80" s="43">
        <v>5</v>
      </c>
      <c r="B80" s="130" t="s">
        <v>564</v>
      </c>
      <c r="C80" s="303">
        <f>'расчет ФОТ обл ш с 01.09-31.12.'!C10</f>
        <v>0.5</v>
      </c>
      <c r="D80" s="341">
        <f t="shared" si="15"/>
        <v>28319.170073586698</v>
      </c>
      <c r="E80" s="341">
        <f>'расчет ФОТ обл ш с 01.09-31.12.'!L10</f>
        <v>22655.336058869358</v>
      </c>
      <c r="F80" s="341">
        <f>'расчет ФОТ обл ш с 01.09-31.12.'!R10</f>
        <v>0</v>
      </c>
      <c r="G80" s="341">
        <f>'расчет ФОТ обл ш с 01.09-31.12.'!T10</f>
        <v>5663.8340147173394</v>
      </c>
      <c r="H80" s="341">
        <f t="shared" si="16"/>
        <v>113276.68029434679</v>
      </c>
      <c r="I80" s="341">
        <f>'расчет ФОТ обл ш с 01.09-31.12.'!V10</f>
        <v>113276.68029434679</v>
      </c>
      <c r="J80" s="341"/>
      <c r="K80" s="341"/>
      <c r="L80" s="341"/>
      <c r="M80" s="341"/>
      <c r="N80" s="341"/>
      <c r="O80" s="341"/>
      <c r="Y80" s="127">
        <v>111088.71</v>
      </c>
    </row>
    <row r="81" spans="1:25" s="127" customFormat="1" ht="15" x14ac:dyDescent="0.2">
      <c r="A81" s="43">
        <v>6</v>
      </c>
      <c r="B81" s="130" t="s">
        <v>859</v>
      </c>
      <c r="C81" s="303">
        <f>'расчет ФОТ обл ш с 01.09-31.12.'!C11</f>
        <v>0.5</v>
      </c>
      <c r="D81" s="341">
        <f t="shared" si="15"/>
        <v>13798.125</v>
      </c>
      <c r="E81" s="341">
        <f>'расчет ФОТ обл ш с 01.09-31.12.'!L11</f>
        <v>11038.5</v>
      </c>
      <c r="F81" s="341">
        <f>'расчет ФОТ обл ш с 01.09-31.12.'!R11</f>
        <v>0</v>
      </c>
      <c r="G81" s="341">
        <f>'расчет ФОТ обл ш с 01.09-31.12.'!T11</f>
        <v>2759.625</v>
      </c>
      <c r="H81" s="341">
        <f t="shared" si="16"/>
        <v>55192.5</v>
      </c>
      <c r="I81" s="341">
        <f>'расчет ФОТ обл ш с 01.09-31.12.'!V11</f>
        <v>55192.5</v>
      </c>
      <c r="J81" s="341"/>
      <c r="K81" s="341"/>
      <c r="L81" s="341"/>
      <c r="M81" s="341"/>
      <c r="N81" s="341"/>
      <c r="O81" s="341"/>
      <c r="Y81" s="127">
        <v>53867.88</v>
      </c>
    </row>
    <row r="82" spans="1:25" s="127" customFormat="1" ht="15" x14ac:dyDescent="0.2">
      <c r="A82" s="43">
        <v>7</v>
      </c>
      <c r="B82" s="130" t="s">
        <v>860</v>
      </c>
      <c r="C82" s="303">
        <f>'расчет ФОТ обл ш с 01.09-31.12.'!C12</f>
        <v>8.6199999999999992</v>
      </c>
      <c r="D82" s="341">
        <f t="shared" si="15"/>
        <v>274144.66249999998</v>
      </c>
      <c r="E82" s="341">
        <f>'расчет ФОТ обл ш с 01.09-31.12.'!L12</f>
        <v>183901.41</v>
      </c>
      <c r="F82" s="341">
        <f>'расчет ФОТ обл ш с 01.09-31.12.'!R12</f>
        <v>44267.899999999994</v>
      </c>
      <c r="G82" s="341">
        <f>'расчет ФОТ обл ш с 01.09-31.12.'!T12</f>
        <v>45975.352500000001</v>
      </c>
      <c r="H82" s="341">
        <f t="shared" si="16"/>
        <v>1096578.6499999999</v>
      </c>
      <c r="I82" s="341">
        <f>'расчет ФОТ обл ш с 01.09-31.12.'!V12</f>
        <v>1096578.6499999999</v>
      </c>
      <c r="J82" s="341"/>
      <c r="K82" s="341"/>
      <c r="L82" s="341"/>
      <c r="M82" s="341"/>
      <c r="N82" s="341"/>
      <c r="O82" s="341"/>
    </row>
    <row r="83" spans="1:25" s="127" customFormat="1" ht="15" x14ac:dyDescent="0.2">
      <c r="A83" s="43">
        <v>8</v>
      </c>
      <c r="B83" s="130" t="s">
        <v>861</v>
      </c>
      <c r="C83" s="303">
        <f>'расчет ФОТ обл ш с 01.09-31.12.'!C13</f>
        <v>17.22</v>
      </c>
      <c r="D83" s="341">
        <f t="shared" si="15"/>
        <v>670267.60499999998</v>
      </c>
      <c r="E83" s="341">
        <f>'расчет ФОТ обл ш с 01.09-31.12.'!L13</f>
        <v>492807.69999999995</v>
      </c>
      <c r="F83" s="341">
        <f>'расчет ФОТ обл ш с 01.09-31.12.'!R13</f>
        <v>54257.979999999996</v>
      </c>
      <c r="G83" s="341">
        <f>'расчет ФОТ обл ш с 01.09-31.12.'!T13</f>
        <v>123201.92499999999</v>
      </c>
      <c r="H83" s="341">
        <f t="shared" si="16"/>
        <v>2681070.42</v>
      </c>
      <c r="I83" s="341">
        <f>'расчет ФОТ обл ш с 01.09-31.12.'!V13</f>
        <v>2681070.42</v>
      </c>
      <c r="J83" s="341"/>
      <c r="K83" s="341"/>
      <c r="L83" s="341"/>
      <c r="M83" s="341"/>
      <c r="N83" s="341"/>
      <c r="O83" s="341"/>
    </row>
    <row r="84" spans="1:25" s="127" customFormat="1" ht="15" x14ac:dyDescent="0.2">
      <c r="A84" s="43">
        <v>9</v>
      </c>
      <c r="B84" s="130" t="s">
        <v>862</v>
      </c>
      <c r="C84" s="303">
        <f>'расчет ФОТ обл ш с 01.09-31.12.'!C14</f>
        <v>0.33</v>
      </c>
      <c r="D84" s="341">
        <f t="shared" si="15"/>
        <v>9612.7000000000007</v>
      </c>
      <c r="E84" s="341">
        <f>'расчет ФОТ обл ш с 01.09-31.12.'!L14</f>
        <v>7690.16</v>
      </c>
      <c r="F84" s="341">
        <f>'расчет ФОТ обл ш с 01.09-31.12.'!R14</f>
        <v>0</v>
      </c>
      <c r="G84" s="341">
        <f>'расчет ФОТ обл ш с 01.09-31.12.'!T14</f>
        <v>1922.54</v>
      </c>
      <c r="H84" s="341">
        <f t="shared" si="16"/>
        <v>38450.800000000003</v>
      </c>
      <c r="I84" s="341">
        <f>'расчет ФОТ обл ш с 01.09-31.12.'!V14</f>
        <v>38450.800000000003</v>
      </c>
      <c r="J84" s="341"/>
      <c r="K84" s="341"/>
      <c r="L84" s="341"/>
      <c r="M84" s="341"/>
      <c r="N84" s="341"/>
      <c r="O84" s="341"/>
    </row>
    <row r="85" spans="1:25" s="127" customFormat="1" ht="15" x14ac:dyDescent="0.2">
      <c r="A85" s="43">
        <v>10</v>
      </c>
      <c r="B85" s="130" t="s">
        <v>863</v>
      </c>
      <c r="C85" s="303">
        <f>'расчет ФОТ обл ш с 01.09-31.12.'!C15</f>
        <v>0.33</v>
      </c>
      <c r="D85" s="341">
        <f t="shared" si="15"/>
        <v>9106.7625000000007</v>
      </c>
      <c r="E85" s="341">
        <f>'расчет ФОТ обл ш с 01.09-31.12.'!L15</f>
        <v>7285.41</v>
      </c>
      <c r="F85" s="341">
        <f>'расчет ФОТ обл ш с 01.09-31.12.'!R15</f>
        <v>0</v>
      </c>
      <c r="G85" s="341">
        <f>'расчет ФОТ обл ш с 01.09-31.12.'!T15</f>
        <v>1821.3525</v>
      </c>
      <c r="H85" s="341">
        <f t="shared" si="16"/>
        <v>36427.050000000003</v>
      </c>
      <c r="I85" s="341">
        <f>'расчет ФОТ обл ш с 01.09-31.12.'!V15</f>
        <v>36427.050000000003</v>
      </c>
      <c r="J85" s="341"/>
      <c r="K85" s="341"/>
      <c r="L85" s="341"/>
      <c r="M85" s="341"/>
      <c r="N85" s="341"/>
      <c r="O85" s="341"/>
    </row>
    <row r="86" spans="1:25" s="127" customFormat="1" ht="15" x14ac:dyDescent="0.2">
      <c r="A86" s="43">
        <v>11</v>
      </c>
      <c r="B86" s="130" t="s">
        <v>864</v>
      </c>
      <c r="C86" s="303">
        <f>'расчет ФОТ обл ш с 01.09-31.12.'!C16</f>
        <v>0.33</v>
      </c>
      <c r="D86" s="341">
        <f t="shared" si="15"/>
        <v>8853.7999999999993</v>
      </c>
      <c r="E86" s="341">
        <f>'расчет ФОТ обл ш с 01.09-31.12.'!L16</f>
        <v>7083.04</v>
      </c>
      <c r="F86" s="341">
        <f>'расчет ФОТ обл ш с 01.09-31.12.'!R16</f>
        <v>0</v>
      </c>
      <c r="G86" s="341">
        <f>'расчет ФОТ обл ш с 01.09-31.12.'!T16</f>
        <v>1770.76</v>
      </c>
      <c r="H86" s="341">
        <f t="shared" si="16"/>
        <v>35415.199999999997</v>
      </c>
      <c r="I86" s="341">
        <f>'расчет ФОТ обл ш с 01.09-31.12.'!V16</f>
        <v>35415.199999999997</v>
      </c>
      <c r="J86" s="341"/>
      <c r="K86" s="341"/>
      <c r="L86" s="341"/>
      <c r="M86" s="341"/>
      <c r="N86" s="341"/>
      <c r="O86" s="341"/>
    </row>
    <row r="87" spans="1:25" s="127" customFormat="1" ht="38.25" x14ac:dyDescent="0.2">
      <c r="A87" s="43">
        <v>12</v>
      </c>
      <c r="B87" s="130" t="s">
        <v>1275</v>
      </c>
      <c r="C87" s="303">
        <f>'расчет ФОТ обл ш с 01.09-31.12.'!C17</f>
        <v>1.94</v>
      </c>
      <c r="D87" s="341">
        <f t="shared" si="15"/>
        <v>44613.9375</v>
      </c>
      <c r="E87" s="341">
        <f>'расчет ФОТ обл ш с 01.09-31.12.'!L17</f>
        <v>35691.15</v>
      </c>
      <c r="F87" s="341">
        <f>'расчет ФОТ обл ш с 01.09-31.12.'!R17</f>
        <v>0</v>
      </c>
      <c r="G87" s="341">
        <f>'расчет ФОТ обл ш с 01.09-31.12.'!T17</f>
        <v>8922.7875000000004</v>
      </c>
      <c r="H87" s="341">
        <f t="shared" si="16"/>
        <v>178455.75</v>
      </c>
      <c r="I87" s="341">
        <f>'расчет ФОТ обл ш с 01.09-31.12.'!V17</f>
        <v>178455.75</v>
      </c>
      <c r="J87" s="341"/>
      <c r="K87" s="341"/>
      <c r="L87" s="341"/>
      <c r="M87" s="341"/>
      <c r="N87" s="341"/>
      <c r="O87" s="341"/>
    </row>
    <row r="88" spans="1:25" s="127" customFormat="1" ht="38.25" x14ac:dyDescent="0.2">
      <c r="A88" s="43">
        <v>13</v>
      </c>
      <c r="B88" s="130" t="s">
        <v>1276</v>
      </c>
      <c r="C88" s="303">
        <f>'расчет ФОТ обл ш с 01.09-31.12.'!C18</f>
        <v>2.06</v>
      </c>
      <c r="D88" s="341">
        <f t="shared" si="15"/>
        <v>56848.275000000001</v>
      </c>
      <c r="E88" s="341">
        <f>'расчет ФОТ обл ш с 01.09-31.12.'!L18</f>
        <v>45478.62</v>
      </c>
      <c r="F88" s="341">
        <f>'расчет ФОТ обл ш с 01.09-31.12.'!R18</f>
        <v>0</v>
      </c>
      <c r="G88" s="341">
        <f>'расчет ФОТ обл ш с 01.09-31.12.'!T18</f>
        <v>11369.655000000001</v>
      </c>
      <c r="H88" s="341">
        <f t="shared" si="16"/>
        <v>227393.1</v>
      </c>
      <c r="I88" s="341">
        <f>'расчет ФОТ обл ш с 01.09-31.12.'!V18</f>
        <v>227393.1</v>
      </c>
      <c r="J88" s="341"/>
      <c r="K88" s="341"/>
      <c r="L88" s="341"/>
      <c r="M88" s="341"/>
      <c r="N88" s="341"/>
      <c r="O88" s="341"/>
      <c r="Y88" s="480">
        <f>H37+H68+H100</f>
        <v>20195919.807490002</v>
      </c>
    </row>
    <row r="89" spans="1:25" s="127" customFormat="1" ht="25.5" x14ac:dyDescent="0.2">
      <c r="A89" s="43">
        <v>14</v>
      </c>
      <c r="B89" s="130" t="s">
        <v>822</v>
      </c>
      <c r="C89" s="303">
        <v>2</v>
      </c>
      <c r="D89" s="341">
        <f t="shared" si="15"/>
        <v>0</v>
      </c>
      <c r="E89" s="341">
        <v>0</v>
      </c>
      <c r="F89" s="341">
        <v>0</v>
      </c>
      <c r="G89" s="341">
        <v>0</v>
      </c>
      <c r="H89" s="341">
        <f>K89</f>
        <v>237200</v>
      </c>
      <c r="I89" s="341">
        <v>0</v>
      </c>
      <c r="J89" s="341"/>
      <c r="K89" s="341">
        <v>237200</v>
      </c>
      <c r="L89" s="341"/>
      <c r="M89" s="341"/>
      <c r="N89" s="341"/>
      <c r="O89" s="341"/>
    </row>
    <row r="90" spans="1:25" s="127" customFormat="1" ht="15" x14ac:dyDescent="0.2">
      <c r="A90" s="43">
        <v>15</v>
      </c>
      <c r="B90" s="130" t="s">
        <v>867</v>
      </c>
      <c r="C90" s="303">
        <f>'расчет ФОТ обл ш с 01.09-31.12.'!C21</f>
        <v>0.25</v>
      </c>
      <c r="D90" s="341">
        <f t="shared" si="15"/>
        <v>4982.6625000000004</v>
      </c>
      <c r="E90" s="341">
        <f>'расчет ФОТ обл ш с 01.09-31.12.'!L21</f>
        <v>3986.13</v>
      </c>
      <c r="F90" s="341">
        <f>'расчет ФОТ обл ш с 01.09-31.12.'!R21</f>
        <v>0</v>
      </c>
      <c r="G90" s="341">
        <f>'расчет ФОТ обл ш с 01.09-31.12.'!T21</f>
        <v>996.53250000000003</v>
      </c>
      <c r="H90" s="341">
        <f t="shared" si="16"/>
        <v>19930.650000000001</v>
      </c>
      <c r="I90" s="341">
        <f>'расчет ФОТ обл ш с 01.09-31.12.'!V21</f>
        <v>19930.650000000001</v>
      </c>
      <c r="J90" s="341"/>
      <c r="K90" s="341"/>
      <c r="L90" s="341"/>
      <c r="M90" s="341"/>
      <c r="N90" s="341"/>
      <c r="O90" s="341"/>
    </row>
    <row r="91" spans="1:25" s="127" customFormat="1" ht="38.25" x14ac:dyDescent="0.2">
      <c r="A91" s="43">
        <v>16</v>
      </c>
      <c r="B91" s="130" t="s">
        <v>1210</v>
      </c>
      <c r="C91" s="303">
        <f>'расчет ФОТ обл ш с 01.09-31.12.'!C22</f>
        <v>0.5</v>
      </c>
      <c r="D91" s="341">
        <f t="shared" si="15"/>
        <v>9198.75</v>
      </c>
      <c r="E91" s="341">
        <f>'расчет ФОТ обл ш с 01.09-31.12.'!L22</f>
        <v>7359</v>
      </c>
      <c r="F91" s="341">
        <f>'расчет ФОТ обл ш с 01.09-31.12.'!R22</f>
        <v>0</v>
      </c>
      <c r="G91" s="341">
        <f>'расчет ФОТ обл ш с 01.09-31.12.'!T22</f>
        <v>1839.75</v>
      </c>
      <c r="H91" s="341">
        <f t="shared" si="16"/>
        <v>36795</v>
      </c>
      <c r="I91" s="341">
        <f>'расчет ФОТ обл ш с 01.09-31.12.'!V22</f>
        <v>36795</v>
      </c>
      <c r="J91" s="341"/>
      <c r="K91" s="341"/>
      <c r="L91" s="341"/>
      <c r="M91" s="341"/>
      <c r="N91" s="341"/>
      <c r="O91" s="341"/>
      <c r="Y91" s="481">
        <f>I102+I38</f>
        <v>66666.67</v>
      </c>
    </row>
    <row r="92" spans="1:25" s="127" customFormat="1" ht="25.5" x14ac:dyDescent="0.2">
      <c r="A92" s="43">
        <v>17</v>
      </c>
      <c r="B92" s="130" t="s">
        <v>874</v>
      </c>
      <c r="C92" s="303">
        <f>'расчет ФОТ обл ш с 01.09-31.12.'!C23</f>
        <v>4.7</v>
      </c>
      <c r="D92" s="341">
        <f t="shared" si="15"/>
        <v>92496.0861</v>
      </c>
      <c r="E92" s="341">
        <f>'расчет ФОТ обл ш с 01.09-31.12.'!L23</f>
        <v>60527.78</v>
      </c>
      <c r="F92" s="341">
        <f>'расчет ФОТ обл ш с 01.09-31.12.'!R23</f>
        <v>0</v>
      </c>
      <c r="G92" s="341">
        <f>'расчет ФОТ обл ш с 01.09-31.12.'!T23</f>
        <v>31968.306100000002</v>
      </c>
      <c r="H92" s="341">
        <f t="shared" si="16"/>
        <v>369984.3444</v>
      </c>
      <c r="I92" s="341">
        <f>'расчет ФОТ обл ш с 01.09-31.12.'!V23</f>
        <v>369984.3444</v>
      </c>
      <c r="J92" s="341"/>
      <c r="K92" s="341"/>
      <c r="L92" s="341"/>
      <c r="M92" s="341"/>
      <c r="N92" s="341"/>
      <c r="O92" s="341"/>
    </row>
    <row r="93" spans="1:25" s="127" customFormat="1" ht="15" x14ac:dyDescent="0.2">
      <c r="A93" s="43">
        <v>18</v>
      </c>
      <c r="B93" s="130" t="s">
        <v>869</v>
      </c>
      <c r="C93" s="303">
        <f>'расчет ФОТ обл ш с 01.09-31.12.'!C24</f>
        <v>1</v>
      </c>
      <c r="D93" s="341">
        <f t="shared" si="15"/>
        <v>32485.864999999998</v>
      </c>
      <c r="E93" s="341">
        <f>'расчет ФОТ обл ш с 01.09-31.12.'!L24</f>
        <v>22077</v>
      </c>
      <c r="F93" s="341">
        <f>'расчет ФОТ обл ш с 01.09-31.12.'!R24</f>
        <v>0</v>
      </c>
      <c r="G93" s="341">
        <f>'расчет ФОТ обл ш с 01.09-31.12.'!T24</f>
        <v>10408.865</v>
      </c>
      <c r="H93" s="341">
        <f t="shared" si="16"/>
        <v>129943.45999999999</v>
      </c>
      <c r="I93" s="341">
        <f>'расчет ФОТ обл ш с 01.09-31.12.'!V24</f>
        <v>129943.45999999999</v>
      </c>
      <c r="J93" s="341"/>
      <c r="K93" s="341"/>
      <c r="L93" s="341"/>
      <c r="M93" s="341"/>
      <c r="N93" s="341"/>
      <c r="O93" s="341"/>
    </row>
    <row r="94" spans="1:25" s="127" customFormat="1" ht="15" x14ac:dyDescent="0.2">
      <c r="A94" s="43">
        <v>19</v>
      </c>
      <c r="B94" s="130" t="s">
        <v>830</v>
      </c>
      <c r="C94" s="303">
        <f>'расчет ФОТ обл ш с 01.09-31.12.'!C25</f>
        <v>2</v>
      </c>
      <c r="D94" s="341">
        <f t="shared" si="15"/>
        <v>36222.81</v>
      </c>
      <c r="E94" s="341">
        <f>'расчет ФОТ обл ш с 01.09-31.12.'!L25</f>
        <v>25756.5</v>
      </c>
      <c r="F94" s="341">
        <f>'расчет ФОТ обл ш с 01.09-31.12.'!R25</f>
        <v>0</v>
      </c>
      <c r="G94" s="341">
        <f>'расчет ФОТ обл ш с 01.09-31.12.'!T25</f>
        <v>10466.31</v>
      </c>
      <c r="H94" s="341">
        <f t="shared" si="16"/>
        <v>144891.24</v>
      </c>
      <c r="I94" s="341">
        <f>'расчет ФОТ обл ш с 01.09-31.12.'!V25</f>
        <v>144891.24</v>
      </c>
      <c r="J94" s="341"/>
      <c r="K94" s="341"/>
      <c r="L94" s="341"/>
      <c r="M94" s="341"/>
      <c r="N94" s="341"/>
      <c r="O94" s="341"/>
    </row>
    <row r="95" spans="1:25" s="127" customFormat="1" ht="15" x14ac:dyDescent="0.2">
      <c r="A95" s="43">
        <v>20</v>
      </c>
      <c r="B95" s="130" t="s">
        <v>839</v>
      </c>
      <c r="C95" s="303">
        <f>'расчет ФОТ обл ш с 01.09-31.12.'!C26</f>
        <v>1</v>
      </c>
      <c r="D95" s="341">
        <f t="shared" si="15"/>
        <v>23668.383750000001</v>
      </c>
      <c r="E95" s="341">
        <f>'расчет ФОТ обл ш с 01.09-31.12.'!L26</f>
        <v>19010.75</v>
      </c>
      <c r="F95" s="341">
        <f>'расчет ФОТ обл ш с 01.09-31.12.'!R26</f>
        <v>0</v>
      </c>
      <c r="G95" s="341">
        <f>'расчет ФОТ обл ш с 01.09-31.12.'!T26</f>
        <v>4657.63375</v>
      </c>
      <c r="H95" s="341">
        <f t="shared" si="16"/>
        <v>94673.535000000003</v>
      </c>
      <c r="I95" s="341">
        <f>'расчет ФОТ обл ш с 01.09-31.12.'!V26</f>
        <v>94673.535000000003</v>
      </c>
      <c r="J95" s="341"/>
      <c r="K95" s="341"/>
      <c r="L95" s="341"/>
      <c r="M95" s="341"/>
      <c r="N95" s="341"/>
      <c r="O95" s="341"/>
    </row>
    <row r="96" spans="1:25" s="127" customFormat="1" ht="15" x14ac:dyDescent="0.2">
      <c r="A96" s="43">
        <v>21</v>
      </c>
      <c r="B96" s="130" t="s">
        <v>870</v>
      </c>
      <c r="C96" s="303">
        <f>'расчет ФОТ обл ш с 01.09-31.12.'!C27</f>
        <v>2</v>
      </c>
      <c r="D96" s="341">
        <f t="shared" si="15"/>
        <v>40535.89215</v>
      </c>
      <c r="E96" s="341">
        <f>'расчет ФОТ обл ш с 01.09-31.12.'!L27</f>
        <v>25756.5</v>
      </c>
      <c r="F96" s="341">
        <f>'расчет ФОТ обл ш с 01.09-31.12.'!R27</f>
        <v>0</v>
      </c>
      <c r="G96" s="341">
        <f>'расчет ФОТ обл ш с 01.09-31.12.'!T27</f>
        <v>14779.39215</v>
      </c>
      <c r="H96" s="341">
        <f t="shared" si="16"/>
        <v>162143.5686</v>
      </c>
      <c r="I96" s="341">
        <f>'расчет ФОТ обл ш с 01.09-31.12.'!V27</f>
        <v>162143.5686</v>
      </c>
      <c r="J96" s="341"/>
      <c r="K96" s="341"/>
      <c r="L96" s="341"/>
      <c r="M96" s="341"/>
      <c r="N96" s="341"/>
      <c r="O96" s="341"/>
    </row>
    <row r="97" spans="1:32" s="127" customFormat="1" ht="15" x14ac:dyDescent="0.2">
      <c r="A97" s="43">
        <v>22</v>
      </c>
      <c r="B97" s="130" t="s">
        <v>871</v>
      </c>
      <c r="C97" s="303">
        <f>'расчет ФОТ обл ш с 01.09-31.12.'!C28</f>
        <v>1</v>
      </c>
      <c r="D97" s="341">
        <f t="shared" si="15"/>
        <v>20287.891</v>
      </c>
      <c r="E97" s="341">
        <f>'расчет ФОТ обл ш с 01.09-31.12.'!L28</f>
        <v>14718</v>
      </c>
      <c r="F97" s="341">
        <f>'расчет ФОТ обл ш с 01.09-31.12.'!R28</f>
        <v>0</v>
      </c>
      <c r="G97" s="341">
        <f>'расчет ФОТ обл ш с 01.09-31.12.'!T28</f>
        <v>5569.8910000000005</v>
      </c>
      <c r="H97" s="341">
        <f>I97</f>
        <v>81151.563999999998</v>
      </c>
      <c r="I97" s="341">
        <f>'расчет ФОТ обл ш с 01.09-31.12.'!V28</f>
        <v>81151.563999999998</v>
      </c>
      <c r="J97" s="341"/>
      <c r="K97" s="341"/>
      <c r="L97" s="341"/>
      <c r="M97" s="341"/>
      <c r="N97" s="341"/>
      <c r="O97" s="341"/>
    </row>
    <row r="98" spans="1:32" s="127" customFormat="1" ht="13.15" customHeight="1" x14ac:dyDescent="0.2">
      <c r="A98" s="43">
        <v>23</v>
      </c>
      <c r="B98" s="134" t="s">
        <v>875</v>
      </c>
      <c r="C98" s="303">
        <v>14</v>
      </c>
      <c r="D98" s="341"/>
      <c r="E98" s="341">
        <v>10000</v>
      </c>
      <c r="F98" s="341"/>
      <c r="G98" s="341"/>
      <c r="H98" s="341">
        <f>J98</f>
        <v>854623.66</v>
      </c>
      <c r="I98" s="341"/>
      <c r="J98" s="341">
        <f>280000+574623.66</f>
        <v>854623.66</v>
      </c>
      <c r="K98" s="341"/>
      <c r="L98" s="341"/>
      <c r="M98" s="341"/>
      <c r="N98" s="341"/>
      <c r="O98" s="341"/>
    </row>
    <row r="99" spans="1:32" s="127" customFormat="1" ht="55.15" customHeight="1" x14ac:dyDescent="0.2">
      <c r="A99" s="43">
        <v>24</v>
      </c>
      <c r="B99" s="134" t="s">
        <v>858</v>
      </c>
      <c r="C99" s="303"/>
      <c r="D99" s="341"/>
      <c r="E99" s="341"/>
      <c r="F99" s="341"/>
      <c r="G99" s="341"/>
      <c r="H99" s="341">
        <f>J99</f>
        <v>20000</v>
      </c>
      <c r="I99" s="341"/>
      <c r="J99" s="341">
        <v>20000</v>
      </c>
      <c r="K99" s="341"/>
      <c r="L99" s="341"/>
      <c r="M99" s="341"/>
      <c r="N99" s="341"/>
      <c r="O99" s="341"/>
    </row>
    <row r="100" spans="1:32" s="127" customFormat="1" ht="12.75" x14ac:dyDescent="0.2">
      <c r="A100" s="2016" t="s">
        <v>102</v>
      </c>
      <c r="B100" s="2016"/>
      <c r="C100" s="131" t="s">
        <v>3</v>
      </c>
      <c r="D100" s="343" t="s">
        <v>3</v>
      </c>
      <c r="E100" s="343" t="s">
        <v>3</v>
      </c>
      <c r="F100" s="343" t="s">
        <v>3</v>
      </c>
      <c r="G100" s="343" t="s">
        <v>3</v>
      </c>
      <c r="H100" s="343">
        <f>I100+J100+K100</f>
        <v>7299550.4029656686</v>
      </c>
      <c r="I100" s="343">
        <f>SUM(I76:I99)</f>
        <v>6187726.7429656684</v>
      </c>
      <c r="J100" s="345">
        <f>SUM(J98:J99)</f>
        <v>874623.66</v>
      </c>
      <c r="K100" s="343">
        <f>SUM(K76:K99)</f>
        <v>237200</v>
      </c>
      <c r="L100" s="343">
        <f>SUM(L93:L93)</f>
        <v>0</v>
      </c>
      <c r="M100" s="343">
        <f>SUM(M93:M93)</f>
        <v>0</v>
      </c>
      <c r="N100" s="343">
        <v>0</v>
      </c>
      <c r="O100" s="343">
        <f>SUM(O93:O94)</f>
        <v>0</v>
      </c>
      <c r="Y100" s="346" t="e">
        <f>'расчет ФОТ обл ш с 01.01-30.06.'!V28+'расчет ФОТ обл ш с 01.07-31.08.'!#REF!+'расчет ФОТ обл ш с 01.09-31.12.'!#REF!+840000+711600</f>
        <v>#REF!</v>
      </c>
    </row>
    <row r="101" spans="1:32" s="127" customFormat="1" ht="12.75" x14ac:dyDescent="0.2">
      <c r="A101" s="2016" t="s">
        <v>102</v>
      </c>
      <c r="B101" s="2016"/>
      <c r="C101" s="131"/>
      <c r="D101" s="343"/>
      <c r="E101" s="343"/>
      <c r="F101" s="343"/>
      <c r="G101" s="343"/>
      <c r="H101" s="343">
        <f>H37+H68+H100</f>
        <v>20195919.807490002</v>
      </c>
      <c r="I101" s="343">
        <f t="shared" ref="I101:K101" si="17">I37+I68+I100</f>
        <v>17888021.797490001</v>
      </c>
      <c r="J101" s="343">
        <f>J37+J68+J100</f>
        <v>1596298.01</v>
      </c>
      <c r="K101" s="343">
        <f t="shared" si="17"/>
        <v>711600</v>
      </c>
      <c r="L101" s="343"/>
      <c r="M101" s="343"/>
      <c r="N101" s="343"/>
      <c r="O101" s="343"/>
      <c r="Y101" s="346"/>
    </row>
    <row r="102" spans="1:32" s="127" customFormat="1" ht="39.75" customHeight="1" x14ac:dyDescent="0.2">
      <c r="A102" s="2017" t="str">
        <f>B112</f>
        <v>Первые три дня пособие по временной нетрудоспособности за счет средств работодателя</v>
      </c>
      <c r="B102" s="2017"/>
      <c r="C102" s="131" t="s">
        <v>3</v>
      </c>
      <c r="D102" s="343" t="s">
        <v>3</v>
      </c>
      <c r="E102" s="343"/>
      <c r="F102" s="343" t="s">
        <v>3</v>
      </c>
      <c r="G102" s="343"/>
      <c r="H102" s="343"/>
      <c r="I102" s="343">
        <f>ROUND((80000/12)*4,2)</f>
        <v>26666.67</v>
      </c>
      <c r="J102" s="345"/>
      <c r="K102" s="343"/>
      <c r="L102" s="343">
        <f>SUM(L94:L94)</f>
        <v>0</v>
      </c>
      <c r="M102" s="343">
        <f>SUM(M94:M94)</f>
        <v>0</v>
      </c>
      <c r="N102" s="343">
        <v>0</v>
      </c>
      <c r="O102" s="343">
        <f>SUM(O94:O96)</f>
        <v>0</v>
      </c>
    </row>
    <row r="103" spans="1:32" s="127" customFormat="1" ht="15" customHeight="1" x14ac:dyDescent="0.2">
      <c r="A103" s="2016" t="s">
        <v>102</v>
      </c>
      <c r="B103" s="2016"/>
      <c r="C103" s="131"/>
      <c r="D103" s="343"/>
      <c r="E103" s="343"/>
      <c r="F103" s="343"/>
      <c r="G103" s="343"/>
      <c r="H103" s="343"/>
      <c r="I103" s="343">
        <f>I38+I69+I102</f>
        <v>80000</v>
      </c>
      <c r="J103" s="345"/>
      <c r="K103" s="343"/>
      <c r="L103" s="343"/>
      <c r="M103" s="343"/>
      <c r="N103" s="343"/>
      <c r="O103" s="343"/>
    </row>
    <row r="104" spans="1:32" s="127" customFormat="1" ht="12.75" x14ac:dyDescent="0.2">
      <c r="A104" s="2016" t="s">
        <v>54</v>
      </c>
      <c r="B104" s="2016"/>
      <c r="C104" s="131" t="s">
        <v>3</v>
      </c>
      <c r="D104" s="343" t="s">
        <v>3</v>
      </c>
      <c r="E104" s="343"/>
      <c r="F104" s="343" t="s">
        <v>3</v>
      </c>
      <c r="G104" s="343"/>
      <c r="H104" s="343">
        <f>I104+J104+K104</f>
        <v>20115919.807490002</v>
      </c>
      <c r="I104" s="343">
        <f>I101-I103</f>
        <v>17808021.797490001</v>
      </c>
      <c r="J104" s="343">
        <f>J37+J68+J100</f>
        <v>1596298.01</v>
      </c>
      <c r="K104" s="343">
        <f t="shared" ref="K104" si="18">K37+K68+K100</f>
        <v>711600</v>
      </c>
      <c r="L104" s="343">
        <f t="shared" ref="L104:M104" si="19">SUM(L100:L100)</f>
        <v>0</v>
      </c>
      <c r="M104" s="343">
        <f t="shared" si="19"/>
        <v>0</v>
      </c>
      <c r="N104" s="343">
        <v>0</v>
      </c>
      <c r="O104" s="343">
        <f>SUM(O100:O102)</f>
        <v>0</v>
      </c>
    </row>
    <row r="105" spans="1:32" s="127" customFormat="1" ht="7.5" customHeight="1" x14ac:dyDescent="0.2">
      <c r="A105" s="132"/>
      <c r="B105" s="132"/>
      <c r="C105" s="132"/>
      <c r="D105" s="344"/>
      <c r="E105" s="344"/>
      <c r="F105" s="344"/>
      <c r="G105" s="344"/>
      <c r="H105" s="344"/>
      <c r="I105" s="344"/>
      <c r="J105" s="344"/>
      <c r="K105" s="344"/>
      <c r="L105" s="344"/>
      <c r="M105" s="344"/>
      <c r="N105" s="344"/>
      <c r="O105" s="344"/>
    </row>
    <row r="106" spans="1:32" s="127" customFormat="1" ht="30.75" customHeight="1" x14ac:dyDescent="0.2">
      <c r="A106" s="2025" t="s">
        <v>842</v>
      </c>
      <c r="B106" s="2025"/>
      <c r="C106" s="2025"/>
      <c r="D106" s="2025"/>
      <c r="E106" s="2025"/>
      <c r="F106" s="2025"/>
      <c r="G106" s="2025"/>
      <c r="H106" s="2025"/>
      <c r="I106" s="2025"/>
      <c r="J106" s="2025"/>
      <c r="K106" s="2025"/>
      <c r="L106" s="2025"/>
      <c r="M106" s="2025"/>
      <c r="N106" s="2025"/>
      <c r="O106" s="2025"/>
    </row>
    <row r="107" spans="1:32" s="127" customFormat="1" ht="6" customHeight="1" x14ac:dyDescent="0.2"/>
    <row r="108" spans="1:32" s="127" customFormat="1" ht="12.75" x14ac:dyDescent="0.2">
      <c r="A108" s="2026" t="s">
        <v>38</v>
      </c>
      <c r="B108" s="1479" t="s">
        <v>4</v>
      </c>
      <c r="C108" s="1468"/>
      <c r="D108" s="2026" t="s">
        <v>843</v>
      </c>
      <c r="E108" s="2026" t="s">
        <v>844</v>
      </c>
      <c r="F108" s="2026" t="s">
        <v>6</v>
      </c>
      <c r="G108" s="1482" t="s">
        <v>52</v>
      </c>
      <c r="H108" s="1483"/>
      <c r="I108" s="1483"/>
      <c r="J108" s="1483"/>
      <c r="K108" s="1483"/>
      <c r="L108" s="1483"/>
      <c r="M108" s="2029"/>
      <c r="O108" s="346"/>
    </row>
    <row r="109" spans="1:32" s="127" customFormat="1" ht="12.75" x14ac:dyDescent="0.2">
      <c r="A109" s="2027"/>
      <c r="B109" s="1480"/>
      <c r="C109" s="1470"/>
      <c r="D109" s="2027"/>
      <c r="E109" s="2027"/>
      <c r="F109" s="2027"/>
      <c r="G109" s="2019" t="s">
        <v>35</v>
      </c>
      <c r="H109" s="2021"/>
      <c r="I109" s="2019" t="s">
        <v>45</v>
      </c>
      <c r="J109" s="2020"/>
      <c r="K109" s="2020"/>
      <c r="L109" s="2021"/>
      <c r="M109" s="2026" t="s">
        <v>46</v>
      </c>
    </row>
    <row r="110" spans="1:32" s="127" customFormat="1" ht="25.5" x14ac:dyDescent="0.2">
      <c r="A110" s="2028"/>
      <c r="B110" s="1481"/>
      <c r="C110" s="1472"/>
      <c r="D110" s="2028"/>
      <c r="E110" s="2028"/>
      <c r="F110" s="2028"/>
      <c r="G110" s="42" t="s">
        <v>43</v>
      </c>
      <c r="H110" s="42" t="s">
        <v>44</v>
      </c>
      <c r="I110" s="42" t="s">
        <v>55</v>
      </c>
      <c r="J110" s="841"/>
      <c r="K110" s="42" t="s">
        <v>43</v>
      </c>
      <c r="L110" s="42" t="s">
        <v>44</v>
      </c>
      <c r="M110" s="2028"/>
      <c r="AF110" s="127" t="s">
        <v>1392</v>
      </c>
    </row>
    <row r="111" spans="1:32" s="127" customFormat="1" ht="12.75" x14ac:dyDescent="0.2">
      <c r="A111" s="43">
        <v>1</v>
      </c>
      <c r="B111" s="1482">
        <v>2</v>
      </c>
      <c r="C111" s="2029"/>
      <c r="D111" s="43">
        <v>3</v>
      </c>
      <c r="E111" s="43">
        <v>4</v>
      </c>
      <c r="F111" s="43" t="s">
        <v>49</v>
      </c>
      <c r="G111" s="43">
        <v>6</v>
      </c>
      <c r="H111" s="43">
        <v>7</v>
      </c>
      <c r="I111" s="43">
        <v>8</v>
      </c>
      <c r="J111" s="43"/>
      <c r="K111" s="43">
        <v>9</v>
      </c>
      <c r="L111" s="43">
        <v>10</v>
      </c>
      <c r="M111" s="43">
        <v>11</v>
      </c>
    </row>
    <row r="112" spans="1:32" s="127" customFormat="1" ht="44.25" customHeight="1" x14ac:dyDescent="0.2">
      <c r="A112" s="342">
        <v>1</v>
      </c>
      <c r="B112" s="1459" t="s">
        <v>876</v>
      </c>
      <c r="C112" s="2030"/>
      <c r="D112" s="342">
        <v>40</v>
      </c>
      <c r="E112" s="608">
        <f>F112/D112</f>
        <v>2000</v>
      </c>
      <c r="F112" s="348">
        <f>G112+H112</f>
        <v>80000</v>
      </c>
      <c r="G112" s="348">
        <f>I38+I69+I102</f>
        <v>80000</v>
      </c>
      <c r="H112" s="348"/>
      <c r="I112" s="342"/>
      <c r="J112" s="342"/>
      <c r="K112" s="342"/>
      <c r="L112" s="342"/>
      <c r="M112" s="342"/>
    </row>
    <row r="113" spans="1:13" s="127" customFormat="1" ht="12.75" x14ac:dyDescent="0.2">
      <c r="A113" s="2031" t="s">
        <v>846</v>
      </c>
      <c r="B113" s="2032"/>
      <c r="C113" s="2033"/>
      <c r="D113" s="349" t="s">
        <v>3</v>
      </c>
      <c r="E113" s="349" t="s">
        <v>3</v>
      </c>
      <c r="F113" s="350">
        <f>F112</f>
        <v>80000</v>
      </c>
      <c r="G113" s="336">
        <f>G112</f>
        <v>80000</v>
      </c>
      <c r="H113" s="336">
        <f>H112</f>
        <v>0</v>
      </c>
      <c r="I113" s="342"/>
      <c r="J113" s="342"/>
      <c r="K113" s="342"/>
      <c r="L113" s="342"/>
      <c r="M113" s="342"/>
    </row>
    <row r="114" spans="1:13" s="127" customFormat="1" ht="12.75" x14ac:dyDescent="0.2"/>
    <row r="115" spans="1:13" s="127" customFormat="1" ht="12.75" x14ac:dyDescent="0.2"/>
    <row r="116" spans="1:13" s="127" customFormat="1" ht="12.75" x14ac:dyDescent="0.2"/>
    <row r="117" spans="1:13" s="127" customFormat="1" ht="12.75" x14ac:dyDescent="0.2"/>
    <row r="118" spans="1:13" s="127" customFormat="1" ht="12.75" x14ac:dyDescent="0.2"/>
    <row r="119" spans="1:13" s="127" customFormat="1" ht="12.75" x14ac:dyDescent="0.2"/>
    <row r="120" spans="1:13" s="127" customFormat="1" ht="12.75" x14ac:dyDescent="0.2"/>
    <row r="121" spans="1:13" s="127" customFormat="1" ht="12.75" x14ac:dyDescent="0.2"/>
    <row r="122" spans="1:13" s="127" customFormat="1" ht="12.75" x14ac:dyDescent="0.2"/>
    <row r="123" spans="1:13" s="127" customFormat="1" ht="12.75" x14ac:dyDescent="0.2"/>
    <row r="124" spans="1:13" s="127" customFormat="1" ht="12.75" x14ac:dyDescent="0.2"/>
    <row r="125" spans="1:13" s="127" customFormat="1" ht="12.75" x14ac:dyDescent="0.2"/>
    <row r="126" spans="1:13" s="127" customFormat="1" ht="12.75" x14ac:dyDescent="0.2"/>
    <row r="127" spans="1:13" s="127" customFormat="1" ht="12.75" x14ac:dyDescent="0.2"/>
    <row r="128" spans="1:13" s="127" customFormat="1" ht="12.75" x14ac:dyDescent="0.2"/>
    <row r="129" s="127" customFormat="1" ht="12.75" x14ac:dyDescent="0.2"/>
    <row r="130" s="127" customFormat="1" ht="12.75" x14ac:dyDescent="0.2"/>
    <row r="131" s="127" customFormat="1" ht="12.75" x14ac:dyDescent="0.2"/>
    <row r="132" s="127" customFormat="1" ht="12.75" x14ac:dyDescent="0.2"/>
    <row r="133" s="127" customFormat="1" ht="12.75" x14ac:dyDescent="0.2"/>
    <row r="134" s="127" customFormat="1" ht="12.75" x14ac:dyDescent="0.2"/>
    <row r="135" s="127" customFormat="1" ht="12.75" x14ac:dyDescent="0.2"/>
    <row r="136" s="127" customFormat="1" ht="12.75" x14ac:dyDescent="0.2"/>
    <row r="137" s="127" customFormat="1" ht="12.75" x14ac:dyDescent="0.2"/>
    <row r="138" s="127" customFormat="1" ht="12.75" x14ac:dyDescent="0.2"/>
    <row r="139" s="127" customFormat="1" ht="12.75" x14ac:dyDescent="0.2"/>
    <row r="140" s="127" customFormat="1" ht="12.75" x14ac:dyDescent="0.2"/>
    <row r="141" s="127" customFormat="1" ht="12.75" x14ac:dyDescent="0.2"/>
    <row r="142" s="127" customFormat="1" ht="12.75" x14ac:dyDescent="0.2"/>
    <row r="143" s="127" customFormat="1" ht="12.75" x14ac:dyDescent="0.2"/>
    <row r="144" s="127" customFormat="1" ht="12.75" x14ac:dyDescent="0.2"/>
    <row r="145" s="127" customFormat="1" ht="12.75" x14ac:dyDescent="0.2"/>
    <row r="146" s="127" customFormat="1" ht="12.75" x14ac:dyDescent="0.2"/>
    <row r="147" s="127" customFormat="1" ht="12.75" x14ac:dyDescent="0.2"/>
    <row r="148" s="127" customFormat="1" ht="12.75" x14ac:dyDescent="0.2"/>
    <row r="149" s="127" customFormat="1" ht="12.75" x14ac:dyDescent="0.2"/>
    <row r="150" s="127" customFormat="1" ht="12.75" x14ac:dyDescent="0.2"/>
    <row r="151" s="127" customFormat="1" ht="12.75" x14ac:dyDescent="0.2"/>
    <row r="152" s="127" customFormat="1" ht="12.75" x14ac:dyDescent="0.2"/>
    <row r="153" s="127" customFormat="1" ht="12.75" x14ac:dyDescent="0.2"/>
    <row r="154" s="127" customFormat="1" ht="12.75" x14ac:dyDescent="0.2"/>
    <row r="155" s="127" customFormat="1" ht="12.75" x14ac:dyDescent="0.2"/>
    <row r="156" s="127" customFormat="1" ht="12.75" x14ac:dyDescent="0.2"/>
    <row r="157" s="127" customFormat="1" ht="12.75" x14ac:dyDescent="0.2"/>
    <row r="158" s="127" customFormat="1" ht="12.75" x14ac:dyDescent="0.2"/>
    <row r="159" s="127" customFormat="1" ht="12.75" x14ac:dyDescent="0.2"/>
    <row r="160" s="127" customFormat="1" ht="12.75" x14ac:dyDescent="0.2"/>
    <row r="161" s="127" customFormat="1" ht="12.75" x14ac:dyDescent="0.2"/>
    <row r="162" s="127" customFormat="1" ht="12.75" x14ac:dyDescent="0.2"/>
    <row r="163" s="127" customFormat="1" ht="12.75" x14ac:dyDescent="0.2"/>
    <row r="164" s="127" customFormat="1" ht="12.75" x14ac:dyDescent="0.2"/>
    <row r="165" s="127" customFormat="1" ht="12.75" x14ac:dyDescent="0.2"/>
    <row r="166" s="127" customFormat="1" ht="12.75" x14ac:dyDescent="0.2"/>
    <row r="167" s="127" customFormat="1" ht="12.75" x14ac:dyDescent="0.2"/>
    <row r="168" s="127" customFormat="1" ht="12.75" x14ac:dyDescent="0.2"/>
    <row r="169" s="127" customFormat="1" ht="12.75" x14ac:dyDescent="0.2"/>
    <row r="170" s="127" customFormat="1" ht="12.75" x14ac:dyDescent="0.2"/>
    <row r="171" s="127" customFormat="1" ht="12.75" x14ac:dyDescent="0.2"/>
    <row r="172" s="127" customFormat="1" ht="12.75" x14ac:dyDescent="0.2"/>
    <row r="173" s="127" customFormat="1" ht="12.75" x14ac:dyDescent="0.2"/>
    <row r="174" s="127" customFormat="1" ht="12.75" x14ac:dyDescent="0.2"/>
    <row r="175" s="127" customFormat="1" ht="12.75" x14ac:dyDescent="0.2"/>
    <row r="176" s="127" customFormat="1" ht="12.75" x14ac:dyDescent="0.2"/>
    <row r="177" s="127" customFormat="1" ht="12.75" x14ac:dyDescent="0.2"/>
    <row r="178" s="127" customFormat="1" ht="12.75" x14ac:dyDescent="0.2"/>
    <row r="179" s="127" customFormat="1" ht="12.75" x14ac:dyDescent="0.2"/>
    <row r="180" s="127" customFormat="1" ht="12.75" x14ac:dyDescent="0.2"/>
    <row r="181" s="127" customFormat="1" ht="12.75" x14ac:dyDescent="0.2"/>
    <row r="182" s="127" customFormat="1" ht="12.75" x14ac:dyDescent="0.2"/>
    <row r="183" s="127" customFormat="1" ht="12.75" x14ac:dyDescent="0.2"/>
    <row r="184" s="127" customFormat="1" ht="12.75" x14ac:dyDescent="0.2"/>
    <row r="185" s="127" customFormat="1" ht="12.75" x14ac:dyDescent="0.2"/>
    <row r="186" s="127" customFormat="1" ht="12.75" x14ac:dyDescent="0.2"/>
    <row r="187" s="127" customFormat="1" ht="12.75" x14ac:dyDescent="0.2"/>
    <row r="188" s="127" customFormat="1" ht="12.75" x14ac:dyDescent="0.2"/>
    <row r="189" s="127" customFormat="1" ht="12.75" x14ac:dyDescent="0.2"/>
    <row r="190" s="127" customFormat="1" ht="12.75" x14ac:dyDescent="0.2"/>
    <row r="191" s="127" customFormat="1" ht="12.75" x14ac:dyDescent="0.2"/>
    <row r="192" s="127" customFormat="1" ht="12.75" x14ac:dyDescent="0.2"/>
    <row r="193" spans="1:15" s="127" customFormat="1" ht="12.75" x14ac:dyDescent="0.2"/>
    <row r="194" spans="1:15" s="127" customFormat="1" ht="12.75" x14ac:dyDescent="0.2"/>
    <row r="195" spans="1:15" s="127" customFormat="1" ht="12.75" x14ac:dyDescent="0.2"/>
    <row r="196" spans="1:15" s="127" customFormat="1" ht="12.75" x14ac:dyDescent="0.2"/>
    <row r="197" spans="1:15" s="127" customFormat="1" ht="12.75" x14ac:dyDescent="0.2"/>
    <row r="198" spans="1:15" s="127" customFormat="1" ht="12.75" x14ac:dyDescent="0.2"/>
    <row r="199" spans="1:15" s="127" customFormat="1" ht="12.75" x14ac:dyDescent="0.2"/>
    <row r="200" spans="1:15" s="127" customFormat="1" ht="12.75" x14ac:dyDescent="0.2"/>
    <row r="201" spans="1:15" s="127" customFormat="1" ht="12.75" x14ac:dyDescent="0.2"/>
    <row r="202" spans="1:15" s="127" customFormat="1" ht="12.75" x14ac:dyDescent="0.2"/>
    <row r="203" spans="1:15" s="127" customFormat="1" ht="12.75" x14ac:dyDescent="0.2"/>
    <row r="204" spans="1:15" s="127" customFormat="1" ht="12.75" x14ac:dyDescent="0.2"/>
    <row r="205" spans="1:15" s="127" customFormat="1" ht="12.75" x14ac:dyDescent="0.2"/>
    <row r="206" spans="1:15" s="127" customFormat="1" ht="12.75" x14ac:dyDescent="0.2"/>
    <row r="207" spans="1:15" x14ac:dyDescent="0.2">
      <c r="A207" s="127"/>
      <c r="B207" s="127"/>
      <c r="C207" s="127"/>
      <c r="D207" s="127"/>
      <c r="E207" s="127"/>
      <c r="F207" s="127"/>
      <c r="G207" s="127"/>
      <c r="H207" s="127"/>
      <c r="I207" s="127"/>
      <c r="J207" s="127"/>
      <c r="K207" s="127"/>
      <c r="L207" s="127"/>
      <c r="M207" s="127"/>
      <c r="N207" s="127"/>
      <c r="O207" s="127"/>
    </row>
    <row r="208" spans="1:15" x14ac:dyDescent="0.2">
      <c r="A208" s="127"/>
      <c r="B208" s="127"/>
      <c r="C208" s="127"/>
      <c r="D208" s="127"/>
      <c r="E208" s="127"/>
      <c r="F208" s="127"/>
      <c r="G208" s="127"/>
      <c r="H208" s="127"/>
      <c r="I208" s="127"/>
      <c r="J208" s="127"/>
      <c r="K208" s="127"/>
      <c r="L208" s="127"/>
      <c r="M208" s="127"/>
      <c r="N208" s="127"/>
      <c r="O208" s="127"/>
    </row>
    <row r="209" spans="1:15" x14ac:dyDescent="0.2">
      <c r="A209" s="127"/>
      <c r="B209" s="127"/>
      <c r="C209" s="127"/>
      <c r="D209" s="127"/>
      <c r="E209" s="127"/>
      <c r="F209" s="127"/>
      <c r="G209" s="127"/>
      <c r="H209" s="127"/>
      <c r="I209" s="127"/>
      <c r="J209" s="127"/>
      <c r="K209" s="127"/>
      <c r="L209" s="127"/>
      <c r="M209" s="127"/>
      <c r="N209" s="127"/>
      <c r="O209" s="127"/>
    </row>
    <row r="210" spans="1:15" x14ac:dyDescent="0.2">
      <c r="A210" s="127"/>
      <c r="B210" s="127"/>
      <c r="C210" s="127"/>
      <c r="D210" s="127"/>
      <c r="E210" s="127"/>
      <c r="F210" s="127"/>
      <c r="G210" s="127"/>
      <c r="H210" s="127"/>
      <c r="I210" s="127"/>
      <c r="J210" s="127"/>
      <c r="K210" s="127"/>
      <c r="L210" s="127"/>
      <c r="M210" s="127"/>
      <c r="N210" s="127"/>
      <c r="O210" s="127"/>
    </row>
    <row r="211" spans="1:15" x14ac:dyDescent="0.2">
      <c r="A211" s="127"/>
      <c r="B211" s="127"/>
      <c r="C211" s="127"/>
      <c r="D211" s="127"/>
      <c r="E211" s="127"/>
      <c r="F211" s="127"/>
      <c r="G211" s="127"/>
      <c r="H211" s="127"/>
      <c r="I211" s="127"/>
      <c r="J211" s="127"/>
      <c r="K211" s="127"/>
      <c r="L211" s="127"/>
      <c r="M211" s="127"/>
      <c r="N211" s="127"/>
      <c r="O211" s="127"/>
    </row>
    <row r="212" spans="1:15" x14ac:dyDescent="0.2">
      <c r="A212" s="127"/>
      <c r="B212" s="127"/>
      <c r="C212" s="127"/>
      <c r="D212" s="127"/>
      <c r="E212" s="127"/>
      <c r="F212" s="127"/>
      <c r="G212" s="127"/>
      <c r="H212" s="127"/>
      <c r="I212" s="127"/>
      <c r="J212" s="127"/>
      <c r="K212" s="127"/>
      <c r="L212" s="127"/>
      <c r="M212" s="127"/>
      <c r="N212" s="127"/>
      <c r="O212" s="127"/>
    </row>
    <row r="213" spans="1:15" x14ac:dyDescent="0.2">
      <c r="A213" s="127"/>
      <c r="B213" s="127"/>
      <c r="C213" s="127"/>
      <c r="D213" s="127"/>
      <c r="E213" s="127"/>
      <c r="F213" s="127"/>
      <c r="G213" s="127"/>
      <c r="H213" s="127"/>
      <c r="I213" s="127"/>
      <c r="J213" s="127"/>
      <c r="K213" s="127"/>
      <c r="L213" s="127"/>
      <c r="M213" s="127"/>
      <c r="N213" s="127"/>
      <c r="O213" s="127"/>
    </row>
    <row r="214" spans="1:15" x14ac:dyDescent="0.2">
      <c r="A214" s="127"/>
      <c r="B214" s="127"/>
      <c r="C214" s="127"/>
      <c r="D214" s="127"/>
      <c r="E214" s="127"/>
      <c r="F214" s="127"/>
      <c r="G214" s="127"/>
      <c r="H214" s="127"/>
      <c r="I214" s="127"/>
      <c r="J214" s="127"/>
      <c r="K214" s="127"/>
      <c r="L214" s="127"/>
      <c r="M214" s="127"/>
      <c r="N214" s="127"/>
      <c r="O214" s="127"/>
    </row>
    <row r="215" spans="1:15" x14ac:dyDescent="0.2">
      <c r="A215" s="127"/>
      <c r="B215" s="127"/>
      <c r="C215" s="127"/>
      <c r="D215" s="127"/>
      <c r="E215" s="127"/>
      <c r="F215" s="127"/>
      <c r="G215" s="127"/>
      <c r="H215" s="127"/>
      <c r="I215" s="127"/>
      <c r="J215" s="127"/>
      <c r="K215" s="127"/>
      <c r="L215" s="127"/>
      <c r="M215" s="127"/>
      <c r="N215" s="127"/>
      <c r="O215" s="127"/>
    </row>
    <row r="216" spans="1:15" x14ac:dyDescent="0.2">
      <c r="A216" s="127"/>
      <c r="B216" s="127"/>
      <c r="C216" s="127"/>
      <c r="D216" s="127"/>
      <c r="E216" s="127"/>
      <c r="F216" s="127"/>
      <c r="G216" s="127"/>
      <c r="H216" s="127"/>
      <c r="I216" s="127"/>
      <c r="J216" s="127"/>
      <c r="K216" s="127"/>
      <c r="L216" s="127"/>
      <c r="M216" s="127"/>
      <c r="N216" s="127"/>
      <c r="O216" s="127"/>
    </row>
    <row r="217" spans="1:15" x14ac:dyDescent="0.2">
      <c r="A217" s="127"/>
      <c r="B217" s="127"/>
      <c r="C217" s="127"/>
      <c r="D217" s="127"/>
      <c r="E217" s="127"/>
      <c r="F217" s="127"/>
      <c r="G217" s="127"/>
      <c r="H217" s="127"/>
      <c r="I217" s="127"/>
      <c r="J217" s="127"/>
      <c r="K217" s="127"/>
      <c r="L217" s="127"/>
      <c r="M217" s="127"/>
      <c r="N217" s="127"/>
      <c r="O217" s="127"/>
    </row>
    <row r="218" spans="1:15" x14ac:dyDescent="0.2">
      <c r="A218" s="127"/>
      <c r="B218" s="127"/>
      <c r="C218" s="127"/>
      <c r="D218" s="127"/>
      <c r="E218" s="127"/>
      <c r="F218" s="127"/>
      <c r="G218" s="127"/>
      <c r="H218" s="127"/>
      <c r="I218" s="127"/>
      <c r="J218" s="127"/>
      <c r="K218" s="127"/>
      <c r="L218" s="127"/>
      <c r="M218" s="127"/>
      <c r="N218" s="127"/>
      <c r="O218" s="127"/>
    </row>
    <row r="219" spans="1:15" x14ac:dyDescent="0.2">
      <c r="A219" s="127"/>
      <c r="B219" s="127"/>
      <c r="C219" s="127"/>
      <c r="D219" s="127"/>
      <c r="E219" s="127"/>
      <c r="F219" s="127"/>
      <c r="G219" s="127"/>
      <c r="H219" s="127"/>
      <c r="I219" s="127"/>
      <c r="J219" s="127"/>
      <c r="K219" s="127"/>
      <c r="L219" s="127"/>
      <c r="M219" s="127"/>
      <c r="N219" s="127"/>
      <c r="O219" s="127"/>
    </row>
    <row r="220" spans="1:15" x14ac:dyDescent="0.2">
      <c r="A220" s="127"/>
      <c r="B220" s="127"/>
      <c r="C220" s="127"/>
      <c r="D220" s="127"/>
      <c r="E220" s="127"/>
      <c r="F220" s="127"/>
      <c r="G220" s="127"/>
      <c r="H220" s="127"/>
      <c r="I220" s="127"/>
      <c r="J220" s="127"/>
      <c r="K220" s="127"/>
      <c r="L220" s="127"/>
      <c r="M220" s="127"/>
      <c r="N220" s="127"/>
      <c r="O220" s="127"/>
    </row>
    <row r="221" spans="1:15" x14ac:dyDescent="0.2">
      <c r="A221" s="127"/>
      <c r="B221" s="127"/>
      <c r="C221" s="127"/>
      <c r="D221" s="127"/>
      <c r="E221" s="127"/>
      <c r="F221" s="127"/>
      <c r="G221" s="127"/>
      <c r="H221" s="127"/>
      <c r="I221" s="127"/>
      <c r="J221" s="127"/>
      <c r="K221" s="127"/>
      <c r="L221" s="127"/>
      <c r="M221" s="127"/>
      <c r="N221" s="127"/>
      <c r="O221" s="127"/>
    </row>
    <row r="222" spans="1:15" x14ac:dyDescent="0.2">
      <c r="A222" s="127"/>
      <c r="B222" s="127"/>
      <c r="C222" s="127"/>
      <c r="D222" s="127"/>
      <c r="E222" s="127"/>
      <c r="F222" s="127"/>
      <c r="G222" s="127"/>
      <c r="H222" s="127"/>
      <c r="I222" s="127"/>
      <c r="J222" s="127"/>
      <c r="K222" s="127"/>
      <c r="L222" s="127"/>
      <c r="M222" s="127"/>
      <c r="N222" s="127"/>
      <c r="O222" s="127"/>
    </row>
    <row r="223" spans="1:15" x14ac:dyDescent="0.2">
      <c r="A223" s="127"/>
      <c r="B223" s="127"/>
      <c r="C223" s="127"/>
      <c r="D223" s="127"/>
      <c r="E223" s="127"/>
      <c r="F223" s="127"/>
      <c r="G223" s="127"/>
      <c r="H223" s="127"/>
      <c r="I223" s="127"/>
      <c r="J223" s="127"/>
      <c r="K223" s="127"/>
      <c r="L223" s="127"/>
      <c r="M223" s="127"/>
      <c r="N223" s="127"/>
      <c r="O223" s="127"/>
    </row>
    <row r="224" spans="1:15" x14ac:dyDescent="0.2">
      <c r="A224" s="127"/>
      <c r="B224" s="127"/>
      <c r="C224" s="127"/>
      <c r="D224" s="127"/>
      <c r="E224" s="127"/>
      <c r="F224" s="127"/>
      <c r="G224" s="127"/>
      <c r="H224" s="127"/>
      <c r="I224" s="127"/>
      <c r="J224" s="127"/>
      <c r="K224" s="127"/>
      <c r="L224" s="127"/>
      <c r="M224" s="127"/>
      <c r="N224" s="127"/>
      <c r="O224" s="127"/>
    </row>
    <row r="225" spans="1:15" x14ac:dyDescent="0.2">
      <c r="A225" s="127"/>
      <c r="B225" s="127"/>
      <c r="C225" s="127"/>
      <c r="D225" s="127"/>
      <c r="E225" s="127"/>
      <c r="F225" s="127"/>
      <c r="G225" s="127"/>
      <c r="H225" s="127"/>
      <c r="I225" s="127"/>
      <c r="J225" s="127"/>
      <c r="K225" s="127"/>
      <c r="L225" s="127"/>
      <c r="M225" s="127"/>
      <c r="N225" s="127"/>
      <c r="O225" s="127"/>
    </row>
    <row r="226" spans="1:15" x14ac:dyDescent="0.2">
      <c r="A226" s="127"/>
      <c r="B226" s="127"/>
      <c r="C226" s="127"/>
      <c r="D226" s="127"/>
      <c r="E226" s="127"/>
      <c r="F226" s="127"/>
      <c r="G226" s="127"/>
      <c r="H226" s="127"/>
      <c r="I226" s="127"/>
      <c r="J226" s="127"/>
      <c r="K226" s="127"/>
      <c r="L226" s="127"/>
      <c r="M226" s="127"/>
      <c r="N226" s="127"/>
      <c r="O226" s="127"/>
    </row>
    <row r="227" spans="1:15" x14ac:dyDescent="0.2">
      <c r="A227" s="127"/>
      <c r="B227" s="127"/>
      <c r="C227" s="127"/>
      <c r="D227" s="127"/>
      <c r="E227" s="127"/>
      <c r="F227" s="127"/>
      <c r="G227" s="127"/>
      <c r="H227" s="127"/>
      <c r="I227" s="127"/>
      <c r="J227" s="127"/>
      <c r="K227" s="127"/>
      <c r="L227" s="127"/>
      <c r="M227" s="127"/>
      <c r="N227" s="127"/>
      <c r="O227" s="127"/>
    </row>
    <row r="228" spans="1:15" x14ac:dyDescent="0.2">
      <c r="A228" s="127"/>
      <c r="B228" s="127"/>
      <c r="C228" s="127"/>
      <c r="D228" s="127"/>
      <c r="E228" s="127"/>
      <c r="F228" s="127"/>
      <c r="G228" s="127"/>
      <c r="H228" s="127"/>
      <c r="I228" s="127"/>
      <c r="J228" s="127"/>
      <c r="K228" s="127"/>
      <c r="L228" s="127"/>
      <c r="M228" s="127"/>
      <c r="N228" s="127"/>
      <c r="O228" s="127"/>
    </row>
    <row r="229" spans="1:15" x14ac:dyDescent="0.2">
      <c r="A229" s="127"/>
      <c r="B229" s="127"/>
      <c r="C229" s="127"/>
      <c r="D229" s="127"/>
      <c r="E229" s="127"/>
      <c r="F229" s="127"/>
      <c r="G229" s="127"/>
      <c r="H229" s="127"/>
      <c r="I229" s="127"/>
      <c r="J229" s="127"/>
      <c r="K229" s="127"/>
      <c r="L229" s="127"/>
      <c r="M229" s="127"/>
      <c r="N229" s="127"/>
      <c r="O229" s="127"/>
    </row>
    <row r="230" spans="1:15" x14ac:dyDescent="0.2">
      <c r="A230" s="127"/>
      <c r="B230" s="127"/>
      <c r="C230" s="127"/>
      <c r="D230" s="127"/>
      <c r="E230" s="127"/>
      <c r="F230" s="127"/>
      <c r="G230" s="127"/>
      <c r="H230" s="127"/>
      <c r="I230" s="127"/>
      <c r="J230" s="127"/>
      <c r="K230" s="127"/>
      <c r="L230" s="127"/>
      <c r="M230" s="127"/>
      <c r="N230" s="127"/>
      <c r="O230" s="127"/>
    </row>
    <row r="231" spans="1:15" x14ac:dyDescent="0.2">
      <c r="A231" s="127"/>
      <c r="B231" s="127"/>
      <c r="C231" s="127"/>
      <c r="D231" s="127"/>
      <c r="E231" s="127"/>
      <c r="F231" s="127"/>
      <c r="G231" s="127"/>
      <c r="H231" s="127"/>
      <c r="I231" s="127"/>
      <c r="J231" s="127"/>
      <c r="K231" s="127"/>
      <c r="L231" s="127"/>
      <c r="M231" s="127"/>
      <c r="N231" s="127"/>
      <c r="O231" s="127"/>
    </row>
    <row r="232" spans="1:15" x14ac:dyDescent="0.2">
      <c r="A232" s="127"/>
      <c r="B232" s="127"/>
      <c r="C232" s="127"/>
      <c r="D232" s="127"/>
      <c r="E232" s="127"/>
      <c r="F232" s="127"/>
      <c r="G232" s="127"/>
      <c r="H232" s="127"/>
      <c r="I232" s="127"/>
      <c r="J232" s="127"/>
      <c r="K232" s="127"/>
      <c r="L232" s="127"/>
      <c r="M232" s="127"/>
      <c r="N232" s="127"/>
      <c r="O232" s="127"/>
    </row>
    <row r="233" spans="1:15" x14ac:dyDescent="0.2">
      <c r="A233" s="127"/>
      <c r="B233" s="127"/>
      <c r="C233" s="127"/>
      <c r="D233" s="127"/>
      <c r="E233" s="127"/>
      <c r="F233" s="127"/>
      <c r="G233" s="127"/>
      <c r="H233" s="127"/>
      <c r="I233" s="127"/>
      <c r="J233" s="127"/>
      <c r="K233" s="127"/>
      <c r="L233" s="127"/>
      <c r="M233" s="127"/>
      <c r="N233" s="127"/>
      <c r="O233" s="127"/>
    </row>
    <row r="234" spans="1:15" x14ac:dyDescent="0.2">
      <c r="A234" s="127"/>
      <c r="B234" s="127"/>
      <c r="C234" s="127"/>
      <c r="D234" s="127"/>
      <c r="E234" s="127"/>
      <c r="F234" s="127"/>
      <c r="G234" s="127"/>
      <c r="H234" s="127"/>
      <c r="I234" s="127"/>
      <c r="J234" s="127"/>
      <c r="K234" s="127"/>
      <c r="L234" s="127"/>
      <c r="M234" s="127"/>
      <c r="N234" s="127"/>
      <c r="O234" s="127"/>
    </row>
    <row r="235" spans="1:15" x14ac:dyDescent="0.2">
      <c r="A235" s="127"/>
      <c r="B235" s="127"/>
      <c r="C235" s="127"/>
      <c r="D235" s="127"/>
      <c r="E235" s="127"/>
      <c r="F235" s="127"/>
      <c r="G235" s="127"/>
      <c r="H235" s="127"/>
      <c r="I235" s="127"/>
      <c r="J235" s="127"/>
      <c r="K235" s="127"/>
      <c r="L235" s="127"/>
      <c r="M235" s="127"/>
      <c r="N235" s="127"/>
      <c r="O235" s="127"/>
    </row>
  </sheetData>
  <mergeCells count="69">
    <mergeCell ref="C72:C74"/>
    <mergeCell ref="D72:G72"/>
    <mergeCell ref="H72:H74"/>
    <mergeCell ref="I72:O72"/>
    <mergeCell ref="D73:D74"/>
    <mergeCell ref="E73:E74"/>
    <mergeCell ref="F73:F74"/>
    <mergeCell ref="G73:G74"/>
    <mergeCell ref="I73:K73"/>
    <mergeCell ref="L73:N73"/>
    <mergeCell ref="O73:O74"/>
    <mergeCell ref="B111:C111"/>
    <mergeCell ref="B112:C112"/>
    <mergeCell ref="A113:C113"/>
    <mergeCell ref="A100:B100"/>
    <mergeCell ref="A102:B102"/>
    <mergeCell ref="A104:B104"/>
    <mergeCell ref="A103:B103"/>
    <mergeCell ref="A101:B101"/>
    <mergeCell ref="A37:B37"/>
    <mergeCell ref="A106:O106"/>
    <mergeCell ref="A108:A110"/>
    <mergeCell ref="B108:C110"/>
    <mergeCell ref="D108:D110"/>
    <mergeCell ref="E108:E110"/>
    <mergeCell ref="F108:F110"/>
    <mergeCell ref="G108:M108"/>
    <mergeCell ref="G109:H109"/>
    <mergeCell ref="I109:L109"/>
    <mergeCell ref="A38:B38"/>
    <mergeCell ref="A39:B39"/>
    <mergeCell ref="M109:M110"/>
    <mergeCell ref="A72:A74"/>
    <mergeCell ref="B72:B74"/>
    <mergeCell ref="F71:H71"/>
    <mergeCell ref="A4:O4"/>
    <mergeCell ref="A10:B10"/>
    <mergeCell ref="A11:A13"/>
    <mergeCell ref="B11:B13"/>
    <mergeCell ref="C11:C13"/>
    <mergeCell ref="D11:G11"/>
    <mergeCell ref="I11:O11"/>
    <mergeCell ref="D12:D13"/>
    <mergeCell ref="E12:E13"/>
    <mergeCell ref="F12:F13"/>
    <mergeCell ref="G12:G13"/>
    <mergeCell ref="I12:K12"/>
    <mergeCell ref="L12:N12"/>
    <mergeCell ref="O12:O13"/>
    <mergeCell ref="H11:H13"/>
    <mergeCell ref="F10:H10"/>
    <mergeCell ref="A40:B40"/>
    <mergeCell ref="F40:H40"/>
    <mergeCell ref="A41:A43"/>
    <mergeCell ref="B41:B43"/>
    <mergeCell ref="C41:C43"/>
    <mergeCell ref="D41:G41"/>
    <mergeCell ref="H41:H43"/>
    <mergeCell ref="A68:B68"/>
    <mergeCell ref="A69:B69"/>
    <mergeCell ref="A70:B70"/>
    <mergeCell ref="I41:O41"/>
    <mergeCell ref="D42:D43"/>
    <mergeCell ref="E42:E43"/>
    <mergeCell ref="F42:F43"/>
    <mergeCell ref="G42:G43"/>
    <mergeCell ref="I42:K42"/>
    <mergeCell ref="L42:N42"/>
    <mergeCell ref="O42:O43"/>
  </mergeCells>
  <pageMargins left="0.19685039370078741" right="0.19685039370078741" top="0.59055118110236227" bottom="0.19685039370078741" header="0.27559055118110237" footer="0.27559055118110237"/>
  <pageSetup paperSize="9" scale="66" fitToHeight="0" orientation="landscape" r:id="rId1"/>
  <headerFooter alignWithMargins="0"/>
  <rowBreaks count="2" manualBreakCount="2">
    <brk id="39" max="14" man="1"/>
    <brk id="70" max="1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P25"/>
  <sheetViews>
    <sheetView view="pageBreakPreview" topLeftCell="A13" zoomScale="87" zoomScaleNormal="70" zoomScaleSheetLayoutView="87" workbookViewId="0">
      <selection activeCell="F9" sqref="F9"/>
    </sheetView>
  </sheetViews>
  <sheetFormatPr defaultColWidth="9.140625" defaultRowHeight="15" x14ac:dyDescent="0.25"/>
  <cols>
    <col min="1" max="1" width="8.28515625" style="578" customWidth="1"/>
    <col min="2" max="2" width="56" style="577" customWidth="1"/>
    <col min="3" max="3" width="16.5703125" style="577" customWidth="1"/>
    <col min="4" max="4" width="17" style="577" customWidth="1"/>
    <col min="5" max="5" width="16.5703125" style="577" customWidth="1"/>
    <col min="6" max="6" width="15.140625" style="577" customWidth="1"/>
    <col min="7" max="7" width="16.140625" style="577" customWidth="1"/>
    <col min="8" max="10" width="9.140625" style="577"/>
    <col min="11" max="11" width="16.42578125" style="577" customWidth="1"/>
    <col min="12" max="12" width="9.140625" style="577"/>
    <col min="13" max="13" width="20.5703125" style="577" customWidth="1"/>
    <col min="14" max="14" width="14.28515625" style="577" bestFit="1" customWidth="1"/>
    <col min="15" max="15" width="16" style="577" bestFit="1" customWidth="1"/>
    <col min="16" max="16" width="17.85546875" style="577" customWidth="1"/>
    <col min="17" max="16384" width="9.140625" style="577"/>
  </cols>
  <sheetData>
    <row r="1" spans="1:16" s="557" customFormat="1" ht="19.5" customHeight="1" x14ac:dyDescent="0.25">
      <c r="A1" s="2038" t="s">
        <v>953</v>
      </c>
      <c r="B1" s="2038"/>
      <c r="C1" s="2038"/>
      <c r="D1" s="2038"/>
      <c r="E1" s="2038"/>
      <c r="F1" s="2038"/>
      <c r="G1" s="2038"/>
      <c r="H1" s="2038"/>
      <c r="I1" s="2038"/>
      <c r="J1" s="2038"/>
      <c r="K1" s="2038"/>
    </row>
    <row r="2" spans="1:16" s="559" customFormat="1" ht="12.75" customHeight="1" x14ac:dyDescent="0.15">
      <c r="A2" s="558"/>
    </row>
    <row r="3" spans="1:16" s="561" customFormat="1" ht="33.75" customHeight="1" x14ac:dyDescent="0.2">
      <c r="A3" s="2039" t="s">
        <v>38</v>
      </c>
      <c r="B3" s="2042" t="s">
        <v>7</v>
      </c>
      <c r="C3" s="2045" t="s">
        <v>56</v>
      </c>
      <c r="D3" s="2045" t="s">
        <v>57</v>
      </c>
      <c r="E3" s="2048" t="s">
        <v>52</v>
      </c>
      <c r="F3" s="2049"/>
      <c r="G3" s="2049"/>
      <c r="H3" s="2049"/>
      <c r="I3" s="2049"/>
      <c r="J3" s="2049"/>
      <c r="K3" s="2050"/>
    </row>
    <row r="4" spans="1:16" s="561" customFormat="1" ht="87.75" customHeight="1" x14ac:dyDescent="0.2">
      <c r="A4" s="2040"/>
      <c r="B4" s="2043"/>
      <c r="C4" s="2046"/>
      <c r="D4" s="2046"/>
      <c r="E4" s="2051" t="s">
        <v>35</v>
      </c>
      <c r="F4" s="2052"/>
      <c r="G4" s="2053"/>
      <c r="H4" s="2051" t="s">
        <v>45</v>
      </c>
      <c r="I4" s="2052"/>
      <c r="J4" s="2053"/>
      <c r="K4" s="2035" t="s">
        <v>46</v>
      </c>
    </row>
    <row r="5" spans="1:16" s="561" customFormat="1" ht="12.75" customHeight="1" x14ac:dyDescent="0.2">
      <c r="A5" s="2040"/>
      <c r="B5" s="2043"/>
      <c r="C5" s="2046"/>
      <c r="D5" s="2046"/>
      <c r="E5" s="2035" t="s">
        <v>43</v>
      </c>
      <c r="F5" s="2035" t="s">
        <v>592</v>
      </c>
      <c r="G5" s="2035" t="s">
        <v>44</v>
      </c>
      <c r="H5" s="2035" t="s">
        <v>55</v>
      </c>
      <c r="I5" s="2035" t="s">
        <v>43</v>
      </c>
      <c r="J5" s="2035" t="s">
        <v>44</v>
      </c>
      <c r="K5" s="2054"/>
    </row>
    <row r="6" spans="1:16" s="561" customFormat="1" ht="30.75" customHeight="1" x14ac:dyDescent="0.2">
      <c r="A6" s="2041"/>
      <c r="B6" s="2044"/>
      <c r="C6" s="2047"/>
      <c r="D6" s="2047"/>
      <c r="E6" s="2036"/>
      <c r="F6" s="2036"/>
      <c r="G6" s="2036"/>
      <c r="H6" s="2036"/>
      <c r="I6" s="2036"/>
      <c r="J6" s="2036"/>
      <c r="K6" s="2036"/>
    </row>
    <row r="7" spans="1:16" s="561" customFormat="1" ht="12.75" x14ac:dyDescent="0.2">
      <c r="A7" s="562">
        <v>1</v>
      </c>
      <c r="B7" s="560">
        <v>2</v>
      </c>
      <c r="C7" s="563">
        <v>3</v>
      </c>
      <c r="D7" s="560">
        <v>4</v>
      </c>
      <c r="E7" s="564">
        <v>5</v>
      </c>
      <c r="F7" s="564">
        <v>6</v>
      </c>
      <c r="G7" s="564">
        <v>7</v>
      </c>
      <c r="H7" s="564">
        <v>8</v>
      </c>
      <c r="I7" s="564">
        <v>9</v>
      </c>
      <c r="J7" s="564">
        <v>10</v>
      </c>
      <c r="K7" s="564">
        <v>11</v>
      </c>
    </row>
    <row r="8" spans="1:16" s="561" customFormat="1" ht="51" x14ac:dyDescent="0.2">
      <c r="A8" s="562">
        <v>1</v>
      </c>
      <c r="B8" s="565" t="s">
        <v>954</v>
      </c>
      <c r="C8" s="562" t="s">
        <v>3</v>
      </c>
      <c r="D8" s="566">
        <f>D9</f>
        <v>6034774.4000000004</v>
      </c>
      <c r="E8" s="566">
        <f>E9</f>
        <v>5342406.54</v>
      </c>
      <c r="F8" s="566">
        <f>F9</f>
        <v>478887.86000000004</v>
      </c>
      <c r="G8" s="566">
        <f t="shared" ref="G8" si="0">G9</f>
        <v>213480</v>
      </c>
      <c r="H8" s="567"/>
      <c r="I8" s="567"/>
      <c r="J8" s="567"/>
      <c r="K8" s="567"/>
    </row>
    <row r="9" spans="1:16" s="561" customFormat="1" ht="51" x14ac:dyDescent="0.2">
      <c r="A9" s="562" t="s">
        <v>8</v>
      </c>
      <c r="B9" s="565" t="s">
        <v>955</v>
      </c>
      <c r="C9" s="375">
        <f>C18</f>
        <v>20115919.807490002</v>
      </c>
      <c r="D9" s="566">
        <f>SUM(E9:G9)</f>
        <v>6034774.4000000004</v>
      </c>
      <c r="E9" s="566">
        <v>5342406.54</v>
      </c>
      <c r="F9" s="566">
        <f>252000+48502.3+172387.1+5998.46</f>
        <v>478887.86000000004</v>
      </c>
      <c r="G9" s="566">
        <v>213480</v>
      </c>
      <c r="H9" s="562"/>
      <c r="I9" s="562"/>
      <c r="J9" s="562"/>
      <c r="K9" s="562"/>
      <c r="M9" s="844"/>
    </row>
    <row r="10" spans="1:16" s="561" customFormat="1" ht="25.5" x14ac:dyDescent="0.2">
      <c r="A10" s="562" t="s">
        <v>12</v>
      </c>
      <c r="B10" s="565" t="s">
        <v>956</v>
      </c>
      <c r="C10" s="568"/>
      <c r="D10" s="568"/>
      <c r="E10" s="567"/>
      <c r="F10" s="567"/>
      <c r="G10" s="567"/>
      <c r="H10" s="567"/>
      <c r="I10" s="567"/>
      <c r="J10" s="567"/>
      <c r="K10" s="567"/>
      <c r="P10" s="561">
        <f>840000*30.2%</f>
        <v>253680</v>
      </c>
    </row>
    <row r="11" spans="1:16" s="561" customFormat="1" ht="25.5" x14ac:dyDescent="0.2">
      <c r="A11" s="562" t="s">
        <v>13</v>
      </c>
      <c r="B11" s="565" t="s">
        <v>957</v>
      </c>
      <c r="C11" s="568"/>
      <c r="D11" s="568"/>
      <c r="E11" s="562"/>
      <c r="F11" s="562"/>
      <c r="G11" s="562"/>
      <c r="H11" s="562"/>
      <c r="I11" s="562"/>
      <c r="J11" s="562"/>
      <c r="K11" s="562"/>
      <c r="O11" s="561">
        <f>711600*30.2%</f>
        <v>214903.19999999998</v>
      </c>
      <c r="P11" s="561">
        <f>711600*0.2%</f>
        <v>1423.2</v>
      </c>
    </row>
    <row r="12" spans="1:16" s="561" customFormat="1" ht="38.25" x14ac:dyDescent="0.2">
      <c r="A12" s="569" t="s">
        <v>502</v>
      </c>
      <c r="B12" s="565" t="s">
        <v>958</v>
      </c>
      <c r="C12" s="562" t="s">
        <v>3</v>
      </c>
      <c r="D12" s="562"/>
      <c r="E12" s="562"/>
      <c r="F12" s="562"/>
      <c r="G12" s="562"/>
      <c r="H12" s="562"/>
      <c r="I12" s="562"/>
      <c r="J12" s="562"/>
      <c r="K12" s="562"/>
      <c r="M12" s="844"/>
      <c r="O12" s="844"/>
      <c r="P12" s="561">
        <f>711600*30%</f>
        <v>213480</v>
      </c>
    </row>
    <row r="13" spans="1:16" s="561" customFormat="1" ht="12.75" x14ac:dyDescent="0.2">
      <c r="A13" s="562"/>
      <c r="B13" s="567"/>
      <c r="C13" s="562"/>
      <c r="D13" s="562"/>
      <c r="E13" s="562"/>
      <c r="F13" s="562"/>
      <c r="G13" s="562"/>
      <c r="H13" s="562"/>
      <c r="I13" s="562"/>
      <c r="J13" s="562"/>
      <c r="K13" s="562"/>
      <c r="M13" s="844"/>
    </row>
    <row r="14" spans="1:16" s="561" customFormat="1" ht="25.5" x14ac:dyDescent="0.2">
      <c r="A14" s="569" t="s">
        <v>512</v>
      </c>
      <c r="B14" s="565" t="s">
        <v>959</v>
      </c>
      <c r="C14" s="570"/>
      <c r="D14" s="570"/>
      <c r="E14" s="570"/>
      <c r="F14" s="570"/>
      <c r="G14" s="570"/>
      <c r="H14" s="570"/>
      <c r="I14" s="570"/>
      <c r="J14" s="570"/>
      <c r="K14" s="570"/>
    </row>
    <row r="15" spans="1:16" s="561" customFormat="1" ht="38.25" x14ac:dyDescent="0.2">
      <c r="A15" s="569" t="s">
        <v>515</v>
      </c>
      <c r="B15" s="565" t="s">
        <v>958</v>
      </c>
      <c r="C15" s="570"/>
      <c r="D15" s="570"/>
      <c r="E15" s="570"/>
      <c r="F15" s="570"/>
      <c r="G15" s="570"/>
      <c r="H15" s="570"/>
      <c r="I15" s="570"/>
      <c r="J15" s="570"/>
      <c r="K15" s="570"/>
      <c r="M15" s="867">
        <f>'0702 211,266'!I104</f>
        <v>17808021.797490001</v>
      </c>
      <c r="O15" s="867">
        <f>M15</f>
        <v>17808021.797490001</v>
      </c>
    </row>
    <row r="16" spans="1:16" s="561" customFormat="1" ht="12.75" x14ac:dyDescent="0.2">
      <c r="A16" s="562"/>
      <c r="B16" s="567"/>
      <c r="C16" s="570"/>
      <c r="D16" s="570"/>
      <c r="E16" s="570"/>
      <c r="F16" s="570"/>
      <c r="G16" s="570"/>
      <c r="H16" s="570"/>
      <c r="I16" s="570"/>
      <c r="J16" s="570"/>
      <c r="K16" s="570"/>
    </row>
    <row r="17" spans="1:16" s="561" customFormat="1" ht="38.25" x14ac:dyDescent="0.2">
      <c r="A17" s="562" t="s">
        <v>960</v>
      </c>
      <c r="B17" s="565" t="s">
        <v>961</v>
      </c>
      <c r="C17" s="571">
        <f>C18</f>
        <v>20115919.807490002</v>
      </c>
      <c r="D17" s="571">
        <f t="shared" ref="D17:G17" si="1">D18</f>
        <v>40231.83</v>
      </c>
      <c r="E17" s="571">
        <f>E18</f>
        <v>35616.04</v>
      </c>
      <c r="F17" s="571">
        <f>F18</f>
        <v>3192.59</v>
      </c>
      <c r="G17" s="571">
        <f t="shared" si="1"/>
        <v>1423.2</v>
      </c>
      <c r="H17" s="562"/>
      <c r="I17" s="562"/>
      <c r="J17" s="562"/>
      <c r="K17" s="562"/>
      <c r="M17" s="844">
        <f>M15*30.2%</f>
        <v>5378022.5828419803</v>
      </c>
      <c r="O17" s="868" t="e">
        <f>'расчет ФОТ обл ш с 01.01-30.06.'!W28+'расчет ФОТ обл ш с 01.07-31.08.'!#REF!+'расчет ФОТ обл ш с 01.09-31.12.'!#REF!</f>
        <v>#REF!</v>
      </c>
    </row>
    <row r="18" spans="1:16" s="561" customFormat="1" ht="51" x14ac:dyDescent="0.2">
      <c r="A18" s="569" t="s">
        <v>962</v>
      </c>
      <c r="B18" s="565" t="s">
        <v>963</v>
      </c>
      <c r="C18" s="375">
        <f>'0702 211,266'!H104</f>
        <v>20115919.807490002</v>
      </c>
      <c r="D18" s="375">
        <f>SUM(E18:G18)</f>
        <v>40231.83</v>
      </c>
      <c r="E18" s="358">
        <v>35616.04</v>
      </c>
      <c r="F18" s="358">
        <f>1680+323.35+1149.24+40</f>
        <v>3192.59</v>
      </c>
      <c r="G18" s="358">
        <v>1423.2</v>
      </c>
      <c r="H18" s="562"/>
      <c r="I18" s="562"/>
      <c r="J18" s="562"/>
      <c r="K18" s="562"/>
      <c r="M18" s="844">
        <f>M15*0.2%</f>
        <v>35616.043594980001</v>
      </c>
      <c r="O18" s="868">
        <f>O15*30%</f>
        <v>5342406.5392469997</v>
      </c>
    </row>
    <row r="19" spans="1:16" s="561" customFormat="1" ht="25.5" x14ac:dyDescent="0.2">
      <c r="A19" s="569" t="s">
        <v>964</v>
      </c>
      <c r="B19" s="565" t="s">
        <v>965</v>
      </c>
      <c r="C19" s="568"/>
      <c r="D19" s="568"/>
      <c r="E19" s="562"/>
      <c r="F19" s="562"/>
      <c r="G19" s="562"/>
      <c r="H19" s="562"/>
      <c r="I19" s="562"/>
      <c r="J19" s="562"/>
      <c r="K19" s="562"/>
      <c r="M19" s="844">
        <f>M15*30%</f>
        <v>5342406.5392469997</v>
      </c>
      <c r="O19" s="868">
        <f>O15*0.2%</f>
        <v>35616.043594980001</v>
      </c>
    </row>
    <row r="20" spans="1:16" s="561" customFormat="1" ht="25.5" x14ac:dyDescent="0.2">
      <c r="A20" s="569" t="s">
        <v>966</v>
      </c>
      <c r="B20" s="565" t="s">
        <v>967</v>
      </c>
      <c r="C20" s="568"/>
      <c r="D20" s="568"/>
      <c r="E20" s="562"/>
      <c r="F20" s="562"/>
      <c r="G20" s="562"/>
      <c r="H20" s="562"/>
      <c r="I20" s="562"/>
      <c r="J20" s="562"/>
      <c r="K20" s="562"/>
    </row>
    <row r="21" spans="1:16" s="561" customFormat="1" ht="38.25" x14ac:dyDescent="0.2">
      <c r="A21" s="569" t="s">
        <v>968</v>
      </c>
      <c r="B21" s="565" t="s">
        <v>969</v>
      </c>
      <c r="C21" s="568"/>
      <c r="D21" s="568"/>
      <c r="E21" s="562"/>
      <c r="F21" s="562"/>
      <c r="G21" s="562"/>
      <c r="H21" s="562"/>
      <c r="I21" s="562"/>
      <c r="J21" s="562"/>
      <c r="K21" s="562"/>
    </row>
    <row r="22" spans="1:16" s="561" customFormat="1" ht="25.5" customHeight="1" x14ac:dyDescent="0.2">
      <c r="A22" s="569" t="s">
        <v>970</v>
      </c>
      <c r="B22" s="565" t="s">
        <v>971</v>
      </c>
      <c r="C22" s="568"/>
      <c r="D22" s="568"/>
      <c r="E22" s="562"/>
      <c r="F22" s="562"/>
      <c r="G22" s="562"/>
      <c r="H22" s="562"/>
      <c r="I22" s="562"/>
      <c r="J22" s="562"/>
      <c r="K22" s="562"/>
      <c r="M22" s="844">
        <f>C18*30.2%</f>
        <v>6075007.7818619804</v>
      </c>
      <c r="N22" s="844">
        <f>C18*30%</f>
        <v>6034775.9422470005</v>
      </c>
      <c r="O22" s="844">
        <f>C18*0.2%</f>
        <v>40231.839614980003</v>
      </c>
    </row>
    <row r="23" spans="1:16" s="576" customFormat="1" ht="24" customHeight="1" x14ac:dyDescent="0.2">
      <c r="A23" s="572"/>
      <c r="B23" s="573" t="s">
        <v>61</v>
      </c>
      <c r="C23" s="574" t="s">
        <v>3</v>
      </c>
      <c r="D23" s="381">
        <f>SUM(E23:G23)</f>
        <v>6075003.0300000003</v>
      </c>
      <c r="E23" s="337">
        <f>E18+E9</f>
        <v>5378022.5800000001</v>
      </c>
      <c r="F23" s="337">
        <f>F8+F17</f>
        <v>482080.45000000007</v>
      </c>
      <c r="G23" s="337">
        <v>214900</v>
      </c>
      <c r="H23" s="574" t="s">
        <v>3</v>
      </c>
      <c r="I23" s="575"/>
      <c r="J23" s="575"/>
      <c r="K23" s="575"/>
    </row>
    <row r="24" spans="1:16" ht="56.25" customHeight="1" x14ac:dyDescent="0.25">
      <c r="A24" s="2037" t="s">
        <v>972</v>
      </c>
      <c r="B24" s="2037"/>
      <c r="C24" s="2037"/>
      <c r="D24" s="2037"/>
      <c r="E24" s="2037"/>
      <c r="F24" s="2037"/>
      <c r="G24" s="2037"/>
      <c r="H24" s="2037"/>
      <c r="I24" s="2037"/>
      <c r="J24" s="2037"/>
      <c r="K24" s="2037"/>
      <c r="M24" s="577">
        <f>'0702 211,266'!I104</f>
        <v>17808021.797490001</v>
      </c>
      <c r="N24" s="577">
        <f>M24*30%</f>
        <v>5342406.5392469997</v>
      </c>
      <c r="O24" s="577">
        <f>M24*0.2%</f>
        <v>35616.043594980001</v>
      </c>
      <c r="P24" s="577">
        <f>O24+N24</f>
        <v>5378022.5828419793</v>
      </c>
    </row>
    <row r="25" spans="1:16" ht="55.5" customHeight="1" x14ac:dyDescent="0.25">
      <c r="A25" s="2034" t="s">
        <v>973</v>
      </c>
      <c r="B25" s="2034"/>
      <c r="C25" s="2034"/>
      <c r="D25" s="2034"/>
      <c r="E25" s="2034"/>
      <c r="F25" s="2034"/>
      <c r="G25" s="2034"/>
      <c r="H25" s="2034"/>
      <c r="I25" s="2034"/>
      <c r="J25" s="2034"/>
      <c r="K25" s="2034"/>
    </row>
  </sheetData>
  <mergeCells count="17">
    <mergeCell ref="A1:K1"/>
    <mergeCell ref="A3:A6"/>
    <mergeCell ref="B3:B6"/>
    <mergeCell ref="C3:C6"/>
    <mergeCell ref="D3:D6"/>
    <mergeCell ref="E3:K3"/>
    <mergeCell ref="E4:G4"/>
    <mergeCell ref="H4:J4"/>
    <mergeCell ref="K4:K6"/>
    <mergeCell ref="E5:E6"/>
    <mergeCell ref="A25:K25"/>
    <mergeCell ref="F5:F6"/>
    <mergeCell ref="G5:G6"/>
    <mergeCell ref="H5:H6"/>
    <mergeCell ref="I5:I6"/>
    <mergeCell ref="J5:J6"/>
    <mergeCell ref="A24:K24"/>
  </mergeCells>
  <pageMargins left="0.70866141732283472" right="0.70866141732283472" top="0.27" bottom="0.19" header="0.31496062992125984" footer="0.31496062992125984"/>
  <pageSetup paperSize="9" scale="68"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K9"/>
  <sheetViews>
    <sheetView view="pageBreakPreview" zoomScale="87" zoomScaleNormal="70" zoomScaleSheetLayoutView="87" workbookViewId="0">
      <selection activeCell="F19" sqref="F19"/>
    </sheetView>
  </sheetViews>
  <sheetFormatPr defaultColWidth="9.140625" defaultRowHeight="15" x14ac:dyDescent="0.25"/>
  <cols>
    <col min="1" max="1" width="8.28515625" style="578" customWidth="1"/>
    <col min="2" max="2" width="56" style="577" customWidth="1"/>
    <col min="3" max="4" width="16.5703125" style="577" customWidth="1"/>
    <col min="5" max="5" width="17" style="577" customWidth="1"/>
    <col min="6" max="6" width="16.5703125" style="577" customWidth="1"/>
    <col min="7" max="7" width="16.140625" style="577" customWidth="1"/>
    <col min="8" max="10" width="9.140625" style="577"/>
    <col min="11" max="11" width="19.42578125" style="577" customWidth="1"/>
    <col min="12" max="12" width="9.140625" style="577"/>
    <col min="13" max="13" width="20.5703125" style="577" customWidth="1"/>
    <col min="14" max="14" width="14.28515625" style="577" bestFit="1" customWidth="1"/>
    <col min="15" max="15" width="16" style="577" bestFit="1" customWidth="1"/>
    <col min="16" max="16" width="17.85546875" style="577" customWidth="1"/>
    <col min="17" max="16384" width="9.140625" style="577"/>
  </cols>
  <sheetData>
    <row r="1" spans="1:11" s="557" customFormat="1" ht="19.5" customHeight="1" x14ac:dyDescent="0.25">
      <c r="A1" s="2038" t="s">
        <v>1466</v>
      </c>
      <c r="B1" s="2038"/>
      <c r="C1" s="2038"/>
      <c r="D1" s="2038"/>
      <c r="E1" s="2038"/>
      <c r="F1" s="2038"/>
      <c r="G1" s="2038"/>
      <c r="H1" s="2038"/>
      <c r="I1" s="2038"/>
      <c r="J1" s="2038"/>
      <c r="K1" s="2038"/>
    </row>
    <row r="2" spans="1:11" s="559" customFormat="1" ht="12.75" customHeight="1" x14ac:dyDescent="0.15">
      <c r="A2" s="558"/>
    </row>
    <row r="3" spans="1:11" s="561" customFormat="1" ht="33.75" customHeight="1" x14ac:dyDescent="0.2">
      <c r="A3" s="2039" t="s">
        <v>38</v>
      </c>
      <c r="B3" s="2042" t="s">
        <v>7</v>
      </c>
      <c r="C3" s="2045" t="s">
        <v>843</v>
      </c>
      <c r="D3" s="2045" t="s">
        <v>844</v>
      </c>
      <c r="E3" s="2045" t="s">
        <v>6</v>
      </c>
      <c r="F3" s="2048" t="s">
        <v>52</v>
      </c>
      <c r="G3" s="2049"/>
      <c r="H3" s="2049"/>
      <c r="I3" s="2049"/>
      <c r="J3" s="2049"/>
      <c r="K3" s="2050"/>
    </row>
    <row r="4" spans="1:11" s="561" customFormat="1" ht="87.75" customHeight="1" x14ac:dyDescent="0.2">
      <c r="A4" s="2040"/>
      <c r="B4" s="2043"/>
      <c r="C4" s="2046"/>
      <c r="D4" s="2046"/>
      <c r="E4" s="2046"/>
      <c r="F4" s="2051" t="s">
        <v>35</v>
      </c>
      <c r="G4" s="2053"/>
      <c r="H4" s="2051" t="s">
        <v>45</v>
      </c>
      <c r="I4" s="2052"/>
      <c r="J4" s="2053"/>
      <c r="K4" s="2035" t="s">
        <v>46</v>
      </c>
    </row>
    <row r="5" spans="1:11" s="561" customFormat="1" ht="12.75" customHeight="1" x14ac:dyDescent="0.2">
      <c r="A5" s="2040"/>
      <c r="B5" s="2043"/>
      <c r="C5" s="2046"/>
      <c r="D5" s="2046"/>
      <c r="E5" s="2046"/>
      <c r="F5" s="2035" t="s">
        <v>43</v>
      </c>
      <c r="G5" s="2035" t="s">
        <v>44</v>
      </c>
      <c r="H5" s="2035" t="s">
        <v>55</v>
      </c>
      <c r="I5" s="2035" t="s">
        <v>43</v>
      </c>
      <c r="J5" s="2035" t="s">
        <v>44</v>
      </c>
      <c r="K5" s="2054"/>
    </row>
    <row r="6" spans="1:11" s="561" customFormat="1" ht="30.75" customHeight="1" x14ac:dyDescent="0.2">
      <c r="A6" s="2041"/>
      <c r="B6" s="2044"/>
      <c r="C6" s="2047"/>
      <c r="D6" s="2047"/>
      <c r="E6" s="2047"/>
      <c r="F6" s="2036"/>
      <c r="G6" s="2036"/>
      <c r="H6" s="2036"/>
      <c r="I6" s="2036"/>
      <c r="J6" s="2036"/>
      <c r="K6" s="2036"/>
    </row>
    <row r="7" spans="1:11" s="561" customFormat="1" ht="12.75" x14ac:dyDescent="0.2">
      <c r="A7" s="562">
        <v>1</v>
      </c>
      <c r="B7" s="560">
        <v>2</v>
      </c>
      <c r="C7" s="563">
        <v>3</v>
      </c>
      <c r="D7" s="563"/>
      <c r="E7" s="560">
        <v>4</v>
      </c>
      <c r="F7" s="564">
        <v>5</v>
      </c>
      <c r="G7" s="564">
        <v>7</v>
      </c>
      <c r="H7" s="564">
        <v>8</v>
      </c>
      <c r="I7" s="564">
        <v>9</v>
      </c>
      <c r="J7" s="564">
        <v>10</v>
      </c>
      <c r="K7" s="564">
        <v>11</v>
      </c>
    </row>
    <row r="8" spans="1:11" s="561" customFormat="1" ht="57.75" customHeight="1" x14ac:dyDescent="0.2">
      <c r="A8" s="562">
        <v>1</v>
      </c>
      <c r="B8" s="565" t="s">
        <v>1468</v>
      </c>
      <c r="C8" s="562">
        <v>1</v>
      </c>
      <c r="D8" s="1021">
        <v>8370.2000000000007</v>
      </c>
      <c r="E8" s="1021">
        <v>8370.2000000000007</v>
      </c>
      <c r="F8" s="1021">
        <v>8370.2000000000007</v>
      </c>
      <c r="G8" s="1021"/>
      <c r="H8" s="1021"/>
      <c r="I8" s="1021"/>
      <c r="J8" s="1021"/>
      <c r="K8" s="1021"/>
    </row>
    <row r="9" spans="1:11" s="576" customFormat="1" ht="24" customHeight="1" x14ac:dyDescent="0.2">
      <c r="A9" s="572"/>
      <c r="B9" s="573" t="s">
        <v>1467</v>
      </c>
      <c r="C9" s="574" t="s">
        <v>3</v>
      </c>
      <c r="D9" s="574">
        <v>0</v>
      </c>
      <c r="E9" s="1022">
        <f>F9+G9+I9+J9+K9</f>
        <v>8370.2000000000007</v>
      </c>
      <c r="F9" s="1022">
        <v>8370.2000000000007</v>
      </c>
      <c r="G9" s="337"/>
      <c r="H9" s="574" t="s">
        <v>3</v>
      </c>
      <c r="I9" s="575"/>
      <c r="J9" s="575"/>
      <c r="K9" s="575"/>
    </row>
  </sheetData>
  <mergeCells count="15">
    <mergeCell ref="A1:K1"/>
    <mergeCell ref="A3:A6"/>
    <mergeCell ref="B3:B6"/>
    <mergeCell ref="C3:C6"/>
    <mergeCell ref="E3:E6"/>
    <mergeCell ref="F3:K3"/>
    <mergeCell ref="F4:G4"/>
    <mergeCell ref="H4:J4"/>
    <mergeCell ref="K4:K6"/>
    <mergeCell ref="F5:F6"/>
    <mergeCell ref="D3:D6"/>
    <mergeCell ref="G5:G6"/>
    <mergeCell ref="H5:H6"/>
    <mergeCell ref="I5:I6"/>
    <mergeCell ref="J5:J6"/>
  </mergeCells>
  <pageMargins left="0.70866141732283472" right="0.70866141732283472" top="0.27" bottom="0.19" header="0.31496062992125984" footer="0.31496062992125984"/>
  <pageSetup paperSize="9" scale="68"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U69"/>
  <sheetViews>
    <sheetView view="pageBreakPreview" topLeftCell="A58" zoomScale="82" zoomScaleNormal="100" zoomScaleSheetLayoutView="82" workbookViewId="0">
      <selection activeCell="EA48" sqref="EA48"/>
    </sheetView>
  </sheetViews>
  <sheetFormatPr defaultColWidth="0.85546875" defaultRowHeight="12.75" x14ac:dyDescent="0.2"/>
  <cols>
    <col min="1" max="50" width="0.85546875" style="40"/>
    <col min="51" max="51" width="2" style="40" customWidth="1"/>
    <col min="52" max="54" width="0.85546875" style="40"/>
    <col min="55" max="55" width="4.7109375" style="40" customWidth="1"/>
    <col min="56" max="98" width="0.85546875" style="40"/>
    <col min="99" max="99" width="0.85546875" style="40" customWidth="1"/>
    <col min="100" max="109" width="0.85546875" style="40"/>
    <col min="110" max="118" width="1.140625" style="40" customWidth="1"/>
    <col min="119" max="119" width="1.42578125" style="40" customWidth="1"/>
    <col min="120" max="129" width="0.85546875" style="40"/>
    <col min="130" max="132" width="1.42578125" style="40" customWidth="1"/>
    <col min="133" max="141" width="0.85546875" style="40"/>
    <col min="142" max="142" width="8.140625" style="40" customWidth="1"/>
    <col min="143" max="153" width="0.85546875" style="40"/>
    <col min="154" max="154" width="10.5703125" style="40" customWidth="1"/>
    <col min="155" max="167" width="0.85546875" style="40"/>
    <col min="168" max="168" width="8.5703125" style="40" customWidth="1"/>
    <col min="169" max="16384" width="0.85546875" style="40"/>
  </cols>
  <sheetData>
    <row r="1" spans="1:203" s="53" customFormat="1" ht="13.5" customHeight="1" x14ac:dyDescent="0.2">
      <c r="B1" s="1466" t="s">
        <v>478</v>
      </c>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row>
    <row r="2" spans="1:203" ht="6" customHeight="1" x14ac:dyDescent="0.2"/>
    <row r="3" spans="1:203" ht="11.25" customHeight="1" x14ac:dyDescent="0.2">
      <c r="A3" s="1467" t="s">
        <v>479</v>
      </c>
      <c r="B3" s="1467"/>
      <c r="C3" s="1467"/>
      <c r="D3" s="1467"/>
      <c r="E3" s="1467"/>
      <c r="F3" s="1467"/>
      <c r="G3" s="1467"/>
      <c r="H3" s="1468"/>
      <c r="I3" s="1473" t="s">
        <v>114</v>
      </c>
      <c r="J3" s="1473"/>
      <c r="K3" s="1473"/>
      <c r="L3" s="1473"/>
      <c r="M3" s="1473"/>
      <c r="N3" s="1473"/>
      <c r="O3" s="1473"/>
      <c r="P3" s="1473"/>
      <c r="Q3" s="1473"/>
      <c r="R3" s="1473"/>
      <c r="S3" s="1473"/>
      <c r="T3" s="1473"/>
      <c r="U3" s="1473"/>
      <c r="V3" s="1473"/>
      <c r="W3" s="1473"/>
      <c r="X3" s="1473"/>
      <c r="Y3" s="1473"/>
      <c r="Z3" s="1473"/>
      <c r="AA3" s="1473"/>
      <c r="AB3" s="1473"/>
      <c r="AC3" s="1473"/>
      <c r="AD3" s="1473"/>
      <c r="AE3" s="1473"/>
      <c r="AF3" s="1473"/>
      <c r="AG3" s="1473"/>
      <c r="AH3" s="1473"/>
      <c r="AI3" s="1473"/>
      <c r="AJ3" s="1473"/>
      <c r="AK3" s="1473"/>
      <c r="AL3" s="1473"/>
      <c r="AM3" s="1473"/>
      <c r="AN3" s="1473"/>
      <c r="AO3" s="1473"/>
      <c r="AP3" s="1473"/>
      <c r="AQ3" s="1473"/>
      <c r="AR3" s="1473"/>
      <c r="AS3" s="1473"/>
      <c r="AT3" s="1473"/>
      <c r="AU3" s="1473"/>
      <c r="AV3" s="1473"/>
      <c r="AW3" s="1473"/>
      <c r="AX3" s="1473"/>
      <c r="AY3" s="1473"/>
      <c r="AZ3" s="1473"/>
      <c r="BA3" s="1473"/>
      <c r="BB3" s="1473"/>
      <c r="BC3" s="1473"/>
      <c r="BD3" s="1473"/>
      <c r="BE3" s="1473"/>
      <c r="BF3" s="1473"/>
      <c r="BG3" s="1473"/>
      <c r="BH3" s="1473"/>
      <c r="BI3" s="1473"/>
      <c r="BJ3" s="1473"/>
      <c r="BK3" s="1473"/>
      <c r="BL3" s="1473"/>
      <c r="BM3" s="1473"/>
      <c r="BN3" s="1473"/>
      <c r="BO3" s="1473"/>
      <c r="BP3" s="1473"/>
      <c r="BQ3" s="1473"/>
      <c r="BR3" s="1473"/>
      <c r="BS3" s="1473"/>
      <c r="BT3" s="1473"/>
      <c r="BU3" s="1473"/>
      <c r="BV3" s="1473"/>
      <c r="BW3" s="1473"/>
      <c r="BX3" s="1473"/>
      <c r="BY3" s="1473"/>
      <c r="BZ3" s="1473"/>
      <c r="CA3" s="1473"/>
      <c r="CB3" s="1473"/>
      <c r="CC3" s="1473"/>
      <c r="CD3" s="1473"/>
      <c r="CE3" s="1473"/>
      <c r="CF3" s="1473"/>
      <c r="CG3" s="1473"/>
      <c r="CH3" s="1473"/>
      <c r="CI3" s="1473"/>
      <c r="CJ3" s="1473"/>
      <c r="CK3" s="1473"/>
      <c r="CL3" s="1473"/>
      <c r="CM3" s="1474"/>
      <c r="CN3" s="1479" t="s">
        <v>480</v>
      </c>
      <c r="CO3" s="1467"/>
      <c r="CP3" s="1467"/>
      <c r="CQ3" s="1467"/>
      <c r="CR3" s="1467"/>
      <c r="CS3" s="1467"/>
      <c r="CT3" s="1467"/>
      <c r="CU3" s="1468"/>
      <c r="CV3" s="1479" t="s">
        <v>481</v>
      </c>
      <c r="CW3" s="1467"/>
      <c r="CX3" s="1467"/>
      <c r="CY3" s="1467"/>
      <c r="CZ3" s="1467"/>
      <c r="DA3" s="1467"/>
      <c r="DB3" s="1467"/>
      <c r="DC3" s="1467"/>
      <c r="DD3" s="1467"/>
      <c r="DE3" s="1468"/>
      <c r="DF3" s="1479" t="s">
        <v>482</v>
      </c>
      <c r="DG3" s="1467"/>
      <c r="DH3" s="1467"/>
      <c r="DI3" s="1467"/>
      <c r="DJ3" s="1467"/>
      <c r="DK3" s="1467"/>
      <c r="DL3" s="1467"/>
      <c r="DM3" s="1467"/>
      <c r="DN3" s="1467"/>
      <c r="DO3" s="1468"/>
      <c r="DP3" s="1479" t="s">
        <v>483</v>
      </c>
      <c r="DQ3" s="1467"/>
      <c r="DR3" s="1467"/>
      <c r="DS3" s="1467"/>
      <c r="DT3" s="1467"/>
      <c r="DU3" s="1467"/>
      <c r="DV3" s="1467"/>
      <c r="DW3" s="1467"/>
      <c r="DX3" s="1467"/>
      <c r="DY3" s="1468"/>
      <c r="DZ3" s="1482" t="s">
        <v>484</v>
      </c>
      <c r="EA3" s="1483"/>
      <c r="EB3" s="1483"/>
      <c r="EC3" s="1483"/>
      <c r="ED3" s="1483"/>
      <c r="EE3" s="1483"/>
      <c r="EF3" s="1483"/>
      <c r="EG3" s="1483"/>
      <c r="EH3" s="1483"/>
      <c r="EI3" s="1483"/>
      <c r="EJ3" s="1483"/>
      <c r="EK3" s="1483"/>
      <c r="EL3" s="1483"/>
      <c r="EM3" s="1483"/>
      <c r="EN3" s="1483"/>
      <c r="EO3" s="1483"/>
      <c r="EP3" s="1483"/>
      <c r="EQ3" s="1483"/>
      <c r="ER3" s="1483"/>
      <c r="ES3" s="1483"/>
      <c r="ET3" s="1483"/>
      <c r="EU3" s="1483"/>
      <c r="EV3" s="1483"/>
      <c r="EW3" s="1483"/>
      <c r="EX3" s="1483"/>
      <c r="EY3" s="1483"/>
      <c r="EZ3" s="1483"/>
      <c r="FA3" s="1483"/>
      <c r="FB3" s="1483"/>
      <c r="FC3" s="1483"/>
      <c r="FD3" s="1483"/>
      <c r="FE3" s="1483"/>
      <c r="FF3" s="1483"/>
      <c r="FG3" s="1483"/>
      <c r="FH3" s="1483"/>
      <c r="FI3" s="1483"/>
      <c r="FJ3" s="1483"/>
      <c r="FK3" s="1483"/>
      <c r="FL3" s="1483"/>
      <c r="FM3" s="1483"/>
      <c r="FN3" s="1483"/>
      <c r="FO3" s="1483"/>
      <c r="FP3" s="1483"/>
      <c r="FQ3" s="1483"/>
      <c r="FR3" s="1483"/>
      <c r="FS3" s="1483"/>
      <c r="FT3" s="1483"/>
      <c r="FU3" s="1483"/>
      <c r="FV3" s="1483"/>
      <c r="FW3" s="1483"/>
      <c r="FX3" s="1483"/>
      <c r="FY3" s="1483"/>
    </row>
    <row r="4" spans="1:203" ht="11.25" customHeight="1" x14ac:dyDescent="0.2">
      <c r="A4" s="1469"/>
      <c r="B4" s="1469"/>
      <c r="C4" s="1469"/>
      <c r="D4" s="1469"/>
      <c r="E4" s="1469"/>
      <c r="F4" s="1469"/>
      <c r="G4" s="1469"/>
      <c r="H4" s="1470"/>
      <c r="I4" s="1475"/>
      <c r="J4" s="1475"/>
      <c r="K4" s="1475"/>
      <c r="L4" s="1475"/>
      <c r="M4" s="1475"/>
      <c r="N4" s="1475"/>
      <c r="O4" s="1475"/>
      <c r="P4" s="1475"/>
      <c r="Q4" s="1475"/>
      <c r="R4" s="1475"/>
      <c r="S4" s="1475"/>
      <c r="T4" s="1475"/>
      <c r="U4" s="1475"/>
      <c r="V4" s="1475"/>
      <c r="W4" s="1475"/>
      <c r="X4" s="1475"/>
      <c r="Y4" s="1475"/>
      <c r="Z4" s="1475"/>
      <c r="AA4" s="1475"/>
      <c r="AB4" s="1475"/>
      <c r="AC4" s="1475"/>
      <c r="AD4" s="1475"/>
      <c r="AE4" s="1475"/>
      <c r="AF4" s="1475"/>
      <c r="AG4" s="1475"/>
      <c r="AH4" s="1475"/>
      <c r="AI4" s="1475"/>
      <c r="AJ4" s="1475"/>
      <c r="AK4" s="1475"/>
      <c r="AL4" s="1475"/>
      <c r="AM4" s="1475"/>
      <c r="AN4" s="1475"/>
      <c r="AO4" s="1475"/>
      <c r="AP4" s="1475"/>
      <c r="AQ4" s="1475"/>
      <c r="AR4" s="1475"/>
      <c r="AS4" s="1475"/>
      <c r="AT4" s="1475"/>
      <c r="AU4" s="1475"/>
      <c r="AV4" s="1475"/>
      <c r="AW4" s="1475"/>
      <c r="AX4" s="1475"/>
      <c r="AY4" s="1475"/>
      <c r="AZ4" s="1475"/>
      <c r="BA4" s="1475"/>
      <c r="BB4" s="1475"/>
      <c r="BC4" s="1475"/>
      <c r="BD4" s="1475"/>
      <c r="BE4" s="1475"/>
      <c r="BF4" s="1475"/>
      <c r="BG4" s="1475"/>
      <c r="BH4" s="1475"/>
      <c r="BI4" s="1475"/>
      <c r="BJ4" s="1475"/>
      <c r="BK4" s="1475"/>
      <c r="BL4" s="1475"/>
      <c r="BM4" s="1475"/>
      <c r="BN4" s="1475"/>
      <c r="BO4" s="1475"/>
      <c r="BP4" s="1475"/>
      <c r="BQ4" s="1475"/>
      <c r="BR4" s="1475"/>
      <c r="BS4" s="1475"/>
      <c r="BT4" s="1475"/>
      <c r="BU4" s="1475"/>
      <c r="BV4" s="1475"/>
      <c r="BW4" s="1475"/>
      <c r="BX4" s="1475"/>
      <c r="BY4" s="1475"/>
      <c r="BZ4" s="1475"/>
      <c r="CA4" s="1475"/>
      <c r="CB4" s="1475"/>
      <c r="CC4" s="1475"/>
      <c r="CD4" s="1475"/>
      <c r="CE4" s="1475"/>
      <c r="CF4" s="1475"/>
      <c r="CG4" s="1475"/>
      <c r="CH4" s="1475"/>
      <c r="CI4" s="1475"/>
      <c r="CJ4" s="1475"/>
      <c r="CK4" s="1475"/>
      <c r="CL4" s="1475"/>
      <c r="CM4" s="1476"/>
      <c r="CN4" s="1480"/>
      <c r="CO4" s="1469"/>
      <c r="CP4" s="1469"/>
      <c r="CQ4" s="1469"/>
      <c r="CR4" s="1469"/>
      <c r="CS4" s="1469"/>
      <c r="CT4" s="1469"/>
      <c r="CU4" s="1470"/>
      <c r="CV4" s="1480"/>
      <c r="CW4" s="1469"/>
      <c r="CX4" s="1469"/>
      <c r="CY4" s="1469"/>
      <c r="CZ4" s="1469"/>
      <c r="DA4" s="1469"/>
      <c r="DB4" s="1469"/>
      <c r="DC4" s="1469"/>
      <c r="DD4" s="1469"/>
      <c r="DE4" s="1470"/>
      <c r="DF4" s="1480"/>
      <c r="DG4" s="1469"/>
      <c r="DH4" s="1469"/>
      <c r="DI4" s="1469"/>
      <c r="DJ4" s="1469"/>
      <c r="DK4" s="1469"/>
      <c r="DL4" s="1469"/>
      <c r="DM4" s="1469"/>
      <c r="DN4" s="1469"/>
      <c r="DO4" s="1470"/>
      <c r="DP4" s="1480"/>
      <c r="DQ4" s="1469"/>
      <c r="DR4" s="1469"/>
      <c r="DS4" s="1469"/>
      <c r="DT4" s="1469"/>
      <c r="DU4" s="1469"/>
      <c r="DV4" s="1469"/>
      <c r="DW4" s="1469"/>
      <c r="DX4" s="1469"/>
      <c r="DY4" s="1470"/>
      <c r="DZ4" s="1463" t="s">
        <v>236</v>
      </c>
      <c r="EA4" s="1464"/>
      <c r="EB4" s="1464"/>
      <c r="EC4" s="1464"/>
      <c r="ED4" s="1464"/>
      <c r="EE4" s="1464"/>
      <c r="EF4" s="1465" t="s">
        <v>210</v>
      </c>
      <c r="EG4" s="1465"/>
      <c r="EH4" s="1465"/>
      <c r="EI4" s="1461" t="s">
        <v>208</v>
      </c>
      <c r="EJ4" s="1461"/>
      <c r="EK4" s="1461"/>
      <c r="EL4" s="1462"/>
      <c r="EM4" s="1463" t="s">
        <v>236</v>
      </c>
      <c r="EN4" s="1464"/>
      <c r="EO4" s="1464"/>
      <c r="EP4" s="1464"/>
      <c r="EQ4" s="1464"/>
      <c r="ER4" s="1464"/>
      <c r="ES4" s="1465" t="s">
        <v>212</v>
      </c>
      <c r="ET4" s="1465"/>
      <c r="EU4" s="1465"/>
      <c r="EV4" s="1461" t="s">
        <v>208</v>
      </c>
      <c r="EW4" s="1461"/>
      <c r="EX4" s="1461"/>
      <c r="EY4" s="1462"/>
      <c r="EZ4" s="1463" t="s">
        <v>236</v>
      </c>
      <c r="FA4" s="1464"/>
      <c r="FB4" s="1464"/>
      <c r="FC4" s="1464"/>
      <c r="FD4" s="1464"/>
      <c r="FE4" s="1464"/>
      <c r="FF4" s="1465" t="s">
        <v>1182</v>
      </c>
      <c r="FG4" s="1465"/>
      <c r="FH4" s="1465"/>
      <c r="FI4" s="1461" t="s">
        <v>208</v>
      </c>
      <c r="FJ4" s="1461"/>
      <c r="FK4" s="1461"/>
      <c r="FL4" s="1462"/>
      <c r="FM4" s="1479" t="s">
        <v>238</v>
      </c>
      <c r="FN4" s="1467"/>
      <c r="FO4" s="1467"/>
      <c r="FP4" s="1467"/>
      <c r="FQ4" s="1467"/>
      <c r="FR4" s="1467"/>
      <c r="FS4" s="1467"/>
      <c r="FT4" s="1467"/>
      <c r="FU4" s="1467"/>
      <c r="FV4" s="1467"/>
      <c r="FW4" s="1467"/>
      <c r="FX4" s="1467"/>
      <c r="FY4" s="1467"/>
    </row>
    <row r="5" spans="1:203" ht="39" customHeight="1" x14ac:dyDescent="0.2">
      <c r="A5" s="1471"/>
      <c r="B5" s="1471"/>
      <c r="C5" s="1471"/>
      <c r="D5" s="1471"/>
      <c r="E5" s="1471"/>
      <c r="F5" s="1471"/>
      <c r="G5" s="1471"/>
      <c r="H5" s="1472"/>
      <c r="I5" s="1477"/>
      <c r="J5" s="1477"/>
      <c r="K5" s="1477"/>
      <c r="L5" s="1477"/>
      <c r="M5" s="1477"/>
      <c r="N5" s="1477"/>
      <c r="O5" s="1477"/>
      <c r="P5" s="1477"/>
      <c r="Q5" s="1477"/>
      <c r="R5" s="1477"/>
      <c r="S5" s="1477"/>
      <c r="T5" s="1477"/>
      <c r="U5" s="1477"/>
      <c r="V5" s="1477"/>
      <c r="W5" s="1477"/>
      <c r="X5" s="1477"/>
      <c r="Y5" s="1477"/>
      <c r="Z5" s="1477"/>
      <c r="AA5" s="1477"/>
      <c r="AB5" s="1477"/>
      <c r="AC5" s="1477"/>
      <c r="AD5" s="1477"/>
      <c r="AE5" s="1477"/>
      <c r="AF5" s="1477"/>
      <c r="AG5" s="1477"/>
      <c r="AH5" s="1477"/>
      <c r="AI5" s="1477"/>
      <c r="AJ5" s="1477"/>
      <c r="AK5" s="1477"/>
      <c r="AL5" s="1477"/>
      <c r="AM5" s="1477"/>
      <c r="AN5" s="1477"/>
      <c r="AO5" s="1477"/>
      <c r="AP5" s="1477"/>
      <c r="AQ5" s="1477"/>
      <c r="AR5" s="1477"/>
      <c r="AS5" s="1477"/>
      <c r="AT5" s="1477"/>
      <c r="AU5" s="1477"/>
      <c r="AV5" s="1477"/>
      <c r="AW5" s="1477"/>
      <c r="AX5" s="1477"/>
      <c r="AY5" s="1477"/>
      <c r="AZ5" s="1477"/>
      <c r="BA5" s="1477"/>
      <c r="BB5" s="1477"/>
      <c r="BC5" s="1477"/>
      <c r="BD5" s="1477"/>
      <c r="BE5" s="1477"/>
      <c r="BF5" s="1477"/>
      <c r="BG5" s="1477"/>
      <c r="BH5" s="1477"/>
      <c r="BI5" s="1477"/>
      <c r="BJ5" s="1477"/>
      <c r="BK5" s="1477"/>
      <c r="BL5" s="1477"/>
      <c r="BM5" s="1477"/>
      <c r="BN5" s="1477"/>
      <c r="BO5" s="1477"/>
      <c r="BP5" s="1477"/>
      <c r="BQ5" s="1477"/>
      <c r="BR5" s="1477"/>
      <c r="BS5" s="1477"/>
      <c r="BT5" s="1477"/>
      <c r="BU5" s="1477"/>
      <c r="BV5" s="1477"/>
      <c r="BW5" s="1477"/>
      <c r="BX5" s="1477"/>
      <c r="BY5" s="1477"/>
      <c r="BZ5" s="1477"/>
      <c r="CA5" s="1477"/>
      <c r="CB5" s="1477"/>
      <c r="CC5" s="1477"/>
      <c r="CD5" s="1477"/>
      <c r="CE5" s="1477"/>
      <c r="CF5" s="1477"/>
      <c r="CG5" s="1477"/>
      <c r="CH5" s="1477"/>
      <c r="CI5" s="1477"/>
      <c r="CJ5" s="1477"/>
      <c r="CK5" s="1477"/>
      <c r="CL5" s="1477"/>
      <c r="CM5" s="1478"/>
      <c r="CN5" s="1481"/>
      <c r="CO5" s="1471"/>
      <c r="CP5" s="1471"/>
      <c r="CQ5" s="1471"/>
      <c r="CR5" s="1471"/>
      <c r="CS5" s="1471"/>
      <c r="CT5" s="1471"/>
      <c r="CU5" s="1472"/>
      <c r="CV5" s="1481"/>
      <c r="CW5" s="1471"/>
      <c r="CX5" s="1471"/>
      <c r="CY5" s="1471"/>
      <c r="CZ5" s="1471"/>
      <c r="DA5" s="1471"/>
      <c r="DB5" s="1471"/>
      <c r="DC5" s="1471"/>
      <c r="DD5" s="1471"/>
      <c r="DE5" s="1472"/>
      <c r="DF5" s="1481"/>
      <c r="DG5" s="1471"/>
      <c r="DH5" s="1471"/>
      <c r="DI5" s="1471"/>
      <c r="DJ5" s="1471"/>
      <c r="DK5" s="1471"/>
      <c r="DL5" s="1471"/>
      <c r="DM5" s="1471"/>
      <c r="DN5" s="1471"/>
      <c r="DO5" s="1472"/>
      <c r="DP5" s="1481"/>
      <c r="DQ5" s="1471"/>
      <c r="DR5" s="1471"/>
      <c r="DS5" s="1471"/>
      <c r="DT5" s="1471"/>
      <c r="DU5" s="1471"/>
      <c r="DV5" s="1471"/>
      <c r="DW5" s="1471"/>
      <c r="DX5" s="1471"/>
      <c r="DY5" s="1472"/>
      <c r="DZ5" s="1484" t="s">
        <v>485</v>
      </c>
      <c r="EA5" s="1485"/>
      <c r="EB5" s="1485"/>
      <c r="EC5" s="1485"/>
      <c r="ED5" s="1485"/>
      <c r="EE5" s="1485"/>
      <c r="EF5" s="1485"/>
      <c r="EG5" s="1485"/>
      <c r="EH5" s="1485"/>
      <c r="EI5" s="1485"/>
      <c r="EJ5" s="1485"/>
      <c r="EK5" s="1485"/>
      <c r="EL5" s="1486"/>
      <c r="EM5" s="1484" t="s">
        <v>486</v>
      </c>
      <c r="EN5" s="1485"/>
      <c r="EO5" s="1485"/>
      <c r="EP5" s="1485"/>
      <c r="EQ5" s="1485"/>
      <c r="ER5" s="1485"/>
      <c r="ES5" s="1485"/>
      <c r="ET5" s="1485"/>
      <c r="EU5" s="1485"/>
      <c r="EV5" s="1485"/>
      <c r="EW5" s="1485"/>
      <c r="EX5" s="1485"/>
      <c r="EY5" s="1486"/>
      <c r="EZ5" s="1484" t="s">
        <v>487</v>
      </c>
      <c r="FA5" s="1485"/>
      <c r="FB5" s="1485"/>
      <c r="FC5" s="1485"/>
      <c r="FD5" s="1485"/>
      <c r="FE5" s="1485"/>
      <c r="FF5" s="1485"/>
      <c r="FG5" s="1485"/>
      <c r="FH5" s="1485"/>
      <c r="FI5" s="1485"/>
      <c r="FJ5" s="1485"/>
      <c r="FK5" s="1485"/>
      <c r="FL5" s="1486"/>
      <c r="FM5" s="1481"/>
      <c r="FN5" s="1471"/>
      <c r="FO5" s="1471"/>
      <c r="FP5" s="1471"/>
      <c r="FQ5" s="1471"/>
      <c r="FR5" s="1471"/>
      <c r="FS5" s="1471"/>
      <c r="FT5" s="1471"/>
      <c r="FU5" s="1471"/>
      <c r="FV5" s="1471"/>
      <c r="FW5" s="1471"/>
      <c r="FX5" s="1471"/>
      <c r="FY5" s="1471"/>
    </row>
    <row r="6" spans="1:203" x14ac:dyDescent="0.2">
      <c r="A6" s="1495" t="s">
        <v>245</v>
      </c>
      <c r="B6" s="1495"/>
      <c r="C6" s="1495"/>
      <c r="D6" s="1495"/>
      <c r="E6" s="1495"/>
      <c r="F6" s="1495"/>
      <c r="G6" s="1495"/>
      <c r="H6" s="1496"/>
      <c r="I6" s="1495" t="s">
        <v>246</v>
      </c>
      <c r="J6" s="1495"/>
      <c r="K6" s="1495"/>
      <c r="L6" s="1495"/>
      <c r="M6" s="1495"/>
      <c r="N6" s="1495"/>
      <c r="O6" s="1495"/>
      <c r="P6" s="1495"/>
      <c r="Q6" s="1495"/>
      <c r="R6" s="1495"/>
      <c r="S6" s="1495"/>
      <c r="T6" s="1495"/>
      <c r="U6" s="1495"/>
      <c r="V6" s="1495"/>
      <c r="W6" s="1495"/>
      <c r="X6" s="1495"/>
      <c r="Y6" s="1495"/>
      <c r="Z6" s="1495"/>
      <c r="AA6" s="1495"/>
      <c r="AB6" s="1495"/>
      <c r="AC6" s="1495"/>
      <c r="AD6" s="1495"/>
      <c r="AE6" s="1495"/>
      <c r="AF6" s="1495"/>
      <c r="AG6" s="1495"/>
      <c r="AH6" s="1495"/>
      <c r="AI6" s="1495"/>
      <c r="AJ6" s="1495"/>
      <c r="AK6" s="1495"/>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1495"/>
      <c r="BN6" s="1495"/>
      <c r="BO6" s="1495"/>
      <c r="BP6" s="1495"/>
      <c r="BQ6" s="1495"/>
      <c r="BR6" s="1495"/>
      <c r="BS6" s="1495"/>
      <c r="BT6" s="1495"/>
      <c r="BU6" s="1495"/>
      <c r="BV6" s="1495"/>
      <c r="BW6" s="1495"/>
      <c r="BX6" s="1495"/>
      <c r="BY6" s="1495"/>
      <c r="BZ6" s="1495"/>
      <c r="CA6" s="1495"/>
      <c r="CB6" s="1495"/>
      <c r="CC6" s="1495"/>
      <c r="CD6" s="1495"/>
      <c r="CE6" s="1495"/>
      <c r="CF6" s="1495"/>
      <c r="CG6" s="1495"/>
      <c r="CH6" s="1495"/>
      <c r="CI6" s="1495"/>
      <c r="CJ6" s="1495"/>
      <c r="CK6" s="1495"/>
      <c r="CL6" s="1495"/>
      <c r="CM6" s="1496"/>
      <c r="CN6" s="1487" t="s">
        <v>247</v>
      </c>
      <c r="CO6" s="1488"/>
      <c r="CP6" s="1488"/>
      <c r="CQ6" s="1488"/>
      <c r="CR6" s="1488"/>
      <c r="CS6" s="1488"/>
      <c r="CT6" s="1488"/>
      <c r="CU6" s="1489"/>
      <c r="CV6" s="1487" t="s">
        <v>248</v>
      </c>
      <c r="CW6" s="1488"/>
      <c r="CX6" s="1488"/>
      <c r="CY6" s="1488"/>
      <c r="CZ6" s="1488"/>
      <c r="DA6" s="1488"/>
      <c r="DB6" s="1488"/>
      <c r="DC6" s="1488"/>
      <c r="DD6" s="1488"/>
      <c r="DE6" s="1489"/>
      <c r="DF6" s="1487" t="s">
        <v>488</v>
      </c>
      <c r="DG6" s="1488"/>
      <c r="DH6" s="1488"/>
      <c r="DI6" s="1488"/>
      <c r="DJ6" s="1488"/>
      <c r="DK6" s="1488"/>
      <c r="DL6" s="1488"/>
      <c r="DM6" s="1488"/>
      <c r="DN6" s="1488"/>
      <c r="DO6" s="1489"/>
      <c r="DP6" s="1487" t="s">
        <v>489</v>
      </c>
      <c r="DQ6" s="1488"/>
      <c r="DR6" s="1488"/>
      <c r="DS6" s="1488"/>
      <c r="DT6" s="1488"/>
      <c r="DU6" s="1488"/>
      <c r="DV6" s="1488"/>
      <c r="DW6" s="1488"/>
      <c r="DX6" s="1488"/>
      <c r="DY6" s="1489"/>
      <c r="DZ6" s="1487" t="s">
        <v>490</v>
      </c>
      <c r="EA6" s="1488"/>
      <c r="EB6" s="1488"/>
      <c r="EC6" s="1488"/>
      <c r="ED6" s="1488"/>
      <c r="EE6" s="1488"/>
      <c r="EF6" s="1488"/>
      <c r="EG6" s="1488"/>
      <c r="EH6" s="1488"/>
      <c r="EI6" s="1488"/>
      <c r="EJ6" s="1488"/>
      <c r="EK6" s="1488"/>
      <c r="EL6" s="1489"/>
      <c r="EM6" s="1487" t="s">
        <v>249</v>
      </c>
      <c r="EN6" s="1488"/>
      <c r="EO6" s="1488"/>
      <c r="EP6" s="1488"/>
      <c r="EQ6" s="1488"/>
      <c r="ER6" s="1488"/>
      <c r="ES6" s="1488"/>
      <c r="ET6" s="1488"/>
      <c r="EU6" s="1488"/>
      <c r="EV6" s="1488"/>
      <c r="EW6" s="1488"/>
      <c r="EX6" s="1488"/>
      <c r="EY6" s="1489"/>
      <c r="EZ6" s="1487" t="s">
        <v>250</v>
      </c>
      <c r="FA6" s="1488"/>
      <c r="FB6" s="1488"/>
      <c r="FC6" s="1488"/>
      <c r="FD6" s="1488"/>
      <c r="FE6" s="1488"/>
      <c r="FF6" s="1488"/>
      <c r="FG6" s="1488"/>
      <c r="FH6" s="1488"/>
      <c r="FI6" s="1488"/>
      <c r="FJ6" s="1488"/>
      <c r="FK6" s="1488"/>
      <c r="FL6" s="1489"/>
      <c r="FM6" s="1487" t="s">
        <v>251</v>
      </c>
      <c r="FN6" s="1488"/>
      <c r="FO6" s="1488"/>
      <c r="FP6" s="1488"/>
      <c r="FQ6" s="1488"/>
      <c r="FR6" s="1488"/>
      <c r="FS6" s="1488"/>
      <c r="FT6" s="1488"/>
      <c r="FU6" s="1488"/>
      <c r="FV6" s="1488"/>
      <c r="FW6" s="1488"/>
      <c r="FX6" s="1488"/>
      <c r="FY6" s="1488"/>
    </row>
    <row r="7" spans="1:203" ht="16.5" customHeight="1" x14ac:dyDescent="0.2">
      <c r="A7" s="1490">
        <v>1</v>
      </c>
      <c r="B7" s="1490"/>
      <c r="C7" s="1490"/>
      <c r="D7" s="1490"/>
      <c r="E7" s="1490"/>
      <c r="F7" s="1490"/>
      <c r="G7" s="1490"/>
      <c r="H7" s="1491"/>
      <c r="I7" s="1492" t="s">
        <v>491</v>
      </c>
      <c r="J7" s="1493"/>
      <c r="K7" s="1493"/>
      <c r="L7" s="1493"/>
      <c r="M7" s="1493"/>
      <c r="N7" s="1493"/>
      <c r="O7" s="1493"/>
      <c r="P7" s="1493"/>
      <c r="Q7" s="1493"/>
      <c r="R7" s="1493"/>
      <c r="S7" s="1493"/>
      <c r="T7" s="1493"/>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c r="AT7" s="1493"/>
      <c r="AU7" s="1493"/>
      <c r="AV7" s="1493"/>
      <c r="AW7" s="1493"/>
      <c r="AX7" s="1493"/>
      <c r="AY7" s="1493"/>
      <c r="AZ7" s="1493"/>
      <c r="BA7" s="1493"/>
      <c r="BB7" s="1493"/>
      <c r="BC7" s="1493"/>
      <c r="BD7" s="1493"/>
      <c r="BE7" s="1493"/>
      <c r="BF7" s="1493"/>
      <c r="BG7" s="1493"/>
      <c r="BH7" s="1493"/>
      <c r="BI7" s="1493"/>
      <c r="BJ7" s="1493"/>
      <c r="BK7" s="1493"/>
      <c r="BL7" s="1493"/>
      <c r="BM7" s="1493"/>
      <c r="BN7" s="1493"/>
      <c r="BO7" s="1493"/>
      <c r="BP7" s="1493"/>
      <c r="BQ7" s="1493"/>
      <c r="BR7" s="1493"/>
      <c r="BS7" s="1493"/>
      <c r="BT7" s="1493"/>
      <c r="BU7" s="1493"/>
      <c r="BV7" s="1493"/>
      <c r="BW7" s="1493"/>
      <c r="BX7" s="1493"/>
      <c r="BY7" s="1493"/>
      <c r="BZ7" s="1493"/>
      <c r="CA7" s="1493"/>
      <c r="CB7" s="1493"/>
      <c r="CC7" s="1493"/>
      <c r="CD7" s="1493"/>
      <c r="CE7" s="1493"/>
      <c r="CF7" s="1493"/>
      <c r="CG7" s="1493"/>
      <c r="CH7" s="1493"/>
      <c r="CI7" s="1493"/>
      <c r="CJ7" s="1493"/>
      <c r="CK7" s="1493"/>
      <c r="CL7" s="1493"/>
      <c r="CM7" s="1493"/>
      <c r="CN7" s="1494" t="s">
        <v>492</v>
      </c>
      <c r="CO7" s="1490"/>
      <c r="CP7" s="1490"/>
      <c r="CQ7" s="1490"/>
      <c r="CR7" s="1490"/>
      <c r="CS7" s="1490"/>
      <c r="CT7" s="1490"/>
      <c r="CU7" s="1491"/>
      <c r="CV7" s="1453" t="s">
        <v>3</v>
      </c>
      <c r="CW7" s="1454"/>
      <c r="CX7" s="1454"/>
      <c r="CY7" s="1454"/>
      <c r="CZ7" s="1454"/>
      <c r="DA7" s="1454"/>
      <c r="DB7" s="1454"/>
      <c r="DC7" s="1454"/>
      <c r="DD7" s="1454"/>
      <c r="DE7" s="1455"/>
      <c r="DF7" s="1453" t="s">
        <v>3</v>
      </c>
      <c r="DG7" s="1454"/>
      <c r="DH7" s="1454"/>
      <c r="DI7" s="1454"/>
      <c r="DJ7" s="1454"/>
      <c r="DK7" s="1454"/>
      <c r="DL7" s="1454"/>
      <c r="DM7" s="1454"/>
      <c r="DN7" s="1454"/>
      <c r="DO7" s="1455"/>
      <c r="DP7" s="1453" t="s">
        <v>3</v>
      </c>
      <c r="DQ7" s="1454"/>
      <c r="DR7" s="1454"/>
      <c r="DS7" s="1454"/>
      <c r="DT7" s="1454"/>
      <c r="DU7" s="1454"/>
      <c r="DV7" s="1454"/>
      <c r="DW7" s="1454"/>
      <c r="DX7" s="1454"/>
      <c r="DY7" s="1455"/>
      <c r="DZ7" s="1497">
        <f>DZ15</f>
        <v>24206241.629999999</v>
      </c>
      <c r="EA7" s="1498"/>
      <c r="EB7" s="1498"/>
      <c r="EC7" s="1498"/>
      <c r="ED7" s="1498"/>
      <c r="EE7" s="1498"/>
      <c r="EF7" s="1498"/>
      <c r="EG7" s="1498"/>
      <c r="EH7" s="1498"/>
      <c r="EI7" s="1498"/>
      <c r="EJ7" s="1498"/>
      <c r="EK7" s="1498"/>
      <c r="EL7" s="1499"/>
      <c r="EM7" s="1497">
        <f>EM15</f>
        <v>35489101.600000001</v>
      </c>
      <c r="EN7" s="1498"/>
      <c r="EO7" s="1498"/>
      <c r="EP7" s="1498"/>
      <c r="EQ7" s="1498"/>
      <c r="ER7" s="1498"/>
      <c r="ES7" s="1498"/>
      <c r="ET7" s="1498"/>
      <c r="EU7" s="1498"/>
      <c r="EV7" s="1498"/>
      <c r="EW7" s="1498"/>
      <c r="EX7" s="1498"/>
      <c r="EY7" s="1499"/>
      <c r="EZ7" s="1497">
        <f>EZ15</f>
        <v>11337558.549999999</v>
      </c>
      <c r="FA7" s="1498"/>
      <c r="FB7" s="1498"/>
      <c r="FC7" s="1498"/>
      <c r="FD7" s="1498"/>
      <c r="FE7" s="1498"/>
      <c r="FF7" s="1498"/>
      <c r="FG7" s="1498"/>
      <c r="FH7" s="1498"/>
      <c r="FI7" s="1498"/>
      <c r="FJ7" s="1498"/>
      <c r="FK7" s="1498"/>
      <c r="FL7" s="1499"/>
      <c r="FM7" s="1497"/>
      <c r="FN7" s="1498"/>
      <c r="FO7" s="1498"/>
      <c r="FP7" s="1498"/>
      <c r="FQ7" s="1498"/>
      <c r="FR7" s="1498"/>
      <c r="FS7" s="1498"/>
      <c r="FT7" s="1498"/>
      <c r="FU7" s="1498"/>
      <c r="FV7" s="1498"/>
      <c r="FW7" s="1498"/>
      <c r="FX7" s="1498"/>
      <c r="FY7" s="1499"/>
    </row>
    <row r="8" spans="1:203" ht="99.75" customHeight="1" x14ac:dyDescent="0.2">
      <c r="A8" s="1454" t="s">
        <v>493</v>
      </c>
      <c r="B8" s="1454"/>
      <c r="C8" s="1454"/>
      <c r="D8" s="1454"/>
      <c r="E8" s="1454"/>
      <c r="F8" s="1454"/>
      <c r="G8" s="1454"/>
      <c r="H8" s="1455"/>
      <c r="I8" s="1459" t="s">
        <v>494</v>
      </c>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460"/>
      <c r="AM8" s="1460"/>
      <c r="AN8" s="1460"/>
      <c r="AO8" s="1460"/>
      <c r="AP8" s="1460"/>
      <c r="AQ8" s="1460"/>
      <c r="AR8" s="1460"/>
      <c r="AS8" s="1460"/>
      <c r="AT8" s="1460"/>
      <c r="AU8" s="1460"/>
      <c r="AV8" s="1460"/>
      <c r="AW8" s="1460"/>
      <c r="AX8" s="1460"/>
      <c r="AY8" s="1460"/>
      <c r="AZ8" s="1460"/>
      <c r="BA8" s="1460"/>
      <c r="BB8" s="1460"/>
      <c r="BC8" s="1460"/>
      <c r="BD8" s="1460"/>
      <c r="BE8" s="1460"/>
      <c r="BF8" s="1460"/>
      <c r="BG8" s="1460"/>
      <c r="BH8" s="1460"/>
      <c r="BI8" s="1460"/>
      <c r="BJ8" s="1460"/>
      <c r="BK8" s="1460"/>
      <c r="BL8" s="1460"/>
      <c r="BM8" s="1460"/>
      <c r="BN8" s="1460"/>
      <c r="BO8" s="1460"/>
      <c r="BP8" s="1460"/>
      <c r="BQ8" s="1460"/>
      <c r="BR8" s="1460"/>
      <c r="BS8" s="1460"/>
      <c r="BT8" s="1460"/>
      <c r="BU8" s="1460"/>
      <c r="BV8" s="1460"/>
      <c r="BW8" s="1460"/>
      <c r="BX8" s="1460"/>
      <c r="BY8" s="1460"/>
      <c r="BZ8" s="1460"/>
      <c r="CA8" s="1460"/>
      <c r="CB8" s="1460"/>
      <c r="CC8" s="1460"/>
      <c r="CD8" s="1460"/>
      <c r="CE8" s="1460"/>
      <c r="CF8" s="1460"/>
      <c r="CG8" s="1460"/>
      <c r="CH8" s="1460"/>
      <c r="CI8" s="1460"/>
      <c r="CJ8" s="1460"/>
      <c r="CK8" s="1460"/>
      <c r="CL8" s="1460"/>
      <c r="CM8" s="1460"/>
      <c r="CN8" s="1453" t="s">
        <v>495</v>
      </c>
      <c r="CO8" s="1454"/>
      <c r="CP8" s="1454"/>
      <c r="CQ8" s="1454"/>
      <c r="CR8" s="1454"/>
      <c r="CS8" s="1454"/>
      <c r="CT8" s="1454"/>
      <c r="CU8" s="1455"/>
      <c r="CV8" s="1453" t="s">
        <v>3</v>
      </c>
      <c r="CW8" s="1454"/>
      <c r="CX8" s="1454"/>
      <c r="CY8" s="1454"/>
      <c r="CZ8" s="1454"/>
      <c r="DA8" s="1454"/>
      <c r="DB8" s="1454"/>
      <c r="DC8" s="1454"/>
      <c r="DD8" s="1454"/>
      <c r="DE8" s="1455"/>
      <c r="DF8" s="1453" t="s">
        <v>3</v>
      </c>
      <c r="DG8" s="1454"/>
      <c r="DH8" s="1454"/>
      <c r="DI8" s="1454"/>
      <c r="DJ8" s="1454"/>
      <c r="DK8" s="1454"/>
      <c r="DL8" s="1454"/>
      <c r="DM8" s="1454"/>
      <c r="DN8" s="1454"/>
      <c r="DO8" s="1455"/>
      <c r="DP8" s="1453" t="s">
        <v>3</v>
      </c>
      <c r="DQ8" s="1454"/>
      <c r="DR8" s="1454"/>
      <c r="DS8" s="1454"/>
      <c r="DT8" s="1454"/>
      <c r="DU8" s="1454"/>
      <c r="DV8" s="1454"/>
      <c r="DW8" s="1454"/>
      <c r="DX8" s="1454"/>
      <c r="DY8" s="1455"/>
      <c r="DZ8" s="1456"/>
      <c r="EA8" s="1457"/>
      <c r="EB8" s="1457"/>
      <c r="EC8" s="1457"/>
      <c r="ED8" s="1457"/>
      <c r="EE8" s="1457"/>
      <c r="EF8" s="1457"/>
      <c r="EG8" s="1457"/>
      <c r="EH8" s="1457"/>
      <c r="EI8" s="1457"/>
      <c r="EJ8" s="1457"/>
      <c r="EK8" s="1457"/>
      <c r="EL8" s="1458"/>
      <c r="EM8" s="1456"/>
      <c r="EN8" s="1457"/>
      <c r="EO8" s="1457"/>
      <c r="EP8" s="1457"/>
      <c r="EQ8" s="1457"/>
      <c r="ER8" s="1457"/>
      <c r="ES8" s="1457"/>
      <c r="ET8" s="1457"/>
      <c r="EU8" s="1457"/>
      <c r="EV8" s="1457"/>
      <c r="EW8" s="1457"/>
      <c r="EX8" s="1457"/>
      <c r="EY8" s="1458"/>
      <c r="EZ8" s="1456"/>
      <c r="FA8" s="1457"/>
      <c r="FB8" s="1457"/>
      <c r="FC8" s="1457"/>
      <c r="FD8" s="1457"/>
      <c r="FE8" s="1457"/>
      <c r="FF8" s="1457"/>
      <c r="FG8" s="1457"/>
      <c r="FH8" s="1457"/>
      <c r="FI8" s="1457"/>
      <c r="FJ8" s="1457"/>
      <c r="FK8" s="1457"/>
      <c r="FL8" s="1458"/>
      <c r="FM8" s="1456"/>
      <c r="FN8" s="1457"/>
      <c r="FO8" s="1457"/>
      <c r="FP8" s="1457"/>
      <c r="FQ8" s="1457"/>
      <c r="FR8" s="1457"/>
      <c r="FS8" s="1457"/>
      <c r="FT8" s="1457"/>
      <c r="FU8" s="1457"/>
      <c r="FV8" s="1457"/>
      <c r="FW8" s="1457"/>
      <c r="FX8" s="1457"/>
      <c r="FY8" s="1458"/>
      <c r="GJ8" s="8"/>
      <c r="GK8" s="8"/>
      <c r="GL8" s="8"/>
      <c r="GM8" s="8"/>
      <c r="GN8" s="8"/>
      <c r="GO8" s="8"/>
      <c r="GP8" s="8"/>
      <c r="GQ8" s="8"/>
      <c r="GR8" s="8"/>
      <c r="GS8" s="8"/>
      <c r="GT8" s="8"/>
      <c r="GU8" s="8"/>
    </row>
    <row r="9" spans="1:203" ht="33.6" customHeight="1" x14ac:dyDescent="0.2">
      <c r="A9" s="1454" t="s">
        <v>496</v>
      </c>
      <c r="B9" s="1454"/>
      <c r="C9" s="1454"/>
      <c r="D9" s="1454"/>
      <c r="E9" s="1454"/>
      <c r="F9" s="1454"/>
      <c r="G9" s="1454"/>
      <c r="H9" s="1455"/>
      <c r="I9" s="1459" t="s">
        <v>497</v>
      </c>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460"/>
      <c r="AM9" s="1460"/>
      <c r="AN9" s="1460"/>
      <c r="AO9" s="1460"/>
      <c r="AP9" s="1460"/>
      <c r="AQ9" s="1460"/>
      <c r="AR9" s="1460"/>
      <c r="AS9" s="1460"/>
      <c r="AT9" s="1460"/>
      <c r="AU9" s="1460"/>
      <c r="AV9" s="1460"/>
      <c r="AW9" s="1460"/>
      <c r="AX9" s="1460"/>
      <c r="AY9" s="1460"/>
      <c r="AZ9" s="1460"/>
      <c r="BA9" s="1460"/>
      <c r="BB9" s="1460"/>
      <c r="BC9" s="1460"/>
      <c r="BD9" s="1460"/>
      <c r="BE9" s="1460"/>
      <c r="BF9" s="1460"/>
      <c r="BG9" s="1460"/>
      <c r="BH9" s="1460"/>
      <c r="BI9" s="1460"/>
      <c r="BJ9" s="1460"/>
      <c r="BK9" s="1460"/>
      <c r="BL9" s="1460"/>
      <c r="BM9" s="1460"/>
      <c r="BN9" s="1460"/>
      <c r="BO9" s="1460"/>
      <c r="BP9" s="1460"/>
      <c r="BQ9" s="1460"/>
      <c r="BR9" s="1460"/>
      <c r="BS9" s="1460"/>
      <c r="BT9" s="1460"/>
      <c r="BU9" s="1460"/>
      <c r="BV9" s="1460"/>
      <c r="BW9" s="1460"/>
      <c r="BX9" s="1460"/>
      <c r="BY9" s="1460"/>
      <c r="BZ9" s="1460"/>
      <c r="CA9" s="1460"/>
      <c r="CB9" s="1460"/>
      <c r="CC9" s="1460"/>
      <c r="CD9" s="1460"/>
      <c r="CE9" s="1460"/>
      <c r="CF9" s="1460"/>
      <c r="CG9" s="1460"/>
      <c r="CH9" s="1460"/>
      <c r="CI9" s="1460"/>
      <c r="CJ9" s="1460"/>
      <c r="CK9" s="1460"/>
      <c r="CL9" s="1460"/>
      <c r="CM9" s="1460"/>
      <c r="CN9" s="1453" t="s">
        <v>498</v>
      </c>
      <c r="CO9" s="1454"/>
      <c r="CP9" s="1454"/>
      <c r="CQ9" s="1454"/>
      <c r="CR9" s="1454"/>
      <c r="CS9" s="1454"/>
      <c r="CT9" s="1454"/>
      <c r="CU9" s="1455"/>
      <c r="CV9" s="1453" t="s">
        <v>3</v>
      </c>
      <c r="CW9" s="1454"/>
      <c r="CX9" s="1454"/>
      <c r="CY9" s="1454"/>
      <c r="CZ9" s="1454"/>
      <c r="DA9" s="1454"/>
      <c r="DB9" s="1454"/>
      <c r="DC9" s="1454"/>
      <c r="DD9" s="1454"/>
      <c r="DE9" s="1455"/>
      <c r="DF9" s="1453" t="s">
        <v>3</v>
      </c>
      <c r="DG9" s="1454"/>
      <c r="DH9" s="1454"/>
      <c r="DI9" s="1454"/>
      <c r="DJ9" s="1454"/>
      <c r="DK9" s="1454"/>
      <c r="DL9" s="1454"/>
      <c r="DM9" s="1454"/>
      <c r="DN9" s="1454"/>
      <c r="DO9" s="1455"/>
      <c r="DP9" s="1453" t="s">
        <v>3</v>
      </c>
      <c r="DQ9" s="1454"/>
      <c r="DR9" s="1454"/>
      <c r="DS9" s="1454"/>
      <c r="DT9" s="1454"/>
      <c r="DU9" s="1454"/>
      <c r="DV9" s="1454"/>
      <c r="DW9" s="1454"/>
      <c r="DX9" s="1454"/>
      <c r="DY9" s="1455"/>
      <c r="DZ9" s="1456"/>
      <c r="EA9" s="1457"/>
      <c r="EB9" s="1457"/>
      <c r="EC9" s="1457"/>
      <c r="ED9" s="1457"/>
      <c r="EE9" s="1457"/>
      <c r="EF9" s="1457"/>
      <c r="EG9" s="1457"/>
      <c r="EH9" s="1457"/>
      <c r="EI9" s="1457"/>
      <c r="EJ9" s="1457"/>
      <c r="EK9" s="1457"/>
      <c r="EL9" s="1458"/>
      <c r="EM9" s="1456"/>
      <c r="EN9" s="1457"/>
      <c r="EO9" s="1457"/>
      <c r="EP9" s="1457"/>
      <c r="EQ9" s="1457"/>
      <c r="ER9" s="1457"/>
      <c r="ES9" s="1457"/>
      <c r="ET9" s="1457"/>
      <c r="EU9" s="1457"/>
      <c r="EV9" s="1457"/>
      <c r="EW9" s="1457"/>
      <c r="EX9" s="1457"/>
      <c r="EY9" s="1458"/>
      <c r="EZ9" s="1456"/>
      <c r="FA9" s="1457"/>
      <c r="FB9" s="1457"/>
      <c r="FC9" s="1457"/>
      <c r="FD9" s="1457"/>
      <c r="FE9" s="1457"/>
      <c r="FF9" s="1457"/>
      <c r="FG9" s="1457"/>
      <c r="FH9" s="1457"/>
      <c r="FI9" s="1457"/>
      <c r="FJ9" s="1457"/>
      <c r="FK9" s="1457"/>
      <c r="FL9" s="1458"/>
      <c r="FM9" s="1456"/>
      <c r="FN9" s="1457"/>
      <c r="FO9" s="1457"/>
      <c r="FP9" s="1457"/>
      <c r="FQ9" s="1457"/>
      <c r="FR9" s="1457"/>
      <c r="FS9" s="1457"/>
      <c r="FT9" s="1457"/>
      <c r="FU9" s="1457"/>
      <c r="FV9" s="1457"/>
      <c r="FW9" s="1457"/>
      <c r="FX9" s="1457"/>
      <c r="FY9" s="1458"/>
      <c r="GJ9" s="8"/>
      <c r="GK9" s="8"/>
      <c r="GL9" s="8"/>
      <c r="GM9" s="8"/>
      <c r="GN9" s="8"/>
      <c r="GO9" s="8"/>
      <c r="GP9" s="8"/>
      <c r="GQ9" s="8"/>
      <c r="GR9" s="8"/>
      <c r="GS9" s="8"/>
      <c r="GT9" s="8"/>
      <c r="GU9" s="8"/>
    </row>
    <row r="10" spans="1:203" ht="36" customHeight="1" x14ac:dyDescent="0.2">
      <c r="A10" s="1454" t="s">
        <v>499</v>
      </c>
      <c r="B10" s="1454"/>
      <c r="C10" s="1454"/>
      <c r="D10" s="1454"/>
      <c r="E10" s="1454"/>
      <c r="F10" s="1454"/>
      <c r="G10" s="1454"/>
      <c r="H10" s="1455"/>
      <c r="I10" s="1459" t="s">
        <v>500</v>
      </c>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460"/>
      <c r="AM10" s="1460"/>
      <c r="AN10" s="1460"/>
      <c r="AO10" s="1460"/>
      <c r="AP10" s="1460"/>
      <c r="AQ10" s="1460"/>
      <c r="AR10" s="1460"/>
      <c r="AS10" s="1460"/>
      <c r="AT10" s="1460"/>
      <c r="AU10" s="1460"/>
      <c r="AV10" s="1460"/>
      <c r="AW10" s="1460"/>
      <c r="AX10" s="1460"/>
      <c r="AY10" s="1460"/>
      <c r="AZ10" s="1460"/>
      <c r="BA10" s="1460"/>
      <c r="BB10" s="1460"/>
      <c r="BC10" s="1460"/>
      <c r="BD10" s="1460"/>
      <c r="BE10" s="1460"/>
      <c r="BF10" s="1460"/>
      <c r="BG10" s="1460"/>
      <c r="BH10" s="1460"/>
      <c r="BI10" s="1460"/>
      <c r="BJ10" s="1460"/>
      <c r="BK10" s="1460"/>
      <c r="BL10" s="1460"/>
      <c r="BM10" s="1460"/>
      <c r="BN10" s="1460"/>
      <c r="BO10" s="1460"/>
      <c r="BP10" s="1460"/>
      <c r="BQ10" s="1460"/>
      <c r="BR10" s="1460"/>
      <c r="BS10" s="1460"/>
      <c r="BT10" s="1460"/>
      <c r="BU10" s="1460"/>
      <c r="BV10" s="1460"/>
      <c r="BW10" s="1460"/>
      <c r="BX10" s="1460"/>
      <c r="BY10" s="1460"/>
      <c r="BZ10" s="1460"/>
      <c r="CA10" s="1460"/>
      <c r="CB10" s="1460"/>
      <c r="CC10" s="1460"/>
      <c r="CD10" s="1460"/>
      <c r="CE10" s="1460"/>
      <c r="CF10" s="1460"/>
      <c r="CG10" s="1460"/>
      <c r="CH10" s="1460"/>
      <c r="CI10" s="1460"/>
      <c r="CJ10" s="1460"/>
      <c r="CK10" s="1460"/>
      <c r="CL10" s="1460"/>
      <c r="CM10" s="1460"/>
      <c r="CN10" s="1453" t="s">
        <v>501</v>
      </c>
      <c r="CO10" s="1454"/>
      <c r="CP10" s="1454"/>
      <c r="CQ10" s="1454"/>
      <c r="CR10" s="1454"/>
      <c r="CS10" s="1454"/>
      <c r="CT10" s="1454"/>
      <c r="CU10" s="1455"/>
      <c r="CV10" s="1453" t="s">
        <v>3</v>
      </c>
      <c r="CW10" s="1454"/>
      <c r="CX10" s="1454"/>
      <c r="CY10" s="1454"/>
      <c r="CZ10" s="1454"/>
      <c r="DA10" s="1454"/>
      <c r="DB10" s="1454"/>
      <c r="DC10" s="1454"/>
      <c r="DD10" s="1454"/>
      <c r="DE10" s="1455"/>
      <c r="DF10" s="1453" t="s">
        <v>3</v>
      </c>
      <c r="DG10" s="1454"/>
      <c r="DH10" s="1454"/>
      <c r="DI10" s="1454"/>
      <c r="DJ10" s="1454"/>
      <c r="DK10" s="1454"/>
      <c r="DL10" s="1454"/>
      <c r="DM10" s="1454"/>
      <c r="DN10" s="1454"/>
      <c r="DO10" s="1455"/>
      <c r="DP10" s="1453" t="s">
        <v>3</v>
      </c>
      <c r="DQ10" s="1454"/>
      <c r="DR10" s="1454"/>
      <c r="DS10" s="1454"/>
      <c r="DT10" s="1454"/>
      <c r="DU10" s="1454"/>
      <c r="DV10" s="1454"/>
      <c r="DW10" s="1454"/>
      <c r="DX10" s="1454"/>
      <c r="DY10" s="1455"/>
      <c r="DZ10" s="1456"/>
      <c r="EA10" s="1457"/>
      <c r="EB10" s="1457"/>
      <c r="EC10" s="1457"/>
      <c r="ED10" s="1457"/>
      <c r="EE10" s="1457"/>
      <c r="EF10" s="1457"/>
      <c r="EG10" s="1457"/>
      <c r="EH10" s="1457"/>
      <c r="EI10" s="1457"/>
      <c r="EJ10" s="1457"/>
      <c r="EK10" s="1457"/>
      <c r="EL10" s="1458"/>
      <c r="EM10" s="1456"/>
      <c r="EN10" s="1457"/>
      <c r="EO10" s="1457"/>
      <c r="EP10" s="1457"/>
      <c r="EQ10" s="1457"/>
      <c r="ER10" s="1457"/>
      <c r="ES10" s="1457"/>
      <c r="ET10" s="1457"/>
      <c r="EU10" s="1457"/>
      <c r="EV10" s="1457"/>
      <c r="EW10" s="1457"/>
      <c r="EX10" s="1457"/>
      <c r="EY10" s="1458"/>
      <c r="EZ10" s="1456"/>
      <c r="FA10" s="1457"/>
      <c r="FB10" s="1457"/>
      <c r="FC10" s="1457"/>
      <c r="FD10" s="1457"/>
      <c r="FE10" s="1457"/>
      <c r="FF10" s="1457"/>
      <c r="FG10" s="1457"/>
      <c r="FH10" s="1457"/>
      <c r="FI10" s="1457"/>
      <c r="FJ10" s="1457"/>
      <c r="FK10" s="1457"/>
      <c r="FL10" s="1458"/>
      <c r="FM10" s="1456"/>
      <c r="FN10" s="1457"/>
      <c r="FO10" s="1457"/>
      <c r="FP10" s="1457"/>
      <c r="FQ10" s="1457"/>
      <c r="FR10" s="1457"/>
      <c r="FS10" s="1457"/>
      <c r="FT10" s="1457"/>
      <c r="FU10" s="1457"/>
      <c r="FV10" s="1457"/>
      <c r="FW10" s="1457"/>
      <c r="FX10" s="1457"/>
      <c r="FY10" s="1458"/>
      <c r="GJ10" s="8"/>
      <c r="GK10" s="8"/>
      <c r="GL10" s="8"/>
      <c r="GM10" s="8"/>
      <c r="GN10" s="8"/>
      <c r="GO10" s="8"/>
      <c r="GP10" s="8"/>
      <c r="GQ10" s="8"/>
      <c r="GR10" s="8"/>
      <c r="GS10" s="8"/>
      <c r="GT10" s="8"/>
      <c r="GU10" s="8"/>
    </row>
    <row r="11" spans="1:203" ht="17.25" customHeight="1" x14ac:dyDescent="0.2">
      <c r="A11" s="1454" t="s">
        <v>502</v>
      </c>
      <c r="B11" s="1454"/>
      <c r="C11" s="1454"/>
      <c r="D11" s="1454"/>
      <c r="E11" s="1454"/>
      <c r="F11" s="1454"/>
      <c r="G11" s="1454"/>
      <c r="H11" s="1455"/>
      <c r="I11" s="1459" t="s">
        <v>503</v>
      </c>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460"/>
      <c r="AM11" s="1460"/>
      <c r="AN11" s="1460"/>
      <c r="AO11" s="1460"/>
      <c r="AP11" s="1460"/>
      <c r="AQ11" s="1460"/>
      <c r="AR11" s="1460"/>
      <c r="AS11" s="1460"/>
      <c r="AT11" s="1460"/>
      <c r="AU11" s="1460"/>
      <c r="AV11" s="1460"/>
      <c r="AW11" s="1460"/>
      <c r="AX11" s="1460"/>
      <c r="AY11" s="1460"/>
      <c r="AZ11" s="1460"/>
      <c r="BA11" s="1460"/>
      <c r="BB11" s="1460"/>
      <c r="BC11" s="1460"/>
      <c r="BD11" s="1460"/>
      <c r="BE11" s="1460"/>
      <c r="BF11" s="1460"/>
      <c r="BG11" s="1460"/>
      <c r="BH11" s="1460"/>
      <c r="BI11" s="1460"/>
      <c r="BJ11" s="1460"/>
      <c r="BK11" s="1460"/>
      <c r="BL11" s="1460"/>
      <c r="BM11" s="1460"/>
      <c r="BN11" s="1460"/>
      <c r="BO11" s="1460"/>
      <c r="BP11" s="1460"/>
      <c r="BQ11" s="1460"/>
      <c r="BR11" s="1460"/>
      <c r="BS11" s="1460"/>
      <c r="BT11" s="1460"/>
      <c r="BU11" s="1460"/>
      <c r="BV11" s="1460"/>
      <c r="BW11" s="1460"/>
      <c r="BX11" s="1460"/>
      <c r="BY11" s="1460"/>
      <c r="BZ11" s="1460"/>
      <c r="CA11" s="1460"/>
      <c r="CB11" s="1460"/>
      <c r="CC11" s="1460"/>
      <c r="CD11" s="1460"/>
      <c r="CE11" s="1460"/>
      <c r="CF11" s="1460"/>
      <c r="CG11" s="1460"/>
      <c r="CH11" s="1460"/>
      <c r="CI11" s="1460"/>
      <c r="CJ11" s="1460"/>
      <c r="CK11" s="1460"/>
      <c r="CL11" s="1460"/>
      <c r="CM11" s="1460"/>
      <c r="CN11" s="1453" t="s">
        <v>504</v>
      </c>
      <c r="CO11" s="1454"/>
      <c r="CP11" s="1454"/>
      <c r="CQ11" s="1454"/>
      <c r="CR11" s="1454"/>
      <c r="CS11" s="1454"/>
      <c r="CT11" s="1454"/>
      <c r="CU11" s="1455"/>
      <c r="CV11" s="1453" t="s">
        <v>3</v>
      </c>
      <c r="CW11" s="1454"/>
      <c r="CX11" s="1454"/>
      <c r="CY11" s="1454"/>
      <c r="CZ11" s="1454"/>
      <c r="DA11" s="1454"/>
      <c r="DB11" s="1454"/>
      <c r="DC11" s="1454"/>
      <c r="DD11" s="1454"/>
      <c r="DE11" s="1455"/>
      <c r="DF11" s="1453" t="s">
        <v>3</v>
      </c>
      <c r="DG11" s="1454"/>
      <c r="DH11" s="1454"/>
      <c r="DI11" s="1454"/>
      <c r="DJ11" s="1454"/>
      <c r="DK11" s="1454"/>
      <c r="DL11" s="1454"/>
      <c r="DM11" s="1454"/>
      <c r="DN11" s="1454"/>
      <c r="DO11" s="1455"/>
      <c r="DP11" s="1453" t="s">
        <v>3</v>
      </c>
      <c r="DQ11" s="1454"/>
      <c r="DR11" s="1454"/>
      <c r="DS11" s="1454"/>
      <c r="DT11" s="1454"/>
      <c r="DU11" s="1454"/>
      <c r="DV11" s="1454"/>
      <c r="DW11" s="1454"/>
      <c r="DX11" s="1454"/>
      <c r="DY11" s="1455"/>
      <c r="DZ11" s="1456"/>
      <c r="EA11" s="1457"/>
      <c r="EB11" s="1457"/>
      <c r="EC11" s="1457"/>
      <c r="ED11" s="1457"/>
      <c r="EE11" s="1457"/>
      <c r="EF11" s="1457"/>
      <c r="EG11" s="1457"/>
      <c r="EH11" s="1457"/>
      <c r="EI11" s="1457"/>
      <c r="EJ11" s="1457"/>
      <c r="EK11" s="1457"/>
      <c r="EL11" s="1458"/>
      <c r="EM11" s="1456"/>
      <c r="EN11" s="1457"/>
      <c r="EO11" s="1457"/>
      <c r="EP11" s="1457"/>
      <c r="EQ11" s="1457"/>
      <c r="ER11" s="1457"/>
      <c r="ES11" s="1457"/>
      <c r="ET11" s="1457"/>
      <c r="EU11" s="1457"/>
      <c r="EV11" s="1457"/>
      <c r="EW11" s="1457"/>
      <c r="EX11" s="1457"/>
      <c r="EY11" s="1458"/>
      <c r="EZ11" s="1456"/>
      <c r="FA11" s="1457"/>
      <c r="FB11" s="1457"/>
      <c r="FC11" s="1457"/>
      <c r="FD11" s="1457"/>
      <c r="FE11" s="1457"/>
      <c r="FF11" s="1457"/>
      <c r="FG11" s="1457"/>
      <c r="FH11" s="1457"/>
      <c r="FI11" s="1457"/>
      <c r="FJ11" s="1457"/>
      <c r="FK11" s="1457"/>
      <c r="FL11" s="1458"/>
      <c r="FM11" s="1456"/>
      <c r="FN11" s="1457"/>
      <c r="FO11" s="1457"/>
      <c r="FP11" s="1457"/>
      <c r="FQ11" s="1457"/>
      <c r="FR11" s="1457"/>
      <c r="FS11" s="1457"/>
      <c r="FT11" s="1457"/>
      <c r="FU11" s="1457"/>
      <c r="FV11" s="1457"/>
      <c r="FW11" s="1457"/>
      <c r="FX11" s="1457"/>
      <c r="FY11" s="1458"/>
    </row>
    <row r="12" spans="1:203" ht="17.25" customHeight="1" x14ac:dyDescent="0.2">
      <c r="A12" s="1454"/>
      <c r="B12" s="1454"/>
      <c r="C12" s="1454"/>
      <c r="D12" s="1454"/>
      <c r="E12" s="1454"/>
      <c r="F12" s="1454"/>
      <c r="G12" s="1454"/>
      <c r="H12" s="1455"/>
      <c r="I12" s="1459" t="s">
        <v>505</v>
      </c>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c r="AM12" s="1460"/>
      <c r="AN12" s="1460"/>
      <c r="AO12" s="1460"/>
      <c r="AP12" s="1460"/>
      <c r="AQ12" s="1460"/>
      <c r="AR12" s="1460"/>
      <c r="AS12" s="1460"/>
      <c r="AT12" s="1460"/>
      <c r="AU12" s="1460"/>
      <c r="AV12" s="1460"/>
      <c r="AW12" s="1460"/>
      <c r="AX12" s="1460"/>
      <c r="AY12" s="1460"/>
      <c r="AZ12" s="1460"/>
      <c r="BA12" s="1460"/>
      <c r="BB12" s="1460"/>
      <c r="BC12" s="1460"/>
      <c r="BD12" s="1460"/>
      <c r="BE12" s="1460"/>
      <c r="BF12" s="1460"/>
      <c r="BG12" s="1460"/>
      <c r="BH12" s="1460"/>
      <c r="BI12" s="1460"/>
      <c r="BJ12" s="1460"/>
      <c r="BK12" s="1460"/>
      <c r="BL12" s="1460"/>
      <c r="BM12" s="1460"/>
      <c r="BN12" s="1460"/>
      <c r="BO12" s="1460"/>
      <c r="BP12" s="1460"/>
      <c r="BQ12" s="1460"/>
      <c r="BR12" s="1460"/>
      <c r="BS12" s="1460"/>
      <c r="BT12" s="1460"/>
      <c r="BU12" s="1460"/>
      <c r="BV12" s="1460"/>
      <c r="BW12" s="1460"/>
      <c r="BX12" s="1460"/>
      <c r="BY12" s="1460"/>
      <c r="BZ12" s="1460"/>
      <c r="CA12" s="1460"/>
      <c r="CB12" s="1460"/>
      <c r="CC12" s="1460"/>
      <c r="CD12" s="1460"/>
      <c r="CE12" s="1460"/>
      <c r="CF12" s="1460"/>
      <c r="CG12" s="1460"/>
      <c r="CH12" s="1460"/>
      <c r="CI12" s="1460"/>
      <c r="CJ12" s="1460"/>
      <c r="CK12" s="1460"/>
      <c r="CL12" s="1460"/>
      <c r="CM12" s="1460"/>
      <c r="CN12" s="1453" t="s">
        <v>506</v>
      </c>
      <c r="CO12" s="1454"/>
      <c r="CP12" s="1454"/>
      <c r="CQ12" s="1454"/>
      <c r="CR12" s="1454"/>
      <c r="CS12" s="1454"/>
      <c r="CT12" s="1454"/>
      <c r="CU12" s="1455"/>
      <c r="CV12" s="1453"/>
      <c r="CW12" s="1454"/>
      <c r="CX12" s="1454"/>
      <c r="CY12" s="1454"/>
      <c r="CZ12" s="1454"/>
      <c r="DA12" s="1454"/>
      <c r="DB12" s="1454"/>
      <c r="DC12" s="1454"/>
      <c r="DD12" s="1454"/>
      <c r="DE12" s="1455"/>
      <c r="DF12" s="1453"/>
      <c r="DG12" s="1454"/>
      <c r="DH12" s="1454"/>
      <c r="DI12" s="1454"/>
      <c r="DJ12" s="1454"/>
      <c r="DK12" s="1454"/>
      <c r="DL12" s="1454"/>
      <c r="DM12" s="1454"/>
      <c r="DN12" s="1454"/>
      <c r="DO12" s="1455"/>
      <c r="DP12" s="1453"/>
      <c r="DQ12" s="1454"/>
      <c r="DR12" s="1454"/>
      <c r="DS12" s="1454"/>
      <c r="DT12" s="1454"/>
      <c r="DU12" s="1454"/>
      <c r="DV12" s="1454"/>
      <c r="DW12" s="1454"/>
      <c r="DX12" s="1454"/>
      <c r="DY12" s="1455"/>
      <c r="DZ12" s="1456"/>
      <c r="EA12" s="1457"/>
      <c r="EB12" s="1457"/>
      <c r="EC12" s="1457"/>
      <c r="ED12" s="1457"/>
      <c r="EE12" s="1457"/>
      <c r="EF12" s="1457"/>
      <c r="EG12" s="1457"/>
      <c r="EH12" s="1457"/>
      <c r="EI12" s="1457"/>
      <c r="EJ12" s="1457"/>
      <c r="EK12" s="1457"/>
      <c r="EL12" s="1458"/>
      <c r="EM12" s="1456"/>
      <c r="EN12" s="1457"/>
      <c r="EO12" s="1457"/>
      <c r="EP12" s="1457"/>
      <c r="EQ12" s="1457"/>
      <c r="ER12" s="1457"/>
      <c r="ES12" s="1457"/>
      <c r="ET12" s="1457"/>
      <c r="EU12" s="1457"/>
      <c r="EV12" s="1457"/>
      <c r="EW12" s="1457"/>
      <c r="EX12" s="1457"/>
      <c r="EY12" s="1458"/>
      <c r="EZ12" s="1456"/>
      <c r="FA12" s="1457"/>
      <c r="FB12" s="1457"/>
      <c r="FC12" s="1457"/>
      <c r="FD12" s="1457"/>
      <c r="FE12" s="1457"/>
      <c r="FF12" s="1457"/>
      <c r="FG12" s="1457"/>
      <c r="FH12" s="1457"/>
      <c r="FI12" s="1457"/>
      <c r="FJ12" s="1457"/>
      <c r="FK12" s="1457"/>
      <c r="FL12" s="1458"/>
      <c r="FM12" s="1456"/>
      <c r="FN12" s="1457"/>
      <c r="FO12" s="1457"/>
      <c r="FP12" s="1457"/>
      <c r="FQ12" s="1457"/>
      <c r="FR12" s="1457"/>
      <c r="FS12" s="1457"/>
      <c r="FT12" s="1457"/>
      <c r="FU12" s="1457"/>
      <c r="FV12" s="1457"/>
      <c r="FW12" s="1457"/>
      <c r="FX12" s="1457"/>
      <c r="FY12" s="1458"/>
    </row>
    <row r="13" spans="1:203" ht="17.25" customHeight="1" x14ac:dyDescent="0.2">
      <c r="A13" s="1454"/>
      <c r="B13" s="1454"/>
      <c r="C13" s="1454"/>
      <c r="D13" s="1454"/>
      <c r="E13" s="1454"/>
      <c r="F13" s="1454"/>
      <c r="G13" s="1454"/>
      <c r="H13" s="1455"/>
      <c r="I13" s="1459" t="s">
        <v>507</v>
      </c>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460"/>
      <c r="AM13" s="1460"/>
      <c r="AN13" s="1460"/>
      <c r="AO13" s="1460"/>
      <c r="AP13" s="1460"/>
      <c r="AQ13" s="1460"/>
      <c r="AR13" s="1460"/>
      <c r="AS13" s="1460"/>
      <c r="AT13" s="1460"/>
      <c r="AU13" s="1460"/>
      <c r="AV13" s="1460"/>
      <c r="AW13" s="1460"/>
      <c r="AX13" s="1460"/>
      <c r="AY13" s="1460"/>
      <c r="AZ13" s="1460"/>
      <c r="BA13" s="1460"/>
      <c r="BB13" s="1460"/>
      <c r="BC13" s="1460"/>
      <c r="BD13" s="1460"/>
      <c r="BE13" s="1460"/>
      <c r="BF13" s="1460"/>
      <c r="BG13" s="1460"/>
      <c r="BH13" s="1460"/>
      <c r="BI13" s="1460"/>
      <c r="BJ13" s="1460"/>
      <c r="BK13" s="1460"/>
      <c r="BL13" s="1460"/>
      <c r="BM13" s="1460"/>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53" t="s">
        <v>508</v>
      </c>
      <c r="CO13" s="1454"/>
      <c r="CP13" s="1454"/>
      <c r="CQ13" s="1454"/>
      <c r="CR13" s="1454"/>
      <c r="CS13" s="1454"/>
      <c r="CT13" s="1454"/>
      <c r="CU13" s="1455"/>
      <c r="CV13" s="1453"/>
      <c r="CW13" s="1454"/>
      <c r="CX13" s="1454"/>
      <c r="CY13" s="1454"/>
      <c r="CZ13" s="1454"/>
      <c r="DA13" s="1454"/>
      <c r="DB13" s="1454"/>
      <c r="DC13" s="1454"/>
      <c r="DD13" s="1454"/>
      <c r="DE13" s="1455"/>
      <c r="DF13" s="1453"/>
      <c r="DG13" s="1454"/>
      <c r="DH13" s="1454"/>
      <c r="DI13" s="1454"/>
      <c r="DJ13" s="1454"/>
      <c r="DK13" s="1454"/>
      <c r="DL13" s="1454"/>
      <c r="DM13" s="1454"/>
      <c r="DN13" s="1454"/>
      <c r="DO13" s="1455"/>
      <c r="DP13" s="1453"/>
      <c r="DQ13" s="1454"/>
      <c r="DR13" s="1454"/>
      <c r="DS13" s="1454"/>
      <c r="DT13" s="1454"/>
      <c r="DU13" s="1454"/>
      <c r="DV13" s="1454"/>
      <c r="DW13" s="1454"/>
      <c r="DX13" s="1454"/>
      <c r="DY13" s="1455"/>
      <c r="DZ13" s="1456"/>
      <c r="EA13" s="1457"/>
      <c r="EB13" s="1457"/>
      <c r="EC13" s="1457"/>
      <c r="ED13" s="1457"/>
      <c r="EE13" s="1457"/>
      <c r="EF13" s="1457"/>
      <c r="EG13" s="1457"/>
      <c r="EH13" s="1457"/>
      <c r="EI13" s="1457"/>
      <c r="EJ13" s="1457"/>
      <c r="EK13" s="1457"/>
      <c r="EL13" s="1458"/>
      <c r="EM13" s="1456"/>
      <c r="EN13" s="1457"/>
      <c r="EO13" s="1457"/>
      <c r="EP13" s="1457"/>
      <c r="EQ13" s="1457"/>
      <c r="ER13" s="1457"/>
      <c r="ES13" s="1457"/>
      <c r="ET13" s="1457"/>
      <c r="EU13" s="1457"/>
      <c r="EV13" s="1457"/>
      <c r="EW13" s="1457"/>
      <c r="EX13" s="1457"/>
      <c r="EY13" s="1458"/>
      <c r="EZ13" s="1456"/>
      <c r="FA13" s="1457"/>
      <c r="FB13" s="1457"/>
      <c r="FC13" s="1457"/>
      <c r="FD13" s="1457"/>
      <c r="FE13" s="1457"/>
      <c r="FF13" s="1457"/>
      <c r="FG13" s="1457"/>
      <c r="FH13" s="1457"/>
      <c r="FI13" s="1457"/>
      <c r="FJ13" s="1457"/>
      <c r="FK13" s="1457"/>
      <c r="FL13" s="1458"/>
      <c r="FM13" s="1456"/>
      <c r="FN13" s="1457"/>
      <c r="FO13" s="1457"/>
      <c r="FP13" s="1457"/>
      <c r="FQ13" s="1457"/>
      <c r="FR13" s="1457"/>
      <c r="FS13" s="1457"/>
      <c r="FT13" s="1457"/>
      <c r="FU13" s="1457"/>
      <c r="FV13" s="1457"/>
      <c r="FW13" s="1457"/>
      <c r="FX13" s="1457"/>
      <c r="FY13" s="1458"/>
    </row>
    <row r="14" spans="1:203" ht="17.25" customHeight="1" x14ac:dyDescent="0.2">
      <c r="A14" s="1454" t="s">
        <v>509</v>
      </c>
      <c r="B14" s="1454"/>
      <c r="C14" s="1454"/>
      <c r="D14" s="1454"/>
      <c r="E14" s="1454"/>
      <c r="F14" s="1454"/>
      <c r="G14" s="1454"/>
      <c r="H14" s="1455"/>
      <c r="I14" s="1459" t="s">
        <v>510</v>
      </c>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460"/>
      <c r="AM14" s="1460"/>
      <c r="AN14" s="1460"/>
      <c r="AO14" s="1460"/>
      <c r="AP14" s="1460"/>
      <c r="AQ14" s="1460"/>
      <c r="AR14" s="1460"/>
      <c r="AS14" s="1460"/>
      <c r="AT14" s="1460"/>
      <c r="AU14" s="1460"/>
      <c r="AV14" s="1460"/>
      <c r="AW14" s="1460"/>
      <c r="AX14" s="1460"/>
      <c r="AY14" s="1460"/>
      <c r="AZ14" s="1460"/>
      <c r="BA14" s="1460"/>
      <c r="BB14" s="1460"/>
      <c r="BC14" s="1460"/>
      <c r="BD14" s="1460"/>
      <c r="BE14" s="1460"/>
      <c r="BF14" s="1460"/>
      <c r="BG14" s="1460"/>
      <c r="BH14" s="1460"/>
      <c r="BI14" s="1460"/>
      <c r="BJ14" s="1460"/>
      <c r="BK14" s="1460"/>
      <c r="BL14" s="1460"/>
      <c r="BM14" s="1460"/>
      <c r="BN14" s="1460"/>
      <c r="BO14" s="1460"/>
      <c r="BP14" s="1460"/>
      <c r="BQ14" s="1460"/>
      <c r="BR14" s="1460"/>
      <c r="BS14" s="1460"/>
      <c r="BT14" s="1460"/>
      <c r="BU14" s="1460"/>
      <c r="BV14" s="1460"/>
      <c r="BW14" s="1460"/>
      <c r="BX14" s="1460"/>
      <c r="BY14" s="1460"/>
      <c r="BZ14" s="1460"/>
      <c r="CA14" s="1460"/>
      <c r="CB14" s="1460"/>
      <c r="CC14" s="1460"/>
      <c r="CD14" s="1460"/>
      <c r="CE14" s="1460"/>
      <c r="CF14" s="1460"/>
      <c r="CG14" s="1460"/>
      <c r="CH14" s="1460"/>
      <c r="CI14" s="1460"/>
      <c r="CJ14" s="1460"/>
      <c r="CK14" s="1460"/>
      <c r="CL14" s="1460"/>
      <c r="CM14" s="1460"/>
      <c r="CN14" s="1453" t="s">
        <v>511</v>
      </c>
      <c r="CO14" s="1454"/>
      <c r="CP14" s="1454"/>
      <c r="CQ14" s="1454"/>
      <c r="CR14" s="1454"/>
      <c r="CS14" s="1454"/>
      <c r="CT14" s="1454"/>
      <c r="CU14" s="1455"/>
      <c r="CV14" s="1453" t="s">
        <v>3</v>
      </c>
      <c r="CW14" s="1454"/>
      <c r="CX14" s="1454"/>
      <c r="CY14" s="1454"/>
      <c r="CZ14" s="1454"/>
      <c r="DA14" s="1454"/>
      <c r="DB14" s="1454"/>
      <c r="DC14" s="1454"/>
      <c r="DD14" s="1454"/>
      <c r="DE14" s="1455"/>
      <c r="DF14" s="1453" t="s">
        <v>3</v>
      </c>
      <c r="DG14" s="1454"/>
      <c r="DH14" s="1454"/>
      <c r="DI14" s="1454"/>
      <c r="DJ14" s="1454"/>
      <c r="DK14" s="1454"/>
      <c r="DL14" s="1454"/>
      <c r="DM14" s="1454"/>
      <c r="DN14" s="1454"/>
      <c r="DO14" s="1455"/>
      <c r="DP14" s="1453" t="s">
        <v>3</v>
      </c>
      <c r="DQ14" s="1454"/>
      <c r="DR14" s="1454"/>
      <c r="DS14" s="1454"/>
      <c r="DT14" s="1454"/>
      <c r="DU14" s="1454"/>
      <c r="DV14" s="1454"/>
      <c r="DW14" s="1454"/>
      <c r="DX14" s="1454"/>
      <c r="DY14" s="1455"/>
      <c r="DZ14" s="1456"/>
      <c r="EA14" s="1457"/>
      <c r="EB14" s="1457"/>
      <c r="EC14" s="1457"/>
      <c r="ED14" s="1457"/>
      <c r="EE14" s="1457"/>
      <c r="EF14" s="1457"/>
      <c r="EG14" s="1457"/>
      <c r="EH14" s="1457"/>
      <c r="EI14" s="1457"/>
      <c r="EJ14" s="1457"/>
      <c r="EK14" s="1457"/>
      <c r="EL14" s="1458"/>
      <c r="EM14" s="1456"/>
      <c r="EN14" s="1457"/>
      <c r="EO14" s="1457"/>
      <c r="EP14" s="1457"/>
      <c r="EQ14" s="1457"/>
      <c r="ER14" s="1457"/>
      <c r="ES14" s="1457"/>
      <c r="ET14" s="1457"/>
      <c r="EU14" s="1457"/>
      <c r="EV14" s="1457"/>
      <c r="EW14" s="1457"/>
      <c r="EX14" s="1457"/>
      <c r="EY14" s="1458"/>
      <c r="EZ14" s="1456"/>
      <c r="FA14" s="1457"/>
      <c r="FB14" s="1457"/>
      <c r="FC14" s="1457"/>
      <c r="FD14" s="1457"/>
      <c r="FE14" s="1457"/>
      <c r="FF14" s="1457"/>
      <c r="FG14" s="1457"/>
      <c r="FH14" s="1457"/>
      <c r="FI14" s="1457"/>
      <c r="FJ14" s="1457"/>
      <c r="FK14" s="1457"/>
      <c r="FL14" s="1458"/>
      <c r="FM14" s="1456"/>
      <c r="FN14" s="1457"/>
      <c r="FO14" s="1457"/>
      <c r="FP14" s="1457"/>
      <c r="FQ14" s="1457"/>
      <c r="FR14" s="1457"/>
      <c r="FS14" s="1457"/>
      <c r="FT14" s="1457"/>
      <c r="FU14" s="1457"/>
      <c r="FV14" s="1457"/>
      <c r="FW14" s="1457"/>
      <c r="FX14" s="1457"/>
      <c r="FY14" s="1458"/>
    </row>
    <row r="15" spans="1:203" ht="44.25" customHeight="1" x14ac:dyDescent="0.2">
      <c r="A15" s="1454" t="s">
        <v>512</v>
      </c>
      <c r="B15" s="1454"/>
      <c r="C15" s="1454"/>
      <c r="D15" s="1454"/>
      <c r="E15" s="1454"/>
      <c r="F15" s="1454"/>
      <c r="G15" s="1454"/>
      <c r="H15" s="1455"/>
      <c r="I15" s="1459" t="s">
        <v>513</v>
      </c>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460"/>
      <c r="AM15" s="1460"/>
      <c r="AN15" s="1460"/>
      <c r="AO15" s="1460"/>
      <c r="AP15" s="1460"/>
      <c r="AQ15" s="1460"/>
      <c r="AR15" s="1460"/>
      <c r="AS15" s="1460"/>
      <c r="AT15" s="1460"/>
      <c r="AU15" s="1460"/>
      <c r="AV15" s="1460"/>
      <c r="AW15" s="1460"/>
      <c r="AX15" s="1460"/>
      <c r="AY15" s="1460"/>
      <c r="AZ15" s="1460"/>
      <c r="BA15" s="1460"/>
      <c r="BB15" s="1460"/>
      <c r="BC15" s="1460"/>
      <c r="BD15" s="1460"/>
      <c r="BE15" s="1460"/>
      <c r="BF15" s="1460"/>
      <c r="BG15" s="1460"/>
      <c r="BH15" s="1460"/>
      <c r="BI15" s="1460"/>
      <c r="BJ15" s="1460"/>
      <c r="BK15" s="1460"/>
      <c r="BL15" s="1460"/>
      <c r="BM15" s="1460"/>
      <c r="BN15" s="1460"/>
      <c r="BO15" s="1460"/>
      <c r="BP15" s="1460"/>
      <c r="BQ15" s="1460"/>
      <c r="BR15" s="1460"/>
      <c r="BS15" s="1460"/>
      <c r="BT15" s="1460"/>
      <c r="BU15" s="1460"/>
      <c r="BV15" s="1460"/>
      <c r="BW15" s="1460"/>
      <c r="BX15" s="1460"/>
      <c r="BY15" s="1460"/>
      <c r="BZ15" s="1460"/>
      <c r="CA15" s="1460"/>
      <c r="CB15" s="1460"/>
      <c r="CC15" s="1460"/>
      <c r="CD15" s="1460"/>
      <c r="CE15" s="1460"/>
      <c r="CF15" s="1460"/>
      <c r="CG15" s="1460"/>
      <c r="CH15" s="1460"/>
      <c r="CI15" s="1460"/>
      <c r="CJ15" s="1460"/>
      <c r="CK15" s="1460"/>
      <c r="CL15" s="1460"/>
      <c r="CM15" s="1460"/>
      <c r="CN15" s="1453" t="s">
        <v>514</v>
      </c>
      <c r="CO15" s="1454"/>
      <c r="CP15" s="1454"/>
      <c r="CQ15" s="1454"/>
      <c r="CR15" s="1454"/>
      <c r="CS15" s="1454"/>
      <c r="CT15" s="1454"/>
      <c r="CU15" s="1455"/>
      <c r="CV15" s="1453" t="s">
        <v>3</v>
      </c>
      <c r="CW15" s="1454"/>
      <c r="CX15" s="1454"/>
      <c r="CY15" s="1454"/>
      <c r="CZ15" s="1454"/>
      <c r="DA15" s="1454"/>
      <c r="DB15" s="1454"/>
      <c r="DC15" s="1454"/>
      <c r="DD15" s="1454"/>
      <c r="DE15" s="1455"/>
      <c r="DF15" s="1453" t="s">
        <v>3</v>
      </c>
      <c r="DG15" s="1454"/>
      <c r="DH15" s="1454"/>
      <c r="DI15" s="1454"/>
      <c r="DJ15" s="1454"/>
      <c r="DK15" s="1454"/>
      <c r="DL15" s="1454"/>
      <c r="DM15" s="1454"/>
      <c r="DN15" s="1454"/>
      <c r="DO15" s="1455"/>
      <c r="DP15" s="1453" t="s">
        <v>3</v>
      </c>
      <c r="DQ15" s="1454"/>
      <c r="DR15" s="1454"/>
      <c r="DS15" s="1454"/>
      <c r="DT15" s="1454"/>
      <c r="DU15" s="1454"/>
      <c r="DV15" s="1454"/>
      <c r="DW15" s="1454"/>
      <c r="DX15" s="1454"/>
      <c r="DY15" s="1455"/>
      <c r="DZ15" s="1456">
        <f>'Приложение 1'!BX116</f>
        <v>24206241.629999999</v>
      </c>
      <c r="EA15" s="1457"/>
      <c r="EB15" s="1457"/>
      <c r="EC15" s="1457"/>
      <c r="ED15" s="1457"/>
      <c r="EE15" s="1457"/>
      <c r="EF15" s="1457"/>
      <c r="EG15" s="1457"/>
      <c r="EH15" s="1457"/>
      <c r="EI15" s="1457"/>
      <c r="EJ15" s="1457"/>
      <c r="EK15" s="1457"/>
      <c r="EL15" s="1458"/>
      <c r="EM15" s="1456">
        <f>'Приложение 1'!CC116</f>
        <v>35489101.600000001</v>
      </c>
      <c r="EN15" s="1457"/>
      <c r="EO15" s="1457"/>
      <c r="EP15" s="1457"/>
      <c r="EQ15" s="1457"/>
      <c r="ER15" s="1457"/>
      <c r="ES15" s="1457"/>
      <c r="ET15" s="1457"/>
      <c r="EU15" s="1457"/>
      <c r="EV15" s="1457"/>
      <c r="EW15" s="1457"/>
      <c r="EX15" s="1457"/>
      <c r="EY15" s="1458"/>
      <c r="EZ15" s="1456">
        <f>'Приложение 1'!CH116</f>
        <v>11337558.549999999</v>
      </c>
      <c r="FA15" s="1457"/>
      <c r="FB15" s="1457"/>
      <c r="FC15" s="1457"/>
      <c r="FD15" s="1457"/>
      <c r="FE15" s="1457"/>
      <c r="FF15" s="1457"/>
      <c r="FG15" s="1457"/>
      <c r="FH15" s="1457"/>
      <c r="FI15" s="1457"/>
      <c r="FJ15" s="1457"/>
      <c r="FK15" s="1457"/>
      <c r="FL15" s="1458"/>
      <c r="FM15" s="1456"/>
      <c r="FN15" s="1457"/>
      <c r="FO15" s="1457"/>
      <c r="FP15" s="1457"/>
      <c r="FQ15" s="1457"/>
      <c r="FR15" s="1457"/>
      <c r="FS15" s="1457"/>
      <c r="FT15" s="1457"/>
      <c r="FU15" s="1457"/>
      <c r="FV15" s="1457"/>
      <c r="FW15" s="1457"/>
      <c r="FX15" s="1457"/>
      <c r="FY15" s="1458"/>
    </row>
    <row r="16" spans="1:203" ht="37.5" customHeight="1" x14ac:dyDescent="0.2">
      <c r="A16" s="1454" t="s">
        <v>515</v>
      </c>
      <c r="B16" s="1454"/>
      <c r="C16" s="1454"/>
      <c r="D16" s="1454"/>
      <c r="E16" s="1454"/>
      <c r="F16" s="1454"/>
      <c r="G16" s="1454"/>
      <c r="H16" s="1455"/>
      <c r="I16" s="1459" t="s">
        <v>516</v>
      </c>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460"/>
      <c r="AM16" s="1460"/>
      <c r="AN16" s="1460"/>
      <c r="AO16" s="1460"/>
      <c r="AP16" s="1460"/>
      <c r="AQ16" s="1460"/>
      <c r="AR16" s="1460"/>
      <c r="AS16" s="1460"/>
      <c r="AT16" s="1460"/>
      <c r="AU16" s="1460"/>
      <c r="AV16" s="1460"/>
      <c r="AW16" s="1460"/>
      <c r="AX16" s="1460"/>
      <c r="AY16" s="1460"/>
      <c r="AZ16" s="1460"/>
      <c r="BA16" s="1460"/>
      <c r="BB16" s="1460"/>
      <c r="BC16" s="1460"/>
      <c r="BD16" s="1460"/>
      <c r="BE16" s="1460"/>
      <c r="BF16" s="1460"/>
      <c r="BG16" s="1460"/>
      <c r="BH16" s="1460"/>
      <c r="BI16" s="1460"/>
      <c r="BJ16" s="1460"/>
      <c r="BK16" s="1460"/>
      <c r="BL16" s="1460"/>
      <c r="BM16" s="1460"/>
      <c r="BN16" s="1460"/>
      <c r="BO16" s="1460"/>
      <c r="BP16" s="1460"/>
      <c r="BQ16" s="1460"/>
      <c r="BR16" s="1460"/>
      <c r="BS16" s="1460"/>
      <c r="BT16" s="1460"/>
      <c r="BU16" s="1460"/>
      <c r="BV16" s="1460"/>
      <c r="BW16" s="1460"/>
      <c r="BX16" s="1460"/>
      <c r="BY16" s="1460"/>
      <c r="BZ16" s="1460"/>
      <c r="CA16" s="1460"/>
      <c r="CB16" s="1460"/>
      <c r="CC16" s="1460"/>
      <c r="CD16" s="1460"/>
      <c r="CE16" s="1460"/>
      <c r="CF16" s="1460"/>
      <c r="CG16" s="1460"/>
      <c r="CH16" s="1460"/>
      <c r="CI16" s="1460"/>
      <c r="CJ16" s="1460"/>
      <c r="CK16" s="1460"/>
      <c r="CL16" s="1460"/>
      <c r="CM16" s="1460"/>
      <c r="CN16" s="1453" t="s">
        <v>517</v>
      </c>
      <c r="CO16" s="1454"/>
      <c r="CP16" s="1454"/>
      <c r="CQ16" s="1454"/>
      <c r="CR16" s="1454"/>
      <c r="CS16" s="1454"/>
      <c r="CT16" s="1454"/>
      <c r="CU16" s="1455"/>
      <c r="CV16" s="1453" t="s">
        <v>3</v>
      </c>
      <c r="CW16" s="1454"/>
      <c r="CX16" s="1454"/>
      <c r="CY16" s="1454"/>
      <c r="CZ16" s="1454"/>
      <c r="DA16" s="1454"/>
      <c r="DB16" s="1454"/>
      <c r="DC16" s="1454"/>
      <c r="DD16" s="1454"/>
      <c r="DE16" s="1455"/>
      <c r="DF16" s="1453" t="s">
        <v>3</v>
      </c>
      <c r="DG16" s="1454"/>
      <c r="DH16" s="1454"/>
      <c r="DI16" s="1454"/>
      <c r="DJ16" s="1454"/>
      <c r="DK16" s="1454"/>
      <c r="DL16" s="1454"/>
      <c r="DM16" s="1454"/>
      <c r="DN16" s="1454"/>
      <c r="DO16" s="1455"/>
      <c r="DP16" s="1453" t="s">
        <v>3</v>
      </c>
      <c r="DQ16" s="1454"/>
      <c r="DR16" s="1454"/>
      <c r="DS16" s="1454"/>
      <c r="DT16" s="1454"/>
      <c r="DU16" s="1454"/>
      <c r="DV16" s="1454"/>
      <c r="DW16" s="1454"/>
      <c r="DX16" s="1454"/>
      <c r="DY16" s="1455"/>
      <c r="DZ16" s="1456">
        <f>'Приложение 1'!BY116</f>
        <v>11171058.699999999</v>
      </c>
      <c r="EA16" s="1457"/>
      <c r="EB16" s="1457"/>
      <c r="EC16" s="1457"/>
      <c r="ED16" s="1457"/>
      <c r="EE16" s="1457"/>
      <c r="EF16" s="1457"/>
      <c r="EG16" s="1457"/>
      <c r="EH16" s="1457"/>
      <c r="EI16" s="1457"/>
      <c r="EJ16" s="1457"/>
      <c r="EK16" s="1457"/>
      <c r="EL16" s="1458"/>
      <c r="EM16" s="1456">
        <f>'Приложение 1'!CD116</f>
        <v>10148506.23</v>
      </c>
      <c r="EN16" s="1457"/>
      <c r="EO16" s="1457"/>
      <c r="EP16" s="1457"/>
      <c r="EQ16" s="1457"/>
      <c r="ER16" s="1457"/>
      <c r="ES16" s="1457"/>
      <c r="ET16" s="1457"/>
      <c r="EU16" s="1457"/>
      <c r="EV16" s="1457"/>
      <c r="EW16" s="1457"/>
      <c r="EX16" s="1457"/>
      <c r="EY16" s="1458"/>
      <c r="EZ16" s="1456">
        <f>'Приложение 1'!CI116</f>
        <v>10073756.23</v>
      </c>
      <c r="FA16" s="1457"/>
      <c r="FB16" s="1457"/>
      <c r="FC16" s="1457"/>
      <c r="FD16" s="1457"/>
      <c r="FE16" s="1457"/>
      <c r="FF16" s="1457"/>
      <c r="FG16" s="1457"/>
      <c r="FH16" s="1457"/>
      <c r="FI16" s="1457"/>
      <c r="FJ16" s="1457"/>
      <c r="FK16" s="1457"/>
      <c r="FL16" s="1458"/>
      <c r="FM16" s="1456"/>
      <c r="FN16" s="1457"/>
      <c r="FO16" s="1457"/>
      <c r="FP16" s="1457"/>
      <c r="FQ16" s="1457"/>
      <c r="FR16" s="1457"/>
      <c r="FS16" s="1457"/>
      <c r="FT16" s="1457"/>
      <c r="FU16" s="1457"/>
      <c r="FV16" s="1457"/>
      <c r="FW16" s="1457"/>
      <c r="FX16" s="1457"/>
      <c r="FY16" s="1458"/>
    </row>
    <row r="17" spans="1:181" ht="24" customHeight="1" x14ac:dyDescent="0.2">
      <c r="A17" s="1454" t="s">
        <v>518</v>
      </c>
      <c r="B17" s="1454"/>
      <c r="C17" s="1454"/>
      <c r="D17" s="1454"/>
      <c r="E17" s="1454"/>
      <c r="F17" s="1454"/>
      <c r="G17" s="1454"/>
      <c r="H17" s="1455"/>
      <c r="I17" s="1459" t="s">
        <v>519</v>
      </c>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460"/>
      <c r="AM17" s="1460"/>
      <c r="AN17" s="1460"/>
      <c r="AO17" s="1460"/>
      <c r="AP17" s="1460"/>
      <c r="AQ17" s="1460"/>
      <c r="AR17" s="1460"/>
      <c r="AS17" s="1460"/>
      <c r="AT17" s="1460"/>
      <c r="AU17" s="1460"/>
      <c r="AV17" s="1460"/>
      <c r="AW17" s="1460"/>
      <c r="AX17" s="1460"/>
      <c r="AY17" s="1460"/>
      <c r="AZ17" s="1460"/>
      <c r="BA17" s="1460"/>
      <c r="BB17" s="1460"/>
      <c r="BC17" s="1460"/>
      <c r="BD17" s="1460"/>
      <c r="BE17" s="1460"/>
      <c r="BF17" s="1460"/>
      <c r="BG17" s="1460"/>
      <c r="BH17" s="1460"/>
      <c r="BI17" s="1460"/>
      <c r="BJ17" s="1460"/>
      <c r="BK17" s="1460"/>
      <c r="BL17" s="1460"/>
      <c r="BM17" s="1460"/>
      <c r="BN17" s="1460"/>
      <c r="BO17" s="1460"/>
      <c r="BP17" s="1460"/>
      <c r="BQ17" s="1460"/>
      <c r="BR17" s="1460"/>
      <c r="BS17" s="1460"/>
      <c r="BT17" s="1460"/>
      <c r="BU17" s="1460"/>
      <c r="BV17" s="1460"/>
      <c r="BW17" s="1460"/>
      <c r="BX17" s="1460"/>
      <c r="BY17" s="1460"/>
      <c r="BZ17" s="1460"/>
      <c r="CA17" s="1460"/>
      <c r="CB17" s="1460"/>
      <c r="CC17" s="1460"/>
      <c r="CD17" s="1460"/>
      <c r="CE17" s="1460"/>
      <c r="CF17" s="1460"/>
      <c r="CG17" s="1460"/>
      <c r="CH17" s="1460"/>
      <c r="CI17" s="1460"/>
      <c r="CJ17" s="1460"/>
      <c r="CK17" s="1460"/>
      <c r="CL17" s="1460"/>
      <c r="CM17" s="1460"/>
      <c r="CN17" s="1453" t="s">
        <v>520</v>
      </c>
      <c r="CO17" s="1454"/>
      <c r="CP17" s="1454"/>
      <c r="CQ17" s="1454"/>
      <c r="CR17" s="1454"/>
      <c r="CS17" s="1454"/>
      <c r="CT17" s="1454"/>
      <c r="CU17" s="1455"/>
      <c r="CV17" s="1453" t="s">
        <v>3</v>
      </c>
      <c r="CW17" s="1454"/>
      <c r="CX17" s="1454"/>
      <c r="CY17" s="1454"/>
      <c r="CZ17" s="1454"/>
      <c r="DA17" s="1454"/>
      <c r="DB17" s="1454"/>
      <c r="DC17" s="1454"/>
      <c r="DD17" s="1454"/>
      <c r="DE17" s="1455"/>
      <c r="DF17" s="1453" t="s">
        <v>3</v>
      </c>
      <c r="DG17" s="1454"/>
      <c r="DH17" s="1454"/>
      <c r="DI17" s="1454"/>
      <c r="DJ17" s="1454"/>
      <c r="DK17" s="1454"/>
      <c r="DL17" s="1454"/>
      <c r="DM17" s="1454"/>
      <c r="DN17" s="1454"/>
      <c r="DO17" s="1455"/>
      <c r="DP17" s="1453" t="s">
        <v>3</v>
      </c>
      <c r="DQ17" s="1454"/>
      <c r="DR17" s="1454"/>
      <c r="DS17" s="1454"/>
      <c r="DT17" s="1454"/>
      <c r="DU17" s="1454"/>
      <c r="DV17" s="1454"/>
      <c r="DW17" s="1454"/>
      <c r="DX17" s="1454"/>
      <c r="DY17" s="1455"/>
      <c r="DZ17" s="1456"/>
      <c r="EA17" s="1457"/>
      <c r="EB17" s="1457"/>
      <c r="EC17" s="1457"/>
      <c r="ED17" s="1457"/>
      <c r="EE17" s="1457"/>
      <c r="EF17" s="1457"/>
      <c r="EG17" s="1457"/>
      <c r="EH17" s="1457"/>
      <c r="EI17" s="1457"/>
      <c r="EJ17" s="1457"/>
      <c r="EK17" s="1457"/>
      <c r="EL17" s="1458"/>
      <c r="EM17" s="1456"/>
      <c r="EN17" s="1457"/>
      <c r="EO17" s="1457"/>
      <c r="EP17" s="1457"/>
      <c r="EQ17" s="1457"/>
      <c r="ER17" s="1457"/>
      <c r="ES17" s="1457"/>
      <c r="ET17" s="1457"/>
      <c r="EU17" s="1457"/>
      <c r="EV17" s="1457"/>
      <c r="EW17" s="1457"/>
      <c r="EX17" s="1457"/>
      <c r="EY17" s="1458"/>
      <c r="EZ17" s="1456"/>
      <c r="FA17" s="1457"/>
      <c r="FB17" s="1457"/>
      <c r="FC17" s="1457"/>
      <c r="FD17" s="1457"/>
      <c r="FE17" s="1457"/>
      <c r="FF17" s="1457"/>
      <c r="FG17" s="1457"/>
      <c r="FH17" s="1457"/>
      <c r="FI17" s="1457"/>
      <c r="FJ17" s="1457"/>
      <c r="FK17" s="1457"/>
      <c r="FL17" s="1458"/>
      <c r="FM17" s="1456"/>
      <c r="FN17" s="1457"/>
      <c r="FO17" s="1457"/>
      <c r="FP17" s="1457"/>
      <c r="FQ17" s="1457"/>
      <c r="FR17" s="1457"/>
      <c r="FS17" s="1457"/>
      <c r="FT17" s="1457"/>
      <c r="FU17" s="1457"/>
      <c r="FV17" s="1457"/>
      <c r="FW17" s="1457"/>
      <c r="FX17" s="1457"/>
      <c r="FY17" s="1458"/>
    </row>
    <row r="18" spans="1:181" ht="17.25" customHeight="1" x14ac:dyDescent="0.2">
      <c r="A18" s="1454" t="s">
        <v>521</v>
      </c>
      <c r="B18" s="1454"/>
      <c r="C18" s="1454"/>
      <c r="D18" s="1454"/>
      <c r="E18" s="1454"/>
      <c r="F18" s="1454"/>
      <c r="G18" s="1454"/>
      <c r="H18" s="1455"/>
      <c r="I18" s="1459" t="s">
        <v>522</v>
      </c>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460"/>
      <c r="AM18" s="1460"/>
      <c r="AN18" s="1460"/>
      <c r="AO18" s="1460"/>
      <c r="AP18" s="1460"/>
      <c r="AQ18" s="1460"/>
      <c r="AR18" s="1460"/>
      <c r="AS18" s="1460"/>
      <c r="AT18" s="1460"/>
      <c r="AU18" s="1460"/>
      <c r="AV18" s="1460"/>
      <c r="AW18" s="1460"/>
      <c r="AX18" s="1460"/>
      <c r="AY18" s="1460"/>
      <c r="AZ18" s="1460"/>
      <c r="BA18" s="1460"/>
      <c r="BB18" s="1460"/>
      <c r="BC18" s="1460"/>
      <c r="BD18" s="1460"/>
      <c r="BE18" s="1460"/>
      <c r="BF18" s="1460"/>
      <c r="BG18" s="1460"/>
      <c r="BH18" s="1460"/>
      <c r="BI18" s="1460"/>
      <c r="BJ18" s="1460"/>
      <c r="BK18" s="1460"/>
      <c r="BL18" s="1460"/>
      <c r="BM18" s="1460"/>
      <c r="BN18" s="1460"/>
      <c r="BO18" s="1460"/>
      <c r="BP18" s="1460"/>
      <c r="BQ18" s="1460"/>
      <c r="BR18" s="1460"/>
      <c r="BS18" s="1460"/>
      <c r="BT18" s="1460"/>
      <c r="BU18" s="1460"/>
      <c r="BV18" s="1460"/>
      <c r="BW18" s="1460"/>
      <c r="BX18" s="1460"/>
      <c r="BY18" s="1460"/>
      <c r="BZ18" s="1460"/>
      <c r="CA18" s="1460"/>
      <c r="CB18" s="1460"/>
      <c r="CC18" s="1460"/>
      <c r="CD18" s="1460"/>
      <c r="CE18" s="1460"/>
      <c r="CF18" s="1460"/>
      <c r="CG18" s="1460"/>
      <c r="CH18" s="1460"/>
      <c r="CI18" s="1460"/>
      <c r="CJ18" s="1460"/>
      <c r="CK18" s="1460"/>
      <c r="CL18" s="1460"/>
      <c r="CM18" s="1460"/>
      <c r="CN18" s="1453" t="s">
        <v>523</v>
      </c>
      <c r="CO18" s="1454"/>
      <c r="CP18" s="1454"/>
      <c r="CQ18" s="1454"/>
      <c r="CR18" s="1454"/>
      <c r="CS18" s="1454"/>
      <c r="CT18" s="1454"/>
      <c r="CU18" s="1455"/>
      <c r="CV18" s="1453" t="s">
        <v>3</v>
      </c>
      <c r="CW18" s="1454"/>
      <c r="CX18" s="1454"/>
      <c r="CY18" s="1454"/>
      <c r="CZ18" s="1454"/>
      <c r="DA18" s="1454"/>
      <c r="DB18" s="1454"/>
      <c r="DC18" s="1454"/>
      <c r="DD18" s="1454"/>
      <c r="DE18" s="1455"/>
      <c r="DF18" s="1453" t="s">
        <v>3</v>
      </c>
      <c r="DG18" s="1454"/>
      <c r="DH18" s="1454"/>
      <c r="DI18" s="1454"/>
      <c r="DJ18" s="1454"/>
      <c r="DK18" s="1454"/>
      <c r="DL18" s="1454"/>
      <c r="DM18" s="1454"/>
      <c r="DN18" s="1454"/>
      <c r="DO18" s="1455"/>
      <c r="DP18" s="1453" t="s">
        <v>3</v>
      </c>
      <c r="DQ18" s="1454"/>
      <c r="DR18" s="1454"/>
      <c r="DS18" s="1454"/>
      <c r="DT18" s="1454"/>
      <c r="DU18" s="1454"/>
      <c r="DV18" s="1454"/>
      <c r="DW18" s="1454"/>
      <c r="DX18" s="1454"/>
      <c r="DY18" s="1455"/>
      <c r="DZ18" s="1456">
        <f>DZ16</f>
        <v>11171058.699999999</v>
      </c>
      <c r="EA18" s="1457"/>
      <c r="EB18" s="1457"/>
      <c r="EC18" s="1457"/>
      <c r="ED18" s="1457"/>
      <c r="EE18" s="1457"/>
      <c r="EF18" s="1457"/>
      <c r="EG18" s="1457"/>
      <c r="EH18" s="1457"/>
      <c r="EI18" s="1457"/>
      <c r="EJ18" s="1457"/>
      <c r="EK18" s="1457"/>
      <c r="EL18" s="1458"/>
      <c r="EM18" s="1456">
        <f>EM16</f>
        <v>10148506.23</v>
      </c>
      <c r="EN18" s="1457"/>
      <c r="EO18" s="1457"/>
      <c r="EP18" s="1457"/>
      <c r="EQ18" s="1457"/>
      <c r="ER18" s="1457"/>
      <c r="ES18" s="1457"/>
      <c r="ET18" s="1457"/>
      <c r="EU18" s="1457"/>
      <c r="EV18" s="1457"/>
      <c r="EW18" s="1457"/>
      <c r="EX18" s="1457"/>
      <c r="EY18" s="1458"/>
      <c r="EZ18" s="1456">
        <f>EZ16</f>
        <v>10073756.23</v>
      </c>
      <c r="FA18" s="1457"/>
      <c r="FB18" s="1457"/>
      <c r="FC18" s="1457"/>
      <c r="FD18" s="1457"/>
      <c r="FE18" s="1457"/>
      <c r="FF18" s="1457"/>
      <c r="FG18" s="1457"/>
      <c r="FH18" s="1457"/>
      <c r="FI18" s="1457"/>
      <c r="FJ18" s="1457"/>
      <c r="FK18" s="1457"/>
      <c r="FL18" s="1458"/>
      <c r="FM18" s="1456"/>
      <c r="FN18" s="1457"/>
      <c r="FO18" s="1457"/>
      <c r="FP18" s="1457"/>
      <c r="FQ18" s="1457"/>
      <c r="FR18" s="1457"/>
      <c r="FS18" s="1457"/>
      <c r="FT18" s="1457"/>
      <c r="FU18" s="1457"/>
      <c r="FV18" s="1457"/>
      <c r="FW18" s="1457"/>
      <c r="FX18" s="1457"/>
      <c r="FY18" s="1458"/>
    </row>
    <row r="19" spans="1:181" ht="33.75" customHeight="1" x14ac:dyDescent="0.2">
      <c r="A19" s="1454" t="s">
        <v>524</v>
      </c>
      <c r="B19" s="1454"/>
      <c r="C19" s="1454"/>
      <c r="D19" s="1454"/>
      <c r="E19" s="1454"/>
      <c r="F19" s="1454"/>
      <c r="G19" s="1454"/>
      <c r="H19" s="1455"/>
      <c r="I19" s="1459" t="s">
        <v>525</v>
      </c>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460"/>
      <c r="AM19" s="1460"/>
      <c r="AN19" s="1460"/>
      <c r="AO19" s="1460"/>
      <c r="AP19" s="1460"/>
      <c r="AQ19" s="1460"/>
      <c r="AR19" s="1460"/>
      <c r="AS19" s="1460"/>
      <c r="AT19" s="1460"/>
      <c r="AU19" s="1460"/>
      <c r="AV19" s="1460"/>
      <c r="AW19" s="1460"/>
      <c r="AX19" s="1460"/>
      <c r="AY19" s="1460"/>
      <c r="AZ19" s="1460"/>
      <c r="BA19" s="1460"/>
      <c r="BB19" s="1460"/>
      <c r="BC19" s="1460"/>
      <c r="BD19" s="1460"/>
      <c r="BE19" s="1460"/>
      <c r="BF19" s="1460"/>
      <c r="BG19" s="1460"/>
      <c r="BH19" s="1460"/>
      <c r="BI19" s="1460"/>
      <c r="BJ19" s="1460"/>
      <c r="BK19" s="1460"/>
      <c r="BL19" s="1460"/>
      <c r="BM19" s="1460"/>
      <c r="BN19" s="1460"/>
      <c r="BO19" s="1460"/>
      <c r="BP19" s="1460"/>
      <c r="BQ19" s="1460"/>
      <c r="BR19" s="1460"/>
      <c r="BS19" s="1460"/>
      <c r="BT19" s="1460"/>
      <c r="BU19" s="1460"/>
      <c r="BV19" s="1460"/>
      <c r="BW19" s="1460"/>
      <c r="BX19" s="1460"/>
      <c r="BY19" s="1460"/>
      <c r="BZ19" s="1460"/>
      <c r="CA19" s="1460"/>
      <c r="CB19" s="1460"/>
      <c r="CC19" s="1460"/>
      <c r="CD19" s="1460"/>
      <c r="CE19" s="1460"/>
      <c r="CF19" s="1460"/>
      <c r="CG19" s="1460"/>
      <c r="CH19" s="1460"/>
      <c r="CI19" s="1460"/>
      <c r="CJ19" s="1460"/>
      <c r="CK19" s="1460"/>
      <c r="CL19" s="1460"/>
      <c r="CM19" s="1460"/>
      <c r="CN19" s="1453" t="s">
        <v>526</v>
      </c>
      <c r="CO19" s="1454"/>
      <c r="CP19" s="1454"/>
      <c r="CQ19" s="1454"/>
      <c r="CR19" s="1454"/>
      <c r="CS19" s="1454"/>
      <c r="CT19" s="1454"/>
      <c r="CU19" s="1455"/>
      <c r="CV19" s="1453" t="s">
        <v>3</v>
      </c>
      <c r="CW19" s="1454"/>
      <c r="CX19" s="1454"/>
      <c r="CY19" s="1454"/>
      <c r="CZ19" s="1454"/>
      <c r="DA19" s="1454"/>
      <c r="DB19" s="1454"/>
      <c r="DC19" s="1454"/>
      <c r="DD19" s="1454"/>
      <c r="DE19" s="1455"/>
      <c r="DF19" s="1453" t="s">
        <v>3</v>
      </c>
      <c r="DG19" s="1454"/>
      <c r="DH19" s="1454"/>
      <c r="DI19" s="1454"/>
      <c r="DJ19" s="1454"/>
      <c r="DK19" s="1454"/>
      <c r="DL19" s="1454"/>
      <c r="DM19" s="1454"/>
      <c r="DN19" s="1454"/>
      <c r="DO19" s="1455"/>
      <c r="DP19" s="1453" t="s">
        <v>3</v>
      </c>
      <c r="DQ19" s="1454"/>
      <c r="DR19" s="1454"/>
      <c r="DS19" s="1454"/>
      <c r="DT19" s="1454"/>
      <c r="DU19" s="1454"/>
      <c r="DV19" s="1454"/>
      <c r="DW19" s="1454"/>
      <c r="DX19" s="1454"/>
      <c r="DY19" s="1455"/>
      <c r="DZ19" s="1456">
        <f>'Приложение 1'!BZ116</f>
        <v>10591775.32</v>
      </c>
      <c r="EA19" s="1457"/>
      <c r="EB19" s="1457"/>
      <c r="EC19" s="1457"/>
      <c r="ED19" s="1457"/>
      <c r="EE19" s="1457"/>
      <c r="EF19" s="1457"/>
      <c r="EG19" s="1457"/>
      <c r="EH19" s="1457"/>
      <c r="EI19" s="1457"/>
      <c r="EJ19" s="1457"/>
      <c r="EK19" s="1457"/>
      <c r="EL19" s="1458"/>
      <c r="EM19" s="1456">
        <f>'Приложение 1'!CE116</f>
        <v>24114311.109999999</v>
      </c>
      <c r="EN19" s="1457"/>
      <c r="EO19" s="1457"/>
      <c r="EP19" s="1457"/>
      <c r="EQ19" s="1457"/>
      <c r="ER19" s="1457"/>
      <c r="ES19" s="1457"/>
      <c r="ET19" s="1457"/>
      <c r="EU19" s="1457"/>
      <c r="EV19" s="1457"/>
      <c r="EW19" s="1457"/>
      <c r="EX19" s="1457"/>
      <c r="EY19" s="1458"/>
      <c r="EZ19" s="1456">
        <f>'Приложение 1'!CJ116</f>
        <v>3200</v>
      </c>
      <c r="FA19" s="1457"/>
      <c r="FB19" s="1457"/>
      <c r="FC19" s="1457"/>
      <c r="FD19" s="1457"/>
      <c r="FE19" s="1457"/>
      <c r="FF19" s="1457"/>
      <c r="FG19" s="1457"/>
      <c r="FH19" s="1457"/>
      <c r="FI19" s="1457"/>
      <c r="FJ19" s="1457"/>
      <c r="FK19" s="1457"/>
      <c r="FL19" s="1458"/>
      <c r="FM19" s="1456"/>
      <c r="FN19" s="1457"/>
      <c r="FO19" s="1457"/>
      <c r="FP19" s="1457"/>
      <c r="FQ19" s="1457"/>
      <c r="FR19" s="1457"/>
      <c r="FS19" s="1457"/>
      <c r="FT19" s="1457"/>
      <c r="FU19" s="1457"/>
      <c r="FV19" s="1457"/>
      <c r="FW19" s="1457"/>
      <c r="FX19" s="1457"/>
      <c r="FY19" s="1458"/>
    </row>
    <row r="20" spans="1:181" ht="24" customHeight="1" x14ac:dyDescent="0.2">
      <c r="A20" s="1454" t="s">
        <v>527</v>
      </c>
      <c r="B20" s="1454"/>
      <c r="C20" s="1454"/>
      <c r="D20" s="1454"/>
      <c r="E20" s="1454"/>
      <c r="F20" s="1454"/>
      <c r="G20" s="1454"/>
      <c r="H20" s="1455"/>
      <c r="I20" s="1459" t="s">
        <v>519</v>
      </c>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460"/>
      <c r="AM20" s="1460"/>
      <c r="AN20" s="1460"/>
      <c r="AO20" s="1460"/>
      <c r="AP20" s="1460"/>
      <c r="AQ20" s="1460"/>
      <c r="AR20" s="1460"/>
      <c r="AS20" s="1460"/>
      <c r="AT20" s="1460"/>
      <c r="AU20" s="1460"/>
      <c r="AV20" s="1460"/>
      <c r="AW20" s="1460"/>
      <c r="AX20" s="1460"/>
      <c r="AY20" s="1460"/>
      <c r="AZ20" s="1460"/>
      <c r="BA20" s="1460"/>
      <c r="BB20" s="1460"/>
      <c r="BC20" s="1460"/>
      <c r="BD20" s="1460"/>
      <c r="BE20" s="1460"/>
      <c r="BF20" s="1460"/>
      <c r="BG20" s="1460"/>
      <c r="BH20" s="1460"/>
      <c r="BI20" s="1460"/>
      <c r="BJ20" s="1460"/>
      <c r="BK20" s="1460"/>
      <c r="BL20" s="1460"/>
      <c r="BM20" s="1460"/>
      <c r="BN20" s="1460"/>
      <c r="BO20" s="1460"/>
      <c r="BP20" s="1460"/>
      <c r="BQ20" s="1460"/>
      <c r="BR20" s="1460"/>
      <c r="BS20" s="1460"/>
      <c r="BT20" s="1460"/>
      <c r="BU20" s="1460"/>
      <c r="BV20" s="1460"/>
      <c r="BW20" s="1460"/>
      <c r="BX20" s="1460"/>
      <c r="BY20" s="1460"/>
      <c r="BZ20" s="1460"/>
      <c r="CA20" s="1460"/>
      <c r="CB20" s="1460"/>
      <c r="CC20" s="1460"/>
      <c r="CD20" s="1460"/>
      <c r="CE20" s="1460"/>
      <c r="CF20" s="1460"/>
      <c r="CG20" s="1460"/>
      <c r="CH20" s="1460"/>
      <c r="CI20" s="1460"/>
      <c r="CJ20" s="1460"/>
      <c r="CK20" s="1460"/>
      <c r="CL20" s="1460"/>
      <c r="CM20" s="1460"/>
      <c r="CN20" s="1453" t="s">
        <v>528</v>
      </c>
      <c r="CO20" s="1454"/>
      <c r="CP20" s="1454"/>
      <c r="CQ20" s="1454"/>
      <c r="CR20" s="1454"/>
      <c r="CS20" s="1454"/>
      <c r="CT20" s="1454"/>
      <c r="CU20" s="1455"/>
      <c r="CV20" s="1453" t="s">
        <v>3</v>
      </c>
      <c r="CW20" s="1454"/>
      <c r="CX20" s="1454"/>
      <c r="CY20" s="1454"/>
      <c r="CZ20" s="1454"/>
      <c r="DA20" s="1454"/>
      <c r="DB20" s="1454"/>
      <c r="DC20" s="1454"/>
      <c r="DD20" s="1454"/>
      <c r="DE20" s="1455"/>
      <c r="DF20" s="1453" t="s">
        <v>3</v>
      </c>
      <c r="DG20" s="1454"/>
      <c r="DH20" s="1454"/>
      <c r="DI20" s="1454"/>
      <c r="DJ20" s="1454"/>
      <c r="DK20" s="1454"/>
      <c r="DL20" s="1454"/>
      <c r="DM20" s="1454"/>
      <c r="DN20" s="1454"/>
      <c r="DO20" s="1455"/>
      <c r="DP20" s="1453" t="s">
        <v>3</v>
      </c>
      <c r="DQ20" s="1454"/>
      <c r="DR20" s="1454"/>
      <c r="DS20" s="1454"/>
      <c r="DT20" s="1454"/>
      <c r="DU20" s="1454"/>
      <c r="DV20" s="1454"/>
      <c r="DW20" s="1454"/>
      <c r="DX20" s="1454"/>
      <c r="DY20" s="1455"/>
      <c r="DZ20" s="1456"/>
      <c r="EA20" s="1457"/>
      <c r="EB20" s="1457"/>
      <c r="EC20" s="1457"/>
      <c r="ED20" s="1457"/>
      <c r="EE20" s="1457"/>
      <c r="EF20" s="1457"/>
      <c r="EG20" s="1457"/>
      <c r="EH20" s="1457"/>
      <c r="EI20" s="1457"/>
      <c r="EJ20" s="1457"/>
      <c r="EK20" s="1457"/>
      <c r="EL20" s="1458"/>
      <c r="EM20" s="1456"/>
      <c r="EN20" s="1457"/>
      <c r="EO20" s="1457"/>
      <c r="EP20" s="1457"/>
      <c r="EQ20" s="1457"/>
      <c r="ER20" s="1457"/>
      <c r="ES20" s="1457"/>
      <c r="ET20" s="1457"/>
      <c r="EU20" s="1457"/>
      <c r="EV20" s="1457"/>
      <c r="EW20" s="1457"/>
      <c r="EX20" s="1457"/>
      <c r="EY20" s="1458"/>
      <c r="EZ20" s="1456"/>
      <c r="FA20" s="1457"/>
      <c r="FB20" s="1457"/>
      <c r="FC20" s="1457"/>
      <c r="FD20" s="1457"/>
      <c r="FE20" s="1457"/>
      <c r="FF20" s="1457"/>
      <c r="FG20" s="1457"/>
      <c r="FH20" s="1457"/>
      <c r="FI20" s="1457"/>
      <c r="FJ20" s="1457"/>
      <c r="FK20" s="1457"/>
      <c r="FL20" s="1458"/>
      <c r="FM20" s="1456"/>
      <c r="FN20" s="1457"/>
      <c r="FO20" s="1457"/>
      <c r="FP20" s="1457"/>
      <c r="FQ20" s="1457"/>
      <c r="FR20" s="1457"/>
      <c r="FS20" s="1457"/>
      <c r="FT20" s="1457"/>
      <c r="FU20" s="1457"/>
      <c r="FV20" s="1457"/>
      <c r="FW20" s="1457"/>
      <c r="FX20" s="1457"/>
      <c r="FY20" s="1458"/>
    </row>
    <row r="21" spans="1:181" ht="17.25" customHeight="1" x14ac:dyDescent="0.2">
      <c r="A21" s="1454"/>
      <c r="B21" s="1454"/>
      <c r="C21" s="1454"/>
      <c r="D21" s="1454"/>
      <c r="E21" s="1454"/>
      <c r="F21" s="1454"/>
      <c r="G21" s="1454"/>
      <c r="H21" s="1455"/>
      <c r="I21" s="1459" t="s">
        <v>505</v>
      </c>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460"/>
      <c r="AM21" s="1460"/>
      <c r="AN21" s="1460"/>
      <c r="AO21" s="1460"/>
      <c r="AP21" s="1460"/>
      <c r="AQ21" s="1460"/>
      <c r="AR21" s="1460"/>
      <c r="AS21" s="1460"/>
      <c r="AT21" s="1460"/>
      <c r="AU21" s="1460"/>
      <c r="AV21" s="1460"/>
      <c r="AW21" s="1460"/>
      <c r="AX21" s="1460"/>
      <c r="AY21" s="1460"/>
      <c r="AZ21" s="1460"/>
      <c r="BA21" s="1460"/>
      <c r="BB21" s="1460"/>
      <c r="BC21" s="1460"/>
      <c r="BD21" s="1460"/>
      <c r="BE21" s="1460"/>
      <c r="BF21" s="1460"/>
      <c r="BG21" s="1460"/>
      <c r="BH21" s="1460"/>
      <c r="BI21" s="1460"/>
      <c r="BJ21" s="1460"/>
      <c r="BK21" s="1460"/>
      <c r="BL21" s="1460"/>
      <c r="BM21" s="1460"/>
      <c r="BN21" s="1460"/>
      <c r="BO21" s="1460"/>
      <c r="BP21" s="1460"/>
      <c r="BQ21" s="1460"/>
      <c r="BR21" s="1460"/>
      <c r="BS21" s="1460"/>
      <c r="BT21" s="1460"/>
      <c r="BU21" s="1460"/>
      <c r="BV21" s="1460"/>
      <c r="BW21" s="1460"/>
      <c r="BX21" s="1460"/>
      <c r="BY21" s="1460"/>
      <c r="BZ21" s="1460"/>
      <c r="CA21" s="1460"/>
      <c r="CB21" s="1460"/>
      <c r="CC21" s="1460"/>
      <c r="CD21" s="1460"/>
      <c r="CE21" s="1460"/>
      <c r="CF21" s="1460"/>
      <c r="CG21" s="1460"/>
      <c r="CH21" s="1460"/>
      <c r="CI21" s="1460"/>
      <c r="CJ21" s="1460"/>
      <c r="CK21" s="1460"/>
      <c r="CL21" s="1460"/>
      <c r="CM21" s="1460"/>
      <c r="CN21" s="1453" t="s">
        <v>529</v>
      </c>
      <c r="CO21" s="1454"/>
      <c r="CP21" s="1454"/>
      <c r="CQ21" s="1454"/>
      <c r="CR21" s="1454"/>
      <c r="CS21" s="1454"/>
      <c r="CT21" s="1454"/>
      <c r="CU21" s="1455"/>
      <c r="CV21" s="1453" t="s">
        <v>3</v>
      </c>
      <c r="CW21" s="1454"/>
      <c r="CX21" s="1454"/>
      <c r="CY21" s="1454"/>
      <c r="CZ21" s="1454"/>
      <c r="DA21" s="1454"/>
      <c r="DB21" s="1454"/>
      <c r="DC21" s="1454"/>
      <c r="DD21" s="1454"/>
      <c r="DE21" s="1455"/>
      <c r="DF21" s="1453"/>
      <c r="DG21" s="1454"/>
      <c r="DH21" s="1454"/>
      <c r="DI21" s="1454"/>
      <c r="DJ21" s="1454"/>
      <c r="DK21" s="1454"/>
      <c r="DL21" s="1454"/>
      <c r="DM21" s="1454"/>
      <c r="DN21" s="1454"/>
      <c r="DO21" s="1455"/>
      <c r="DP21" s="1453"/>
      <c r="DQ21" s="1454"/>
      <c r="DR21" s="1454"/>
      <c r="DS21" s="1454"/>
      <c r="DT21" s="1454"/>
      <c r="DU21" s="1454"/>
      <c r="DV21" s="1454"/>
      <c r="DW21" s="1454"/>
      <c r="DX21" s="1454"/>
      <c r="DY21" s="1455"/>
      <c r="DZ21" s="1456"/>
      <c r="EA21" s="1457"/>
      <c r="EB21" s="1457"/>
      <c r="EC21" s="1457"/>
      <c r="ED21" s="1457"/>
      <c r="EE21" s="1457"/>
      <c r="EF21" s="1457"/>
      <c r="EG21" s="1457"/>
      <c r="EH21" s="1457"/>
      <c r="EI21" s="1457"/>
      <c r="EJ21" s="1457"/>
      <c r="EK21" s="1457"/>
      <c r="EL21" s="1458"/>
      <c r="EM21" s="1456"/>
      <c r="EN21" s="1457"/>
      <c r="EO21" s="1457"/>
      <c r="EP21" s="1457"/>
      <c r="EQ21" s="1457"/>
      <c r="ER21" s="1457"/>
      <c r="ES21" s="1457"/>
      <c r="ET21" s="1457"/>
      <c r="EU21" s="1457"/>
      <c r="EV21" s="1457"/>
      <c r="EW21" s="1457"/>
      <c r="EX21" s="1457"/>
      <c r="EY21" s="1458"/>
      <c r="EZ21" s="1456"/>
      <c r="FA21" s="1457"/>
      <c r="FB21" s="1457"/>
      <c r="FC21" s="1457"/>
      <c r="FD21" s="1457"/>
      <c r="FE21" s="1457"/>
      <c r="FF21" s="1457"/>
      <c r="FG21" s="1457"/>
      <c r="FH21" s="1457"/>
      <c r="FI21" s="1457"/>
      <c r="FJ21" s="1457"/>
      <c r="FK21" s="1457"/>
      <c r="FL21" s="1458"/>
      <c r="FM21" s="1456"/>
      <c r="FN21" s="1457"/>
      <c r="FO21" s="1457"/>
      <c r="FP21" s="1457"/>
      <c r="FQ21" s="1457"/>
      <c r="FR21" s="1457"/>
      <c r="FS21" s="1457"/>
      <c r="FT21" s="1457"/>
      <c r="FU21" s="1457"/>
      <c r="FV21" s="1457"/>
      <c r="FW21" s="1457"/>
      <c r="FX21" s="1457"/>
      <c r="FY21" s="1458"/>
    </row>
    <row r="22" spans="1:181" ht="19.5" customHeight="1" x14ac:dyDescent="0.2">
      <c r="A22" s="1454" t="s">
        <v>530</v>
      </c>
      <c r="B22" s="1454"/>
      <c r="C22" s="1454"/>
      <c r="D22" s="1454"/>
      <c r="E22" s="1454"/>
      <c r="F22" s="1454"/>
      <c r="G22" s="1454"/>
      <c r="H22" s="1455"/>
      <c r="I22" s="1459" t="s">
        <v>522</v>
      </c>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460"/>
      <c r="AM22" s="1460"/>
      <c r="AN22" s="1460"/>
      <c r="AO22" s="1460"/>
      <c r="AP22" s="1460"/>
      <c r="AQ22" s="1460"/>
      <c r="AR22" s="1460"/>
      <c r="AS22" s="1460"/>
      <c r="AT22" s="1460"/>
      <c r="AU22" s="1460"/>
      <c r="AV22" s="1460"/>
      <c r="AW22" s="1460"/>
      <c r="AX22" s="1460"/>
      <c r="AY22" s="1460"/>
      <c r="AZ22" s="1460"/>
      <c r="BA22" s="1460"/>
      <c r="BB22" s="1460"/>
      <c r="BC22" s="1460"/>
      <c r="BD22" s="1460"/>
      <c r="BE22" s="1460"/>
      <c r="BF22" s="1460"/>
      <c r="BG22" s="1460"/>
      <c r="BH22" s="1460"/>
      <c r="BI22" s="1460"/>
      <c r="BJ22" s="1460"/>
      <c r="BK22" s="1460"/>
      <c r="BL22" s="1460"/>
      <c r="BM22" s="1460"/>
      <c r="BN22" s="1460"/>
      <c r="BO22" s="1460"/>
      <c r="BP22" s="1460"/>
      <c r="BQ22" s="1460"/>
      <c r="BR22" s="1460"/>
      <c r="BS22" s="1460"/>
      <c r="BT22" s="1460"/>
      <c r="BU22" s="1460"/>
      <c r="BV22" s="1460"/>
      <c r="BW22" s="1460"/>
      <c r="BX22" s="1460"/>
      <c r="BY22" s="1460"/>
      <c r="BZ22" s="1460"/>
      <c r="CA22" s="1460"/>
      <c r="CB22" s="1460"/>
      <c r="CC22" s="1460"/>
      <c r="CD22" s="1460"/>
      <c r="CE22" s="1460"/>
      <c r="CF22" s="1460"/>
      <c r="CG22" s="1460"/>
      <c r="CH22" s="1460"/>
      <c r="CI22" s="1460"/>
      <c r="CJ22" s="1460"/>
      <c r="CK22" s="1460"/>
      <c r="CL22" s="1460"/>
      <c r="CM22" s="1460"/>
      <c r="CN22" s="1453" t="s">
        <v>531</v>
      </c>
      <c r="CO22" s="1454"/>
      <c r="CP22" s="1454"/>
      <c r="CQ22" s="1454"/>
      <c r="CR22" s="1454"/>
      <c r="CS22" s="1454"/>
      <c r="CT22" s="1454"/>
      <c r="CU22" s="1455"/>
      <c r="CV22" s="1453" t="s">
        <v>3</v>
      </c>
      <c r="CW22" s="1454"/>
      <c r="CX22" s="1454"/>
      <c r="CY22" s="1454"/>
      <c r="CZ22" s="1454"/>
      <c r="DA22" s="1454"/>
      <c r="DB22" s="1454"/>
      <c r="DC22" s="1454"/>
      <c r="DD22" s="1454"/>
      <c r="DE22" s="1455"/>
      <c r="DF22" s="1453" t="s">
        <v>3</v>
      </c>
      <c r="DG22" s="1454"/>
      <c r="DH22" s="1454"/>
      <c r="DI22" s="1454"/>
      <c r="DJ22" s="1454"/>
      <c r="DK22" s="1454"/>
      <c r="DL22" s="1454"/>
      <c r="DM22" s="1454"/>
      <c r="DN22" s="1454"/>
      <c r="DO22" s="1455"/>
      <c r="DP22" s="1453" t="s">
        <v>3</v>
      </c>
      <c r="DQ22" s="1454"/>
      <c r="DR22" s="1454"/>
      <c r="DS22" s="1454"/>
      <c r="DT22" s="1454"/>
      <c r="DU22" s="1454"/>
      <c r="DV22" s="1454"/>
      <c r="DW22" s="1454"/>
      <c r="DX22" s="1454"/>
      <c r="DY22" s="1455"/>
      <c r="DZ22" s="1456">
        <f>DZ19+[1]приложение1!BZ112</f>
        <v>10591775.32</v>
      </c>
      <c r="EA22" s="1457"/>
      <c r="EB22" s="1457"/>
      <c r="EC22" s="1457"/>
      <c r="ED22" s="1457"/>
      <c r="EE22" s="1457"/>
      <c r="EF22" s="1457"/>
      <c r="EG22" s="1457"/>
      <c r="EH22" s="1457"/>
      <c r="EI22" s="1457"/>
      <c r="EJ22" s="1457"/>
      <c r="EK22" s="1457"/>
      <c r="EL22" s="1458"/>
      <c r="EM22" s="1456">
        <f>EM19</f>
        <v>24114311.109999999</v>
      </c>
      <c r="EN22" s="1457"/>
      <c r="EO22" s="1457"/>
      <c r="EP22" s="1457"/>
      <c r="EQ22" s="1457"/>
      <c r="ER22" s="1457"/>
      <c r="ES22" s="1457"/>
      <c r="ET22" s="1457"/>
      <c r="EU22" s="1457"/>
      <c r="EV22" s="1457"/>
      <c r="EW22" s="1457"/>
      <c r="EX22" s="1457"/>
      <c r="EY22" s="1458"/>
      <c r="EZ22" s="1456">
        <f>EZ19</f>
        <v>3200</v>
      </c>
      <c r="FA22" s="1457"/>
      <c r="FB22" s="1457"/>
      <c r="FC22" s="1457"/>
      <c r="FD22" s="1457"/>
      <c r="FE22" s="1457"/>
      <c r="FF22" s="1457"/>
      <c r="FG22" s="1457"/>
      <c r="FH22" s="1457"/>
      <c r="FI22" s="1457"/>
      <c r="FJ22" s="1457"/>
      <c r="FK22" s="1457"/>
      <c r="FL22" s="1458"/>
      <c r="FM22" s="1456"/>
      <c r="FN22" s="1457"/>
      <c r="FO22" s="1457"/>
      <c r="FP22" s="1457"/>
      <c r="FQ22" s="1457"/>
      <c r="FR22" s="1457"/>
      <c r="FS22" s="1457"/>
      <c r="FT22" s="1457"/>
      <c r="FU22" s="1457"/>
      <c r="FV22" s="1457"/>
      <c r="FW22" s="1457"/>
      <c r="FX22" s="1457"/>
      <c r="FY22" s="1458"/>
    </row>
    <row r="23" spans="1:181" ht="20.25" customHeight="1" x14ac:dyDescent="0.2">
      <c r="A23" s="1454" t="s">
        <v>532</v>
      </c>
      <c r="B23" s="1454"/>
      <c r="C23" s="1454"/>
      <c r="D23" s="1454"/>
      <c r="E23" s="1454"/>
      <c r="F23" s="1454"/>
      <c r="G23" s="1454"/>
      <c r="H23" s="1455"/>
      <c r="I23" s="1459" t="s">
        <v>533</v>
      </c>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460"/>
      <c r="AM23" s="1460"/>
      <c r="AN23" s="1460"/>
      <c r="AO23" s="1460"/>
      <c r="AP23" s="1460"/>
      <c r="AQ23" s="1460"/>
      <c r="AR23" s="1460"/>
      <c r="AS23" s="1460"/>
      <c r="AT23" s="1460"/>
      <c r="AU23" s="1460"/>
      <c r="AV23" s="1460"/>
      <c r="AW23" s="1460"/>
      <c r="AX23" s="1460"/>
      <c r="AY23" s="1460"/>
      <c r="AZ23" s="1460"/>
      <c r="BA23" s="1460"/>
      <c r="BB23" s="1460"/>
      <c r="BC23" s="1460"/>
      <c r="BD23" s="1460"/>
      <c r="BE23" s="1460"/>
      <c r="BF23" s="1460"/>
      <c r="BG23" s="1460"/>
      <c r="BH23" s="1460"/>
      <c r="BI23" s="1460"/>
      <c r="BJ23" s="1460"/>
      <c r="BK23" s="1460"/>
      <c r="BL23" s="1460"/>
      <c r="BM23" s="1460"/>
      <c r="BN23" s="1460"/>
      <c r="BO23" s="1460"/>
      <c r="BP23" s="1460"/>
      <c r="BQ23" s="1460"/>
      <c r="BR23" s="1460"/>
      <c r="BS23" s="1460"/>
      <c r="BT23" s="1460"/>
      <c r="BU23" s="1460"/>
      <c r="BV23" s="1460"/>
      <c r="BW23" s="1460"/>
      <c r="BX23" s="1460"/>
      <c r="BY23" s="1460"/>
      <c r="BZ23" s="1460"/>
      <c r="CA23" s="1460"/>
      <c r="CB23" s="1460"/>
      <c r="CC23" s="1460"/>
      <c r="CD23" s="1460"/>
      <c r="CE23" s="1460"/>
      <c r="CF23" s="1460"/>
      <c r="CG23" s="1460"/>
      <c r="CH23" s="1460"/>
      <c r="CI23" s="1460"/>
      <c r="CJ23" s="1460"/>
      <c r="CK23" s="1460"/>
      <c r="CL23" s="1460"/>
      <c r="CM23" s="1460"/>
      <c r="CN23" s="1453" t="s">
        <v>534</v>
      </c>
      <c r="CO23" s="1454"/>
      <c r="CP23" s="1454"/>
      <c r="CQ23" s="1454"/>
      <c r="CR23" s="1454"/>
      <c r="CS23" s="1454"/>
      <c r="CT23" s="1454"/>
      <c r="CU23" s="1455"/>
      <c r="CV23" s="1453" t="s">
        <v>3</v>
      </c>
      <c r="CW23" s="1454"/>
      <c r="CX23" s="1454"/>
      <c r="CY23" s="1454"/>
      <c r="CZ23" s="1454"/>
      <c r="DA23" s="1454"/>
      <c r="DB23" s="1454"/>
      <c r="DC23" s="1454"/>
      <c r="DD23" s="1454"/>
      <c r="DE23" s="1455"/>
      <c r="DF23" s="1453" t="s">
        <v>3</v>
      </c>
      <c r="DG23" s="1454"/>
      <c r="DH23" s="1454"/>
      <c r="DI23" s="1454"/>
      <c r="DJ23" s="1454"/>
      <c r="DK23" s="1454"/>
      <c r="DL23" s="1454"/>
      <c r="DM23" s="1454"/>
      <c r="DN23" s="1454"/>
      <c r="DO23" s="1455"/>
      <c r="DP23" s="1453" t="s">
        <v>3</v>
      </c>
      <c r="DQ23" s="1454"/>
      <c r="DR23" s="1454"/>
      <c r="DS23" s="1454"/>
      <c r="DT23" s="1454"/>
      <c r="DU23" s="1454"/>
      <c r="DV23" s="1454"/>
      <c r="DW23" s="1454"/>
      <c r="DX23" s="1454"/>
      <c r="DY23" s="1455"/>
      <c r="DZ23" s="1456"/>
      <c r="EA23" s="1457"/>
      <c r="EB23" s="1457"/>
      <c r="EC23" s="1457"/>
      <c r="ED23" s="1457"/>
      <c r="EE23" s="1457"/>
      <c r="EF23" s="1457"/>
      <c r="EG23" s="1457"/>
      <c r="EH23" s="1457"/>
      <c r="EI23" s="1457"/>
      <c r="EJ23" s="1457"/>
      <c r="EK23" s="1457"/>
      <c r="EL23" s="1458"/>
      <c r="EM23" s="1456"/>
      <c r="EN23" s="1457"/>
      <c r="EO23" s="1457"/>
      <c r="EP23" s="1457"/>
      <c r="EQ23" s="1457"/>
      <c r="ER23" s="1457"/>
      <c r="ES23" s="1457"/>
      <c r="ET23" s="1457"/>
      <c r="EU23" s="1457"/>
      <c r="EV23" s="1457"/>
      <c r="EW23" s="1457"/>
      <c r="EX23" s="1457"/>
      <c r="EY23" s="1458"/>
      <c r="EZ23" s="1456"/>
      <c r="FA23" s="1457"/>
      <c r="FB23" s="1457"/>
      <c r="FC23" s="1457"/>
      <c r="FD23" s="1457"/>
      <c r="FE23" s="1457"/>
      <c r="FF23" s="1457"/>
      <c r="FG23" s="1457"/>
      <c r="FH23" s="1457"/>
      <c r="FI23" s="1457"/>
      <c r="FJ23" s="1457"/>
      <c r="FK23" s="1457"/>
      <c r="FL23" s="1458"/>
      <c r="FM23" s="1456"/>
      <c r="FN23" s="1457"/>
      <c r="FO23" s="1457"/>
      <c r="FP23" s="1457"/>
      <c r="FQ23" s="1457"/>
      <c r="FR23" s="1457"/>
      <c r="FS23" s="1457"/>
      <c r="FT23" s="1457"/>
      <c r="FU23" s="1457"/>
      <c r="FV23" s="1457"/>
      <c r="FW23" s="1457"/>
      <c r="FX23" s="1457"/>
      <c r="FY23" s="1458"/>
    </row>
    <row r="24" spans="1:181" ht="17.25" customHeight="1" x14ac:dyDescent="0.2">
      <c r="A24" s="1454"/>
      <c r="B24" s="1454"/>
      <c r="C24" s="1454"/>
      <c r="D24" s="1454"/>
      <c r="E24" s="1454"/>
      <c r="F24" s="1454"/>
      <c r="G24" s="1454"/>
      <c r="H24" s="1455"/>
      <c r="I24" s="1459" t="s">
        <v>505</v>
      </c>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460"/>
      <c r="AM24" s="1460"/>
      <c r="AN24" s="1460"/>
      <c r="AO24" s="1460"/>
      <c r="AP24" s="1460"/>
      <c r="AQ24" s="1460"/>
      <c r="AR24" s="1460"/>
      <c r="AS24" s="1460"/>
      <c r="AT24" s="1460"/>
      <c r="AU24" s="1460"/>
      <c r="AV24" s="1460"/>
      <c r="AW24" s="1460"/>
      <c r="AX24" s="1460"/>
      <c r="AY24" s="1460"/>
      <c r="AZ24" s="1460"/>
      <c r="BA24" s="1460"/>
      <c r="BB24" s="1460"/>
      <c r="BC24" s="1460"/>
      <c r="BD24" s="1460"/>
      <c r="BE24" s="1460"/>
      <c r="BF24" s="1460"/>
      <c r="BG24" s="1460"/>
      <c r="BH24" s="1460"/>
      <c r="BI24" s="1460"/>
      <c r="BJ24" s="1460"/>
      <c r="BK24" s="1460"/>
      <c r="BL24" s="1460"/>
      <c r="BM24" s="1460"/>
      <c r="BN24" s="1460"/>
      <c r="BO24" s="1460"/>
      <c r="BP24" s="1460"/>
      <c r="BQ24" s="1460"/>
      <c r="BR24" s="1460"/>
      <c r="BS24" s="1460"/>
      <c r="BT24" s="1460"/>
      <c r="BU24" s="1460"/>
      <c r="BV24" s="1460"/>
      <c r="BW24" s="1460"/>
      <c r="BX24" s="1460"/>
      <c r="BY24" s="1460"/>
      <c r="BZ24" s="1460"/>
      <c r="CA24" s="1460"/>
      <c r="CB24" s="1460"/>
      <c r="CC24" s="1460"/>
      <c r="CD24" s="1460"/>
      <c r="CE24" s="1460"/>
      <c r="CF24" s="1460"/>
      <c r="CG24" s="1460"/>
      <c r="CH24" s="1460"/>
      <c r="CI24" s="1460"/>
      <c r="CJ24" s="1460"/>
      <c r="CK24" s="1460"/>
      <c r="CL24" s="1460"/>
      <c r="CM24" s="1460"/>
      <c r="CN24" s="1453" t="s">
        <v>535</v>
      </c>
      <c r="CO24" s="1454"/>
      <c r="CP24" s="1454"/>
      <c r="CQ24" s="1454"/>
      <c r="CR24" s="1454"/>
      <c r="CS24" s="1454"/>
      <c r="CT24" s="1454"/>
      <c r="CU24" s="1455"/>
      <c r="CV24" s="1453" t="s">
        <v>3</v>
      </c>
      <c r="CW24" s="1454"/>
      <c r="CX24" s="1454"/>
      <c r="CY24" s="1454"/>
      <c r="CZ24" s="1454"/>
      <c r="DA24" s="1454"/>
      <c r="DB24" s="1454"/>
      <c r="DC24" s="1454"/>
      <c r="DD24" s="1454"/>
      <c r="DE24" s="1455"/>
      <c r="DF24" s="1453"/>
      <c r="DG24" s="1454"/>
      <c r="DH24" s="1454"/>
      <c r="DI24" s="1454"/>
      <c r="DJ24" s="1454"/>
      <c r="DK24" s="1454"/>
      <c r="DL24" s="1454"/>
      <c r="DM24" s="1454"/>
      <c r="DN24" s="1454"/>
      <c r="DO24" s="1455"/>
      <c r="DP24" s="1453"/>
      <c r="DQ24" s="1454"/>
      <c r="DR24" s="1454"/>
      <c r="DS24" s="1454"/>
      <c r="DT24" s="1454"/>
      <c r="DU24" s="1454"/>
      <c r="DV24" s="1454"/>
      <c r="DW24" s="1454"/>
      <c r="DX24" s="1454"/>
      <c r="DY24" s="1455"/>
      <c r="DZ24" s="1456"/>
      <c r="EA24" s="1457"/>
      <c r="EB24" s="1457"/>
      <c r="EC24" s="1457"/>
      <c r="ED24" s="1457"/>
      <c r="EE24" s="1457"/>
      <c r="EF24" s="1457"/>
      <c r="EG24" s="1457"/>
      <c r="EH24" s="1457"/>
      <c r="EI24" s="1457"/>
      <c r="EJ24" s="1457"/>
      <c r="EK24" s="1457"/>
      <c r="EL24" s="1458"/>
      <c r="EM24" s="1456"/>
      <c r="EN24" s="1457"/>
      <c r="EO24" s="1457"/>
      <c r="EP24" s="1457"/>
      <c r="EQ24" s="1457"/>
      <c r="ER24" s="1457"/>
      <c r="ES24" s="1457"/>
      <c r="ET24" s="1457"/>
      <c r="EU24" s="1457"/>
      <c r="EV24" s="1457"/>
      <c r="EW24" s="1457"/>
      <c r="EX24" s="1457"/>
      <c r="EY24" s="1458"/>
      <c r="EZ24" s="1456"/>
      <c r="FA24" s="1457"/>
      <c r="FB24" s="1457"/>
      <c r="FC24" s="1457"/>
      <c r="FD24" s="1457"/>
      <c r="FE24" s="1457"/>
      <c r="FF24" s="1457"/>
      <c r="FG24" s="1457"/>
      <c r="FH24" s="1457"/>
      <c r="FI24" s="1457"/>
      <c r="FJ24" s="1457"/>
      <c r="FK24" s="1457"/>
      <c r="FL24" s="1458"/>
      <c r="FM24" s="1456"/>
      <c r="FN24" s="1457"/>
      <c r="FO24" s="1457"/>
      <c r="FP24" s="1457"/>
      <c r="FQ24" s="1457"/>
      <c r="FR24" s="1457"/>
      <c r="FS24" s="1457"/>
      <c r="FT24" s="1457"/>
      <c r="FU24" s="1457"/>
      <c r="FV24" s="1457"/>
      <c r="FW24" s="1457"/>
      <c r="FX24" s="1457"/>
      <c r="FY24" s="1458"/>
    </row>
    <row r="25" spans="1:181" ht="17.25" customHeight="1" x14ac:dyDescent="0.2">
      <c r="A25" s="1454"/>
      <c r="B25" s="1454"/>
      <c r="C25" s="1454"/>
      <c r="D25" s="1454"/>
      <c r="E25" s="1454"/>
      <c r="F25" s="1454"/>
      <c r="G25" s="1454"/>
      <c r="H25" s="1455"/>
      <c r="I25" s="1459" t="s">
        <v>507</v>
      </c>
      <c r="J25" s="1460"/>
      <c r="K25" s="1460"/>
      <c r="L25" s="1460"/>
      <c r="M25" s="1460"/>
      <c r="N25" s="1460"/>
      <c r="O25" s="1460"/>
      <c r="P25" s="1460"/>
      <c r="Q25" s="1460"/>
      <c r="R25" s="1460"/>
      <c r="S25" s="1460"/>
      <c r="T25" s="1460"/>
      <c r="U25" s="1460"/>
      <c r="V25" s="1460"/>
      <c r="W25" s="1460"/>
      <c r="X25" s="1460"/>
      <c r="Y25" s="1460"/>
      <c r="Z25" s="1460"/>
      <c r="AA25" s="1460"/>
      <c r="AB25" s="1460"/>
      <c r="AC25" s="1460"/>
      <c r="AD25" s="1460"/>
      <c r="AE25" s="1460"/>
      <c r="AF25" s="1460"/>
      <c r="AG25" s="1460"/>
      <c r="AH25" s="1460"/>
      <c r="AI25" s="1460"/>
      <c r="AJ25" s="1460"/>
      <c r="AK25" s="1460"/>
      <c r="AL25" s="1460"/>
      <c r="AM25" s="1460"/>
      <c r="AN25" s="1460"/>
      <c r="AO25" s="1460"/>
      <c r="AP25" s="1460"/>
      <c r="AQ25" s="1460"/>
      <c r="AR25" s="1460"/>
      <c r="AS25" s="1460"/>
      <c r="AT25" s="1460"/>
      <c r="AU25" s="1460"/>
      <c r="AV25" s="1460"/>
      <c r="AW25" s="1460"/>
      <c r="AX25" s="1460"/>
      <c r="AY25" s="1460"/>
      <c r="AZ25" s="1460"/>
      <c r="BA25" s="1460"/>
      <c r="BB25" s="1460"/>
      <c r="BC25" s="1460"/>
      <c r="BD25" s="1460"/>
      <c r="BE25" s="1460"/>
      <c r="BF25" s="1460"/>
      <c r="BG25" s="1460"/>
      <c r="BH25" s="1460"/>
      <c r="BI25" s="1460"/>
      <c r="BJ25" s="1460"/>
      <c r="BK25" s="1460"/>
      <c r="BL25" s="1460"/>
      <c r="BM25" s="1460"/>
      <c r="BN25" s="1460"/>
      <c r="BO25" s="1460"/>
      <c r="BP25" s="1460"/>
      <c r="BQ25" s="1460"/>
      <c r="BR25" s="1460"/>
      <c r="BS25" s="1460"/>
      <c r="BT25" s="1460"/>
      <c r="BU25" s="1460"/>
      <c r="BV25" s="1460"/>
      <c r="BW25" s="1460"/>
      <c r="BX25" s="1460"/>
      <c r="BY25" s="1460"/>
      <c r="BZ25" s="1460"/>
      <c r="CA25" s="1460"/>
      <c r="CB25" s="1460"/>
      <c r="CC25" s="1460"/>
      <c r="CD25" s="1460"/>
      <c r="CE25" s="1460"/>
      <c r="CF25" s="1460"/>
      <c r="CG25" s="1460"/>
      <c r="CH25" s="1460"/>
      <c r="CI25" s="1460"/>
      <c r="CJ25" s="1460"/>
      <c r="CK25" s="1460"/>
      <c r="CL25" s="1460"/>
      <c r="CM25" s="1460"/>
      <c r="CN25" s="1453" t="s">
        <v>536</v>
      </c>
      <c r="CO25" s="1454"/>
      <c r="CP25" s="1454"/>
      <c r="CQ25" s="1454"/>
      <c r="CR25" s="1454"/>
      <c r="CS25" s="1454"/>
      <c r="CT25" s="1454"/>
      <c r="CU25" s="1455"/>
      <c r="CV25" s="1453" t="s">
        <v>3</v>
      </c>
      <c r="CW25" s="1454"/>
      <c r="CX25" s="1454"/>
      <c r="CY25" s="1454"/>
      <c r="CZ25" s="1454"/>
      <c r="DA25" s="1454"/>
      <c r="DB25" s="1454"/>
      <c r="DC25" s="1454"/>
      <c r="DD25" s="1454"/>
      <c r="DE25" s="1455"/>
      <c r="DF25" s="1453"/>
      <c r="DG25" s="1454"/>
      <c r="DH25" s="1454"/>
      <c r="DI25" s="1454"/>
      <c r="DJ25" s="1454"/>
      <c r="DK25" s="1454"/>
      <c r="DL25" s="1454"/>
      <c r="DM25" s="1454"/>
      <c r="DN25" s="1454"/>
      <c r="DO25" s="1455"/>
      <c r="DP25" s="1453"/>
      <c r="DQ25" s="1454"/>
      <c r="DR25" s="1454"/>
      <c r="DS25" s="1454"/>
      <c r="DT25" s="1454"/>
      <c r="DU25" s="1454"/>
      <c r="DV25" s="1454"/>
      <c r="DW25" s="1454"/>
      <c r="DX25" s="1454"/>
      <c r="DY25" s="1455"/>
      <c r="DZ25" s="1456"/>
      <c r="EA25" s="1457"/>
      <c r="EB25" s="1457"/>
      <c r="EC25" s="1457"/>
      <c r="ED25" s="1457"/>
      <c r="EE25" s="1457"/>
      <c r="EF25" s="1457"/>
      <c r="EG25" s="1457"/>
      <c r="EH25" s="1457"/>
      <c r="EI25" s="1457"/>
      <c r="EJ25" s="1457"/>
      <c r="EK25" s="1457"/>
      <c r="EL25" s="1458"/>
      <c r="EM25" s="1456"/>
      <c r="EN25" s="1457"/>
      <c r="EO25" s="1457"/>
      <c r="EP25" s="1457"/>
      <c r="EQ25" s="1457"/>
      <c r="ER25" s="1457"/>
      <c r="ES25" s="1457"/>
      <c r="ET25" s="1457"/>
      <c r="EU25" s="1457"/>
      <c r="EV25" s="1457"/>
      <c r="EW25" s="1457"/>
      <c r="EX25" s="1457"/>
      <c r="EY25" s="1458"/>
      <c r="EZ25" s="1456"/>
      <c r="FA25" s="1457"/>
      <c r="FB25" s="1457"/>
      <c r="FC25" s="1457"/>
      <c r="FD25" s="1457"/>
      <c r="FE25" s="1457"/>
      <c r="FF25" s="1457"/>
      <c r="FG25" s="1457"/>
      <c r="FH25" s="1457"/>
      <c r="FI25" s="1457"/>
      <c r="FJ25" s="1457"/>
      <c r="FK25" s="1457"/>
      <c r="FL25" s="1458"/>
      <c r="FM25" s="1456"/>
      <c r="FN25" s="1457"/>
      <c r="FO25" s="1457"/>
      <c r="FP25" s="1457"/>
      <c r="FQ25" s="1457"/>
      <c r="FR25" s="1457"/>
      <c r="FS25" s="1457"/>
      <c r="FT25" s="1457"/>
      <c r="FU25" s="1457"/>
      <c r="FV25" s="1457"/>
      <c r="FW25" s="1457"/>
      <c r="FX25" s="1457"/>
      <c r="FY25" s="1458"/>
    </row>
    <row r="26" spans="1:181" ht="18.75" customHeight="1" x14ac:dyDescent="0.2">
      <c r="A26" s="1454" t="s">
        <v>537</v>
      </c>
      <c r="B26" s="1454"/>
      <c r="C26" s="1454"/>
      <c r="D26" s="1454"/>
      <c r="E26" s="1454"/>
      <c r="F26" s="1454"/>
      <c r="G26" s="1454"/>
      <c r="H26" s="1455"/>
      <c r="I26" s="1459" t="s">
        <v>538</v>
      </c>
      <c r="J26" s="1460"/>
      <c r="K26" s="1460"/>
      <c r="L26" s="1460"/>
      <c r="M26" s="1460"/>
      <c r="N26" s="1460"/>
      <c r="O26" s="1460"/>
      <c r="P26" s="1460"/>
      <c r="Q26" s="1460"/>
      <c r="R26" s="1460"/>
      <c r="S26" s="1460"/>
      <c r="T26" s="1460"/>
      <c r="U26" s="1460"/>
      <c r="V26" s="1460"/>
      <c r="W26" s="1460"/>
      <c r="X26" s="1460"/>
      <c r="Y26" s="1460"/>
      <c r="Z26" s="1460"/>
      <c r="AA26" s="1460"/>
      <c r="AB26" s="1460"/>
      <c r="AC26" s="1460"/>
      <c r="AD26" s="1460"/>
      <c r="AE26" s="1460"/>
      <c r="AF26" s="1460"/>
      <c r="AG26" s="1460"/>
      <c r="AH26" s="1460"/>
      <c r="AI26" s="1460"/>
      <c r="AJ26" s="1460"/>
      <c r="AK26" s="1460"/>
      <c r="AL26" s="1460"/>
      <c r="AM26" s="1460"/>
      <c r="AN26" s="1460"/>
      <c r="AO26" s="1460"/>
      <c r="AP26" s="1460"/>
      <c r="AQ26" s="1460"/>
      <c r="AR26" s="1460"/>
      <c r="AS26" s="1460"/>
      <c r="AT26" s="1460"/>
      <c r="AU26" s="1460"/>
      <c r="AV26" s="1460"/>
      <c r="AW26" s="1460"/>
      <c r="AX26" s="1460"/>
      <c r="AY26" s="1460"/>
      <c r="AZ26" s="1460"/>
      <c r="BA26" s="1460"/>
      <c r="BB26" s="1460"/>
      <c r="BC26" s="1460"/>
      <c r="BD26" s="1460"/>
      <c r="BE26" s="1460"/>
      <c r="BF26" s="1460"/>
      <c r="BG26" s="1460"/>
      <c r="BH26" s="1460"/>
      <c r="BI26" s="1460"/>
      <c r="BJ26" s="1460"/>
      <c r="BK26" s="1460"/>
      <c r="BL26" s="1460"/>
      <c r="BM26" s="1460"/>
      <c r="BN26" s="1460"/>
      <c r="BO26" s="1460"/>
      <c r="BP26" s="1460"/>
      <c r="BQ26" s="1460"/>
      <c r="BR26" s="1460"/>
      <c r="BS26" s="1460"/>
      <c r="BT26" s="1460"/>
      <c r="BU26" s="1460"/>
      <c r="BV26" s="1460"/>
      <c r="BW26" s="1460"/>
      <c r="BX26" s="1460"/>
      <c r="BY26" s="1460"/>
      <c r="BZ26" s="1460"/>
      <c r="CA26" s="1460"/>
      <c r="CB26" s="1460"/>
      <c r="CC26" s="1460"/>
      <c r="CD26" s="1460"/>
      <c r="CE26" s="1460"/>
      <c r="CF26" s="1460"/>
      <c r="CG26" s="1460"/>
      <c r="CH26" s="1460"/>
      <c r="CI26" s="1460"/>
      <c r="CJ26" s="1460"/>
      <c r="CK26" s="1460"/>
      <c r="CL26" s="1460"/>
      <c r="CM26" s="1460"/>
      <c r="CN26" s="1453" t="s">
        <v>539</v>
      </c>
      <c r="CO26" s="1454"/>
      <c r="CP26" s="1454"/>
      <c r="CQ26" s="1454"/>
      <c r="CR26" s="1454"/>
      <c r="CS26" s="1454"/>
      <c r="CT26" s="1454"/>
      <c r="CU26" s="1455"/>
      <c r="CV26" s="1453" t="s">
        <v>3</v>
      </c>
      <c r="CW26" s="1454"/>
      <c r="CX26" s="1454"/>
      <c r="CY26" s="1454"/>
      <c r="CZ26" s="1454"/>
      <c r="DA26" s="1454"/>
      <c r="DB26" s="1454"/>
      <c r="DC26" s="1454"/>
      <c r="DD26" s="1454"/>
      <c r="DE26" s="1455"/>
      <c r="DF26" s="1453" t="s">
        <v>3</v>
      </c>
      <c r="DG26" s="1454"/>
      <c r="DH26" s="1454"/>
      <c r="DI26" s="1454"/>
      <c r="DJ26" s="1454"/>
      <c r="DK26" s="1454"/>
      <c r="DL26" s="1454"/>
      <c r="DM26" s="1454"/>
      <c r="DN26" s="1454"/>
      <c r="DO26" s="1455"/>
      <c r="DP26" s="1453" t="s">
        <v>3</v>
      </c>
      <c r="DQ26" s="1454"/>
      <c r="DR26" s="1454"/>
      <c r="DS26" s="1454"/>
      <c r="DT26" s="1454"/>
      <c r="DU26" s="1454"/>
      <c r="DV26" s="1454"/>
      <c r="DW26" s="1454"/>
      <c r="DX26" s="1454"/>
      <c r="DY26" s="1455"/>
      <c r="DZ26" s="1456"/>
      <c r="EA26" s="1457"/>
      <c r="EB26" s="1457"/>
      <c r="EC26" s="1457"/>
      <c r="ED26" s="1457"/>
      <c r="EE26" s="1457"/>
      <c r="EF26" s="1457"/>
      <c r="EG26" s="1457"/>
      <c r="EH26" s="1457"/>
      <c r="EI26" s="1457"/>
      <c r="EJ26" s="1457"/>
      <c r="EK26" s="1457"/>
      <c r="EL26" s="1458"/>
      <c r="EM26" s="1456"/>
      <c r="EN26" s="1457"/>
      <c r="EO26" s="1457"/>
      <c r="EP26" s="1457"/>
      <c r="EQ26" s="1457"/>
      <c r="ER26" s="1457"/>
      <c r="ES26" s="1457"/>
      <c r="ET26" s="1457"/>
      <c r="EU26" s="1457"/>
      <c r="EV26" s="1457"/>
      <c r="EW26" s="1457"/>
      <c r="EX26" s="1457"/>
      <c r="EY26" s="1458"/>
      <c r="EZ26" s="1456"/>
      <c r="FA26" s="1457"/>
      <c r="FB26" s="1457"/>
      <c r="FC26" s="1457"/>
      <c r="FD26" s="1457"/>
      <c r="FE26" s="1457"/>
      <c r="FF26" s="1457"/>
      <c r="FG26" s="1457"/>
      <c r="FH26" s="1457"/>
      <c r="FI26" s="1457"/>
      <c r="FJ26" s="1457"/>
      <c r="FK26" s="1457"/>
      <c r="FL26" s="1458"/>
      <c r="FM26" s="1456"/>
      <c r="FN26" s="1457"/>
      <c r="FO26" s="1457"/>
      <c r="FP26" s="1457"/>
      <c r="FQ26" s="1457"/>
      <c r="FR26" s="1457"/>
      <c r="FS26" s="1457"/>
      <c r="FT26" s="1457"/>
      <c r="FU26" s="1457"/>
      <c r="FV26" s="1457"/>
      <c r="FW26" s="1457"/>
      <c r="FX26" s="1457"/>
      <c r="FY26" s="1458"/>
    </row>
    <row r="27" spans="1:181" ht="24" customHeight="1" x14ac:dyDescent="0.2">
      <c r="A27" s="1454" t="s">
        <v>540</v>
      </c>
      <c r="B27" s="1454"/>
      <c r="C27" s="1454"/>
      <c r="D27" s="1454"/>
      <c r="E27" s="1454"/>
      <c r="F27" s="1454"/>
      <c r="G27" s="1454"/>
      <c r="H27" s="1455"/>
      <c r="I27" s="1459" t="s">
        <v>519</v>
      </c>
      <c r="J27" s="1460"/>
      <c r="K27" s="1460"/>
      <c r="L27" s="1460"/>
      <c r="M27" s="1460"/>
      <c r="N27" s="1460"/>
      <c r="O27" s="1460"/>
      <c r="P27" s="1460"/>
      <c r="Q27" s="1460"/>
      <c r="R27" s="1460"/>
      <c r="S27" s="1460"/>
      <c r="T27" s="1460"/>
      <c r="U27" s="1460"/>
      <c r="V27" s="1460"/>
      <c r="W27" s="1460"/>
      <c r="X27" s="1460"/>
      <c r="Y27" s="1460"/>
      <c r="Z27" s="1460"/>
      <c r="AA27" s="1460"/>
      <c r="AB27" s="1460"/>
      <c r="AC27" s="1460"/>
      <c r="AD27" s="1460"/>
      <c r="AE27" s="1460"/>
      <c r="AF27" s="1460"/>
      <c r="AG27" s="1460"/>
      <c r="AH27" s="1460"/>
      <c r="AI27" s="1460"/>
      <c r="AJ27" s="1460"/>
      <c r="AK27" s="1460"/>
      <c r="AL27" s="1460"/>
      <c r="AM27" s="1460"/>
      <c r="AN27" s="1460"/>
      <c r="AO27" s="1460"/>
      <c r="AP27" s="1460"/>
      <c r="AQ27" s="1460"/>
      <c r="AR27" s="1460"/>
      <c r="AS27" s="1460"/>
      <c r="AT27" s="1460"/>
      <c r="AU27" s="1460"/>
      <c r="AV27" s="1460"/>
      <c r="AW27" s="1460"/>
      <c r="AX27" s="1460"/>
      <c r="AY27" s="1460"/>
      <c r="AZ27" s="1460"/>
      <c r="BA27" s="1460"/>
      <c r="BB27" s="1460"/>
      <c r="BC27" s="1460"/>
      <c r="BD27" s="1460"/>
      <c r="BE27" s="1460"/>
      <c r="BF27" s="1460"/>
      <c r="BG27" s="1460"/>
      <c r="BH27" s="1460"/>
      <c r="BI27" s="1460"/>
      <c r="BJ27" s="1460"/>
      <c r="BK27" s="1460"/>
      <c r="BL27" s="1460"/>
      <c r="BM27" s="1460"/>
      <c r="BN27" s="1460"/>
      <c r="BO27" s="1460"/>
      <c r="BP27" s="1460"/>
      <c r="BQ27" s="1460"/>
      <c r="BR27" s="1460"/>
      <c r="BS27" s="1460"/>
      <c r="BT27" s="1460"/>
      <c r="BU27" s="1460"/>
      <c r="BV27" s="1460"/>
      <c r="BW27" s="1460"/>
      <c r="BX27" s="1460"/>
      <c r="BY27" s="1460"/>
      <c r="BZ27" s="1460"/>
      <c r="CA27" s="1460"/>
      <c r="CB27" s="1460"/>
      <c r="CC27" s="1460"/>
      <c r="CD27" s="1460"/>
      <c r="CE27" s="1460"/>
      <c r="CF27" s="1460"/>
      <c r="CG27" s="1460"/>
      <c r="CH27" s="1460"/>
      <c r="CI27" s="1460"/>
      <c r="CJ27" s="1460"/>
      <c r="CK27" s="1460"/>
      <c r="CL27" s="1460"/>
      <c r="CM27" s="1460"/>
      <c r="CN27" s="1453" t="s">
        <v>541</v>
      </c>
      <c r="CO27" s="1454"/>
      <c r="CP27" s="1454"/>
      <c r="CQ27" s="1454"/>
      <c r="CR27" s="1454"/>
      <c r="CS27" s="1454"/>
      <c r="CT27" s="1454"/>
      <c r="CU27" s="1455"/>
      <c r="CV27" s="1453" t="s">
        <v>3</v>
      </c>
      <c r="CW27" s="1454"/>
      <c r="CX27" s="1454"/>
      <c r="CY27" s="1454"/>
      <c r="CZ27" s="1454"/>
      <c r="DA27" s="1454"/>
      <c r="DB27" s="1454"/>
      <c r="DC27" s="1454"/>
      <c r="DD27" s="1454"/>
      <c r="DE27" s="1455"/>
      <c r="DF27" s="1453" t="s">
        <v>3</v>
      </c>
      <c r="DG27" s="1454"/>
      <c r="DH27" s="1454"/>
      <c r="DI27" s="1454"/>
      <c r="DJ27" s="1454"/>
      <c r="DK27" s="1454"/>
      <c r="DL27" s="1454"/>
      <c r="DM27" s="1454"/>
      <c r="DN27" s="1454"/>
      <c r="DO27" s="1455"/>
      <c r="DP27" s="1453" t="s">
        <v>3</v>
      </c>
      <c r="DQ27" s="1454"/>
      <c r="DR27" s="1454"/>
      <c r="DS27" s="1454"/>
      <c r="DT27" s="1454"/>
      <c r="DU27" s="1454"/>
      <c r="DV27" s="1454"/>
      <c r="DW27" s="1454"/>
      <c r="DX27" s="1454"/>
      <c r="DY27" s="1455"/>
      <c r="DZ27" s="1456"/>
      <c r="EA27" s="1457"/>
      <c r="EB27" s="1457"/>
      <c r="EC27" s="1457"/>
      <c r="ED27" s="1457"/>
      <c r="EE27" s="1457"/>
      <c r="EF27" s="1457"/>
      <c r="EG27" s="1457"/>
      <c r="EH27" s="1457"/>
      <c r="EI27" s="1457"/>
      <c r="EJ27" s="1457"/>
      <c r="EK27" s="1457"/>
      <c r="EL27" s="1458"/>
      <c r="EM27" s="1456"/>
      <c r="EN27" s="1457"/>
      <c r="EO27" s="1457"/>
      <c r="EP27" s="1457"/>
      <c r="EQ27" s="1457"/>
      <c r="ER27" s="1457"/>
      <c r="ES27" s="1457"/>
      <c r="ET27" s="1457"/>
      <c r="EU27" s="1457"/>
      <c r="EV27" s="1457"/>
      <c r="EW27" s="1457"/>
      <c r="EX27" s="1457"/>
      <c r="EY27" s="1458"/>
      <c r="EZ27" s="1456"/>
      <c r="FA27" s="1457"/>
      <c r="FB27" s="1457"/>
      <c r="FC27" s="1457"/>
      <c r="FD27" s="1457"/>
      <c r="FE27" s="1457"/>
      <c r="FF27" s="1457"/>
      <c r="FG27" s="1457"/>
      <c r="FH27" s="1457"/>
      <c r="FI27" s="1457"/>
      <c r="FJ27" s="1457"/>
      <c r="FK27" s="1457"/>
      <c r="FL27" s="1458"/>
      <c r="FM27" s="1456"/>
      <c r="FN27" s="1457"/>
      <c r="FO27" s="1457"/>
      <c r="FP27" s="1457"/>
      <c r="FQ27" s="1457"/>
      <c r="FR27" s="1457"/>
      <c r="FS27" s="1457"/>
      <c r="FT27" s="1457"/>
      <c r="FU27" s="1457"/>
      <c r="FV27" s="1457"/>
      <c r="FW27" s="1457"/>
      <c r="FX27" s="1457"/>
      <c r="FY27" s="1458"/>
    </row>
    <row r="28" spans="1:181" ht="23.25" customHeight="1" x14ac:dyDescent="0.2">
      <c r="A28" s="1454" t="s">
        <v>542</v>
      </c>
      <c r="B28" s="1454"/>
      <c r="C28" s="1454"/>
      <c r="D28" s="1454"/>
      <c r="E28" s="1454"/>
      <c r="F28" s="1454"/>
      <c r="G28" s="1454"/>
      <c r="H28" s="1455"/>
      <c r="I28" s="1459" t="s">
        <v>522</v>
      </c>
      <c r="J28" s="1460"/>
      <c r="K28" s="1460"/>
      <c r="L28" s="1460"/>
      <c r="M28" s="1460"/>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c r="AL28" s="1460"/>
      <c r="AM28" s="1460"/>
      <c r="AN28" s="1460"/>
      <c r="AO28" s="1460"/>
      <c r="AP28" s="1460"/>
      <c r="AQ28" s="1460"/>
      <c r="AR28" s="1460"/>
      <c r="AS28" s="1460"/>
      <c r="AT28" s="1460"/>
      <c r="AU28" s="1460"/>
      <c r="AV28" s="1460"/>
      <c r="AW28" s="1460"/>
      <c r="AX28" s="1460"/>
      <c r="AY28" s="1460"/>
      <c r="AZ28" s="1460"/>
      <c r="BA28" s="1460"/>
      <c r="BB28" s="1460"/>
      <c r="BC28" s="1460"/>
      <c r="BD28" s="1460"/>
      <c r="BE28" s="1460"/>
      <c r="BF28" s="1460"/>
      <c r="BG28" s="1460"/>
      <c r="BH28" s="1460"/>
      <c r="BI28" s="1460"/>
      <c r="BJ28" s="1460"/>
      <c r="BK28" s="1460"/>
      <c r="BL28" s="1460"/>
      <c r="BM28" s="1460"/>
      <c r="BN28" s="1460"/>
      <c r="BO28" s="1460"/>
      <c r="BP28" s="1460"/>
      <c r="BQ28" s="1460"/>
      <c r="BR28" s="1460"/>
      <c r="BS28" s="1460"/>
      <c r="BT28" s="1460"/>
      <c r="BU28" s="1460"/>
      <c r="BV28" s="1460"/>
      <c r="BW28" s="1460"/>
      <c r="BX28" s="1460"/>
      <c r="BY28" s="1460"/>
      <c r="BZ28" s="1460"/>
      <c r="CA28" s="1460"/>
      <c r="CB28" s="1460"/>
      <c r="CC28" s="1460"/>
      <c r="CD28" s="1460"/>
      <c r="CE28" s="1460"/>
      <c r="CF28" s="1460"/>
      <c r="CG28" s="1460"/>
      <c r="CH28" s="1460"/>
      <c r="CI28" s="1460"/>
      <c r="CJ28" s="1460"/>
      <c r="CK28" s="1460"/>
      <c r="CL28" s="1460"/>
      <c r="CM28" s="1460"/>
      <c r="CN28" s="1453" t="s">
        <v>543</v>
      </c>
      <c r="CO28" s="1454"/>
      <c r="CP28" s="1454"/>
      <c r="CQ28" s="1454"/>
      <c r="CR28" s="1454"/>
      <c r="CS28" s="1454"/>
      <c r="CT28" s="1454"/>
      <c r="CU28" s="1455"/>
      <c r="CV28" s="1453" t="s">
        <v>3</v>
      </c>
      <c r="CW28" s="1454"/>
      <c r="CX28" s="1454"/>
      <c r="CY28" s="1454"/>
      <c r="CZ28" s="1454"/>
      <c r="DA28" s="1454"/>
      <c r="DB28" s="1454"/>
      <c r="DC28" s="1454"/>
      <c r="DD28" s="1454"/>
      <c r="DE28" s="1455"/>
      <c r="DF28" s="1453" t="s">
        <v>3</v>
      </c>
      <c r="DG28" s="1454"/>
      <c r="DH28" s="1454"/>
      <c r="DI28" s="1454"/>
      <c r="DJ28" s="1454"/>
      <c r="DK28" s="1454"/>
      <c r="DL28" s="1454"/>
      <c r="DM28" s="1454"/>
      <c r="DN28" s="1454"/>
      <c r="DO28" s="1455"/>
      <c r="DP28" s="1453" t="s">
        <v>3</v>
      </c>
      <c r="DQ28" s="1454"/>
      <c r="DR28" s="1454"/>
      <c r="DS28" s="1454"/>
      <c r="DT28" s="1454"/>
      <c r="DU28" s="1454"/>
      <c r="DV28" s="1454"/>
      <c r="DW28" s="1454"/>
      <c r="DX28" s="1454"/>
      <c r="DY28" s="1455"/>
      <c r="DZ28" s="1456"/>
      <c r="EA28" s="1457"/>
      <c r="EB28" s="1457"/>
      <c r="EC28" s="1457"/>
      <c r="ED28" s="1457"/>
      <c r="EE28" s="1457"/>
      <c r="EF28" s="1457"/>
      <c r="EG28" s="1457"/>
      <c r="EH28" s="1457"/>
      <c r="EI28" s="1457"/>
      <c r="EJ28" s="1457"/>
      <c r="EK28" s="1457"/>
      <c r="EL28" s="1458"/>
      <c r="EM28" s="1456"/>
      <c r="EN28" s="1457"/>
      <c r="EO28" s="1457"/>
      <c r="EP28" s="1457"/>
      <c r="EQ28" s="1457"/>
      <c r="ER28" s="1457"/>
      <c r="ES28" s="1457"/>
      <c r="ET28" s="1457"/>
      <c r="EU28" s="1457"/>
      <c r="EV28" s="1457"/>
      <c r="EW28" s="1457"/>
      <c r="EX28" s="1457"/>
      <c r="EY28" s="1458"/>
      <c r="EZ28" s="1456"/>
      <c r="FA28" s="1457"/>
      <c r="FB28" s="1457"/>
      <c r="FC28" s="1457"/>
      <c r="FD28" s="1457"/>
      <c r="FE28" s="1457"/>
      <c r="FF28" s="1457"/>
      <c r="FG28" s="1457"/>
      <c r="FH28" s="1457"/>
      <c r="FI28" s="1457"/>
      <c r="FJ28" s="1457"/>
      <c r="FK28" s="1457"/>
      <c r="FL28" s="1458"/>
      <c r="FM28" s="1456"/>
      <c r="FN28" s="1457"/>
      <c r="FO28" s="1457"/>
      <c r="FP28" s="1457"/>
      <c r="FQ28" s="1457"/>
      <c r="FR28" s="1457"/>
      <c r="FS28" s="1457"/>
      <c r="FT28" s="1457"/>
      <c r="FU28" s="1457"/>
      <c r="FV28" s="1457"/>
      <c r="FW28" s="1457"/>
      <c r="FX28" s="1457"/>
      <c r="FY28" s="1458"/>
    </row>
    <row r="29" spans="1:181" ht="19.5" customHeight="1" x14ac:dyDescent="0.2">
      <c r="A29" s="1454" t="s">
        <v>544</v>
      </c>
      <c r="B29" s="1454"/>
      <c r="C29" s="1454"/>
      <c r="D29" s="1454"/>
      <c r="E29" s="1454"/>
      <c r="F29" s="1454"/>
      <c r="G29" s="1454"/>
      <c r="H29" s="1455"/>
      <c r="I29" s="1459" t="s">
        <v>545</v>
      </c>
      <c r="J29" s="1460"/>
      <c r="K29" s="146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460"/>
      <c r="AM29" s="1460"/>
      <c r="AN29" s="1460"/>
      <c r="AO29" s="1460"/>
      <c r="AP29" s="1460"/>
      <c r="AQ29" s="1460"/>
      <c r="AR29" s="1460"/>
      <c r="AS29" s="1460"/>
      <c r="AT29" s="1460"/>
      <c r="AU29" s="1460"/>
      <c r="AV29" s="1460"/>
      <c r="AW29" s="1460"/>
      <c r="AX29" s="1460"/>
      <c r="AY29" s="1460"/>
      <c r="AZ29" s="1460"/>
      <c r="BA29" s="1460"/>
      <c r="BB29" s="1460"/>
      <c r="BC29" s="1460"/>
      <c r="BD29" s="1460"/>
      <c r="BE29" s="1460"/>
      <c r="BF29" s="1460"/>
      <c r="BG29" s="1460"/>
      <c r="BH29" s="1460"/>
      <c r="BI29" s="1460"/>
      <c r="BJ29" s="1460"/>
      <c r="BK29" s="1460"/>
      <c r="BL29" s="1460"/>
      <c r="BM29" s="1460"/>
      <c r="BN29" s="1460"/>
      <c r="BO29" s="1460"/>
      <c r="BP29" s="1460"/>
      <c r="BQ29" s="1460"/>
      <c r="BR29" s="1460"/>
      <c r="BS29" s="1460"/>
      <c r="BT29" s="1460"/>
      <c r="BU29" s="1460"/>
      <c r="BV29" s="1460"/>
      <c r="BW29" s="1460"/>
      <c r="BX29" s="1460"/>
      <c r="BY29" s="1460"/>
      <c r="BZ29" s="1460"/>
      <c r="CA29" s="1460"/>
      <c r="CB29" s="1460"/>
      <c r="CC29" s="1460"/>
      <c r="CD29" s="1460"/>
      <c r="CE29" s="1460"/>
      <c r="CF29" s="1460"/>
      <c r="CG29" s="1460"/>
      <c r="CH29" s="1460"/>
      <c r="CI29" s="1460"/>
      <c r="CJ29" s="1460"/>
      <c r="CK29" s="1460"/>
      <c r="CL29" s="1460"/>
      <c r="CM29" s="1460"/>
      <c r="CN29" s="1507" t="s">
        <v>546</v>
      </c>
      <c r="CO29" s="1507"/>
      <c r="CP29" s="1507"/>
      <c r="CQ29" s="1507"/>
      <c r="CR29" s="1507"/>
      <c r="CS29" s="1507"/>
      <c r="CT29" s="1507"/>
      <c r="CU29" s="1507"/>
      <c r="CV29" s="1507" t="s">
        <v>3</v>
      </c>
      <c r="CW29" s="1507"/>
      <c r="CX29" s="1507"/>
      <c r="CY29" s="1507"/>
      <c r="CZ29" s="1507"/>
      <c r="DA29" s="1507"/>
      <c r="DB29" s="1507"/>
      <c r="DC29" s="1507"/>
      <c r="DD29" s="1507"/>
      <c r="DE29" s="1507"/>
      <c r="DF29" s="1507" t="s">
        <v>3</v>
      </c>
      <c r="DG29" s="1507"/>
      <c r="DH29" s="1507"/>
      <c r="DI29" s="1507"/>
      <c r="DJ29" s="1507"/>
      <c r="DK29" s="1507"/>
      <c r="DL29" s="1507"/>
      <c r="DM29" s="1507"/>
      <c r="DN29" s="1507"/>
      <c r="DO29" s="1507"/>
      <c r="DP29" s="1507" t="s">
        <v>3</v>
      </c>
      <c r="DQ29" s="1507"/>
      <c r="DR29" s="1507"/>
      <c r="DS29" s="1507"/>
      <c r="DT29" s="1507"/>
      <c r="DU29" s="1507"/>
      <c r="DV29" s="1507"/>
      <c r="DW29" s="1507"/>
      <c r="DX29" s="1507"/>
      <c r="DY29" s="1507"/>
      <c r="DZ29" s="1500">
        <f>'Приложение 1'!CB119</f>
        <v>2443407.61</v>
      </c>
      <c r="EA29" s="1500"/>
      <c r="EB29" s="1500"/>
      <c r="EC29" s="1500"/>
      <c r="ED29" s="1500"/>
      <c r="EE29" s="1500"/>
      <c r="EF29" s="1500"/>
      <c r="EG29" s="1500"/>
      <c r="EH29" s="1500"/>
      <c r="EI29" s="1500"/>
      <c r="EJ29" s="1500"/>
      <c r="EK29" s="1500"/>
      <c r="EL29" s="1500"/>
      <c r="EM29" s="1500">
        <f>'Приложение 1'!CG119</f>
        <v>1226284.26</v>
      </c>
      <c r="EN29" s="1500"/>
      <c r="EO29" s="1500"/>
      <c r="EP29" s="1500"/>
      <c r="EQ29" s="1500"/>
      <c r="ER29" s="1500"/>
      <c r="ES29" s="1500"/>
      <c r="ET29" s="1500"/>
      <c r="EU29" s="1500"/>
      <c r="EV29" s="1500"/>
      <c r="EW29" s="1500"/>
      <c r="EX29" s="1500"/>
      <c r="EY29" s="1500"/>
      <c r="EZ29" s="1500">
        <f>'Приложение 1'!CL119</f>
        <v>1226284.26</v>
      </c>
      <c r="FA29" s="1500"/>
      <c r="FB29" s="1500"/>
      <c r="FC29" s="1500"/>
      <c r="FD29" s="1500"/>
      <c r="FE29" s="1500"/>
      <c r="FF29" s="1500"/>
      <c r="FG29" s="1500"/>
      <c r="FH29" s="1500"/>
      <c r="FI29" s="1500"/>
      <c r="FJ29" s="1500"/>
      <c r="FK29" s="1500"/>
      <c r="FL29" s="1500"/>
      <c r="FM29" s="1500"/>
      <c r="FN29" s="1500"/>
      <c r="FO29" s="1500"/>
      <c r="FP29" s="1500"/>
      <c r="FQ29" s="1500"/>
      <c r="FR29" s="1500"/>
      <c r="FS29" s="1500"/>
      <c r="FT29" s="1500"/>
      <c r="FU29" s="1500"/>
      <c r="FV29" s="1500"/>
      <c r="FW29" s="1500"/>
      <c r="FX29" s="1500"/>
      <c r="FY29" s="1500"/>
    </row>
    <row r="30" spans="1:181" ht="24" customHeight="1" x14ac:dyDescent="0.2">
      <c r="A30" s="1454" t="s">
        <v>547</v>
      </c>
      <c r="B30" s="1454"/>
      <c r="C30" s="1454"/>
      <c r="D30" s="1454"/>
      <c r="E30" s="1454"/>
      <c r="F30" s="1454"/>
      <c r="G30" s="1454"/>
      <c r="H30" s="1455"/>
      <c r="I30" s="1459" t="s">
        <v>519</v>
      </c>
      <c r="J30" s="1460"/>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c r="AN30" s="1460"/>
      <c r="AO30" s="1460"/>
      <c r="AP30" s="1460"/>
      <c r="AQ30" s="1460"/>
      <c r="AR30" s="1460"/>
      <c r="AS30" s="1460"/>
      <c r="AT30" s="1460"/>
      <c r="AU30" s="1460"/>
      <c r="AV30" s="1460"/>
      <c r="AW30" s="1460"/>
      <c r="AX30" s="1460"/>
      <c r="AY30" s="1460"/>
      <c r="AZ30" s="1460"/>
      <c r="BA30" s="1460"/>
      <c r="BB30" s="1460"/>
      <c r="BC30" s="1460"/>
      <c r="BD30" s="1460"/>
      <c r="BE30" s="1460"/>
      <c r="BF30" s="1460"/>
      <c r="BG30" s="1460"/>
      <c r="BH30" s="1460"/>
      <c r="BI30" s="1460"/>
      <c r="BJ30" s="1460"/>
      <c r="BK30" s="1460"/>
      <c r="BL30" s="1460"/>
      <c r="BM30" s="1460"/>
      <c r="BN30" s="1460"/>
      <c r="BO30" s="1460"/>
      <c r="BP30" s="1460"/>
      <c r="BQ30" s="1460"/>
      <c r="BR30" s="1460"/>
      <c r="BS30" s="1460"/>
      <c r="BT30" s="1460"/>
      <c r="BU30" s="1460"/>
      <c r="BV30" s="1460"/>
      <c r="BW30" s="1460"/>
      <c r="BX30" s="1460"/>
      <c r="BY30" s="1460"/>
      <c r="BZ30" s="1460"/>
      <c r="CA30" s="1460"/>
      <c r="CB30" s="1460"/>
      <c r="CC30" s="1460"/>
      <c r="CD30" s="1460"/>
      <c r="CE30" s="1460"/>
      <c r="CF30" s="1460"/>
      <c r="CG30" s="1460"/>
      <c r="CH30" s="1460"/>
      <c r="CI30" s="1460"/>
      <c r="CJ30" s="1460"/>
      <c r="CK30" s="1460"/>
      <c r="CL30" s="1460"/>
      <c r="CM30" s="1460"/>
      <c r="CN30" s="1501" t="s">
        <v>548</v>
      </c>
      <c r="CO30" s="1502"/>
      <c r="CP30" s="1502"/>
      <c r="CQ30" s="1502"/>
      <c r="CR30" s="1502"/>
      <c r="CS30" s="1502"/>
      <c r="CT30" s="1502"/>
      <c r="CU30" s="1503"/>
      <c r="CV30" s="1501" t="s">
        <v>3</v>
      </c>
      <c r="CW30" s="1502"/>
      <c r="CX30" s="1502"/>
      <c r="CY30" s="1502"/>
      <c r="CZ30" s="1502"/>
      <c r="DA30" s="1502"/>
      <c r="DB30" s="1502"/>
      <c r="DC30" s="1502"/>
      <c r="DD30" s="1502"/>
      <c r="DE30" s="1503"/>
      <c r="DF30" s="1501" t="s">
        <v>3</v>
      </c>
      <c r="DG30" s="1502"/>
      <c r="DH30" s="1502"/>
      <c r="DI30" s="1502"/>
      <c r="DJ30" s="1502"/>
      <c r="DK30" s="1502"/>
      <c r="DL30" s="1502"/>
      <c r="DM30" s="1502"/>
      <c r="DN30" s="1502"/>
      <c r="DO30" s="1503"/>
      <c r="DP30" s="1501" t="s">
        <v>3</v>
      </c>
      <c r="DQ30" s="1502"/>
      <c r="DR30" s="1502"/>
      <c r="DS30" s="1502"/>
      <c r="DT30" s="1502"/>
      <c r="DU30" s="1502"/>
      <c r="DV30" s="1502"/>
      <c r="DW30" s="1502"/>
      <c r="DX30" s="1502"/>
      <c r="DY30" s="1503"/>
      <c r="DZ30" s="1504"/>
      <c r="EA30" s="1505"/>
      <c r="EB30" s="1505"/>
      <c r="EC30" s="1505"/>
      <c r="ED30" s="1505"/>
      <c r="EE30" s="1505"/>
      <c r="EF30" s="1505"/>
      <c r="EG30" s="1505"/>
      <c r="EH30" s="1505"/>
      <c r="EI30" s="1505"/>
      <c r="EJ30" s="1505"/>
      <c r="EK30" s="1505"/>
      <c r="EL30" s="1506"/>
      <c r="EM30" s="1504"/>
      <c r="EN30" s="1505"/>
      <c r="EO30" s="1505"/>
      <c r="EP30" s="1505"/>
      <c r="EQ30" s="1505"/>
      <c r="ER30" s="1505"/>
      <c r="ES30" s="1505"/>
      <c r="ET30" s="1505"/>
      <c r="EU30" s="1505"/>
      <c r="EV30" s="1505"/>
      <c r="EW30" s="1505"/>
      <c r="EX30" s="1505"/>
      <c r="EY30" s="1506"/>
      <c r="EZ30" s="1504"/>
      <c r="FA30" s="1505"/>
      <c r="FB30" s="1505"/>
      <c r="FC30" s="1505"/>
      <c r="FD30" s="1505"/>
      <c r="FE30" s="1505"/>
      <c r="FF30" s="1505"/>
      <c r="FG30" s="1505"/>
      <c r="FH30" s="1505"/>
      <c r="FI30" s="1505"/>
      <c r="FJ30" s="1505"/>
      <c r="FK30" s="1505"/>
      <c r="FL30" s="1506"/>
      <c r="FM30" s="1504"/>
      <c r="FN30" s="1505"/>
      <c r="FO30" s="1505"/>
      <c r="FP30" s="1505"/>
      <c r="FQ30" s="1505"/>
      <c r="FR30" s="1505"/>
      <c r="FS30" s="1505"/>
      <c r="FT30" s="1505"/>
      <c r="FU30" s="1505"/>
      <c r="FV30" s="1505"/>
      <c r="FW30" s="1505"/>
      <c r="FX30" s="1505"/>
      <c r="FY30" s="1506"/>
    </row>
    <row r="31" spans="1:181" ht="17.25" customHeight="1" x14ac:dyDescent="0.2">
      <c r="A31" s="1454"/>
      <c r="B31" s="1454"/>
      <c r="C31" s="1454"/>
      <c r="D31" s="1454"/>
      <c r="E31" s="1454"/>
      <c r="F31" s="1454"/>
      <c r="G31" s="1454"/>
      <c r="H31" s="1455"/>
      <c r="I31" s="1459" t="s">
        <v>505</v>
      </c>
      <c r="J31" s="1460"/>
      <c r="K31" s="146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460"/>
      <c r="AM31" s="1460"/>
      <c r="AN31" s="1460"/>
      <c r="AO31" s="1460"/>
      <c r="AP31" s="1460"/>
      <c r="AQ31" s="1460"/>
      <c r="AR31" s="1460"/>
      <c r="AS31" s="1460"/>
      <c r="AT31" s="1460"/>
      <c r="AU31" s="1460"/>
      <c r="AV31" s="1460"/>
      <c r="AW31" s="1460"/>
      <c r="AX31" s="1460"/>
      <c r="AY31" s="1460"/>
      <c r="AZ31" s="1460"/>
      <c r="BA31" s="1460"/>
      <c r="BB31" s="1460"/>
      <c r="BC31" s="1460"/>
      <c r="BD31" s="1460"/>
      <c r="BE31" s="1460"/>
      <c r="BF31" s="1460"/>
      <c r="BG31" s="1460"/>
      <c r="BH31" s="1460"/>
      <c r="BI31" s="1460"/>
      <c r="BJ31" s="1460"/>
      <c r="BK31" s="1460"/>
      <c r="BL31" s="1460"/>
      <c r="BM31" s="1460"/>
      <c r="BN31" s="1460"/>
      <c r="BO31" s="1460"/>
      <c r="BP31" s="1460"/>
      <c r="BQ31" s="1460"/>
      <c r="BR31" s="1460"/>
      <c r="BS31" s="1460"/>
      <c r="BT31" s="1460"/>
      <c r="BU31" s="1460"/>
      <c r="BV31" s="1460"/>
      <c r="BW31" s="1460"/>
      <c r="BX31" s="1460"/>
      <c r="BY31" s="1460"/>
      <c r="BZ31" s="1460"/>
      <c r="CA31" s="1460"/>
      <c r="CB31" s="1460"/>
      <c r="CC31" s="1460"/>
      <c r="CD31" s="1460"/>
      <c r="CE31" s="1460"/>
      <c r="CF31" s="1460"/>
      <c r="CG31" s="1460"/>
      <c r="CH31" s="1460"/>
      <c r="CI31" s="1460"/>
      <c r="CJ31" s="1460"/>
      <c r="CK31" s="1460"/>
      <c r="CL31" s="1460"/>
      <c r="CM31" s="1460"/>
      <c r="CN31" s="1453" t="s">
        <v>549</v>
      </c>
      <c r="CO31" s="1454"/>
      <c r="CP31" s="1454"/>
      <c r="CQ31" s="1454"/>
      <c r="CR31" s="1454"/>
      <c r="CS31" s="1454"/>
      <c r="CT31" s="1454"/>
      <c r="CU31" s="1455"/>
      <c r="CV31" s="1453" t="s">
        <v>3</v>
      </c>
      <c r="CW31" s="1454"/>
      <c r="CX31" s="1454"/>
      <c r="CY31" s="1454"/>
      <c r="CZ31" s="1454"/>
      <c r="DA31" s="1454"/>
      <c r="DB31" s="1454"/>
      <c r="DC31" s="1454"/>
      <c r="DD31" s="1454"/>
      <c r="DE31" s="1455"/>
      <c r="DF31" s="1453"/>
      <c r="DG31" s="1454"/>
      <c r="DH31" s="1454"/>
      <c r="DI31" s="1454"/>
      <c r="DJ31" s="1454"/>
      <c r="DK31" s="1454"/>
      <c r="DL31" s="1454"/>
      <c r="DM31" s="1454"/>
      <c r="DN31" s="1454"/>
      <c r="DO31" s="1455"/>
      <c r="DP31" s="1453"/>
      <c r="DQ31" s="1454"/>
      <c r="DR31" s="1454"/>
      <c r="DS31" s="1454"/>
      <c r="DT31" s="1454"/>
      <c r="DU31" s="1454"/>
      <c r="DV31" s="1454"/>
      <c r="DW31" s="1454"/>
      <c r="DX31" s="1454"/>
      <c r="DY31" s="1455"/>
      <c r="DZ31" s="1456"/>
      <c r="EA31" s="1457"/>
      <c r="EB31" s="1457"/>
      <c r="EC31" s="1457"/>
      <c r="ED31" s="1457"/>
      <c r="EE31" s="1457"/>
      <c r="EF31" s="1457"/>
      <c r="EG31" s="1457"/>
      <c r="EH31" s="1457"/>
      <c r="EI31" s="1457"/>
      <c r="EJ31" s="1457"/>
      <c r="EK31" s="1457"/>
      <c r="EL31" s="1458"/>
      <c r="EM31" s="1456"/>
      <c r="EN31" s="1457"/>
      <c r="EO31" s="1457"/>
      <c r="EP31" s="1457"/>
      <c r="EQ31" s="1457"/>
      <c r="ER31" s="1457"/>
      <c r="ES31" s="1457"/>
      <c r="ET31" s="1457"/>
      <c r="EU31" s="1457"/>
      <c r="EV31" s="1457"/>
      <c r="EW31" s="1457"/>
      <c r="EX31" s="1457"/>
      <c r="EY31" s="1458"/>
      <c r="EZ31" s="1456"/>
      <c r="FA31" s="1457"/>
      <c r="FB31" s="1457"/>
      <c r="FC31" s="1457"/>
      <c r="FD31" s="1457"/>
      <c r="FE31" s="1457"/>
      <c r="FF31" s="1457"/>
      <c r="FG31" s="1457"/>
      <c r="FH31" s="1457"/>
      <c r="FI31" s="1457"/>
      <c r="FJ31" s="1457"/>
      <c r="FK31" s="1457"/>
      <c r="FL31" s="1458"/>
      <c r="FM31" s="1456"/>
      <c r="FN31" s="1457"/>
      <c r="FO31" s="1457"/>
      <c r="FP31" s="1457"/>
      <c r="FQ31" s="1457"/>
      <c r="FR31" s="1457"/>
      <c r="FS31" s="1457"/>
      <c r="FT31" s="1457"/>
      <c r="FU31" s="1457"/>
      <c r="FV31" s="1457"/>
      <c r="FW31" s="1457"/>
      <c r="FX31" s="1457"/>
      <c r="FY31" s="1458"/>
    </row>
    <row r="32" spans="1:181" ht="17.25" customHeight="1" x14ac:dyDescent="0.2">
      <c r="A32" s="1454"/>
      <c r="B32" s="1454"/>
      <c r="C32" s="1454"/>
      <c r="D32" s="1454"/>
      <c r="E32" s="1454"/>
      <c r="F32" s="1454"/>
      <c r="G32" s="1454"/>
      <c r="H32" s="1455"/>
      <c r="I32" s="1459" t="s">
        <v>507</v>
      </c>
      <c r="J32" s="1460"/>
      <c r="K32" s="1460"/>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1460"/>
      <c r="AH32" s="1460"/>
      <c r="AI32" s="1460"/>
      <c r="AJ32" s="1460"/>
      <c r="AK32" s="1460"/>
      <c r="AL32" s="1460"/>
      <c r="AM32" s="1460"/>
      <c r="AN32" s="1460"/>
      <c r="AO32" s="1460"/>
      <c r="AP32" s="1460"/>
      <c r="AQ32" s="1460"/>
      <c r="AR32" s="1460"/>
      <c r="AS32" s="1460"/>
      <c r="AT32" s="1460"/>
      <c r="AU32" s="1460"/>
      <c r="AV32" s="1460"/>
      <c r="AW32" s="1460"/>
      <c r="AX32" s="1460"/>
      <c r="AY32" s="1460"/>
      <c r="AZ32" s="1460"/>
      <c r="BA32" s="1460"/>
      <c r="BB32" s="1460"/>
      <c r="BC32" s="1460"/>
      <c r="BD32" s="1460"/>
      <c r="BE32" s="1460"/>
      <c r="BF32" s="1460"/>
      <c r="BG32" s="1460"/>
      <c r="BH32" s="1460"/>
      <c r="BI32" s="1460"/>
      <c r="BJ32" s="1460"/>
      <c r="BK32" s="1460"/>
      <c r="BL32" s="1460"/>
      <c r="BM32" s="1460"/>
      <c r="BN32" s="1460"/>
      <c r="BO32" s="1460"/>
      <c r="BP32" s="1460"/>
      <c r="BQ32" s="1460"/>
      <c r="BR32" s="1460"/>
      <c r="BS32" s="1460"/>
      <c r="BT32" s="1460"/>
      <c r="BU32" s="1460"/>
      <c r="BV32" s="1460"/>
      <c r="BW32" s="1460"/>
      <c r="BX32" s="1460"/>
      <c r="BY32" s="1460"/>
      <c r="BZ32" s="1460"/>
      <c r="CA32" s="1460"/>
      <c r="CB32" s="1460"/>
      <c r="CC32" s="1460"/>
      <c r="CD32" s="1460"/>
      <c r="CE32" s="1460"/>
      <c r="CF32" s="1460"/>
      <c r="CG32" s="1460"/>
      <c r="CH32" s="1460"/>
      <c r="CI32" s="1460"/>
      <c r="CJ32" s="1460"/>
      <c r="CK32" s="1460"/>
      <c r="CL32" s="1460"/>
      <c r="CM32" s="1460"/>
      <c r="CN32" s="1453" t="s">
        <v>550</v>
      </c>
      <c r="CO32" s="1454"/>
      <c r="CP32" s="1454"/>
      <c r="CQ32" s="1454"/>
      <c r="CR32" s="1454"/>
      <c r="CS32" s="1454"/>
      <c r="CT32" s="1454"/>
      <c r="CU32" s="1455"/>
      <c r="CV32" s="1453" t="s">
        <v>3</v>
      </c>
      <c r="CW32" s="1454"/>
      <c r="CX32" s="1454"/>
      <c r="CY32" s="1454"/>
      <c r="CZ32" s="1454"/>
      <c r="DA32" s="1454"/>
      <c r="DB32" s="1454"/>
      <c r="DC32" s="1454"/>
      <c r="DD32" s="1454"/>
      <c r="DE32" s="1455"/>
      <c r="DF32" s="1453"/>
      <c r="DG32" s="1454"/>
      <c r="DH32" s="1454"/>
      <c r="DI32" s="1454"/>
      <c r="DJ32" s="1454"/>
      <c r="DK32" s="1454"/>
      <c r="DL32" s="1454"/>
      <c r="DM32" s="1454"/>
      <c r="DN32" s="1454"/>
      <c r="DO32" s="1455"/>
      <c r="DP32" s="1453"/>
      <c r="DQ32" s="1454"/>
      <c r="DR32" s="1454"/>
      <c r="DS32" s="1454"/>
      <c r="DT32" s="1454"/>
      <c r="DU32" s="1454"/>
      <c r="DV32" s="1454"/>
      <c r="DW32" s="1454"/>
      <c r="DX32" s="1454"/>
      <c r="DY32" s="1455"/>
      <c r="DZ32" s="1456"/>
      <c r="EA32" s="1457"/>
      <c r="EB32" s="1457"/>
      <c r="EC32" s="1457"/>
      <c r="ED32" s="1457"/>
      <c r="EE32" s="1457"/>
      <c r="EF32" s="1457"/>
      <c r="EG32" s="1457"/>
      <c r="EH32" s="1457"/>
      <c r="EI32" s="1457"/>
      <c r="EJ32" s="1457"/>
      <c r="EK32" s="1457"/>
      <c r="EL32" s="1458"/>
      <c r="EM32" s="1456"/>
      <c r="EN32" s="1457"/>
      <c r="EO32" s="1457"/>
      <c r="EP32" s="1457"/>
      <c r="EQ32" s="1457"/>
      <c r="ER32" s="1457"/>
      <c r="ES32" s="1457"/>
      <c r="ET32" s="1457"/>
      <c r="EU32" s="1457"/>
      <c r="EV32" s="1457"/>
      <c r="EW32" s="1457"/>
      <c r="EX32" s="1457"/>
      <c r="EY32" s="1458"/>
      <c r="EZ32" s="1456"/>
      <c r="FA32" s="1457"/>
      <c r="FB32" s="1457"/>
      <c r="FC32" s="1457"/>
      <c r="FD32" s="1457"/>
      <c r="FE32" s="1457"/>
      <c r="FF32" s="1457"/>
      <c r="FG32" s="1457"/>
      <c r="FH32" s="1457"/>
      <c r="FI32" s="1457"/>
      <c r="FJ32" s="1457"/>
      <c r="FK32" s="1457"/>
      <c r="FL32" s="1458"/>
      <c r="FM32" s="1456"/>
      <c r="FN32" s="1457"/>
      <c r="FO32" s="1457"/>
      <c r="FP32" s="1457"/>
      <c r="FQ32" s="1457"/>
      <c r="FR32" s="1457"/>
      <c r="FS32" s="1457"/>
      <c r="FT32" s="1457"/>
      <c r="FU32" s="1457"/>
      <c r="FV32" s="1457"/>
      <c r="FW32" s="1457"/>
      <c r="FX32" s="1457"/>
      <c r="FY32" s="1458"/>
    </row>
    <row r="33" spans="1:181" ht="16.5" customHeight="1" x14ac:dyDescent="0.2">
      <c r="A33" s="1454" t="s">
        <v>551</v>
      </c>
      <c r="B33" s="1454"/>
      <c r="C33" s="1454"/>
      <c r="D33" s="1454"/>
      <c r="E33" s="1454"/>
      <c r="F33" s="1454"/>
      <c r="G33" s="1454"/>
      <c r="H33" s="1455"/>
      <c r="I33" s="1459" t="s">
        <v>552</v>
      </c>
      <c r="J33" s="1460"/>
      <c r="K33" s="1460"/>
      <c r="L33" s="1460"/>
      <c r="M33" s="1460"/>
      <c r="N33" s="1460"/>
      <c r="O33" s="1460"/>
      <c r="P33" s="1460"/>
      <c r="Q33" s="1460"/>
      <c r="R33" s="1460"/>
      <c r="S33" s="1460"/>
      <c r="T33" s="1460"/>
      <c r="U33" s="1460"/>
      <c r="V33" s="1460"/>
      <c r="W33" s="1460"/>
      <c r="X33" s="1460"/>
      <c r="Y33" s="1460"/>
      <c r="Z33" s="1460"/>
      <c r="AA33" s="1460"/>
      <c r="AB33" s="1460"/>
      <c r="AC33" s="1460"/>
      <c r="AD33" s="1460"/>
      <c r="AE33" s="1460"/>
      <c r="AF33" s="1460"/>
      <c r="AG33" s="1460"/>
      <c r="AH33" s="1460"/>
      <c r="AI33" s="1460"/>
      <c r="AJ33" s="1460"/>
      <c r="AK33" s="1460"/>
      <c r="AL33" s="1460"/>
      <c r="AM33" s="1460"/>
      <c r="AN33" s="1460"/>
      <c r="AO33" s="1460"/>
      <c r="AP33" s="1460"/>
      <c r="AQ33" s="1460"/>
      <c r="AR33" s="1460"/>
      <c r="AS33" s="1460"/>
      <c r="AT33" s="1460"/>
      <c r="AU33" s="1460"/>
      <c r="AV33" s="1460"/>
      <c r="AW33" s="1460"/>
      <c r="AX33" s="1460"/>
      <c r="AY33" s="1460"/>
      <c r="AZ33" s="1460"/>
      <c r="BA33" s="1460"/>
      <c r="BB33" s="1460"/>
      <c r="BC33" s="1460"/>
      <c r="BD33" s="1460"/>
      <c r="BE33" s="1460"/>
      <c r="BF33" s="1460"/>
      <c r="BG33" s="1460"/>
      <c r="BH33" s="1460"/>
      <c r="BI33" s="1460"/>
      <c r="BJ33" s="1460"/>
      <c r="BK33" s="1460"/>
      <c r="BL33" s="1460"/>
      <c r="BM33" s="1460"/>
      <c r="BN33" s="1460"/>
      <c r="BO33" s="1460"/>
      <c r="BP33" s="1460"/>
      <c r="BQ33" s="1460"/>
      <c r="BR33" s="1460"/>
      <c r="BS33" s="1460"/>
      <c r="BT33" s="1460"/>
      <c r="BU33" s="1460"/>
      <c r="BV33" s="1460"/>
      <c r="BW33" s="1460"/>
      <c r="BX33" s="1460"/>
      <c r="BY33" s="1460"/>
      <c r="BZ33" s="1460"/>
      <c r="CA33" s="1460"/>
      <c r="CB33" s="1460"/>
      <c r="CC33" s="1460"/>
      <c r="CD33" s="1460"/>
      <c r="CE33" s="1460"/>
      <c r="CF33" s="1460"/>
      <c r="CG33" s="1460"/>
      <c r="CH33" s="1460"/>
      <c r="CI33" s="1460"/>
      <c r="CJ33" s="1460"/>
      <c r="CK33" s="1460"/>
      <c r="CL33" s="1460"/>
      <c r="CM33" s="1460"/>
      <c r="CN33" s="1453" t="s">
        <v>553</v>
      </c>
      <c r="CO33" s="1454"/>
      <c r="CP33" s="1454"/>
      <c r="CQ33" s="1454"/>
      <c r="CR33" s="1454"/>
      <c r="CS33" s="1454"/>
      <c r="CT33" s="1454"/>
      <c r="CU33" s="1455"/>
      <c r="CV33" s="1453" t="s">
        <v>3</v>
      </c>
      <c r="CW33" s="1454"/>
      <c r="CX33" s="1454"/>
      <c r="CY33" s="1454"/>
      <c r="CZ33" s="1454"/>
      <c r="DA33" s="1454"/>
      <c r="DB33" s="1454"/>
      <c r="DC33" s="1454"/>
      <c r="DD33" s="1454"/>
      <c r="DE33" s="1455"/>
      <c r="DF33" s="1453" t="s">
        <v>3</v>
      </c>
      <c r="DG33" s="1454"/>
      <c r="DH33" s="1454"/>
      <c r="DI33" s="1454"/>
      <c r="DJ33" s="1454"/>
      <c r="DK33" s="1454"/>
      <c r="DL33" s="1454"/>
      <c r="DM33" s="1454"/>
      <c r="DN33" s="1454"/>
      <c r="DO33" s="1455"/>
      <c r="DP33" s="1453" t="s">
        <v>3</v>
      </c>
      <c r="DQ33" s="1454"/>
      <c r="DR33" s="1454"/>
      <c r="DS33" s="1454"/>
      <c r="DT33" s="1454"/>
      <c r="DU33" s="1454"/>
      <c r="DV33" s="1454"/>
      <c r="DW33" s="1454"/>
      <c r="DX33" s="1454"/>
      <c r="DY33" s="1455"/>
      <c r="DZ33" s="1504">
        <f>DZ29</f>
        <v>2443407.61</v>
      </c>
      <c r="EA33" s="1505"/>
      <c r="EB33" s="1505"/>
      <c r="EC33" s="1505"/>
      <c r="ED33" s="1505"/>
      <c r="EE33" s="1505"/>
      <c r="EF33" s="1505"/>
      <c r="EG33" s="1505"/>
      <c r="EH33" s="1505"/>
      <c r="EI33" s="1505"/>
      <c r="EJ33" s="1505"/>
      <c r="EK33" s="1505"/>
      <c r="EL33" s="1506"/>
      <c r="EM33" s="1504">
        <f>EM29</f>
        <v>1226284.26</v>
      </c>
      <c r="EN33" s="1505"/>
      <c r="EO33" s="1505"/>
      <c r="EP33" s="1505"/>
      <c r="EQ33" s="1505"/>
      <c r="ER33" s="1505"/>
      <c r="ES33" s="1505"/>
      <c r="ET33" s="1505"/>
      <c r="EU33" s="1505"/>
      <c r="EV33" s="1505"/>
      <c r="EW33" s="1505"/>
      <c r="EX33" s="1505"/>
      <c r="EY33" s="1506"/>
      <c r="EZ33" s="1504">
        <f>EZ29</f>
        <v>1226284.26</v>
      </c>
      <c r="FA33" s="1505"/>
      <c r="FB33" s="1505"/>
      <c r="FC33" s="1505"/>
      <c r="FD33" s="1505"/>
      <c r="FE33" s="1505"/>
      <c r="FF33" s="1505"/>
      <c r="FG33" s="1505"/>
      <c r="FH33" s="1505"/>
      <c r="FI33" s="1505"/>
      <c r="FJ33" s="1505"/>
      <c r="FK33" s="1505"/>
      <c r="FL33" s="1506"/>
      <c r="FM33" s="1456"/>
      <c r="FN33" s="1457"/>
      <c r="FO33" s="1457"/>
      <c r="FP33" s="1457"/>
      <c r="FQ33" s="1457"/>
      <c r="FR33" s="1457"/>
      <c r="FS33" s="1457"/>
      <c r="FT33" s="1457"/>
      <c r="FU33" s="1457"/>
      <c r="FV33" s="1457"/>
      <c r="FW33" s="1457"/>
      <c r="FX33" s="1457"/>
      <c r="FY33" s="1458"/>
    </row>
    <row r="34" spans="1:181" ht="43.5" customHeight="1" x14ac:dyDescent="0.2">
      <c r="A34" s="1454" t="s">
        <v>246</v>
      </c>
      <c r="B34" s="1454"/>
      <c r="C34" s="1454"/>
      <c r="D34" s="1454"/>
      <c r="E34" s="1454"/>
      <c r="F34" s="1454"/>
      <c r="G34" s="1454"/>
      <c r="H34" s="1455"/>
      <c r="I34" s="1459" t="s">
        <v>554</v>
      </c>
      <c r="J34" s="1460"/>
      <c r="K34" s="1460"/>
      <c r="L34" s="1460"/>
      <c r="M34" s="1460"/>
      <c r="N34" s="1460"/>
      <c r="O34" s="1460"/>
      <c r="P34" s="1460"/>
      <c r="Q34" s="1460"/>
      <c r="R34" s="1460"/>
      <c r="S34" s="1460"/>
      <c r="T34" s="1460"/>
      <c r="U34" s="1460"/>
      <c r="V34" s="1460"/>
      <c r="W34" s="1460"/>
      <c r="X34" s="1460"/>
      <c r="Y34" s="1460"/>
      <c r="Z34" s="1460"/>
      <c r="AA34" s="1460"/>
      <c r="AB34" s="1460"/>
      <c r="AC34" s="1460"/>
      <c r="AD34" s="1460"/>
      <c r="AE34" s="1460"/>
      <c r="AF34" s="1460"/>
      <c r="AG34" s="1460"/>
      <c r="AH34" s="1460"/>
      <c r="AI34" s="1460"/>
      <c r="AJ34" s="1460"/>
      <c r="AK34" s="1460"/>
      <c r="AL34" s="1460"/>
      <c r="AM34" s="1460"/>
      <c r="AN34" s="1460"/>
      <c r="AO34" s="1460"/>
      <c r="AP34" s="1460"/>
      <c r="AQ34" s="1460"/>
      <c r="AR34" s="1460"/>
      <c r="AS34" s="1460"/>
      <c r="AT34" s="1460"/>
      <c r="AU34" s="1460"/>
      <c r="AV34" s="1460"/>
      <c r="AW34" s="1460"/>
      <c r="AX34" s="1460"/>
      <c r="AY34" s="1460"/>
      <c r="AZ34" s="1460"/>
      <c r="BA34" s="1460"/>
      <c r="BB34" s="1460"/>
      <c r="BC34" s="1460"/>
      <c r="BD34" s="1460"/>
      <c r="BE34" s="1460"/>
      <c r="BF34" s="1460"/>
      <c r="BG34" s="1460"/>
      <c r="BH34" s="1460"/>
      <c r="BI34" s="1460"/>
      <c r="BJ34" s="1460"/>
      <c r="BK34" s="1460"/>
      <c r="BL34" s="1460"/>
      <c r="BM34" s="1460"/>
      <c r="BN34" s="1460"/>
      <c r="BO34" s="1460"/>
      <c r="BP34" s="1460"/>
      <c r="BQ34" s="1460"/>
      <c r="BR34" s="1460"/>
      <c r="BS34" s="1460"/>
      <c r="BT34" s="1460"/>
      <c r="BU34" s="1460"/>
      <c r="BV34" s="1460"/>
      <c r="BW34" s="1460"/>
      <c r="BX34" s="1460"/>
      <c r="BY34" s="1460"/>
      <c r="BZ34" s="1460"/>
      <c r="CA34" s="1460"/>
      <c r="CB34" s="1460"/>
      <c r="CC34" s="1460"/>
      <c r="CD34" s="1460"/>
      <c r="CE34" s="1460"/>
      <c r="CF34" s="1460"/>
      <c r="CG34" s="1460"/>
      <c r="CH34" s="1460"/>
      <c r="CI34" s="1460"/>
      <c r="CJ34" s="1460"/>
      <c r="CK34" s="1460"/>
      <c r="CL34" s="1460"/>
      <c r="CM34" s="1460"/>
      <c r="CN34" s="1453" t="s">
        <v>555</v>
      </c>
      <c r="CO34" s="1454"/>
      <c r="CP34" s="1454"/>
      <c r="CQ34" s="1454"/>
      <c r="CR34" s="1454"/>
      <c r="CS34" s="1454"/>
      <c r="CT34" s="1454"/>
      <c r="CU34" s="1455"/>
      <c r="CV34" s="1453" t="s">
        <v>3</v>
      </c>
      <c r="CW34" s="1454"/>
      <c r="CX34" s="1454"/>
      <c r="CY34" s="1454"/>
      <c r="CZ34" s="1454"/>
      <c r="DA34" s="1454"/>
      <c r="DB34" s="1454"/>
      <c r="DC34" s="1454"/>
      <c r="DD34" s="1454"/>
      <c r="DE34" s="1455"/>
      <c r="DF34" s="1453" t="s">
        <v>3</v>
      </c>
      <c r="DG34" s="1454"/>
      <c r="DH34" s="1454"/>
      <c r="DI34" s="1454"/>
      <c r="DJ34" s="1454"/>
      <c r="DK34" s="1454"/>
      <c r="DL34" s="1454"/>
      <c r="DM34" s="1454"/>
      <c r="DN34" s="1454"/>
      <c r="DO34" s="1455"/>
      <c r="DP34" s="1453" t="s">
        <v>3</v>
      </c>
      <c r="DQ34" s="1454"/>
      <c r="DR34" s="1454"/>
      <c r="DS34" s="1454"/>
      <c r="DT34" s="1454"/>
      <c r="DU34" s="1454"/>
      <c r="DV34" s="1454"/>
      <c r="DW34" s="1454"/>
      <c r="DX34" s="1454"/>
      <c r="DY34" s="1455"/>
      <c r="DZ34" s="1456"/>
      <c r="EA34" s="1457"/>
      <c r="EB34" s="1457"/>
      <c r="EC34" s="1457"/>
      <c r="ED34" s="1457"/>
      <c r="EE34" s="1457"/>
      <c r="EF34" s="1457"/>
      <c r="EG34" s="1457"/>
      <c r="EH34" s="1457"/>
      <c r="EI34" s="1457"/>
      <c r="EJ34" s="1457"/>
      <c r="EK34" s="1457"/>
      <c r="EL34" s="1458"/>
      <c r="EM34" s="1456"/>
      <c r="EN34" s="1457"/>
      <c r="EO34" s="1457"/>
      <c r="EP34" s="1457"/>
      <c r="EQ34" s="1457"/>
      <c r="ER34" s="1457"/>
      <c r="ES34" s="1457"/>
      <c r="ET34" s="1457"/>
      <c r="EU34" s="1457"/>
      <c r="EV34" s="1457"/>
      <c r="EW34" s="1457"/>
      <c r="EX34" s="1457"/>
      <c r="EY34" s="1458"/>
      <c r="EZ34" s="1456"/>
      <c r="FA34" s="1457"/>
      <c r="FB34" s="1457"/>
      <c r="FC34" s="1457"/>
      <c r="FD34" s="1457"/>
      <c r="FE34" s="1457"/>
      <c r="FF34" s="1457"/>
      <c r="FG34" s="1457"/>
      <c r="FH34" s="1457"/>
      <c r="FI34" s="1457"/>
      <c r="FJ34" s="1457"/>
      <c r="FK34" s="1457"/>
      <c r="FL34" s="1458"/>
      <c r="FM34" s="1456"/>
      <c r="FN34" s="1457"/>
      <c r="FO34" s="1457"/>
      <c r="FP34" s="1457"/>
      <c r="FQ34" s="1457"/>
      <c r="FR34" s="1457"/>
      <c r="FS34" s="1457"/>
      <c r="FT34" s="1457"/>
      <c r="FU34" s="1457"/>
      <c r="FV34" s="1457"/>
      <c r="FW34" s="1457"/>
      <c r="FX34" s="1457"/>
      <c r="FY34" s="1458"/>
    </row>
    <row r="35" spans="1:181" x14ac:dyDescent="0.2">
      <c r="A35" s="1508"/>
      <c r="B35" s="1508"/>
      <c r="C35" s="1508"/>
      <c r="D35" s="1508"/>
      <c r="E35" s="1508"/>
      <c r="F35" s="1508"/>
      <c r="G35" s="1508"/>
      <c r="H35" s="1509"/>
      <c r="I35" s="1510" t="s">
        <v>556</v>
      </c>
      <c r="J35" s="1511"/>
      <c r="K35" s="1511"/>
      <c r="L35" s="1511"/>
      <c r="M35" s="1511"/>
      <c r="N35" s="1511"/>
      <c r="O35" s="1511"/>
      <c r="P35" s="1511"/>
      <c r="Q35" s="1511"/>
      <c r="R35" s="1511"/>
      <c r="S35" s="1511"/>
      <c r="T35" s="1511"/>
      <c r="U35" s="1511"/>
      <c r="V35" s="1511"/>
      <c r="W35" s="1511"/>
      <c r="X35" s="1511"/>
      <c r="Y35" s="1511"/>
      <c r="Z35" s="1511"/>
      <c r="AA35" s="1511"/>
      <c r="AB35" s="1511"/>
      <c r="AC35" s="1511"/>
      <c r="AD35" s="1511"/>
      <c r="AE35" s="1511"/>
      <c r="AF35" s="1511"/>
      <c r="AG35" s="1511"/>
      <c r="AH35" s="1511"/>
      <c r="AI35" s="1511"/>
      <c r="AJ35" s="1511"/>
      <c r="AK35" s="1511"/>
      <c r="AL35" s="1511"/>
      <c r="AM35" s="1511"/>
      <c r="AN35" s="1511"/>
      <c r="AO35" s="1511"/>
      <c r="AP35" s="1511"/>
      <c r="AQ35" s="1511"/>
      <c r="AR35" s="1511"/>
      <c r="AS35" s="1511"/>
      <c r="AT35" s="1511"/>
      <c r="AU35" s="1511"/>
      <c r="AV35" s="1511"/>
      <c r="AW35" s="1511"/>
      <c r="AX35" s="1511"/>
      <c r="AY35" s="1511"/>
      <c r="AZ35" s="1511"/>
      <c r="BA35" s="1511"/>
      <c r="BB35" s="1511"/>
      <c r="BC35" s="1511"/>
      <c r="BD35" s="1511"/>
      <c r="BE35" s="1511"/>
      <c r="BF35" s="1511"/>
      <c r="BG35" s="1511"/>
      <c r="BH35" s="1511"/>
      <c r="BI35" s="1511"/>
      <c r="BJ35" s="1511"/>
      <c r="BK35" s="1511"/>
      <c r="BL35" s="1511"/>
      <c r="BM35" s="1511"/>
      <c r="BN35" s="1511"/>
      <c r="BO35" s="1511"/>
      <c r="BP35" s="1511"/>
      <c r="BQ35" s="1511"/>
      <c r="BR35" s="1511"/>
      <c r="BS35" s="1511"/>
      <c r="BT35" s="1511"/>
      <c r="BU35" s="1511"/>
      <c r="BV35" s="1511"/>
      <c r="BW35" s="1511"/>
      <c r="BX35" s="1511"/>
      <c r="BY35" s="1511"/>
      <c r="BZ35" s="1511"/>
      <c r="CA35" s="1511"/>
      <c r="CB35" s="1511"/>
      <c r="CC35" s="1511"/>
      <c r="CD35" s="1511"/>
      <c r="CE35" s="1511"/>
      <c r="CF35" s="1511"/>
      <c r="CG35" s="1511"/>
      <c r="CH35" s="1511"/>
      <c r="CI35" s="1511"/>
      <c r="CJ35" s="1511"/>
      <c r="CK35" s="1511"/>
      <c r="CL35" s="1511"/>
      <c r="CM35" s="1511"/>
      <c r="CN35" s="1512" t="s">
        <v>557</v>
      </c>
      <c r="CO35" s="1508"/>
      <c r="CP35" s="1508"/>
      <c r="CQ35" s="1508"/>
      <c r="CR35" s="1508"/>
      <c r="CS35" s="1508"/>
      <c r="CT35" s="1508"/>
      <c r="CU35" s="1509"/>
      <c r="CV35" s="1512"/>
      <c r="CW35" s="1508"/>
      <c r="CX35" s="1508"/>
      <c r="CY35" s="1508"/>
      <c r="CZ35" s="1508"/>
      <c r="DA35" s="1508"/>
      <c r="DB35" s="1508"/>
      <c r="DC35" s="1508"/>
      <c r="DD35" s="1508"/>
      <c r="DE35" s="1509"/>
      <c r="DF35" s="1512"/>
      <c r="DG35" s="1508"/>
      <c r="DH35" s="1508"/>
      <c r="DI35" s="1508"/>
      <c r="DJ35" s="1508"/>
      <c r="DK35" s="1508"/>
      <c r="DL35" s="1508"/>
      <c r="DM35" s="1508"/>
      <c r="DN35" s="1508"/>
      <c r="DO35" s="1509"/>
      <c r="DP35" s="1512"/>
      <c r="DQ35" s="1508"/>
      <c r="DR35" s="1508"/>
      <c r="DS35" s="1508"/>
      <c r="DT35" s="1508"/>
      <c r="DU35" s="1508"/>
      <c r="DV35" s="1508"/>
      <c r="DW35" s="1508"/>
      <c r="DX35" s="1508"/>
      <c r="DY35" s="1509"/>
      <c r="DZ35" s="1513"/>
      <c r="EA35" s="1514"/>
      <c r="EB35" s="1514"/>
      <c r="EC35" s="1514"/>
      <c r="ED35" s="1514"/>
      <c r="EE35" s="1514"/>
      <c r="EF35" s="1514"/>
      <c r="EG35" s="1514"/>
      <c r="EH35" s="1514"/>
      <c r="EI35" s="1514"/>
      <c r="EJ35" s="1514"/>
      <c r="EK35" s="1514"/>
      <c r="EL35" s="1515"/>
      <c r="EM35" s="1513"/>
      <c r="EN35" s="1514"/>
      <c r="EO35" s="1514"/>
      <c r="EP35" s="1514"/>
      <c r="EQ35" s="1514"/>
      <c r="ER35" s="1514"/>
      <c r="ES35" s="1514"/>
      <c r="ET35" s="1514"/>
      <c r="EU35" s="1514"/>
      <c r="EV35" s="1514"/>
      <c r="EW35" s="1514"/>
      <c r="EX35" s="1514"/>
      <c r="EY35" s="1515"/>
      <c r="EZ35" s="1513"/>
      <c r="FA35" s="1514"/>
      <c r="FB35" s="1514"/>
      <c r="FC35" s="1514"/>
      <c r="FD35" s="1514"/>
      <c r="FE35" s="1514"/>
      <c r="FF35" s="1514"/>
      <c r="FG35" s="1514"/>
      <c r="FH35" s="1514"/>
      <c r="FI35" s="1514"/>
      <c r="FJ35" s="1514"/>
      <c r="FK35" s="1514"/>
      <c r="FL35" s="1515"/>
      <c r="FM35" s="1513"/>
      <c r="FN35" s="1514"/>
      <c r="FO35" s="1514"/>
      <c r="FP35" s="1514"/>
      <c r="FQ35" s="1514"/>
      <c r="FR35" s="1514"/>
      <c r="FS35" s="1514"/>
      <c r="FT35" s="1514"/>
      <c r="FU35" s="1514"/>
      <c r="FV35" s="1514"/>
      <c r="FW35" s="1514"/>
      <c r="FX35" s="1514"/>
      <c r="FY35" s="1515"/>
    </row>
    <row r="36" spans="1:181" ht="0.75" customHeight="1" x14ac:dyDescent="0.2">
      <c r="A36" s="1502"/>
      <c r="B36" s="1502"/>
      <c r="C36" s="1502"/>
      <c r="D36" s="1502"/>
      <c r="E36" s="1502"/>
      <c r="F36" s="1502"/>
      <c r="G36" s="1502"/>
      <c r="H36" s="1503"/>
      <c r="I36" s="1516"/>
      <c r="J36" s="1517"/>
      <c r="K36" s="1517"/>
      <c r="L36" s="1517"/>
      <c r="M36" s="1517"/>
      <c r="N36" s="1517"/>
      <c r="O36" s="1517"/>
      <c r="P36" s="1517"/>
      <c r="Q36" s="1517"/>
      <c r="R36" s="1517"/>
      <c r="S36" s="1517"/>
      <c r="T36" s="1517"/>
      <c r="U36" s="1517"/>
      <c r="V36" s="1517"/>
      <c r="W36" s="1517"/>
      <c r="X36" s="1517"/>
      <c r="Y36" s="1517"/>
      <c r="Z36" s="1517"/>
      <c r="AA36" s="1517"/>
      <c r="AB36" s="1517"/>
      <c r="AC36" s="1517"/>
      <c r="AD36" s="1517"/>
      <c r="AE36" s="1517"/>
      <c r="AF36" s="1517"/>
      <c r="AG36" s="1517"/>
      <c r="AH36" s="1517"/>
      <c r="AI36" s="1517"/>
      <c r="AJ36" s="1517"/>
      <c r="AK36" s="1517"/>
      <c r="AL36" s="1517"/>
      <c r="AM36" s="1517"/>
      <c r="AN36" s="1517"/>
      <c r="AO36" s="1517"/>
      <c r="AP36" s="1517"/>
      <c r="AQ36" s="1517"/>
      <c r="AR36" s="1517"/>
      <c r="AS36" s="1517"/>
      <c r="AT36" s="1517"/>
      <c r="AU36" s="1517"/>
      <c r="AV36" s="1517"/>
      <c r="AW36" s="1517"/>
      <c r="AX36" s="1517"/>
      <c r="AY36" s="1517"/>
      <c r="AZ36" s="1517"/>
      <c r="BA36" s="1517"/>
      <c r="BB36" s="1517"/>
      <c r="BC36" s="1517"/>
      <c r="BD36" s="1517"/>
      <c r="BE36" s="1517"/>
      <c r="BF36" s="1517"/>
      <c r="BG36" s="1517"/>
      <c r="BH36" s="1517"/>
      <c r="BI36" s="1517"/>
      <c r="BJ36" s="1517"/>
      <c r="BK36" s="1517"/>
      <c r="BL36" s="1517"/>
      <c r="BM36" s="1517"/>
      <c r="BN36" s="1517"/>
      <c r="BO36" s="1517"/>
      <c r="BP36" s="1517"/>
      <c r="BQ36" s="1517"/>
      <c r="BR36" s="1517"/>
      <c r="BS36" s="1517"/>
      <c r="BT36" s="1517"/>
      <c r="BU36" s="1517"/>
      <c r="BV36" s="1517"/>
      <c r="BW36" s="1517"/>
      <c r="BX36" s="1517"/>
      <c r="BY36" s="1517"/>
      <c r="BZ36" s="1517"/>
      <c r="CA36" s="1517"/>
      <c r="CB36" s="1517"/>
      <c r="CC36" s="1517"/>
      <c r="CD36" s="1517"/>
      <c r="CE36" s="1517"/>
      <c r="CF36" s="1517"/>
      <c r="CG36" s="1517"/>
      <c r="CH36" s="1517"/>
      <c r="CI36" s="1517"/>
      <c r="CJ36" s="1517"/>
      <c r="CK36" s="1517"/>
      <c r="CL36" s="1517"/>
      <c r="CM36" s="1517"/>
      <c r="CN36" s="1501"/>
      <c r="CO36" s="1502"/>
      <c r="CP36" s="1502"/>
      <c r="CQ36" s="1502"/>
      <c r="CR36" s="1502"/>
      <c r="CS36" s="1502"/>
      <c r="CT36" s="1502"/>
      <c r="CU36" s="1503"/>
      <c r="CV36" s="1501"/>
      <c r="CW36" s="1502"/>
      <c r="CX36" s="1502"/>
      <c r="CY36" s="1502"/>
      <c r="CZ36" s="1502"/>
      <c r="DA36" s="1502"/>
      <c r="DB36" s="1502"/>
      <c r="DC36" s="1502"/>
      <c r="DD36" s="1502"/>
      <c r="DE36" s="1503"/>
      <c r="DF36" s="1501"/>
      <c r="DG36" s="1502"/>
      <c r="DH36" s="1502"/>
      <c r="DI36" s="1502"/>
      <c r="DJ36" s="1502"/>
      <c r="DK36" s="1502"/>
      <c r="DL36" s="1502"/>
      <c r="DM36" s="1502"/>
      <c r="DN36" s="1502"/>
      <c r="DO36" s="1503"/>
      <c r="DP36" s="1501"/>
      <c r="DQ36" s="1502"/>
      <c r="DR36" s="1502"/>
      <c r="DS36" s="1502"/>
      <c r="DT36" s="1502"/>
      <c r="DU36" s="1502"/>
      <c r="DV36" s="1502"/>
      <c r="DW36" s="1502"/>
      <c r="DX36" s="1502"/>
      <c r="DY36" s="1503"/>
      <c r="DZ36" s="1504"/>
      <c r="EA36" s="1505"/>
      <c r="EB36" s="1505"/>
      <c r="EC36" s="1505"/>
      <c r="ED36" s="1505"/>
      <c r="EE36" s="1505"/>
      <c r="EF36" s="1505"/>
      <c r="EG36" s="1505"/>
      <c r="EH36" s="1505"/>
      <c r="EI36" s="1505"/>
      <c r="EJ36" s="1505"/>
      <c r="EK36" s="1505"/>
      <c r="EL36" s="1506"/>
      <c r="EM36" s="1504"/>
      <c r="EN36" s="1505"/>
      <c r="EO36" s="1505"/>
      <c r="EP36" s="1505"/>
      <c r="EQ36" s="1505"/>
      <c r="ER36" s="1505"/>
      <c r="ES36" s="1505"/>
      <c r="ET36" s="1505"/>
      <c r="EU36" s="1505"/>
      <c r="EV36" s="1505"/>
      <c r="EW36" s="1505"/>
      <c r="EX36" s="1505"/>
      <c r="EY36" s="1506"/>
      <c r="EZ36" s="1504"/>
      <c r="FA36" s="1505"/>
      <c r="FB36" s="1505"/>
      <c r="FC36" s="1505"/>
      <c r="FD36" s="1505"/>
      <c r="FE36" s="1505"/>
      <c r="FF36" s="1505"/>
      <c r="FG36" s="1505"/>
      <c r="FH36" s="1505"/>
      <c r="FI36" s="1505"/>
      <c r="FJ36" s="1505"/>
      <c r="FK36" s="1505"/>
      <c r="FL36" s="1506"/>
      <c r="FM36" s="1504"/>
      <c r="FN36" s="1505"/>
      <c r="FO36" s="1505"/>
      <c r="FP36" s="1505"/>
      <c r="FQ36" s="1505"/>
      <c r="FR36" s="1505"/>
      <c r="FS36" s="1505"/>
      <c r="FT36" s="1505"/>
      <c r="FU36" s="1505"/>
      <c r="FV36" s="1505"/>
      <c r="FW36" s="1505"/>
      <c r="FX36" s="1505"/>
      <c r="FY36" s="1506"/>
    </row>
    <row r="37" spans="1:181" ht="24" customHeight="1" x14ac:dyDescent="0.2">
      <c r="A37" s="1454" t="s">
        <v>247</v>
      </c>
      <c r="B37" s="1454"/>
      <c r="C37" s="1454"/>
      <c r="D37" s="1454"/>
      <c r="E37" s="1454"/>
      <c r="F37" s="1454"/>
      <c r="G37" s="1454"/>
      <c r="H37" s="1455"/>
      <c r="I37" s="1459" t="s">
        <v>558</v>
      </c>
      <c r="J37" s="1460"/>
      <c r="K37" s="1460"/>
      <c r="L37" s="1460"/>
      <c r="M37" s="1460"/>
      <c r="N37" s="1460"/>
      <c r="O37" s="1460"/>
      <c r="P37" s="1460"/>
      <c r="Q37" s="1460"/>
      <c r="R37" s="1460"/>
      <c r="S37" s="1460"/>
      <c r="T37" s="1460"/>
      <c r="U37" s="1460"/>
      <c r="V37" s="1460"/>
      <c r="W37" s="1460"/>
      <c r="X37" s="1460"/>
      <c r="Y37" s="1460"/>
      <c r="Z37" s="1460"/>
      <c r="AA37" s="1460"/>
      <c r="AB37" s="1460"/>
      <c r="AC37" s="1460"/>
      <c r="AD37" s="1460"/>
      <c r="AE37" s="1460"/>
      <c r="AF37" s="1460"/>
      <c r="AG37" s="1460"/>
      <c r="AH37" s="1460"/>
      <c r="AI37" s="1460"/>
      <c r="AJ37" s="1460"/>
      <c r="AK37" s="1460"/>
      <c r="AL37" s="1460"/>
      <c r="AM37" s="1460"/>
      <c r="AN37" s="1460"/>
      <c r="AO37" s="1460"/>
      <c r="AP37" s="1460"/>
      <c r="AQ37" s="1460"/>
      <c r="AR37" s="1460"/>
      <c r="AS37" s="1460"/>
      <c r="AT37" s="1460"/>
      <c r="AU37" s="1460"/>
      <c r="AV37" s="1460"/>
      <c r="AW37" s="1460"/>
      <c r="AX37" s="1460"/>
      <c r="AY37" s="1460"/>
      <c r="AZ37" s="1460"/>
      <c r="BA37" s="1460"/>
      <c r="BB37" s="1460"/>
      <c r="BC37" s="1460"/>
      <c r="BD37" s="1460"/>
      <c r="BE37" s="1460"/>
      <c r="BF37" s="1460"/>
      <c r="BG37" s="1460"/>
      <c r="BH37" s="1460"/>
      <c r="BI37" s="1460"/>
      <c r="BJ37" s="1460"/>
      <c r="BK37" s="1460"/>
      <c r="BL37" s="1460"/>
      <c r="BM37" s="1460"/>
      <c r="BN37" s="1460"/>
      <c r="BO37" s="1460"/>
      <c r="BP37" s="1460"/>
      <c r="BQ37" s="1460"/>
      <c r="BR37" s="1460"/>
      <c r="BS37" s="1460"/>
      <c r="BT37" s="1460"/>
      <c r="BU37" s="1460"/>
      <c r="BV37" s="1460"/>
      <c r="BW37" s="1460"/>
      <c r="BX37" s="1460"/>
      <c r="BY37" s="1460"/>
      <c r="BZ37" s="1460"/>
      <c r="CA37" s="1460"/>
      <c r="CB37" s="1460"/>
      <c r="CC37" s="1460"/>
      <c r="CD37" s="1460"/>
      <c r="CE37" s="1460"/>
      <c r="CF37" s="1460"/>
      <c r="CG37" s="1460"/>
      <c r="CH37" s="1460"/>
      <c r="CI37" s="1460"/>
      <c r="CJ37" s="1460"/>
      <c r="CK37" s="1460"/>
      <c r="CL37" s="1460"/>
      <c r="CM37" s="1460"/>
      <c r="CN37" s="1453" t="s">
        <v>1263</v>
      </c>
      <c r="CO37" s="1454"/>
      <c r="CP37" s="1454"/>
      <c r="CQ37" s="1454"/>
      <c r="CR37" s="1454"/>
      <c r="CS37" s="1454"/>
      <c r="CT37" s="1454"/>
      <c r="CU37" s="1455"/>
      <c r="CV37" s="1453" t="s">
        <v>3</v>
      </c>
      <c r="CW37" s="1454"/>
      <c r="CX37" s="1454"/>
      <c r="CY37" s="1454"/>
      <c r="CZ37" s="1454"/>
      <c r="DA37" s="1454"/>
      <c r="DB37" s="1454"/>
      <c r="DC37" s="1454"/>
      <c r="DD37" s="1454"/>
      <c r="DE37" s="1455"/>
      <c r="DF37" s="1453" t="s">
        <v>3</v>
      </c>
      <c r="DG37" s="1454"/>
      <c r="DH37" s="1454"/>
      <c r="DI37" s="1454"/>
      <c r="DJ37" s="1454"/>
      <c r="DK37" s="1454"/>
      <c r="DL37" s="1454"/>
      <c r="DM37" s="1454"/>
      <c r="DN37" s="1454"/>
      <c r="DO37" s="1455"/>
      <c r="DP37" s="1453" t="s">
        <v>3</v>
      </c>
      <c r="DQ37" s="1454"/>
      <c r="DR37" s="1454"/>
      <c r="DS37" s="1454"/>
      <c r="DT37" s="1454"/>
      <c r="DU37" s="1454"/>
      <c r="DV37" s="1454"/>
      <c r="DW37" s="1454"/>
      <c r="DX37" s="1454"/>
      <c r="DY37" s="1455"/>
      <c r="DZ37" s="1456">
        <f>DZ15</f>
        <v>24206241.629999999</v>
      </c>
      <c r="EA37" s="1457"/>
      <c r="EB37" s="1457"/>
      <c r="EC37" s="1457"/>
      <c r="ED37" s="1457"/>
      <c r="EE37" s="1457"/>
      <c r="EF37" s="1457"/>
      <c r="EG37" s="1457"/>
      <c r="EH37" s="1457"/>
      <c r="EI37" s="1457"/>
      <c r="EJ37" s="1457"/>
      <c r="EK37" s="1457"/>
      <c r="EL37" s="1458"/>
      <c r="EM37" s="1456">
        <f>EM15</f>
        <v>35489101.600000001</v>
      </c>
      <c r="EN37" s="1457"/>
      <c r="EO37" s="1457"/>
      <c r="EP37" s="1457"/>
      <c r="EQ37" s="1457"/>
      <c r="ER37" s="1457"/>
      <c r="ES37" s="1457"/>
      <c r="ET37" s="1457"/>
      <c r="EU37" s="1457"/>
      <c r="EV37" s="1457"/>
      <c r="EW37" s="1457"/>
      <c r="EX37" s="1457"/>
      <c r="EY37" s="1458"/>
      <c r="EZ37" s="1456">
        <f>EZ15</f>
        <v>11337558.549999999</v>
      </c>
      <c r="FA37" s="1457"/>
      <c r="FB37" s="1457"/>
      <c r="FC37" s="1457"/>
      <c r="FD37" s="1457"/>
      <c r="FE37" s="1457"/>
      <c r="FF37" s="1457"/>
      <c r="FG37" s="1457"/>
      <c r="FH37" s="1457"/>
      <c r="FI37" s="1457"/>
      <c r="FJ37" s="1457"/>
      <c r="FK37" s="1457"/>
      <c r="FL37" s="1458"/>
      <c r="FM37" s="1456"/>
      <c r="FN37" s="1457"/>
      <c r="FO37" s="1457"/>
      <c r="FP37" s="1457"/>
      <c r="FQ37" s="1457"/>
      <c r="FR37" s="1457"/>
      <c r="FS37" s="1457"/>
      <c r="FT37" s="1457"/>
      <c r="FU37" s="1457"/>
      <c r="FV37" s="1457"/>
      <c r="FW37" s="1457"/>
      <c r="FX37" s="1457"/>
      <c r="FY37" s="1458"/>
    </row>
    <row r="38" spans="1:181" ht="15.75" customHeight="1" x14ac:dyDescent="0.2">
      <c r="A38" s="1508"/>
      <c r="B38" s="1508"/>
      <c r="C38" s="1508"/>
      <c r="D38" s="1508"/>
      <c r="E38" s="1508"/>
      <c r="F38" s="1508"/>
      <c r="G38" s="1508"/>
      <c r="H38" s="1509"/>
      <c r="I38" s="1510" t="s">
        <v>556</v>
      </c>
      <c r="J38" s="1511"/>
      <c r="K38" s="1511"/>
      <c r="L38" s="1511"/>
      <c r="M38" s="1511"/>
      <c r="N38" s="1511"/>
      <c r="O38" s="1511"/>
      <c r="P38" s="1511"/>
      <c r="Q38" s="1511"/>
      <c r="R38" s="1511"/>
      <c r="S38" s="1511"/>
      <c r="T38" s="1511"/>
      <c r="U38" s="1511"/>
      <c r="V38" s="1511"/>
      <c r="W38" s="1511"/>
      <c r="X38" s="1511"/>
      <c r="Y38" s="1511"/>
      <c r="Z38" s="1511"/>
      <c r="AA38" s="1511"/>
      <c r="AB38" s="1511"/>
      <c r="AC38" s="1511"/>
      <c r="AD38" s="1511"/>
      <c r="AE38" s="1511"/>
      <c r="AF38" s="1511"/>
      <c r="AG38" s="1511"/>
      <c r="AH38" s="1511"/>
      <c r="AI38" s="1511"/>
      <c r="AJ38" s="1511"/>
      <c r="AK38" s="1511"/>
      <c r="AL38" s="1511"/>
      <c r="AM38" s="1511"/>
      <c r="AN38" s="1511"/>
      <c r="AO38" s="1511"/>
      <c r="AP38" s="1511"/>
      <c r="AQ38" s="1511"/>
      <c r="AR38" s="1511"/>
      <c r="AS38" s="1511"/>
      <c r="AT38" s="1511"/>
      <c r="AU38" s="1511"/>
      <c r="AV38" s="1511"/>
      <c r="AW38" s="1511"/>
      <c r="AX38" s="1511"/>
      <c r="AY38" s="1511"/>
      <c r="AZ38" s="1511"/>
      <c r="BA38" s="1511"/>
      <c r="BB38" s="1511"/>
      <c r="BC38" s="1511"/>
      <c r="BD38" s="1511"/>
      <c r="BE38" s="1511"/>
      <c r="BF38" s="1511"/>
      <c r="BG38" s="1511"/>
      <c r="BH38" s="1511"/>
      <c r="BI38" s="1511"/>
      <c r="BJ38" s="1511"/>
      <c r="BK38" s="1511"/>
      <c r="BL38" s="1511"/>
      <c r="BM38" s="1511"/>
      <c r="BN38" s="1511"/>
      <c r="BO38" s="1511"/>
      <c r="BP38" s="1511"/>
      <c r="BQ38" s="1511"/>
      <c r="BR38" s="1511"/>
      <c r="BS38" s="1511"/>
      <c r="BT38" s="1511"/>
      <c r="BU38" s="1511"/>
      <c r="BV38" s="1511"/>
      <c r="BW38" s="1511"/>
      <c r="BX38" s="1511"/>
      <c r="BY38" s="1511"/>
      <c r="BZ38" s="1511"/>
      <c r="CA38" s="1511"/>
      <c r="CB38" s="1511"/>
      <c r="CC38" s="1511"/>
      <c r="CD38" s="1511"/>
      <c r="CE38" s="1511"/>
      <c r="CF38" s="1511"/>
      <c r="CG38" s="1511"/>
      <c r="CH38" s="1511"/>
      <c r="CI38" s="1511"/>
      <c r="CJ38" s="1511"/>
      <c r="CK38" s="1511"/>
      <c r="CL38" s="1511"/>
      <c r="CM38" s="1511"/>
      <c r="CN38" s="1512" t="s">
        <v>559</v>
      </c>
      <c r="CO38" s="1508"/>
      <c r="CP38" s="1508"/>
      <c r="CQ38" s="1508"/>
      <c r="CR38" s="1508"/>
      <c r="CS38" s="1508"/>
      <c r="CT38" s="1508"/>
      <c r="CU38" s="1509"/>
      <c r="CV38" s="1512"/>
      <c r="CW38" s="1508"/>
      <c r="CX38" s="1508"/>
      <c r="CY38" s="1508"/>
      <c r="CZ38" s="1508"/>
      <c r="DA38" s="1508"/>
      <c r="DB38" s="1508"/>
      <c r="DC38" s="1508"/>
      <c r="DD38" s="1508"/>
      <c r="DE38" s="1509"/>
      <c r="DF38" s="1512"/>
      <c r="DG38" s="1508"/>
      <c r="DH38" s="1508"/>
      <c r="DI38" s="1508"/>
      <c r="DJ38" s="1508"/>
      <c r="DK38" s="1508"/>
      <c r="DL38" s="1508"/>
      <c r="DM38" s="1508"/>
      <c r="DN38" s="1508"/>
      <c r="DO38" s="1509"/>
      <c r="DP38" s="1512"/>
      <c r="DQ38" s="1508"/>
      <c r="DR38" s="1508"/>
      <c r="DS38" s="1508"/>
      <c r="DT38" s="1508"/>
      <c r="DU38" s="1508"/>
      <c r="DV38" s="1508"/>
      <c r="DW38" s="1508"/>
      <c r="DX38" s="1508"/>
      <c r="DY38" s="1509"/>
      <c r="DZ38" s="1513">
        <f>DZ37</f>
        <v>24206241.629999999</v>
      </c>
      <c r="EA38" s="1514"/>
      <c r="EB38" s="1514"/>
      <c r="EC38" s="1514"/>
      <c r="ED38" s="1514"/>
      <c r="EE38" s="1514"/>
      <c r="EF38" s="1514"/>
      <c r="EG38" s="1514"/>
      <c r="EH38" s="1514"/>
      <c r="EI38" s="1514"/>
      <c r="EJ38" s="1514"/>
      <c r="EK38" s="1514"/>
      <c r="EL38" s="1515"/>
      <c r="EM38" s="1513">
        <f>EM37</f>
        <v>35489101.600000001</v>
      </c>
      <c r="EN38" s="1514"/>
      <c r="EO38" s="1514"/>
      <c r="EP38" s="1514"/>
      <c r="EQ38" s="1514"/>
      <c r="ER38" s="1514"/>
      <c r="ES38" s="1514"/>
      <c r="ET38" s="1514"/>
      <c r="EU38" s="1514"/>
      <c r="EV38" s="1514"/>
      <c r="EW38" s="1514"/>
      <c r="EX38" s="1514"/>
      <c r="EY38" s="1515"/>
      <c r="EZ38" s="1513">
        <f>EZ37</f>
        <v>11337558.549999999</v>
      </c>
      <c r="FA38" s="1514"/>
      <c r="FB38" s="1514"/>
      <c r="FC38" s="1514"/>
      <c r="FD38" s="1514"/>
      <c r="FE38" s="1514"/>
      <c r="FF38" s="1514"/>
      <c r="FG38" s="1514"/>
      <c r="FH38" s="1514"/>
      <c r="FI38" s="1514"/>
      <c r="FJ38" s="1514"/>
      <c r="FK38" s="1514"/>
      <c r="FL38" s="1515"/>
      <c r="FM38" s="1513"/>
      <c r="FN38" s="1514"/>
      <c r="FO38" s="1514"/>
      <c r="FP38" s="1514"/>
      <c r="FQ38" s="1514"/>
      <c r="FR38" s="1514"/>
      <c r="FS38" s="1514"/>
      <c r="FT38" s="1514"/>
      <c r="FU38" s="1514"/>
      <c r="FV38" s="1514"/>
      <c r="FW38" s="1514"/>
      <c r="FX38" s="1514"/>
      <c r="FY38" s="1515"/>
    </row>
    <row r="39" spans="1:181" ht="5.25" customHeight="1" x14ac:dyDescent="0.2">
      <c r="A39" s="1502"/>
      <c r="B39" s="1502"/>
      <c r="C39" s="1502"/>
      <c r="D39" s="1502"/>
      <c r="E39" s="1502"/>
      <c r="F39" s="1502"/>
      <c r="G39" s="1502"/>
      <c r="H39" s="1503"/>
      <c r="I39" s="1516"/>
      <c r="J39" s="1517"/>
      <c r="K39" s="1517"/>
      <c r="L39" s="1517"/>
      <c r="M39" s="1517"/>
      <c r="N39" s="1517"/>
      <c r="O39" s="1517"/>
      <c r="P39" s="1517"/>
      <c r="Q39" s="1517"/>
      <c r="R39" s="1517"/>
      <c r="S39" s="1517"/>
      <c r="T39" s="1517"/>
      <c r="U39" s="1517"/>
      <c r="V39" s="1517"/>
      <c r="W39" s="1517"/>
      <c r="X39" s="1517"/>
      <c r="Y39" s="1517"/>
      <c r="Z39" s="1517"/>
      <c r="AA39" s="1517"/>
      <c r="AB39" s="1517"/>
      <c r="AC39" s="1517"/>
      <c r="AD39" s="1517"/>
      <c r="AE39" s="1517"/>
      <c r="AF39" s="1517"/>
      <c r="AG39" s="1517"/>
      <c r="AH39" s="1517"/>
      <c r="AI39" s="1517"/>
      <c r="AJ39" s="1517"/>
      <c r="AK39" s="1517"/>
      <c r="AL39" s="1517"/>
      <c r="AM39" s="1517"/>
      <c r="AN39" s="1517"/>
      <c r="AO39" s="1517"/>
      <c r="AP39" s="1517"/>
      <c r="AQ39" s="1517"/>
      <c r="AR39" s="1517"/>
      <c r="AS39" s="1517"/>
      <c r="AT39" s="1517"/>
      <c r="AU39" s="1517"/>
      <c r="AV39" s="1517"/>
      <c r="AW39" s="1517"/>
      <c r="AX39" s="1517"/>
      <c r="AY39" s="1517"/>
      <c r="AZ39" s="1517"/>
      <c r="BA39" s="1517"/>
      <c r="BB39" s="1517"/>
      <c r="BC39" s="1517"/>
      <c r="BD39" s="1517"/>
      <c r="BE39" s="1517"/>
      <c r="BF39" s="1517"/>
      <c r="BG39" s="1517"/>
      <c r="BH39" s="1517"/>
      <c r="BI39" s="1517"/>
      <c r="BJ39" s="1517"/>
      <c r="BK39" s="1517"/>
      <c r="BL39" s="1517"/>
      <c r="BM39" s="1517"/>
      <c r="BN39" s="1517"/>
      <c r="BO39" s="1517"/>
      <c r="BP39" s="1517"/>
      <c r="BQ39" s="1517"/>
      <c r="BR39" s="1517"/>
      <c r="BS39" s="1517"/>
      <c r="BT39" s="1517"/>
      <c r="BU39" s="1517"/>
      <c r="BV39" s="1517"/>
      <c r="BW39" s="1517"/>
      <c r="BX39" s="1517"/>
      <c r="BY39" s="1517"/>
      <c r="BZ39" s="1517"/>
      <c r="CA39" s="1517"/>
      <c r="CB39" s="1517"/>
      <c r="CC39" s="1517"/>
      <c r="CD39" s="1517"/>
      <c r="CE39" s="1517"/>
      <c r="CF39" s="1517"/>
      <c r="CG39" s="1517"/>
      <c r="CH39" s="1517"/>
      <c r="CI39" s="1517"/>
      <c r="CJ39" s="1517"/>
      <c r="CK39" s="1517"/>
      <c r="CL39" s="1517"/>
      <c r="CM39" s="1517"/>
      <c r="CN39" s="1501"/>
      <c r="CO39" s="1502"/>
      <c r="CP39" s="1502"/>
      <c r="CQ39" s="1502"/>
      <c r="CR39" s="1502"/>
      <c r="CS39" s="1502"/>
      <c r="CT39" s="1502"/>
      <c r="CU39" s="1503"/>
      <c r="CV39" s="1501"/>
      <c r="CW39" s="1502"/>
      <c r="CX39" s="1502"/>
      <c r="CY39" s="1502"/>
      <c r="CZ39" s="1502"/>
      <c r="DA39" s="1502"/>
      <c r="DB39" s="1502"/>
      <c r="DC39" s="1502"/>
      <c r="DD39" s="1502"/>
      <c r="DE39" s="1503"/>
      <c r="DF39" s="1501"/>
      <c r="DG39" s="1502"/>
      <c r="DH39" s="1502"/>
      <c r="DI39" s="1502"/>
      <c r="DJ39" s="1502"/>
      <c r="DK39" s="1502"/>
      <c r="DL39" s="1502"/>
      <c r="DM39" s="1502"/>
      <c r="DN39" s="1502"/>
      <c r="DO39" s="1503"/>
      <c r="DP39" s="1501"/>
      <c r="DQ39" s="1502"/>
      <c r="DR39" s="1502"/>
      <c r="DS39" s="1502"/>
      <c r="DT39" s="1502"/>
      <c r="DU39" s="1502"/>
      <c r="DV39" s="1502"/>
      <c r="DW39" s="1502"/>
      <c r="DX39" s="1502"/>
      <c r="DY39" s="1503"/>
      <c r="DZ39" s="1504"/>
      <c r="EA39" s="1505"/>
      <c r="EB39" s="1505"/>
      <c r="EC39" s="1505"/>
      <c r="ED39" s="1505"/>
      <c r="EE39" s="1505"/>
      <c r="EF39" s="1505"/>
      <c r="EG39" s="1505"/>
      <c r="EH39" s="1505"/>
      <c r="EI39" s="1505"/>
      <c r="EJ39" s="1505"/>
      <c r="EK39" s="1505"/>
      <c r="EL39" s="1506"/>
      <c r="EM39" s="1504"/>
      <c r="EN39" s="1505"/>
      <c r="EO39" s="1505"/>
      <c r="EP39" s="1505"/>
      <c r="EQ39" s="1505"/>
      <c r="ER39" s="1505"/>
      <c r="ES39" s="1505"/>
      <c r="ET39" s="1505"/>
      <c r="EU39" s="1505"/>
      <c r="EV39" s="1505"/>
      <c r="EW39" s="1505"/>
      <c r="EX39" s="1505"/>
      <c r="EY39" s="1506"/>
      <c r="EZ39" s="1504"/>
      <c r="FA39" s="1505"/>
      <c r="FB39" s="1505"/>
      <c r="FC39" s="1505"/>
      <c r="FD39" s="1505"/>
      <c r="FE39" s="1505"/>
      <c r="FF39" s="1505"/>
      <c r="FG39" s="1505"/>
      <c r="FH39" s="1505"/>
      <c r="FI39" s="1505"/>
      <c r="FJ39" s="1505"/>
      <c r="FK39" s="1505"/>
      <c r="FL39" s="1506"/>
      <c r="FM39" s="1504"/>
      <c r="FN39" s="1505"/>
      <c r="FO39" s="1505"/>
      <c r="FP39" s="1505"/>
      <c r="FQ39" s="1505"/>
      <c r="FR39" s="1505"/>
      <c r="FS39" s="1505"/>
      <c r="FT39" s="1505"/>
      <c r="FU39" s="1505"/>
      <c r="FV39" s="1505"/>
      <c r="FW39" s="1505"/>
      <c r="FX39" s="1505"/>
      <c r="FY39" s="1506"/>
    </row>
    <row r="40" spans="1:181" ht="24" customHeight="1" x14ac:dyDescent="0.2">
      <c r="I40" s="40" t="s">
        <v>560</v>
      </c>
      <c r="AQ40" s="1522" t="s">
        <v>202</v>
      </c>
      <c r="AR40" s="1522"/>
      <c r="AS40" s="1522"/>
      <c r="AT40" s="1522"/>
      <c r="AU40" s="1522"/>
      <c r="AV40" s="1522"/>
      <c r="AW40" s="1522"/>
      <c r="AX40" s="1522"/>
      <c r="AY40" s="1522"/>
      <c r="AZ40" s="1522"/>
      <c r="BA40" s="1522"/>
      <c r="BB40" s="1522"/>
      <c r="BC40" s="1522"/>
      <c r="BD40" s="1522"/>
      <c r="BE40" s="1522"/>
      <c r="BF40" s="1522"/>
      <c r="BG40" s="1522"/>
      <c r="BH40" s="1522"/>
    </row>
    <row r="41" spans="1:181" ht="27.6" customHeight="1" x14ac:dyDescent="0.2">
      <c r="I41" s="40" t="s">
        <v>561</v>
      </c>
      <c r="AQ41" s="1523"/>
      <c r="AR41" s="1523"/>
      <c r="AS41" s="1523"/>
      <c r="AT41" s="1523"/>
      <c r="AU41" s="1523"/>
      <c r="AV41" s="1523"/>
      <c r="AW41" s="1523"/>
      <c r="AX41" s="1523"/>
      <c r="AY41" s="1523"/>
      <c r="AZ41" s="1523"/>
      <c r="BA41" s="1523"/>
      <c r="BB41" s="1523"/>
      <c r="BC41" s="1523"/>
      <c r="BD41" s="1523"/>
      <c r="BE41" s="1523"/>
      <c r="BF41" s="1523"/>
      <c r="BG41" s="1523"/>
      <c r="BH41" s="1523"/>
      <c r="BK41" s="1518"/>
      <c r="BL41" s="1518"/>
      <c r="BM41" s="1518"/>
      <c r="BN41" s="1518"/>
      <c r="BO41" s="1518"/>
      <c r="BP41" s="1518"/>
      <c r="BQ41" s="1518"/>
      <c r="BR41" s="1518"/>
      <c r="BS41" s="1518"/>
      <c r="BT41" s="1518"/>
      <c r="BU41" s="1518"/>
      <c r="BV41" s="1518"/>
      <c r="BY41" s="1518" t="s">
        <v>1472</v>
      </c>
      <c r="BZ41" s="1518"/>
      <c r="CA41" s="1518"/>
      <c r="CB41" s="1518"/>
      <c r="CC41" s="1518"/>
      <c r="CD41" s="1518"/>
      <c r="CE41" s="1518"/>
      <c r="CF41" s="1518"/>
      <c r="CG41" s="1518"/>
      <c r="CH41" s="1518"/>
      <c r="CI41" s="1518"/>
      <c r="CJ41" s="1518"/>
      <c r="CK41" s="1518"/>
      <c r="CL41" s="1518"/>
      <c r="CM41" s="1518"/>
      <c r="CN41" s="1518"/>
      <c r="CO41" s="1518"/>
      <c r="CP41" s="1518"/>
      <c r="CQ41" s="1518"/>
      <c r="CR41" s="1518"/>
    </row>
    <row r="42" spans="1:181" x14ac:dyDescent="0.2">
      <c r="AQ42" s="1520" t="s">
        <v>562</v>
      </c>
      <c r="AR42" s="1520"/>
      <c r="AS42" s="1520"/>
      <c r="AT42" s="1520"/>
      <c r="AU42" s="1520"/>
      <c r="AV42" s="1520"/>
      <c r="AW42" s="1520"/>
      <c r="AX42" s="1520"/>
      <c r="AY42" s="1520"/>
      <c r="AZ42" s="1520"/>
      <c r="BA42" s="1520"/>
      <c r="BB42" s="1520"/>
      <c r="BC42" s="1520"/>
      <c r="BD42" s="1520"/>
      <c r="BE42" s="1520"/>
      <c r="BF42" s="1520"/>
      <c r="BG42" s="1520"/>
      <c r="BH42" s="1520"/>
      <c r="BK42" s="1520" t="s">
        <v>206</v>
      </c>
      <c r="BL42" s="1520"/>
      <c r="BM42" s="1520"/>
      <c r="BN42" s="1520"/>
      <c r="BO42" s="1520"/>
      <c r="BP42" s="1520"/>
      <c r="BQ42" s="1520"/>
      <c r="BR42" s="1520"/>
      <c r="BS42" s="1520"/>
      <c r="BT42" s="1520"/>
      <c r="BU42" s="1520"/>
      <c r="BV42" s="1520"/>
      <c r="BY42" s="1524" t="s">
        <v>207</v>
      </c>
      <c r="BZ42" s="1524"/>
      <c r="CA42" s="1524"/>
      <c r="CB42" s="1524"/>
      <c r="CC42" s="1524"/>
      <c r="CD42" s="1524"/>
      <c r="CE42" s="1524"/>
      <c r="CF42" s="1524"/>
      <c r="CG42" s="1524"/>
      <c r="CH42" s="1524"/>
      <c r="CI42" s="1524"/>
      <c r="CJ42" s="1524"/>
      <c r="CK42" s="1524"/>
      <c r="CL42" s="1524"/>
      <c r="CM42" s="1524"/>
      <c r="CN42" s="1524"/>
      <c r="CO42" s="1524"/>
      <c r="CP42" s="1524"/>
      <c r="CQ42" s="1524"/>
      <c r="CR42" s="1524"/>
      <c r="CS42" s="1524"/>
      <c r="CT42" s="1524"/>
      <c r="CU42" s="1524"/>
      <c r="CV42" s="1524"/>
      <c r="CW42" s="1524"/>
      <c r="CX42" s="1524"/>
      <c r="CY42" s="1524"/>
      <c r="CZ42" s="1524"/>
      <c r="DA42" s="1524"/>
      <c r="DB42" s="1524"/>
      <c r="DC42" s="1524"/>
      <c r="DD42" s="1524"/>
    </row>
    <row r="43" spans="1:181" x14ac:dyDescent="0.2">
      <c r="AQ43" s="112"/>
      <c r="AR43" s="112"/>
      <c r="AS43" s="112"/>
      <c r="AT43" s="112"/>
      <c r="AU43" s="112"/>
      <c r="AV43" s="112"/>
      <c r="AW43" s="112"/>
      <c r="AX43" s="112"/>
      <c r="AY43" s="112"/>
      <c r="AZ43" s="112"/>
      <c r="BA43" s="112"/>
      <c r="BB43" s="112"/>
      <c r="BC43" s="112"/>
      <c r="BD43" s="112"/>
      <c r="BE43" s="112"/>
      <c r="BF43" s="112"/>
      <c r="BG43" s="112"/>
      <c r="BH43" s="112"/>
      <c r="BK43" s="112"/>
      <c r="BL43" s="112"/>
      <c r="BM43" s="112"/>
      <c r="BN43" s="112"/>
      <c r="BO43" s="112"/>
      <c r="BP43" s="112"/>
      <c r="BQ43" s="112"/>
      <c r="BR43" s="112"/>
      <c r="BS43" s="112"/>
      <c r="BT43" s="112"/>
      <c r="BU43" s="112"/>
      <c r="BV43" s="112"/>
      <c r="BY43" s="112"/>
      <c r="BZ43" s="112"/>
      <c r="CA43" s="112"/>
      <c r="CB43" s="112"/>
      <c r="CC43" s="112"/>
      <c r="CD43" s="112"/>
      <c r="CE43" s="112"/>
      <c r="CF43" s="112"/>
      <c r="CG43" s="112"/>
      <c r="CH43" s="112"/>
      <c r="CI43" s="112"/>
      <c r="CJ43" s="112"/>
      <c r="CK43" s="112"/>
      <c r="CL43" s="112"/>
      <c r="CM43" s="112"/>
      <c r="CN43" s="112"/>
      <c r="CO43" s="112"/>
      <c r="CP43" s="112"/>
      <c r="CQ43" s="112"/>
      <c r="CR43" s="112"/>
    </row>
    <row r="44" spans="1:181" x14ac:dyDescent="0.2">
      <c r="I44" s="40" t="s">
        <v>563</v>
      </c>
      <c r="AM44" s="1518" t="s">
        <v>1459</v>
      </c>
      <c r="AN44" s="1518"/>
      <c r="AO44" s="1518"/>
      <c r="AP44" s="1518"/>
      <c r="AQ44" s="1518"/>
      <c r="AR44" s="1518"/>
      <c r="AS44" s="1518"/>
      <c r="AT44" s="1518"/>
      <c r="AU44" s="1518"/>
      <c r="AV44" s="1518"/>
      <c r="AW44" s="1518"/>
      <c r="AX44" s="1518"/>
      <c r="AY44" s="1518"/>
      <c r="AZ44" s="1518"/>
      <c r="BA44" s="1518"/>
      <c r="BB44" s="1518"/>
      <c r="BC44" s="1518"/>
      <c r="BD44" s="1518"/>
      <c r="BG44" s="1518" t="s">
        <v>1332</v>
      </c>
      <c r="BH44" s="1518"/>
      <c r="BI44" s="1518"/>
      <c r="BJ44" s="1518"/>
      <c r="BK44" s="1518"/>
      <c r="BL44" s="1518"/>
      <c r="BM44" s="1518"/>
      <c r="BN44" s="1518"/>
      <c r="BO44" s="1518"/>
      <c r="BP44" s="1518"/>
      <c r="BQ44" s="1518"/>
      <c r="BR44" s="1518"/>
      <c r="BS44" s="1518"/>
      <c r="BT44" s="1518"/>
      <c r="BU44" s="1518"/>
      <c r="BV44" s="1518"/>
      <c r="BW44" s="1518"/>
      <c r="BX44" s="1518"/>
      <c r="CA44" s="1519" t="s">
        <v>639</v>
      </c>
      <c r="CB44" s="1519"/>
      <c r="CC44" s="1519"/>
      <c r="CD44" s="1519"/>
      <c r="CE44" s="1519"/>
      <c r="CF44" s="1519"/>
      <c r="CG44" s="1519"/>
      <c r="CH44" s="1519"/>
      <c r="CI44" s="1519"/>
      <c r="CJ44" s="1519"/>
      <c r="CK44" s="1519"/>
      <c r="CL44" s="1519"/>
      <c r="CM44" s="1519"/>
      <c r="CN44" s="1519"/>
      <c r="CO44" s="1519"/>
      <c r="CP44" s="1519"/>
      <c r="CQ44" s="1519"/>
      <c r="CR44" s="1519"/>
    </row>
    <row r="45" spans="1:181" x14ac:dyDescent="0.2">
      <c r="AM45" s="1520" t="s">
        <v>562</v>
      </c>
      <c r="AN45" s="1520"/>
      <c r="AO45" s="1520"/>
      <c r="AP45" s="1520"/>
      <c r="AQ45" s="1520"/>
      <c r="AR45" s="1520"/>
      <c r="AS45" s="1520"/>
      <c r="AT45" s="1520"/>
      <c r="AU45" s="1520"/>
      <c r="AV45" s="1520"/>
      <c r="AW45" s="1520"/>
      <c r="AX45" s="1520"/>
      <c r="AY45" s="1520"/>
      <c r="AZ45" s="1520"/>
      <c r="BA45" s="1520"/>
      <c r="BB45" s="1520"/>
      <c r="BC45" s="1520"/>
      <c r="BD45" s="1520"/>
      <c r="BG45" s="1521" t="s">
        <v>565</v>
      </c>
      <c r="BH45" s="1521"/>
      <c r="BI45" s="1521"/>
      <c r="BJ45" s="1521"/>
      <c r="BK45" s="1521"/>
      <c r="BL45" s="1521"/>
      <c r="BM45" s="1521"/>
      <c r="BN45" s="1521"/>
      <c r="BO45" s="1521"/>
      <c r="BP45" s="1521"/>
      <c r="BQ45" s="1521"/>
      <c r="BR45" s="1521"/>
      <c r="BS45" s="1521"/>
      <c r="BT45" s="1521"/>
      <c r="BU45" s="1521"/>
      <c r="BV45" s="1521"/>
      <c r="BW45" s="1521"/>
      <c r="BX45" s="1521"/>
      <c r="CA45" s="1520" t="s">
        <v>566</v>
      </c>
      <c r="CB45" s="1520"/>
      <c r="CC45" s="1520"/>
      <c r="CD45" s="1520"/>
      <c r="CE45" s="1520"/>
      <c r="CF45" s="1520"/>
      <c r="CG45" s="1520"/>
      <c r="CH45" s="1520"/>
      <c r="CI45" s="1520"/>
      <c r="CJ45" s="1520"/>
      <c r="CK45" s="1520"/>
      <c r="CL45" s="1520"/>
      <c r="CM45" s="1520"/>
      <c r="CN45" s="1520"/>
      <c r="CO45" s="1520"/>
      <c r="CP45" s="1520"/>
      <c r="CQ45" s="1520"/>
      <c r="CR45" s="1520"/>
    </row>
    <row r="46" spans="1:181" x14ac:dyDescent="0.2">
      <c r="AM46" s="112"/>
      <c r="AN46" s="112"/>
      <c r="AO46" s="112"/>
      <c r="AP46" s="112"/>
      <c r="AQ46" s="112"/>
      <c r="AR46" s="112"/>
      <c r="AS46" s="112"/>
      <c r="AT46" s="112"/>
      <c r="AU46" s="112"/>
      <c r="AV46" s="112"/>
      <c r="AW46" s="112"/>
      <c r="AX46" s="112"/>
      <c r="AY46" s="112"/>
      <c r="AZ46" s="112"/>
      <c r="BA46" s="112"/>
      <c r="BB46" s="112"/>
      <c r="BC46" s="112"/>
      <c r="BD46" s="112"/>
      <c r="BG46" s="112"/>
      <c r="BH46" s="112"/>
      <c r="BI46" s="112"/>
      <c r="BJ46" s="112"/>
      <c r="BK46" s="112"/>
      <c r="BL46" s="112"/>
      <c r="BM46" s="112"/>
      <c r="BN46" s="112"/>
      <c r="BO46" s="112"/>
      <c r="BP46" s="112"/>
      <c r="BQ46" s="112"/>
      <c r="BR46" s="112"/>
      <c r="BS46" s="112"/>
      <c r="BT46" s="112"/>
      <c r="BU46" s="112"/>
      <c r="BV46" s="112"/>
      <c r="BW46" s="112"/>
      <c r="BX46" s="112"/>
      <c r="CA46" s="112"/>
      <c r="CB46" s="112"/>
      <c r="CC46" s="112"/>
      <c r="CD46" s="112"/>
      <c r="CE46" s="112"/>
      <c r="CF46" s="112"/>
      <c r="CG46" s="112"/>
      <c r="CH46" s="112"/>
      <c r="CI46" s="112"/>
      <c r="CJ46" s="112"/>
      <c r="CK46" s="112"/>
      <c r="CL46" s="112"/>
      <c r="CM46" s="112"/>
      <c r="CN46" s="112"/>
      <c r="CO46" s="112"/>
      <c r="CP46" s="112"/>
      <c r="CQ46" s="112"/>
      <c r="CR46" s="112"/>
    </row>
    <row r="47" spans="1:181" x14ac:dyDescent="0.2">
      <c r="I47" s="1529" t="s">
        <v>216</v>
      </c>
      <c r="J47" s="1529"/>
      <c r="K47" s="1519" t="s">
        <v>259</v>
      </c>
      <c r="L47" s="1519"/>
      <c r="M47" s="1519"/>
      <c r="N47" s="1530" t="s">
        <v>216</v>
      </c>
      <c r="O47" s="1530"/>
      <c r="Q47" s="1519" t="s">
        <v>1663</v>
      </c>
      <c r="R47" s="1519"/>
      <c r="S47" s="1519"/>
      <c r="T47" s="1519"/>
      <c r="U47" s="1519"/>
      <c r="V47" s="1519"/>
      <c r="W47" s="1519"/>
      <c r="X47" s="1519"/>
      <c r="Y47" s="1519"/>
      <c r="Z47" s="1519"/>
      <c r="AA47" s="1519"/>
      <c r="AB47" s="1519"/>
      <c r="AC47" s="1519"/>
      <c r="AD47" s="1519"/>
      <c r="AE47" s="1519"/>
      <c r="AF47" s="1529">
        <v>20</v>
      </c>
      <c r="AG47" s="1529"/>
      <c r="AH47" s="1529"/>
      <c r="AI47" s="1531" t="s">
        <v>210</v>
      </c>
      <c r="AJ47" s="1531"/>
      <c r="AK47" s="1531"/>
      <c r="AL47" s="40" t="s">
        <v>208</v>
      </c>
    </row>
    <row r="48" spans="1:181" ht="13.5" thickBot="1" x14ac:dyDescent="0.25"/>
    <row r="49" spans="1:181" ht="3" customHeight="1" x14ac:dyDescent="0.2">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4"/>
    </row>
    <row r="50" spans="1:181" x14ac:dyDescent="0.2">
      <c r="A50" s="115" t="s">
        <v>567</v>
      </c>
      <c r="CM50" s="116"/>
    </row>
    <row r="51" spans="1:181" x14ac:dyDescent="0.2">
      <c r="A51" s="1525"/>
      <c r="B51" s="1518"/>
      <c r="C51" s="1518"/>
      <c r="D51" s="1518"/>
      <c r="E51" s="1518"/>
      <c r="F51" s="1518"/>
      <c r="G51" s="1518"/>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518"/>
      <c r="AM51" s="1518"/>
      <c r="AN51" s="1518"/>
      <c r="AO51" s="1518"/>
      <c r="AP51" s="1518"/>
      <c r="AQ51" s="1518"/>
      <c r="AR51" s="1518"/>
      <c r="AS51" s="1518"/>
      <c r="AT51" s="1518"/>
      <c r="AU51" s="1518"/>
      <c r="AV51" s="1518"/>
      <c r="AW51" s="1518"/>
      <c r="AX51" s="1518"/>
      <c r="AY51" s="1518"/>
      <c r="AZ51" s="1518"/>
      <c r="BA51" s="1518"/>
      <c r="BB51" s="1518"/>
      <c r="BC51" s="1518"/>
      <c r="BD51" s="1518"/>
      <c r="BE51" s="1518"/>
      <c r="BF51" s="1518"/>
      <c r="BG51" s="1518"/>
      <c r="BH51" s="1518"/>
      <c r="BI51" s="1518"/>
      <c r="BJ51" s="1518"/>
      <c r="BK51" s="1518"/>
      <c r="BL51" s="1518"/>
      <c r="BM51" s="1518"/>
      <c r="BN51" s="1518"/>
      <c r="BO51" s="1518"/>
      <c r="BP51" s="1518"/>
      <c r="BQ51" s="1518"/>
      <c r="BR51" s="1518"/>
      <c r="BS51" s="1518"/>
      <c r="BT51" s="1518"/>
      <c r="BU51" s="1518"/>
      <c r="BV51" s="1518"/>
      <c r="BW51" s="1518"/>
      <c r="BX51" s="1518"/>
      <c r="BY51" s="1518"/>
      <c r="BZ51" s="1518"/>
      <c r="CA51" s="1518"/>
      <c r="CB51" s="1518"/>
      <c r="CC51" s="1518"/>
      <c r="CD51" s="1518"/>
      <c r="CE51" s="1518"/>
      <c r="CF51" s="1518"/>
      <c r="CG51" s="1518"/>
      <c r="CH51" s="1518"/>
      <c r="CI51" s="1518"/>
      <c r="CJ51" s="1518"/>
      <c r="CK51" s="1518"/>
      <c r="CL51" s="1518"/>
      <c r="CM51" s="1526"/>
    </row>
    <row r="52" spans="1:181" x14ac:dyDescent="0.2">
      <c r="A52" s="1527" t="s">
        <v>568</v>
      </c>
      <c r="B52" s="1520"/>
      <c r="C52" s="1520"/>
      <c r="D52" s="1520"/>
      <c r="E52" s="1520"/>
      <c r="F52" s="1520"/>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0"/>
      <c r="AI52" s="1520"/>
      <c r="AJ52" s="1520"/>
      <c r="AK52" s="1520"/>
      <c r="AL52" s="1520"/>
      <c r="AM52" s="1520"/>
      <c r="AN52" s="1520"/>
      <c r="AO52" s="1520"/>
      <c r="AP52" s="1520"/>
      <c r="AQ52" s="1520"/>
      <c r="AR52" s="1520"/>
      <c r="AS52" s="1520"/>
      <c r="AT52" s="1520"/>
      <c r="AU52" s="1520"/>
      <c r="AV52" s="1520"/>
      <c r="AW52" s="1520"/>
      <c r="AX52" s="1520"/>
      <c r="AY52" s="1520"/>
      <c r="AZ52" s="1520"/>
      <c r="BA52" s="1520"/>
      <c r="BB52" s="1520"/>
      <c r="BC52" s="1520"/>
      <c r="BD52" s="1520"/>
      <c r="BE52" s="1520"/>
      <c r="BF52" s="1520"/>
      <c r="BG52" s="1520"/>
      <c r="BH52" s="1520"/>
      <c r="BI52" s="1520"/>
      <c r="BJ52" s="1520"/>
      <c r="BK52" s="1520"/>
      <c r="BL52" s="1520"/>
      <c r="BM52" s="1520"/>
      <c r="BN52" s="1520"/>
      <c r="BO52" s="1520"/>
      <c r="BP52" s="1520"/>
      <c r="BQ52" s="1520"/>
      <c r="BR52" s="1520"/>
      <c r="BS52" s="1520"/>
      <c r="BT52" s="1520"/>
      <c r="BU52" s="1520"/>
      <c r="BV52" s="1520"/>
      <c r="BW52" s="1520"/>
      <c r="BX52" s="1520"/>
      <c r="BY52" s="1520"/>
      <c r="BZ52" s="1520"/>
      <c r="CA52" s="1520"/>
      <c r="CB52" s="1520"/>
      <c r="CC52" s="1520"/>
      <c r="CD52" s="1520"/>
      <c r="CE52" s="1520"/>
      <c r="CF52" s="1520"/>
      <c r="CG52" s="1520"/>
      <c r="CH52" s="1520"/>
      <c r="CI52" s="1520"/>
      <c r="CJ52" s="1520"/>
      <c r="CK52" s="1520"/>
      <c r="CL52" s="1520"/>
      <c r="CM52" s="1528"/>
    </row>
    <row r="53" spans="1:181" ht="6" customHeight="1" x14ac:dyDescent="0.2">
      <c r="A53" s="117"/>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8"/>
    </row>
    <row r="54" spans="1:181" x14ac:dyDescent="0.2">
      <c r="A54" s="1525"/>
      <c r="B54" s="1518"/>
      <c r="C54" s="1518"/>
      <c r="D54" s="1518"/>
      <c r="E54" s="1518"/>
      <c r="F54" s="1518"/>
      <c r="G54" s="1518"/>
      <c r="H54" s="1518"/>
      <c r="I54" s="1518"/>
      <c r="J54" s="1518"/>
      <c r="K54" s="1518"/>
      <c r="L54" s="1518"/>
      <c r="M54" s="1518"/>
      <c r="N54" s="1518"/>
      <c r="O54" s="1518"/>
      <c r="P54" s="1518"/>
      <c r="Q54" s="1518"/>
      <c r="R54" s="1518"/>
      <c r="S54" s="1518"/>
      <c r="T54" s="1518"/>
      <c r="U54" s="1518"/>
      <c r="V54" s="1518"/>
      <c r="W54" s="1518"/>
      <c r="X54" s="1518"/>
      <c r="Y54" s="1518"/>
      <c r="AH54" s="1518"/>
      <c r="AI54" s="1518"/>
      <c r="AJ54" s="1518"/>
      <c r="AK54" s="1518"/>
      <c r="AL54" s="1518"/>
      <c r="AM54" s="1518"/>
      <c r="AN54" s="1518"/>
      <c r="AO54" s="1518"/>
      <c r="AP54" s="1518"/>
      <c r="AQ54" s="1518"/>
      <c r="AR54" s="1518"/>
      <c r="AS54" s="1518"/>
      <c r="AT54" s="1518"/>
      <c r="AU54" s="1518"/>
      <c r="AV54" s="1518"/>
      <c r="AW54" s="1518"/>
      <c r="AX54" s="1518"/>
      <c r="AY54" s="1518"/>
      <c r="AZ54" s="1518"/>
      <c r="BA54" s="1518"/>
      <c r="BB54" s="1518"/>
      <c r="BC54" s="1518"/>
      <c r="BD54" s="1518"/>
      <c r="BE54" s="1518"/>
      <c r="BF54" s="1518"/>
      <c r="BG54" s="1518"/>
      <c r="BH54" s="1518"/>
      <c r="BI54" s="1518"/>
      <c r="BJ54" s="1518"/>
      <c r="BK54" s="1518"/>
      <c r="BL54" s="1518"/>
      <c r="BM54" s="1518"/>
      <c r="BN54" s="1518"/>
      <c r="BO54" s="1518"/>
      <c r="BP54" s="1518"/>
      <c r="BQ54" s="1518"/>
      <c r="BR54" s="1518"/>
      <c r="BS54" s="1518"/>
      <c r="BT54" s="1518"/>
      <c r="BU54" s="1518"/>
      <c r="BV54" s="1518"/>
      <c r="BW54" s="1518"/>
      <c r="BX54" s="1518"/>
      <c r="BY54" s="1518"/>
      <c r="BZ54" s="1518"/>
      <c r="CA54" s="1518"/>
      <c r="CB54" s="1518"/>
      <c r="CC54" s="1518"/>
      <c r="CD54" s="1518"/>
      <c r="CE54" s="1518"/>
      <c r="CF54" s="1518"/>
      <c r="CG54" s="1518"/>
      <c r="CH54" s="1518"/>
      <c r="CI54" s="1518"/>
      <c r="CJ54" s="1518"/>
      <c r="CK54" s="1518"/>
      <c r="CL54" s="1518"/>
      <c r="CM54" s="1526"/>
    </row>
    <row r="55" spans="1:181" x14ac:dyDescent="0.2">
      <c r="A55" s="1527" t="s">
        <v>206</v>
      </c>
      <c r="B55" s="1520"/>
      <c r="C55" s="1520"/>
      <c r="D55" s="1520"/>
      <c r="E55" s="1520"/>
      <c r="F55" s="1520"/>
      <c r="G55" s="1520"/>
      <c r="H55" s="1520"/>
      <c r="I55" s="1520"/>
      <c r="J55" s="1520"/>
      <c r="K55" s="1520"/>
      <c r="L55" s="1520"/>
      <c r="M55" s="1520"/>
      <c r="N55" s="1520"/>
      <c r="O55" s="1520"/>
      <c r="P55" s="1520"/>
      <c r="Q55" s="1520"/>
      <c r="R55" s="1520"/>
      <c r="S55" s="1520"/>
      <c r="T55" s="1520"/>
      <c r="U55" s="1520"/>
      <c r="V55" s="1520"/>
      <c r="W55" s="1520"/>
      <c r="X55" s="1520"/>
      <c r="Y55" s="1520"/>
      <c r="AH55" s="1520" t="s">
        <v>207</v>
      </c>
      <c r="AI55" s="1520"/>
      <c r="AJ55" s="1520"/>
      <c r="AK55" s="1520"/>
      <c r="AL55" s="1520"/>
      <c r="AM55" s="1520"/>
      <c r="AN55" s="1520"/>
      <c r="AO55" s="1520"/>
      <c r="AP55" s="1520"/>
      <c r="AQ55" s="1520"/>
      <c r="AR55" s="1520"/>
      <c r="AS55" s="1520"/>
      <c r="AT55" s="1520"/>
      <c r="AU55" s="1520"/>
      <c r="AV55" s="1520"/>
      <c r="AW55" s="1520"/>
      <c r="AX55" s="1520"/>
      <c r="AY55" s="1520"/>
      <c r="AZ55" s="1520"/>
      <c r="BA55" s="1520"/>
      <c r="BB55" s="1520"/>
      <c r="BC55" s="1520"/>
      <c r="BD55" s="1520"/>
      <c r="BE55" s="1520"/>
      <c r="BF55" s="1520"/>
      <c r="BG55" s="1520"/>
      <c r="BH55" s="1520"/>
      <c r="BI55" s="1520"/>
      <c r="BJ55" s="1520"/>
      <c r="BK55" s="1520"/>
      <c r="BL55" s="1520"/>
      <c r="BM55" s="1520"/>
      <c r="BN55" s="1520"/>
      <c r="BO55" s="1520"/>
      <c r="BP55" s="1520"/>
      <c r="BQ55" s="1520"/>
      <c r="BR55" s="1520"/>
      <c r="BS55" s="1520"/>
      <c r="BT55" s="1520"/>
      <c r="BU55" s="1520"/>
      <c r="BV55" s="1520"/>
      <c r="BW55" s="1520"/>
      <c r="BX55" s="1520"/>
      <c r="BY55" s="1520"/>
      <c r="BZ55" s="1520"/>
      <c r="CA55" s="1520"/>
      <c r="CB55" s="1520"/>
      <c r="CC55" s="1520"/>
      <c r="CD55" s="1520"/>
      <c r="CE55" s="1520"/>
      <c r="CF55" s="1520"/>
      <c r="CG55" s="1520"/>
      <c r="CH55" s="1520"/>
      <c r="CI55" s="1520"/>
      <c r="CJ55" s="1520"/>
      <c r="CK55" s="1520"/>
      <c r="CL55" s="1520"/>
      <c r="CM55" s="1528"/>
    </row>
    <row r="56" spans="1:181" x14ac:dyDescent="0.2">
      <c r="A56" s="115"/>
      <c r="CM56" s="116"/>
    </row>
    <row r="57" spans="1:181" x14ac:dyDescent="0.2">
      <c r="A57" s="1538" t="s">
        <v>216</v>
      </c>
      <c r="B57" s="1529"/>
      <c r="C57" s="1519"/>
      <c r="D57" s="1519"/>
      <c r="E57" s="1519"/>
      <c r="F57" s="1530" t="s">
        <v>216</v>
      </c>
      <c r="G57" s="1530"/>
      <c r="I57" s="1519"/>
      <c r="J57" s="1519"/>
      <c r="K57" s="1519"/>
      <c r="L57" s="1519"/>
      <c r="M57" s="1519"/>
      <c r="N57" s="1519"/>
      <c r="O57" s="1519"/>
      <c r="P57" s="1519"/>
      <c r="Q57" s="1519"/>
      <c r="R57" s="1519"/>
      <c r="S57" s="1519"/>
      <c r="T57" s="1519"/>
      <c r="U57" s="1519"/>
      <c r="V57" s="1519"/>
      <c r="W57" s="1519"/>
      <c r="X57" s="1529">
        <v>20</v>
      </c>
      <c r="Y57" s="1529"/>
      <c r="Z57" s="1529"/>
      <c r="AA57" s="1531"/>
      <c r="AB57" s="1531"/>
      <c r="AC57" s="1531"/>
      <c r="AD57" s="40" t="s">
        <v>208</v>
      </c>
      <c r="CM57" s="116"/>
    </row>
    <row r="58" spans="1:181" ht="3" customHeight="1" thickBot="1" x14ac:dyDescent="0.25">
      <c r="A58" s="119"/>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1"/>
    </row>
    <row r="59" spans="1:181" x14ac:dyDescent="0.2">
      <c r="A59" s="122"/>
      <c r="B59" s="122"/>
      <c r="C59" s="122"/>
      <c r="D59" s="122"/>
      <c r="E59" s="122"/>
      <c r="F59" s="122"/>
      <c r="G59" s="122"/>
      <c r="H59" s="122"/>
      <c r="I59" s="122"/>
      <c r="J59" s="122"/>
      <c r="K59" s="122"/>
      <c r="L59" s="122"/>
      <c r="M59" s="122"/>
      <c r="N59" s="122"/>
      <c r="O59" s="122"/>
      <c r="P59" s="122"/>
      <c r="Q59" s="122"/>
      <c r="R59" s="122"/>
      <c r="S59" s="122"/>
      <c r="T59" s="122"/>
      <c r="U59" s="122"/>
      <c r="V59" s="122"/>
      <c r="W59" s="122"/>
      <c r="X59" s="122"/>
      <c r="Y59" s="122"/>
    </row>
    <row r="60" spans="1:181" ht="34.5" customHeight="1" x14ac:dyDescent="0.2">
      <c r="A60" s="1539" t="s">
        <v>569</v>
      </c>
      <c r="B60" s="1539"/>
      <c r="C60" s="1539"/>
      <c r="D60" s="1539"/>
      <c r="E60" s="1539"/>
      <c r="F60" s="1539"/>
      <c r="G60" s="1539"/>
      <c r="H60" s="1539"/>
      <c r="I60" s="1539"/>
      <c r="J60" s="1539"/>
      <c r="K60" s="1539"/>
      <c r="L60" s="1539"/>
      <c r="M60" s="1539"/>
      <c r="N60" s="1539"/>
      <c r="O60" s="1539"/>
      <c r="P60" s="1539"/>
      <c r="Q60" s="1539"/>
      <c r="R60" s="1539"/>
      <c r="S60" s="1539"/>
      <c r="T60" s="1539"/>
      <c r="U60" s="1539"/>
      <c r="V60" s="1539"/>
      <c r="W60" s="1539"/>
      <c r="X60" s="1539"/>
      <c r="Y60" s="1539"/>
      <c r="Z60" s="1539"/>
      <c r="AA60" s="1539"/>
      <c r="AB60" s="1539"/>
      <c r="AC60" s="1539"/>
      <c r="AD60" s="1539"/>
      <c r="AE60" s="1539"/>
      <c r="AF60" s="1539"/>
      <c r="AG60" s="1539"/>
      <c r="AH60" s="1539"/>
      <c r="AI60" s="1539"/>
      <c r="AJ60" s="1539"/>
      <c r="AK60" s="1539"/>
      <c r="AL60" s="1539"/>
      <c r="AM60" s="1539"/>
      <c r="AN60" s="1539"/>
      <c r="AO60" s="1539"/>
      <c r="AP60" s="1539"/>
      <c r="AQ60" s="1539"/>
      <c r="AR60" s="1539"/>
      <c r="AS60" s="1539"/>
      <c r="AT60" s="1539"/>
      <c r="AU60" s="1539"/>
      <c r="AV60" s="1539"/>
      <c r="AW60" s="1539"/>
      <c r="AX60" s="1539"/>
      <c r="AY60" s="1539"/>
      <c r="AZ60" s="1539"/>
      <c r="BA60" s="1539"/>
      <c r="BB60" s="1539"/>
      <c r="BC60" s="1539"/>
      <c r="BD60" s="1539"/>
      <c r="BE60" s="1539"/>
      <c r="BF60" s="1539"/>
      <c r="BG60" s="1539"/>
      <c r="BH60" s="1539"/>
      <c r="BI60" s="1539"/>
      <c r="BJ60" s="1539"/>
      <c r="BK60" s="1539"/>
      <c r="BL60" s="1539"/>
      <c r="BM60" s="1539"/>
      <c r="BN60" s="1539"/>
      <c r="BO60" s="1539"/>
      <c r="BP60" s="1539"/>
      <c r="BQ60" s="1539"/>
      <c r="BR60" s="1539"/>
      <c r="BS60" s="1539"/>
      <c r="BT60" s="1539"/>
      <c r="BU60" s="1539"/>
      <c r="BV60" s="1539"/>
      <c r="BW60" s="1539"/>
      <c r="BX60" s="1539"/>
      <c r="BY60" s="1539"/>
      <c r="BZ60" s="1539"/>
      <c r="CA60" s="1539"/>
      <c r="CB60" s="1539"/>
      <c r="CC60" s="1539"/>
      <c r="CD60" s="1539"/>
      <c r="CE60" s="1539"/>
      <c r="CF60" s="1539"/>
      <c r="CG60" s="1539"/>
      <c r="CH60" s="1539"/>
      <c r="CI60" s="1539"/>
      <c r="CJ60" s="1539"/>
      <c r="CK60" s="1539"/>
      <c r="CL60" s="1539"/>
      <c r="CM60" s="1539"/>
      <c r="CN60" s="1539"/>
      <c r="CO60" s="1539"/>
      <c r="CP60" s="1539"/>
      <c r="CQ60" s="1539"/>
      <c r="CR60" s="1539"/>
      <c r="CS60" s="1539"/>
      <c r="CT60" s="1539"/>
      <c r="CU60" s="1539"/>
      <c r="CV60" s="1539"/>
      <c r="CW60" s="1539"/>
      <c r="CX60" s="1539"/>
      <c r="CY60" s="1539"/>
      <c r="CZ60" s="1539"/>
      <c r="DA60" s="1539"/>
      <c r="DB60" s="1539"/>
      <c r="DC60" s="1539"/>
      <c r="DD60" s="1539"/>
      <c r="DE60" s="1539"/>
      <c r="DF60" s="1539"/>
      <c r="DG60" s="1539"/>
      <c r="DH60" s="1539"/>
      <c r="DI60" s="1539"/>
      <c r="DJ60" s="1539"/>
      <c r="DK60" s="1539"/>
      <c r="DL60" s="1539"/>
      <c r="DM60" s="1539"/>
      <c r="DN60" s="1539"/>
      <c r="DO60" s="1539"/>
      <c r="DP60" s="1539"/>
      <c r="DQ60" s="1539"/>
      <c r="DR60" s="1539"/>
      <c r="DS60" s="1539"/>
      <c r="DT60" s="1539"/>
      <c r="DU60" s="1539"/>
      <c r="DV60" s="1539"/>
      <c r="DW60" s="1539"/>
      <c r="DX60" s="1539"/>
      <c r="DY60" s="1539"/>
      <c r="DZ60" s="1539"/>
      <c r="EA60" s="1539"/>
      <c r="EB60" s="1539"/>
      <c r="EC60" s="1539"/>
      <c r="ED60" s="1539"/>
      <c r="EE60" s="1539"/>
      <c r="EF60" s="1539"/>
      <c r="EG60" s="1539"/>
      <c r="EH60" s="1539"/>
      <c r="EI60" s="1539"/>
      <c r="EJ60" s="1539"/>
      <c r="EK60" s="1539"/>
      <c r="EL60" s="1539"/>
      <c r="EM60" s="1539"/>
      <c r="EN60" s="1539"/>
      <c r="EO60" s="1539"/>
      <c r="EP60" s="1539"/>
      <c r="EQ60" s="1539"/>
      <c r="ER60" s="1539"/>
      <c r="ES60" s="1539"/>
      <c r="ET60" s="1539"/>
      <c r="EU60" s="1539"/>
      <c r="EV60" s="1539"/>
      <c r="EW60" s="1539"/>
      <c r="EX60" s="1539"/>
      <c r="EY60" s="1539"/>
      <c r="EZ60" s="1539"/>
      <c r="FA60" s="1539"/>
      <c r="FB60" s="1539"/>
      <c r="FC60" s="1539"/>
      <c r="FD60" s="1539"/>
      <c r="FE60" s="1539"/>
      <c r="FF60" s="1539"/>
      <c r="FG60" s="1539"/>
      <c r="FH60" s="1539"/>
      <c r="FI60" s="1539"/>
      <c r="FJ60" s="1539"/>
      <c r="FK60" s="1539"/>
      <c r="FL60" s="1539"/>
      <c r="FM60" s="1539"/>
      <c r="FN60" s="1539"/>
      <c r="FO60" s="1539"/>
      <c r="FP60" s="1539"/>
      <c r="FQ60" s="1539"/>
      <c r="FR60" s="1539"/>
      <c r="FS60" s="1539"/>
      <c r="FT60" s="1539"/>
      <c r="FU60" s="1539"/>
      <c r="FV60" s="1539"/>
      <c r="FW60" s="1539"/>
      <c r="FX60" s="1539"/>
    </row>
    <row r="61" spans="1:181" ht="78" customHeight="1" x14ac:dyDescent="0.2">
      <c r="A61" s="1532" t="s">
        <v>1127</v>
      </c>
      <c r="B61" s="1533"/>
      <c r="C61" s="1533"/>
      <c r="D61" s="1533"/>
      <c r="E61" s="1533"/>
      <c r="F61" s="1533"/>
      <c r="G61" s="1533"/>
      <c r="H61" s="1533"/>
      <c r="I61" s="1533"/>
      <c r="J61" s="1533"/>
      <c r="K61" s="1533"/>
      <c r="L61" s="1533"/>
      <c r="M61" s="1533"/>
      <c r="N61" s="1533"/>
      <c r="O61" s="1533"/>
      <c r="P61" s="1533"/>
      <c r="Q61" s="1533"/>
      <c r="R61" s="1533"/>
      <c r="S61" s="1533"/>
      <c r="T61" s="1533"/>
      <c r="U61" s="1533"/>
      <c r="V61" s="1533"/>
      <c r="W61" s="1533"/>
      <c r="X61" s="1533"/>
      <c r="Y61" s="1533"/>
      <c r="Z61" s="1533"/>
      <c r="AA61" s="1533"/>
      <c r="AB61" s="1533"/>
      <c r="AC61" s="1533"/>
      <c r="AD61" s="1533"/>
      <c r="AE61" s="1533"/>
      <c r="AF61" s="1533"/>
      <c r="AG61" s="1533"/>
      <c r="AH61" s="1533"/>
      <c r="AI61" s="1533"/>
      <c r="AJ61" s="1533"/>
      <c r="AK61" s="1533"/>
      <c r="AL61" s="1533"/>
      <c r="AM61" s="1533"/>
      <c r="AN61" s="1533"/>
      <c r="AO61" s="1533"/>
      <c r="AP61" s="1533"/>
      <c r="AQ61" s="1533"/>
      <c r="AR61" s="1533"/>
      <c r="AS61" s="1533"/>
      <c r="AT61" s="1533"/>
      <c r="AU61" s="1533"/>
      <c r="AV61" s="1533"/>
      <c r="AW61" s="1533"/>
      <c r="AX61" s="1533"/>
      <c r="AY61" s="1533"/>
      <c r="AZ61" s="1533"/>
      <c r="BA61" s="1533"/>
      <c r="BB61" s="1533"/>
      <c r="BC61" s="1533"/>
      <c r="BD61" s="1533"/>
      <c r="BE61" s="1533"/>
      <c r="BF61" s="1533"/>
      <c r="BG61" s="1533"/>
      <c r="BH61" s="1533"/>
      <c r="BI61" s="1533"/>
      <c r="BJ61" s="1533"/>
      <c r="BK61" s="1533"/>
      <c r="BL61" s="1533"/>
      <c r="BM61" s="1533"/>
      <c r="BN61" s="1533"/>
      <c r="BO61" s="1533"/>
      <c r="BP61" s="1533"/>
      <c r="BQ61" s="1533"/>
      <c r="BR61" s="1533"/>
      <c r="BS61" s="1533"/>
      <c r="BT61" s="1533"/>
      <c r="BU61" s="1533"/>
      <c r="BV61" s="1533"/>
      <c r="BW61" s="1533"/>
      <c r="BX61" s="1533"/>
      <c r="BY61" s="1533"/>
      <c r="BZ61" s="1533"/>
      <c r="CA61" s="1533"/>
      <c r="CB61" s="1533"/>
      <c r="CC61" s="1533"/>
      <c r="CD61" s="1533"/>
      <c r="CE61" s="1533"/>
      <c r="CF61" s="1533"/>
      <c r="CG61" s="1533"/>
      <c r="CH61" s="1533"/>
      <c r="CI61" s="1533"/>
      <c r="CJ61" s="1533"/>
      <c r="CK61" s="1533"/>
      <c r="CL61" s="1533"/>
      <c r="CM61" s="1533"/>
      <c r="CN61" s="1533"/>
      <c r="CO61" s="1533"/>
      <c r="CP61" s="1533"/>
      <c r="CQ61" s="1533"/>
      <c r="CR61" s="1533"/>
      <c r="CS61" s="1533"/>
      <c r="CT61" s="1533"/>
      <c r="CU61" s="1533"/>
      <c r="CV61" s="1533"/>
      <c r="CW61" s="1533"/>
      <c r="CX61" s="1533"/>
      <c r="CY61" s="1533"/>
      <c r="CZ61" s="1533"/>
      <c r="DA61" s="1533"/>
      <c r="DB61" s="1533"/>
      <c r="DC61" s="1533"/>
      <c r="DD61" s="1533"/>
      <c r="DE61" s="1533"/>
      <c r="DF61" s="1533"/>
      <c r="DG61" s="1533"/>
      <c r="DH61" s="1533"/>
      <c r="DI61" s="1533"/>
      <c r="DJ61" s="1533"/>
      <c r="DK61" s="1533"/>
      <c r="DL61" s="1533"/>
      <c r="DM61" s="1533"/>
      <c r="DN61" s="1533"/>
      <c r="DO61" s="1533"/>
      <c r="DP61" s="1533"/>
      <c r="DQ61" s="1533"/>
      <c r="DR61" s="1533"/>
      <c r="DS61" s="1533"/>
      <c r="DT61" s="1533"/>
      <c r="DU61" s="1533"/>
      <c r="DV61" s="1533"/>
      <c r="DW61" s="1533"/>
      <c r="DX61" s="1533"/>
      <c r="DY61" s="1533"/>
      <c r="DZ61" s="1533"/>
      <c r="EA61" s="1533"/>
      <c r="EB61" s="1533"/>
      <c r="EC61" s="1533"/>
      <c r="ED61" s="1533"/>
      <c r="EE61" s="1533"/>
      <c r="EF61" s="1533"/>
      <c r="EG61" s="1533"/>
      <c r="EH61" s="1533"/>
      <c r="EI61" s="1533"/>
      <c r="EJ61" s="1533"/>
      <c r="EK61" s="1533"/>
      <c r="EL61" s="1533"/>
      <c r="EM61" s="1533"/>
      <c r="EN61" s="1533"/>
      <c r="EO61" s="1533"/>
      <c r="EP61" s="1533"/>
      <c r="EQ61" s="1533"/>
      <c r="ER61" s="1533"/>
      <c r="ES61" s="1533"/>
      <c r="ET61" s="1533"/>
      <c r="EU61" s="1533"/>
      <c r="EV61" s="1533"/>
      <c r="EW61" s="1533"/>
      <c r="EX61" s="1533"/>
      <c r="EY61" s="1533"/>
      <c r="EZ61" s="1533"/>
      <c r="FA61" s="1533"/>
      <c r="FB61" s="1533"/>
      <c r="FC61" s="1533"/>
      <c r="FD61" s="1533"/>
      <c r="FE61" s="1533"/>
      <c r="FF61" s="1533"/>
      <c r="FG61" s="1533"/>
      <c r="FH61" s="1533"/>
      <c r="FI61" s="1533"/>
      <c r="FJ61" s="1533"/>
      <c r="FK61" s="1533"/>
      <c r="FL61" s="1533"/>
      <c r="FM61" s="1533"/>
      <c r="FN61" s="1533"/>
      <c r="FO61" s="1533"/>
      <c r="FP61" s="1533"/>
      <c r="FQ61" s="1533"/>
      <c r="FR61" s="1533"/>
      <c r="FS61" s="1533"/>
      <c r="FT61" s="1533"/>
      <c r="FU61" s="1533"/>
      <c r="FV61" s="1533"/>
      <c r="FW61" s="1533"/>
      <c r="FX61" s="1533"/>
      <c r="FY61" s="1533"/>
    </row>
    <row r="62" spans="1:181" ht="53.25" customHeight="1" x14ac:dyDescent="0.2">
      <c r="A62" s="1532" t="s">
        <v>570</v>
      </c>
      <c r="B62" s="1533"/>
      <c r="C62" s="1533"/>
      <c r="D62" s="1533"/>
      <c r="E62" s="1533"/>
      <c r="F62" s="1533"/>
      <c r="G62" s="1533"/>
      <c r="H62" s="1533"/>
      <c r="I62" s="1533"/>
      <c r="J62" s="1533"/>
      <c r="K62" s="1533"/>
      <c r="L62" s="1533"/>
      <c r="M62" s="1533"/>
      <c r="N62" s="1533"/>
      <c r="O62" s="1533"/>
      <c r="P62" s="1533"/>
      <c r="Q62" s="1533"/>
      <c r="R62" s="1533"/>
      <c r="S62" s="1533"/>
      <c r="T62" s="1533"/>
      <c r="U62" s="1533"/>
      <c r="V62" s="1533"/>
      <c r="W62" s="1533"/>
      <c r="X62" s="1533"/>
      <c r="Y62" s="1533"/>
      <c r="Z62" s="1533"/>
      <c r="AA62" s="1533"/>
      <c r="AB62" s="1533"/>
      <c r="AC62" s="1533"/>
      <c r="AD62" s="1533"/>
      <c r="AE62" s="1533"/>
      <c r="AF62" s="1533"/>
      <c r="AG62" s="1533"/>
      <c r="AH62" s="1533"/>
      <c r="AI62" s="1533"/>
      <c r="AJ62" s="1533"/>
      <c r="AK62" s="1533"/>
      <c r="AL62" s="1533"/>
      <c r="AM62" s="1533"/>
      <c r="AN62" s="1533"/>
      <c r="AO62" s="1533"/>
      <c r="AP62" s="1533"/>
      <c r="AQ62" s="1533"/>
      <c r="AR62" s="1533"/>
      <c r="AS62" s="1533"/>
      <c r="AT62" s="1533"/>
      <c r="AU62" s="1533"/>
      <c r="AV62" s="1533"/>
      <c r="AW62" s="1533"/>
      <c r="AX62" s="1533"/>
      <c r="AY62" s="1533"/>
      <c r="AZ62" s="1533"/>
      <c r="BA62" s="1533"/>
      <c r="BB62" s="1533"/>
      <c r="BC62" s="1533"/>
      <c r="BD62" s="1533"/>
      <c r="BE62" s="1533"/>
      <c r="BF62" s="1533"/>
      <c r="BG62" s="1533"/>
      <c r="BH62" s="1533"/>
      <c r="BI62" s="1533"/>
      <c r="BJ62" s="1533"/>
      <c r="BK62" s="1533"/>
      <c r="BL62" s="1533"/>
      <c r="BM62" s="1533"/>
      <c r="BN62" s="1533"/>
      <c r="BO62" s="1533"/>
      <c r="BP62" s="1533"/>
      <c r="BQ62" s="1533"/>
      <c r="BR62" s="1533"/>
      <c r="BS62" s="1533"/>
      <c r="BT62" s="1533"/>
      <c r="BU62" s="1533"/>
      <c r="BV62" s="1533"/>
      <c r="BW62" s="1533"/>
      <c r="BX62" s="1533"/>
      <c r="BY62" s="1533"/>
      <c r="BZ62" s="1533"/>
      <c r="CA62" s="1533"/>
      <c r="CB62" s="1533"/>
      <c r="CC62" s="1533"/>
      <c r="CD62" s="1533"/>
      <c r="CE62" s="1533"/>
      <c r="CF62" s="1533"/>
      <c r="CG62" s="1533"/>
      <c r="CH62" s="1533"/>
      <c r="CI62" s="1533"/>
      <c r="CJ62" s="1533"/>
      <c r="CK62" s="1533"/>
      <c r="CL62" s="1533"/>
      <c r="CM62" s="1533"/>
      <c r="CN62" s="1533"/>
      <c r="CO62" s="1533"/>
      <c r="CP62" s="1533"/>
      <c r="CQ62" s="1533"/>
      <c r="CR62" s="1533"/>
      <c r="CS62" s="1533"/>
      <c r="CT62" s="1533"/>
      <c r="CU62" s="1533"/>
      <c r="CV62" s="1533"/>
      <c r="CW62" s="1533"/>
      <c r="CX62" s="1533"/>
      <c r="CY62" s="1533"/>
      <c r="CZ62" s="1533"/>
      <c r="DA62" s="1533"/>
      <c r="DB62" s="1533"/>
      <c r="DC62" s="1533"/>
      <c r="DD62" s="1533"/>
      <c r="DE62" s="1533"/>
      <c r="DF62" s="1533"/>
      <c r="DG62" s="1533"/>
      <c r="DH62" s="1533"/>
      <c r="DI62" s="1533"/>
      <c r="DJ62" s="1533"/>
      <c r="DK62" s="1533"/>
      <c r="DL62" s="1533"/>
      <c r="DM62" s="1533"/>
      <c r="DN62" s="1533"/>
      <c r="DO62" s="1533"/>
      <c r="DP62" s="1533"/>
      <c r="DQ62" s="1533"/>
      <c r="DR62" s="1533"/>
      <c r="DS62" s="1533"/>
      <c r="DT62" s="1533"/>
      <c r="DU62" s="1533"/>
      <c r="DV62" s="1533"/>
      <c r="DW62" s="1533"/>
      <c r="DX62" s="1533"/>
      <c r="DY62" s="1533"/>
      <c r="DZ62" s="1533"/>
      <c r="EA62" s="1533"/>
      <c r="EB62" s="1533"/>
      <c r="EC62" s="1533"/>
      <c r="ED62" s="1533"/>
      <c r="EE62" s="1533"/>
      <c r="EF62" s="1533"/>
      <c r="EG62" s="1533"/>
      <c r="EH62" s="1533"/>
      <c r="EI62" s="1533"/>
      <c r="EJ62" s="1533"/>
      <c r="EK62" s="1533"/>
      <c r="EL62" s="1533"/>
      <c r="EM62" s="1533"/>
      <c r="EN62" s="1533"/>
      <c r="EO62" s="1533"/>
      <c r="EP62" s="1533"/>
      <c r="EQ62" s="1533"/>
      <c r="ER62" s="1533"/>
      <c r="ES62" s="1533"/>
      <c r="ET62" s="1533"/>
      <c r="EU62" s="1533"/>
      <c r="EV62" s="1533"/>
      <c r="EW62" s="1533"/>
      <c r="EX62" s="1533"/>
      <c r="EY62" s="1533"/>
      <c r="EZ62" s="1533"/>
      <c r="FA62" s="1533"/>
      <c r="FB62" s="1533"/>
      <c r="FC62" s="1533"/>
      <c r="FD62" s="1533"/>
      <c r="FE62" s="1533"/>
      <c r="FF62" s="1533"/>
      <c r="FG62" s="1533"/>
      <c r="FH62" s="1533"/>
      <c r="FI62" s="1533"/>
      <c r="FJ62" s="1533"/>
      <c r="FK62" s="1533"/>
      <c r="FL62" s="1533"/>
      <c r="FM62" s="1533"/>
      <c r="FN62" s="1533"/>
      <c r="FO62" s="1533"/>
      <c r="FP62" s="1533"/>
      <c r="FQ62" s="1533"/>
      <c r="FR62" s="1533"/>
      <c r="FS62" s="1533"/>
      <c r="FT62" s="1533"/>
      <c r="FU62" s="1533"/>
      <c r="FV62" s="1533"/>
      <c r="FW62" s="1533"/>
      <c r="FX62" s="1533"/>
      <c r="FY62" s="1533"/>
    </row>
    <row r="63" spans="1:181" ht="65.25" customHeight="1" x14ac:dyDescent="0.2">
      <c r="A63" s="1534" t="s">
        <v>571</v>
      </c>
      <c r="B63" s="1533"/>
      <c r="C63" s="1533"/>
      <c r="D63" s="1533"/>
      <c r="E63" s="1533"/>
      <c r="F63" s="1533"/>
      <c r="G63" s="1533"/>
      <c r="H63" s="1533"/>
      <c r="I63" s="1533"/>
      <c r="J63" s="1533"/>
      <c r="K63" s="1533"/>
      <c r="L63" s="1533"/>
      <c r="M63" s="1533"/>
      <c r="N63" s="1533"/>
      <c r="O63" s="1533"/>
      <c r="P63" s="1533"/>
      <c r="Q63" s="1533"/>
      <c r="R63" s="1533"/>
      <c r="S63" s="1533"/>
      <c r="T63" s="1533"/>
      <c r="U63" s="1533"/>
      <c r="V63" s="1533"/>
      <c r="W63" s="1533"/>
      <c r="X63" s="1533"/>
      <c r="Y63" s="1533"/>
      <c r="Z63" s="1533"/>
      <c r="AA63" s="1533"/>
      <c r="AB63" s="1533"/>
      <c r="AC63" s="1533"/>
      <c r="AD63" s="1533"/>
      <c r="AE63" s="1533"/>
      <c r="AF63" s="1533"/>
      <c r="AG63" s="1533"/>
      <c r="AH63" s="1533"/>
      <c r="AI63" s="1533"/>
      <c r="AJ63" s="1533"/>
      <c r="AK63" s="1533"/>
      <c r="AL63" s="1533"/>
      <c r="AM63" s="1533"/>
      <c r="AN63" s="1533"/>
      <c r="AO63" s="1533"/>
      <c r="AP63" s="1533"/>
      <c r="AQ63" s="1533"/>
      <c r="AR63" s="1533"/>
      <c r="AS63" s="1533"/>
      <c r="AT63" s="1533"/>
      <c r="AU63" s="1533"/>
      <c r="AV63" s="1533"/>
      <c r="AW63" s="1533"/>
      <c r="AX63" s="1533"/>
      <c r="AY63" s="1533"/>
      <c r="AZ63" s="1533"/>
      <c r="BA63" s="1533"/>
      <c r="BB63" s="1533"/>
      <c r="BC63" s="1533"/>
      <c r="BD63" s="1533"/>
      <c r="BE63" s="1533"/>
      <c r="BF63" s="1533"/>
      <c r="BG63" s="1533"/>
      <c r="BH63" s="1533"/>
      <c r="BI63" s="1533"/>
      <c r="BJ63" s="1533"/>
      <c r="BK63" s="1533"/>
      <c r="BL63" s="1533"/>
      <c r="BM63" s="1533"/>
      <c r="BN63" s="1533"/>
      <c r="BO63" s="1533"/>
      <c r="BP63" s="1533"/>
      <c r="BQ63" s="1533"/>
      <c r="BR63" s="1533"/>
      <c r="BS63" s="1533"/>
      <c r="BT63" s="1533"/>
      <c r="BU63" s="1533"/>
      <c r="BV63" s="1533"/>
      <c r="BW63" s="1533"/>
      <c r="BX63" s="1533"/>
      <c r="BY63" s="1533"/>
      <c r="BZ63" s="1533"/>
      <c r="CA63" s="1533"/>
      <c r="CB63" s="1533"/>
      <c r="CC63" s="1533"/>
      <c r="CD63" s="1533"/>
      <c r="CE63" s="1533"/>
      <c r="CF63" s="1533"/>
      <c r="CG63" s="1533"/>
      <c r="CH63" s="1533"/>
      <c r="CI63" s="1533"/>
      <c r="CJ63" s="1533"/>
      <c r="CK63" s="1533"/>
      <c r="CL63" s="1533"/>
      <c r="CM63" s="1533"/>
      <c r="CN63" s="1533"/>
      <c r="CO63" s="1533"/>
      <c r="CP63" s="1533"/>
      <c r="CQ63" s="1533"/>
      <c r="CR63" s="1533"/>
      <c r="CS63" s="1533"/>
      <c r="CT63" s="1533"/>
      <c r="CU63" s="1533"/>
      <c r="CV63" s="1533"/>
      <c r="CW63" s="1533"/>
      <c r="CX63" s="1533"/>
      <c r="CY63" s="1533"/>
      <c r="CZ63" s="1533"/>
      <c r="DA63" s="1533"/>
      <c r="DB63" s="1533"/>
      <c r="DC63" s="1533"/>
      <c r="DD63" s="1533"/>
      <c r="DE63" s="1533"/>
      <c r="DF63" s="1533"/>
      <c r="DG63" s="1533"/>
      <c r="DH63" s="1533"/>
      <c r="DI63" s="1533"/>
      <c r="DJ63" s="1533"/>
      <c r="DK63" s="1533"/>
      <c r="DL63" s="1533"/>
      <c r="DM63" s="1533"/>
      <c r="DN63" s="1533"/>
      <c r="DO63" s="1533"/>
      <c r="DP63" s="1533"/>
      <c r="DQ63" s="1533"/>
      <c r="DR63" s="1533"/>
      <c r="DS63" s="1533"/>
      <c r="DT63" s="1533"/>
      <c r="DU63" s="1533"/>
      <c r="DV63" s="1533"/>
      <c r="DW63" s="1533"/>
      <c r="DX63" s="1533"/>
      <c r="DY63" s="1533"/>
      <c r="DZ63" s="1533"/>
      <c r="EA63" s="1533"/>
      <c r="EB63" s="1533"/>
      <c r="EC63" s="1533"/>
      <c r="ED63" s="1533"/>
      <c r="EE63" s="1533"/>
      <c r="EF63" s="1533"/>
      <c r="EG63" s="1533"/>
      <c r="EH63" s="1533"/>
      <c r="EI63" s="1533"/>
      <c r="EJ63" s="1533"/>
      <c r="EK63" s="1533"/>
      <c r="EL63" s="1533"/>
      <c r="EM63" s="1533"/>
      <c r="EN63" s="1533"/>
      <c r="EO63" s="1533"/>
      <c r="EP63" s="1533"/>
      <c r="EQ63" s="1533"/>
      <c r="ER63" s="1533"/>
      <c r="ES63" s="1533"/>
      <c r="ET63" s="1533"/>
      <c r="EU63" s="1533"/>
      <c r="EV63" s="1533"/>
      <c r="EW63" s="1533"/>
      <c r="EX63" s="1533"/>
      <c r="EY63" s="1533"/>
      <c r="EZ63" s="1533"/>
      <c r="FA63" s="1533"/>
      <c r="FB63" s="1533"/>
      <c r="FC63" s="1533"/>
      <c r="FD63" s="1533"/>
      <c r="FE63" s="1533"/>
      <c r="FF63" s="1533"/>
      <c r="FG63" s="1533"/>
      <c r="FH63" s="1533"/>
      <c r="FI63" s="1533"/>
      <c r="FJ63" s="1533"/>
      <c r="FK63" s="1533"/>
      <c r="FL63" s="1533"/>
      <c r="FM63" s="1533"/>
      <c r="FN63" s="1533"/>
      <c r="FO63" s="1533"/>
      <c r="FP63" s="1533"/>
      <c r="FQ63" s="1533"/>
      <c r="FR63" s="1533"/>
      <c r="FS63" s="1533"/>
      <c r="FT63" s="1533"/>
      <c r="FU63" s="1533"/>
      <c r="FV63" s="1533"/>
      <c r="FW63" s="1533"/>
      <c r="FX63" s="1533"/>
      <c r="FY63" s="1533"/>
    </row>
    <row r="64" spans="1:181" ht="16.5" customHeight="1" x14ac:dyDescent="0.2">
      <c r="A64" s="1535" t="s">
        <v>572</v>
      </c>
      <c r="B64" s="1535"/>
      <c r="C64" s="1535"/>
      <c r="D64" s="1535"/>
      <c r="E64" s="1535"/>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c r="AF64" s="1535"/>
      <c r="AG64" s="1535"/>
      <c r="AH64" s="1535"/>
      <c r="AI64" s="1535"/>
      <c r="AJ64" s="1535"/>
      <c r="AK64" s="1535"/>
      <c r="AL64" s="1535"/>
      <c r="AM64" s="1535"/>
      <c r="AN64" s="1535"/>
      <c r="AO64" s="1535"/>
      <c r="AP64" s="1535"/>
      <c r="AQ64" s="1535"/>
      <c r="AR64" s="1535"/>
      <c r="AS64" s="1535"/>
      <c r="AT64" s="1535"/>
      <c r="AU64" s="1535"/>
      <c r="AV64" s="1535"/>
      <c r="AW64" s="1535"/>
      <c r="AX64" s="1535"/>
      <c r="AY64" s="1535"/>
      <c r="AZ64" s="1535"/>
      <c r="BA64" s="1535"/>
      <c r="BB64" s="1535"/>
      <c r="BC64" s="1535"/>
      <c r="BD64" s="1535"/>
      <c r="BE64" s="1535"/>
      <c r="BF64" s="1535"/>
      <c r="BG64" s="1535"/>
      <c r="BH64" s="1535"/>
      <c r="BI64" s="1535"/>
      <c r="BJ64" s="1535"/>
      <c r="BK64" s="1535"/>
      <c r="BL64" s="1535"/>
      <c r="BM64" s="1535"/>
      <c r="BN64" s="1535"/>
      <c r="BO64" s="1535"/>
      <c r="BP64" s="1535"/>
      <c r="BQ64" s="1535"/>
      <c r="BR64" s="1535"/>
      <c r="BS64" s="1535"/>
      <c r="BT64" s="1535"/>
      <c r="BU64" s="1535"/>
      <c r="BV64" s="1535"/>
      <c r="BW64" s="1535"/>
      <c r="BX64" s="1535"/>
      <c r="BY64" s="1535"/>
      <c r="BZ64" s="1535"/>
      <c r="CA64" s="1535"/>
      <c r="CB64" s="1535"/>
      <c r="CC64" s="1535"/>
      <c r="CD64" s="1535"/>
      <c r="CE64" s="1535"/>
      <c r="CF64" s="1535"/>
      <c r="CG64" s="1535"/>
      <c r="CH64" s="1535"/>
      <c r="CI64" s="1535"/>
      <c r="CJ64" s="1535"/>
      <c r="CK64" s="1535"/>
      <c r="CL64" s="1535"/>
      <c r="CM64" s="1535"/>
      <c r="CN64" s="1535"/>
      <c r="CO64" s="1535"/>
      <c r="CP64" s="1535"/>
      <c r="CQ64" s="1535"/>
      <c r="CR64" s="1535"/>
      <c r="CS64" s="1535"/>
      <c r="CT64" s="1535"/>
      <c r="CU64" s="1535"/>
      <c r="CV64" s="1535"/>
      <c r="CW64" s="1535"/>
      <c r="CX64" s="1535"/>
      <c r="CY64" s="1535"/>
      <c r="CZ64" s="1535"/>
      <c r="DA64" s="1535"/>
      <c r="DB64" s="1535"/>
      <c r="DC64" s="1535"/>
      <c r="DD64" s="1535"/>
      <c r="DE64" s="1535"/>
      <c r="DF64" s="1535"/>
      <c r="DG64" s="1535"/>
      <c r="DH64" s="1535"/>
      <c r="DI64" s="1535"/>
      <c r="DJ64" s="1535"/>
      <c r="DK64" s="1535"/>
      <c r="DL64" s="1535"/>
      <c r="DM64" s="1535"/>
      <c r="DN64" s="1535"/>
      <c r="DO64" s="1535"/>
      <c r="DP64" s="1535"/>
      <c r="DQ64" s="1535"/>
      <c r="DR64" s="1535"/>
      <c r="DS64" s="1535"/>
      <c r="DT64" s="1535"/>
      <c r="DU64" s="1535"/>
      <c r="DV64" s="1535"/>
      <c r="DW64" s="1535"/>
      <c r="DX64" s="1535"/>
      <c r="DY64" s="1535"/>
      <c r="DZ64" s="1535"/>
      <c r="EA64" s="1535"/>
      <c r="EB64" s="1535"/>
      <c r="EC64" s="1535"/>
      <c r="ED64" s="1535"/>
      <c r="EE64" s="1535"/>
      <c r="EF64" s="1535"/>
      <c r="EG64" s="1535"/>
      <c r="EH64" s="1535"/>
      <c r="EI64" s="1535"/>
      <c r="EJ64" s="1535"/>
      <c r="EK64" s="1535"/>
      <c r="EL64" s="1535"/>
      <c r="EM64" s="1535"/>
      <c r="EN64" s="1535"/>
      <c r="EO64" s="1535"/>
      <c r="EP64" s="1535"/>
      <c r="EQ64" s="1535"/>
      <c r="ER64" s="1535"/>
      <c r="ES64" s="1535"/>
      <c r="ET64" s="1535"/>
      <c r="EU64" s="1535"/>
      <c r="EV64" s="1535"/>
      <c r="EW64" s="1535"/>
      <c r="EX64" s="1535"/>
      <c r="EY64" s="1535"/>
      <c r="EZ64" s="1535"/>
      <c r="FA64" s="1535"/>
      <c r="FB64" s="1535"/>
      <c r="FC64" s="1535"/>
      <c r="FD64" s="1535"/>
      <c r="FE64" s="1535"/>
      <c r="FF64" s="1535"/>
      <c r="FG64" s="1535"/>
      <c r="FH64" s="1535"/>
      <c r="FI64" s="1535"/>
      <c r="FJ64" s="1535"/>
      <c r="FK64" s="1535"/>
      <c r="FL64" s="1535"/>
      <c r="FM64" s="1535"/>
      <c r="FN64" s="1535"/>
      <c r="FO64" s="1535"/>
      <c r="FP64" s="1535"/>
      <c r="FQ64" s="1535"/>
      <c r="FR64" s="1535"/>
      <c r="FS64" s="1535"/>
      <c r="FT64" s="1535"/>
      <c r="FU64" s="1535"/>
      <c r="FV64" s="1535"/>
      <c r="FW64" s="1535"/>
      <c r="FX64" s="1535"/>
      <c r="FY64" s="1535"/>
    </row>
    <row r="65" spans="1:181" ht="11.25" customHeight="1" x14ac:dyDescent="0.2">
      <c r="A65" s="123" t="s">
        <v>573</v>
      </c>
    </row>
    <row r="66" spans="1:181" ht="11.25" customHeight="1" x14ac:dyDescent="0.2">
      <c r="A66" s="123" t="s">
        <v>574</v>
      </c>
    </row>
    <row r="67" spans="1:181" ht="11.25" customHeight="1" x14ac:dyDescent="0.2">
      <c r="A67" s="123" t="s">
        <v>575</v>
      </c>
    </row>
    <row r="68" spans="1:181" ht="29.25" customHeight="1" x14ac:dyDescent="0.2">
      <c r="A68" s="1536" t="s">
        <v>576</v>
      </c>
      <c r="B68" s="1537"/>
      <c r="C68" s="1537"/>
      <c r="D68" s="1537"/>
      <c r="E68" s="1537"/>
      <c r="F68" s="153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7"/>
      <c r="AK68" s="1537"/>
      <c r="AL68" s="1537"/>
      <c r="AM68" s="1537"/>
      <c r="AN68" s="1537"/>
      <c r="AO68" s="1537"/>
      <c r="AP68" s="1537"/>
      <c r="AQ68" s="1537"/>
      <c r="AR68" s="1537"/>
      <c r="AS68" s="1537"/>
      <c r="AT68" s="1537"/>
      <c r="AU68" s="1537"/>
      <c r="AV68" s="1537"/>
      <c r="AW68" s="1537"/>
      <c r="AX68" s="1537"/>
      <c r="AY68" s="1537"/>
      <c r="AZ68" s="1537"/>
      <c r="BA68" s="1537"/>
      <c r="BB68" s="1537"/>
      <c r="BC68" s="1537"/>
      <c r="BD68" s="1537"/>
      <c r="BE68" s="1537"/>
      <c r="BF68" s="1537"/>
      <c r="BG68" s="1537"/>
      <c r="BH68" s="1537"/>
      <c r="BI68" s="1537"/>
      <c r="BJ68" s="1537"/>
      <c r="BK68" s="1537"/>
      <c r="BL68" s="1537"/>
      <c r="BM68" s="1537"/>
      <c r="BN68" s="1537"/>
      <c r="BO68" s="1537"/>
      <c r="BP68" s="1537"/>
      <c r="BQ68" s="1537"/>
      <c r="BR68" s="1537"/>
      <c r="BS68" s="1537"/>
      <c r="BT68" s="1537"/>
      <c r="BU68" s="1537"/>
      <c r="BV68" s="1537"/>
      <c r="BW68" s="1537"/>
      <c r="BX68" s="1537"/>
      <c r="BY68" s="1537"/>
      <c r="BZ68" s="1537"/>
      <c r="CA68" s="1537"/>
      <c r="CB68" s="1537"/>
      <c r="CC68" s="1537"/>
      <c r="CD68" s="1537"/>
      <c r="CE68" s="1537"/>
      <c r="CF68" s="1537"/>
      <c r="CG68" s="1537"/>
      <c r="CH68" s="1537"/>
      <c r="CI68" s="1537"/>
      <c r="CJ68" s="1537"/>
      <c r="CK68" s="1537"/>
      <c r="CL68" s="1537"/>
      <c r="CM68" s="1537"/>
      <c r="CN68" s="1537"/>
      <c r="CO68" s="1537"/>
      <c r="CP68" s="1537"/>
      <c r="CQ68" s="1537"/>
      <c r="CR68" s="1537"/>
      <c r="CS68" s="1537"/>
      <c r="CT68" s="1537"/>
      <c r="CU68" s="1537"/>
      <c r="CV68" s="1537"/>
      <c r="CW68" s="1537"/>
      <c r="CX68" s="1537"/>
      <c r="CY68" s="1537"/>
      <c r="CZ68" s="1537"/>
      <c r="DA68" s="1537"/>
      <c r="DB68" s="1537"/>
      <c r="DC68" s="1537"/>
      <c r="DD68" s="1537"/>
      <c r="DE68" s="1537"/>
      <c r="DF68" s="1537"/>
      <c r="DG68" s="1537"/>
      <c r="DH68" s="1537"/>
      <c r="DI68" s="1537"/>
      <c r="DJ68" s="1537"/>
      <c r="DK68" s="1537"/>
      <c r="DL68" s="1537"/>
      <c r="DM68" s="1537"/>
      <c r="DN68" s="1537"/>
      <c r="DO68" s="1537"/>
      <c r="DP68" s="1537"/>
      <c r="DQ68" s="1537"/>
      <c r="DR68" s="1537"/>
      <c r="DS68" s="1537"/>
      <c r="DT68" s="1537"/>
      <c r="DU68" s="1537"/>
      <c r="DV68" s="1537"/>
      <c r="DW68" s="1537"/>
      <c r="DX68" s="1537"/>
      <c r="DY68" s="1537"/>
      <c r="DZ68" s="1537"/>
      <c r="EA68" s="1537"/>
      <c r="EB68" s="1537"/>
      <c r="EC68" s="1537"/>
      <c r="ED68" s="1537"/>
      <c r="EE68" s="1537"/>
      <c r="EF68" s="1537"/>
      <c r="EG68" s="1537"/>
      <c r="EH68" s="1537"/>
      <c r="EI68" s="1537"/>
      <c r="EJ68" s="1537"/>
      <c r="EK68" s="1537"/>
      <c r="EL68" s="1537"/>
      <c r="EM68" s="1537"/>
      <c r="EN68" s="1537"/>
      <c r="EO68" s="1537"/>
      <c r="EP68" s="1537"/>
      <c r="EQ68" s="1537"/>
      <c r="ER68" s="1537"/>
      <c r="ES68" s="1537"/>
      <c r="ET68" s="1537"/>
      <c r="EU68" s="1537"/>
      <c r="EV68" s="1537"/>
      <c r="EW68" s="1537"/>
      <c r="EX68" s="1537"/>
      <c r="EY68" s="1537"/>
      <c r="EZ68" s="1537"/>
      <c r="FA68" s="1537"/>
      <c r="FB68" s="1537"/>
      <c r="FC68" s="1537"/>
      <c r="FD68" s="1537"/>
      <c r="FE68" s="1537"/>
      <c r="FF68" s="1537"/>
      <c r="FG68" s="1537"/>
      <c r="FH68" s="1537"/>
      <c r="FI68" s="1537"/>
      <c r="FJ68" s="1537"/>
      <c r="FK68" s="1537"/>
      <c r="FL68" s="1537"/>
      <c r="FM68" s="1537"/>
      <c r="FN68" s="1537"/>
      <c r="FO68" s="1537"/>
      <c r="FP68" s="1537"/>
      <c r="FQ68" s="1537"/>
      <c r="FR68" s="1537"/>
      <c r="FS68" s="1537"/>
      <c r="FT68" s="1537"/>
      <c r="FU68" s="1537"/>
      <c r="FV68" s="1537"/>
      <c r="FW68" s="1537"/>
      <c r="FX68" s="1537"/>
      <c r="FY68" s="1537"/>
    </row>
    <row r="69" spans="1:181" ht="3" customHeight="1" x14ac:dyDescent="0.2"/>
  </sheetData>
  <mergeCells count="379">
    <mergeCell ref="A61:FY61"/>
    <mergeCell ref="A62:FY62"/>
    <mergeCell ref="A63:FY63"/>
    <mergeCell ref="A64:FY64"/>
    <mergeCell ref="A68:FY68"/>
    <mergeCell ref="A57:B57"/>
    <mergeCell ref="C57:E57"/>
    <mergeCell ref="F57:G57"/>
    <mergeCell ref="I57:W57"/>
    <mergeCell ref="X57:Z57"/>
    <mergeCell ref="AA57:AC57"/>
    <mergeCell ref="A60:FX60"/>
    <mergeCell ref="A51:CM51"/>
    <mergeCell ref="A52:CM52"/>
    <mergeCell ref="A54:Y54"/>
    <mergeCell ref="AH54:CM54"/>
    <mergeCell ref="A55:Y55"/>
    <mergeCell ref="AH55:CM55"/>
    <mergeCell ref="I47:J47"/>
    <mergeCell ref="K47:M47"/>
    <mergeCell ref="N47:O47"/>
    <mergeCell ref="Q47:AE47"/>
    <mergeCell ref="AF47:AH47"/>
    <mergeCell ref="AI47:AK47"/>
    <mergeCell ref="AM44:BD44"/>
    <mergeCell ref="BG44:BX44"/>
    <mergeCell ref="CA44:CR44"/>
    <mergeCell ref="AM45:BD45"/>
    <mergeCell ref="BG45:BX45"/>
    <mergeCell ref="CA45:CR45"/>
    <mergeCell ref="BK41:BV41"/>
    <mergeCell ref="BY41:CR41"/>
    <mergeCell ref="AQ42:BH42"/>
    <mergeCell ref="BK42:BV42"/>
    <mergeCell ref="AQ40:BH41"/>
    <mergeCell ref="BY42:DD42"/>
    <mergeCell ref="DZ38:EL39"/>
    <mergeCell ref="EM38:EY39"/>
    <mergeCell ref="EZ38:FL39"/>
    <mergeCell ref="FM38:FY39"/>
    <mergeCell ref="I39:CM39"/>
    <mergeCell ref="DP37:DY37"/>
    <mergeCell ref="DZ37:EL37"/>
    <mergeCell ref="EM37:EY37"/>
    <mergeCell ref="EZ37:FL37"/>
    <mergeCell ref="FM37:FY37"/>
    <mergeCell ref="DZ35:EL36"/>
    <mergeCell ref="EM35:EY36"/>
    <mergeCell ref="EZ35:FL36"/>
    <mergeCell ref="FM35:FY36"/>
    <mergeCell ref="I36:CM36"/>
    <mergeCell ref="A37:H37"/>
    <mergeCell ref="I37:CM37"/>
    <mergeCell ref="CN37:CU37"/>
    <mergeCell ref="CV37:DE37"/>
    <mergeCell ref="DF37:DO37"/>
    <mergeCell ref="A35:H36"/>
    <mergeCell ref="I35:CM35"/>
    <mergeCell ref="CN35:CU36"/>
    <mergeCell ref="CV35:DE36"/>
    <mergeCell ref="DF35:DO36"/>
    <mergeCell ref="DP35:DY36"/>
    <mergeCell ref="A38:H39"/>
    <mergeCell ref="I38:CM38"/>
    <mergeCell ref="CN38:CU39"/>
    <mergeCell ref="CV38:DE39"/>
    <mergeCell ref="DF38:DO39"/>
    <mergeCell ref="DP38:DY39"/>
    <mergeCell ref="FM33:FY33"/>
    <mergeCell ref="A34:H34"/>
    <mergeCell ref="I34:CM34"/>
    <mergeCell ref="CN34:CU34"/>
    <mergeCell ref="CV34:DE34"/>
    <mergeCell ref="DF34:DO34"/>
    <mergeCell ref="DP34:DY34"/>
    <mergeCell ref="DZ34:EL34"/>
    <mergeCell ref="EM34:EY34"/>
    <mergeCell ref="EZ34:FL34"/>
    <mergeCell ref="FM34:FY34"/>
    <mergeCell ref="A33:H33"/>
    <mergeCell ref="I33:CM33"/>
    <mergeCell ref="CN33:CU33"/>
    <mergeCell ref="CV33:DE33"/>
    <mergeCell ref="DF33:DO33"/>
    <mergeCell ref="DP33:DY33"/>
    <mergeCell ref="DZ33:EL33"/>
    <mergeCell ref="EM33:EY33"/>
    <mergeCell ref="EZ33:FL33"/>
    <mergeCell ref="FM31:FY31"/>
    <mergeCell ref="A31:H31"/>
    <mergeCell ref="I31:CM31"/>
    <mergeCell ref="CN31:CU31"/>
    <mergeCell ref="CV31:DE31"/>
    <mergeCell ref="DF31:DO31"/>
    <mergeCell ref="DP31:DY31"/>
    <mergeCell ref="DZ31:EL31"/>
    <mergeCell ref="EM31:EY31"/>
    <mergeCell ref="EZ31:FL31"/>
    <mergeCell ref="EM27:EY27"/>
    <mergeCell ref="EZ27:FL27"/>
    <mergeCell ref="FM29:FY29"/>
    <mergeCell ref="A30:H30"/>
    <mergeCell ref="I30:CM30"/>
    <mergeCell ref="CN30:CU30"/>
    <mergeCell ref="CV30:DE30"/>
    <mergeCell ref="DF30:DO30"/>
    <mergeCell ref="DP30:DY30"/>
    <mergeCell ref="DZ30:EL30"/>
    <mergeCell ref="EM30:EY30"/>
    <mergeCell ref="EZ30:FL30"/>
    <mergeCell ref="FM30:FY30"/>
    <mergeCell ref="A29:H29"/>
    <mergeCell ref="I29:CM29"/>
    <mergeCell ref="CN29:CU29"/>
    <mergeCell ref="CV29:DE29"/>
    <mergeCell ref="DF29:DO29"/>
    <mergeCell ref="DP29:DY29"/>
    <mergeCell ref="DZ29:EL29"/>
    <mergeCell ref="EM29:EY29"/>
    <mergeCell ref="EZ29:FL29"/>
    <mergeCell ref="EZ26:FL26"/>
    <mergeCell ref="FM26:FY26"/>
    <mergeCell ref="A25:H25"/>
    <mergeCell ref="I25:CM25"/>
    <mergeCell ref="CN25:CU25"/>
    <mergeCell ref="CV25:DE25"/>
    <mergeCell ref="FM27:FY27"/>
    <mergeCell ref="A28:H28"/>
    <mergeCell ref="I28:CM28"/>
    <mergeCell ref="CN28:CU28"/>
    <mergeCell ref="CV28:DE28"/>
    <mergeCell ref="DF28:DO28"/>
    <mergeCell ref="DP28:DY28"/>
    <mergeCell ref="DZ28:EL28"/>
    <mergeCell ref="EM28:EY28"/>
    <mergeCell ref="EZ28:FL28"/>
    <mergeCell ref="FM28:FY28"/>
    <mergeCell ref="A27:H27"/>
    <mergeCell ref="I27:CM27"/>
    <mergeCell ref="CN27:CU27"/>
    <mergeCell ref="CV27:DE27"/>
    <mergeCell ref="DF27:DO27"/>
    <mergeCell ref="DP27:DY27"/>
    <mergeCell ref="DZ27:EL27"/>
    <mergeCell ref="FM23:FY23"/>
    <mergeCell ref="A24:H24"/>
    <mergeCell ref="I24:CM24"/>
    <mergeCell ref="CN24:CU24"/>
    <mergeCell ref="CV24:DE24"/>
    <mergeCell ref="DF24:DO24"/>
    <mergeCell ref="DP24:DY24"/>
    <mergeCell ref="DZ24:EL24"/>
    <mergeCell ref="EM24:EY24"/>
    <mergeCell ref="EZ24:FL24"/>
    <mergeCell ref="FM24:FY24"/>
    <mergeCell ref="A23:H23"/>
    <mergeCell ref="I23:CM23"/>
    <mergeCell ref="CN23:CU23"/>
    <mergeCell ref="CV23:DE23"/>
    <mergeCell ref="DF23:DO23"/>
    <mergeCell ref="DP23:DY23"/>
    <mergeCell ref="DZ23:EL23"/>
    <mergeCell ref="EM23:EY23"/>
    <mergeCell ref="EZ23:FL23"/>
    <mergeCell ref="FM21:FY21"/>
    <mergeCell ref="A22:H22"/>
    <mergeCell ref="I22:CM22"/>
    <mergeCell ref="CN22:CU22"/>
    <mergeCell ref="CV22:DE22"/>
    <mergeCell ref="DF22:DO22"/>
    <mergeCell ref="DP22:DY22"/>
    <mergeCell ref="DZ22:EL22"/>
    <mergeCell ref="EM22:EY22"/>
    <mergeCell ref="EZ22:FL22"/>
    <mergeCell ref="FM22:FY22"/>
    <mergeCell ref="A21:H21"/>
    <mergeCell ref="I21:CM21"/>
    <mergeCell ref="CN21:CU21"/>
    <mergeCell ref="CV21:DE21"/>
    <mergeCell ref="DF21:DO21"/>
    <mergeCell ref="DP21:DY21"/>
    <mergeCell ref="DZ21:EL21"/>
    <mergeCell ref="EM21:EY21"/>
    <mergeCell ref="EZ21:FL21"/>
    <mergeCell ref="FM19:FY19"/>
    <mergeCell ref="A20:H20"/>
    <mergeCell ref="I20:CM20"/>
    <mergeCell ref="CN20:CU20"/>
    <mergeCell ref="CV20:DE20"/>
    <mergeCell ref="DF20:DO20"/>
    <mergeCell ref="DP20:DY20"/>
    <mergeCell ref="DZ20:EL20"/>
    <mergeCell ref="EM20:EY20"/>
    <mergeCell ref="EZ20:FL20"/>
    <mergeCell ref="FM20:FY20"/>
    <mergeCell ref="A19:H19"/>
    <mergeCell ref="I19:CM19"/>
    <mergeCell ref="CN19:CU19"/>
    <mergeCell ref="CV19:DE19"/>
    <mergeCell ref="DF19:DO19"/>
    <mergeCell ref="DP19:DY19"/>
    <mergeCell ref="DZ19:EL19"/>
    <mergeCell ref="EM19:EY19"/>
    <mergeCell ref="EZ19:FL19"/>
    <mergeCell ref="FM17:FY17"/>
    <mergeCell ref="A18:H18"/>
    <mergeCell ref="I18:CM18"/>
    <mergeCell ref="CN18:CU18"/>
    <mergeCell ref="CV18:DE18"/>
    <mergeCell ref="DF18:DO18"/>
    <mergeCell ref="DP18:DY18"/>
    <mergeCell ref="DZ18:EL18"/>
    <mergeCell ref="EM18:EY18"/>
    <mergeCell ref="EZ18:FL18"/>
    <mergeCell ref="FM18:FY18"/>
    <mergeCell ref="A17:H17"/>
    <mergeCell ref="I17:CM17"/>
    <mergeCell ref="CN17:CU17"/>
    <mergeCell ref="CV17:DE17"/>
    <mergeCell ref="DF17:DO17"/>
    <mergeCell ref="DP17:DY17"/>
    <mergeCell ref="DZ17:EL17"/>
    <mergeCell ref="EM17:EY17"/>
    <mergeCell ref="EZ17:FL17"/>
    <mergeCell ref="FM15:FY15"/>
    <mergeCell ref="A16:H16"/>
    <mergeCell ref="I16:CM16"/>
    <mergeCell ref="CN16:CU16"/>
    <mergeCell ref="CV16:DE16"/>
    <mergeCell ref="DF16:DO16"/>
    <mergeCell ref="DP16:DY16"/>
    <mergeCell ref="DZ16:EL16"/>
    <mergeCell ref="EM16:EY16"/>
    <mergeCell ref="EZ16:FL16"/>
    <mergeCell ref="FM16:FY16"/>
    <mergeCell ref="A15:H15"/>
    <mergeCell ref="I15:CM15"/>
    <mergeCell ref="CN15:CU15"/>
    <mergeCell ref="CV15:DE15"/>
    <mergeCell ref="DF15:DO15"/>
    <mergeCell ref="DP15:DY15"/>
    <mergeCell ref="DZ15:EL15"/>
    <mergeCell ref="EM15:EY15"/>
    <mergeCell ref="EZ15:FL15"/>
    <mergeCell ref="FM13:FY13"/>
    <mergeCell ref="A14:H14"/>
    <mergeCell ref="I14:CM14"/>
    <mergeCell ref="CN14:CU14"/>
    <mergeCell ref="CV14:DE14"/>
    <mergeCell ref="DF14:DO14"/>
    <mergeCell ref="DP14:DY14"/>
    <mergeCell ref="DZ14:EL14"/>
    <mergeCell ref="EM14:EY14"/>
    <mergeCell ref="EZ14:FL14"/>
    <mergeCell ref="FM14:FY14"/>
    <mergeCell ref="A13:H13"/>
    <mergeCell ref="I13:CM13"/>
    <mergeCell ref="CN13:CU13"/>
    <mergeCell ref="CV13:DE13"/>
    <mergeCell ref="DF13:DO13"/>
    <mergeCell ref="DP13:DY13"/>
    <mergeCell ref="DZ13:EL13"/>
    <mergeCell ref="EM13:EY13"/>
    <mergeCell ref="EZ13:FL13"/>
    <mergeCell ref="FM11:FY11"/>
    <mergeCell ref="A12:H12"/>
    <mergeCell ref="I12:CM12"/>
    <mergeCell ref="CN12:CU12"/>
    <mergeCell ref="CV12:DE12"/>
    <mergeCell ref="DF12:DO12"/>
    <mergeCell ref="DP12:DY12"/>
    <mergeCell ref="DZ12:EL12"/>
    <mergeCell ref="EM12:EY12"/>
    <mergeCell ref="EZ12:FL12"/>
    <mergeCell ref="FM12:FY12"/>
    <mergeCell ref="A11:H11"/>
    <mergeCell ref="I11:CM11"/>
    <mergeCell ref="CN11:CU11"/>
    <mergeCell ref="CV11:DE11"/>
    <mergeCell ref="DF11:DO11"/>
    <mergeCell ref="DP11:DY11"/>
    <mergeCell ref="CV8:DE8"/>
    <mergeCell ref="DF8:DO8"/>
    <mergeCell ref="DP8:DY8"/>
    <mergeCell ref="DZ8:EL8"/>
    <mergeCell ref="EM8:EY8"/>
    <mergeCell ref="EZ8:FL8"/>
    <mergeCell ref="DZ11:EL11"/>
    <mergeCell ref="EM11:EY11"/>
    <mergeCell ref="EZ11:FL11"/>
    <mergeCell ref="FM8:FY8"/>
    <mergeCell ref="DP9:DY9"/>
    <mergeCell ref="DZ9:EL9"/>
    <mergeCell ref="EM9:EY9"/>
    <mergeCell ref="EZ9:FL9"/>
    <mergeCell ref="A10:H10"/>
    <mergeCell ref="I10:CM10"/>
    <mergeCell ref="CN10:CU10"/>
    <mergeCell ref="CV10:DE10"/>
    <mergeCell ref="DF10:DO10"/>
    <mergeCell ref="DP10:DY10"/>
    <mergeCell ref="FM9:FY9"/>
    <mergeCell ref="A9:H9"/>
    <mergeCell ref="I9:CM9"/>
    <mergeCell ref="CN9:CU9"/>
    <mergeCell ref="CV9:DE9"/>
    <mergeCell ref="DF9:DO9"/>
    <mergeCell ref="DZ10:EL10"/>
    <mergeCell ref="EM10:EY10"/>
    <mergeCell ref="EZ10:FL10"/>
    <mergeCell ref="FM10:FY10"/>
    <mergeCell ref="A8:H8"/>
    <mergeCell ref="I8:CM8"/>
    <mergeCell ref="CN8:CU8"/>
    <mergeCell ref="DP6:DY6"/>
    <mergeCell ref="DZ6:EL6"/>
    <mergeCell ref="EM6:EY6"/>
    <mergeCell ref="EZ6:FL6"/>
    <mergeCell ref="FM6:FY6"/>
    <mergeCell ref="A7:H7"/>
    <mergeCell ref="I7:CM7"/>
    <mergeCell ref="CN7:CU7"/>
    <mergeCell ref="CV7:DE7"/>
    <mergeCell ref="DF7:DO7"/>
    <mergeCell ref="A6:H6"/>
    <mergeCell ref="I6:CM6"/>
    <mergeCell ref="CN6:CU6"/>
    <mergeCell ref="CV6:DE6"/>
    <mergeCell ref="DF6:DO6"/>
    <mergeCell ref="DP7:DY7"/>
    <mergeCell ref="DZ7:EL7"/>
    <mergeCell ref="EM7:EY7"/>
    <mergeCell ref="EZ7:FL7"/>
    <mergeCell ref="FM7:FY7"/>
    <mergeCell ref="EI4:EL4"/>
    <mergeCell ref="EM4:ER4"/>
    <mergeCell ref="ES4:EU4"/>
    <mergeCell ref="EV4:EY4"/>
    <mergeCell ref="B1:FX1"/>
    <mergeCell ref="A3:H5"/>
    <mergeCell ref="I3:CM5"/>
    <mergeCell ref="CN3:CU5"/>
    <mergeCell ref="CV3:DE5"/>
    <mergeCell ref="DF3:DO5"/>
    <mergeCell ref="DP3:DY5"/>
    <mergeCell ref="DZ3:FY3"/>
    <mergeCell ref="DZ4:EE4"/>
    <mergeCell ref="EF4:EH4"/>
    <mergeCell ref="FI4:FL4"/>
    <mergeCell ref="FM4:FY5"/>
    <mergeCell ref="DZ5:EL5"/>
    <mergeCell ref="EM5:EY5"/>
    <mergeCell ref="EZ5:FL5"/>
    <mergeCell ref="EZ4:FE4"/>
    <mergeCell ref="FF4:FH4"/>
    <mergeCell ref="DF25:DO25"/>
    <mergeCell ref="DP25:DY25"/>
    <mergeCell ref="DZ25:EL25"/>
    <mergeCell ref="EM25:EY25"/>
    <mergeCell ref="EZ25:FL25"/>
    <mergeCell ref="FM25:FY25"/>
    <mergeCell ref="A32:H32"/>
    <mergeCell ref="I32:CM32"/>
    <mergeCell ref="CN32:CU32"/>
    <mergeCell ref="CV32:DE32"/>
    <mergeCell ref="DF32:DO32"/>
    <mergeCell ref="DP32:DY32"/>
    <mergeCell ref="DZ32:EL32"/>
    <mergeCell ref="EM32:EY32"/>
    <mergeCell ref="EZ32:FL32"/>
    <mergeCell ref="FM32:FY32"/>
    <mergeCell ref="A26:H26"/>
    <mergeCell ref="I26:CM26"/>
    <mergeCell ref="CN26:CU26"/>
    <mergeCell ref="CV26:DE26"/>
    <mergeCell ref="DF26:DO26"/>
    <mergeCell ref="DP26:DY26"/>
    <mergeCell ref="DZ26:EL26"/>
    <mergeCell ref="EM26:EY26"/>
  </mergeCells>
  <pageMargins left="0.25" right="0.25" top="0.75" bottom="0.75" header="0.3" footer="0.3"/>
  <pageSetup paperSize="9" scale="77" fitToHeight="0" orientation="landscape" r:id="rId1"/>
  <rowBreaks count="1" manualBreakCount="1">
    <brk id="25" max="18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L9"/>
  <sheetViews>
    <sheetView view="pageBreakPreview" zoomScale="82" zoomScaleNormal="100" zoomScaleSheetLayoutView="82" workbookViewId="0">
      <selection activeCell="L16" sqref="L16"/>
    </sheetView>
  </sheetViews>
  <sheetFormatPr defaultColWidth="8.85546875" defaultRowHeight="12.75" x14ac:dyDescent="0.2"/>
  <cols>
    <col min="1" max="1" width="5.85546875" customWidth="1"/>
    <col min="3" max="3" width="32.7109375" customWidth="1"/>
    <col min="4" max="4" width="10.85546875" customWidth="1"/>
    <col min="5" max="5" width="13.28515625" customWidth="1"/>
    <col min="6" max="6" width="15.28515625" customWidth="1"/>
    <col min="7" max="7" width="17.85546875" customWidth="1"/>
    <col min="8" max="8" width="13.85546875" customWidth="1"/>
    <col min="9" max="9" width="13.28515625" customWidth="1"/>
    <col min="11" max="11" width="9.85546875" customWidth="1"/>
    <col min="12" max="12" width="26.85546875" customWidth="1"/>
  </cols>
  <sheetData>
    <row r="1" spans="1:12" s="137" customFormat="1" ht="25.15" customHeight="1" x14ac:dyDescent="0.2">
      <c r="A1" s="1777" t="s">
        <v>1517</v>
      </c>
      <c r="B1" s="1777"/>
      <c r="C1" s="1777"/>
      <c r="D1" s="1777"/>
      <c r="E1" s="1777"/>
      <c r="F1" s="1777"/>
      <c r="G1" s="1777"/>
      <c r="H1" s="1777"/>
      <c r="I1" s="1777"/>
      <c r="J1" s="1777"/>
      <c r="K1" s="1777"/>
      <c r="L1" s="1777"/>
    </row>
    <row r="2" spans="1:12" s="137" customFormat="1" x14ac:dyDescent="0.2"/>
    <row r="3" spans="1:12" s="137" customFormat="1" ht="12" customHeight="1" x14ac:dyDescent="0.2">
      <c r="A3" s="1778" t="s">
        <v>38</v>
      </c>
      <c r="B3" s="1781" t="s">
        <v>4</v>
      </c>
      <c r="C3" s="1782"/>
      <c r="D3" s="1778" t="s">
        <v>843</v>
      </c>
      <c r="E3" s="1778" t="s">
        <v>844</v>
      </c>
      <c r="F3" s="1778" t="s">
        <v>6</v>
      </c>
      <c r="G3" s="1770" t="s">
        <v>52</v>
      </c>
      <c r="H3" s="1787"/>
      <c r="I3" s="1787"/>
      <c r="J3" s="1787"/>
      <c r="K3" s="1787"/>
      <c r="L3" s="1771"/>
    </row>
    <row r="4" spans="1:12" s="137" customFormat="1" ht="103.5" customHeight="1" x14ac:dyDescent="0.2">
      <c r="A4" s="1779"/>
      <c r="B4" s="1783"/>
      <c r="C4" s="1784"/>
      <c r="D4" s="1779"/>
      <c r="E4" s="1779"/>
      <c r="F4" s="1779"/>
      <c r="G4" s="1788" t="s">
        <v>35</v>
      </c>
      <c r="H4" s="1789"/>
      <c r="I4" s="1788" t="s">
        <v>45</v>
      </c>
      <c r="J4" s="1790"/>
      <c r="K4" s="1789"/>
      <c r="L4" s="1778" t="s">
        <v>46</v>
      </c>
    </row>
    <row r="5" spans="1:12" s="137" customFormat="1" ht="25.5" x14ac:dyDescent="0.2">
      <c r="A5" s="1780"/>
      <c r="B5" s="1785"/>
      <c r="C5" s="1786"/>
      <c r="D5" s="1780"/>
      <c r="E5" s="1780"/>
      <c r="F5" s="1780"/>
      <c r="G5" s="14" t="s">
        <v>43</v>
      </c>
      <c r="H5" s="14" t="s">
        <v>44</v>
      </c>
      <c r="I5" s="296" t="s">
        <v>55</v>
      </c>
      <c r="J5" s="14" t="s">
        <v>43</v>
      </c>
      <c r="K5" s="14" t="s">
        <v>44</v>
      </c>
      <c r="L5" s="1780"/>
    </row>
    <row r="6" spans="1:12" s="137" customFormat="1" x14ac:dyDescent="0.2">
      <c r="A6" s="16">
        <v>1</v>
      </c>
      <c r="B6" s="1770">
        <v>2</v>
      </c>
      <c r="C6" s="1771"/>
      <c r="D6" s="16">
        <v>3</v>
      </c>
      <c r="E6" s="16">
        <v>4</v>
      </c>
      <c r="F6" s="16" t="s">
        <v>49</v>
      </c>
      <c r="G6" s="16">
        <v>6</v>
      </c>
      <c r="H6" s="16">
        <v>7</v>
      </c>
      <c r="I6" s="297">
        <v>8</v>
      </c>
      <c r="J6" s="16">
        <v>9</v>
      </c>
      <c r="K6" s="16">
        <v>10</v>
      </c>
      <c r="L6" s="16">
        <v>11</v>
      </c>
    </row>
    <row r="7" spans="1:12" s="137" customFormat="1" ht="48" customHeight="1" x14ac:dyDescent="0.2">
      <c r="A7" s="295">
        <v>1</v>
      </c>
      <c r="B7" s="1772" t="s">
        <v>1515</v>
      </c>
      <c r="C7" s="1773"/>
      <c r="D7" s="16">
        <v>1</v>
      </c>
      <c r="E7" s="338">
        <f>F7/D7</f>
        <v>30000</v>
      </c>
      <c r="F7" s="334">
        <v>30000</v>
      </c>
      <c r="G7" s="334"/>
      <c r="H7" s="334"/>
      <c r="I7" s="295">
        <v>963324012</v>
      </c>
      <c r="J7" s="1075">
        <v>30000</v>
      </c>
      <c r="K7" s="295"/>
      <c r="L7" s="295"/>
    </row>
    <row r="8" spans="1:12" s="137" customFormat="1" x14ac:dyDescent="0.2">
      <c r="A8" s="1774" t="s">
        <v>1514</v>
      </c>
      <c r="B8" s="1775"/>
      <c r="C8" s="1776"/>
      <c r="D8" s="298" t="s">
        <v>3</v>
      </c>
      <c r="E8" s="298" t="s">
        <v>3</v>
      </c>
      <c r="F8" s="335">
        <f>G8+H8+J8+K8</f>
        <v>30000</v>
      </c>
      <c r="G8" s="336">
        <f>G7</f>
        <v>0</v>
      </c>
      <c r="H8" s="337">
        <f>H7</f>
        <v>0</v>
      </c>
      <c r="I8" s="295"/>
      <c r="J8" s="1075">
        <f>J7</f>
        <v>30000</v>
      </c>
      <c r="K8" s="295"/>
      <c r="L8" s="295"/>
    </row>
    <row r="9" spans="1:12" s="137" customFormat="1" x14ac:dyDescent="0.2"/>
  </sheetData>
  <mergeCells count="13">
    <mergeCell ref="B6:C6"/>
    <mergeCell ref="B7:C7"/>
    <mergeCell ref="A8:C8"/>
    <mergeCell ref="A1:L1"/>
    <mergeCell ref="A3:A5"/>
    <mergeCell ref="B3:C5"/>
    <mergeCell ref="D3:D5"/>
    <mergeCell ref="E3:E5"/>
    <mergeCell ref="F3:F5"/>
    <mergeCell ref="G3:L3"/>
    <mergeCell ref="G4:H4"/>
    <mergeCell ref="I4:K4"/>
    <mergeCell ref="L4:L5"/>
  </mergeCells>
  <pageMargins left="0.7" right="0.7" top="0.75" bottom="0.75" header="0.3" footer="0.3"/>
  <pageSetup paperSize="9" scale="7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W37"/>
  <sheetViews>
    <sheetView view="pageBreakPreview" zoomScale="78" zoomScaleNormal="100" zoomScaleSheetLayoutView="78" workbookViewId="0">
      <selection activeCell="V6" sqref="V6"/>
    </sheetView>
  </sheetViews>
  <sheetFormatPr defaultRowHeight="12.75" x14ac:dyDescent="0.2"/>
  <cols>
    <col min="2" max="2" width="15.140625" customWidth="1"/>
    <col min="10" max="10" width="14.5703125" customWidth="1"/>
    <col min="11" max="11" width="12.5703125" customWidth="1"/>
    <col min="12" max="12" width="15.140625" customWidth="1"/>
    <col min="13" max="13" width="12.5703125" customWidth="1"/>
    <col min="14" max="14" width="13.28515625" customWidth="1"/>
    <col min="18" max="19" width="13.42578125" customWidth="1"/>
    <col min="20" max="20" width="14" customWidth="1"/>
    <col min="21" max="21" width="13.5703125" customWidth="1"/>
    <col min="22" max="22" width="15" customWidth="1"/>
    <col min="23" max="23" width="13.5703125" customWidth="1"/>
  </cols>
  <sheetData>
    <row r="1" spans="1:23" ht="21" thickBot="1" x14ac:dyDescent="0.25">
      <c r="A1" s="1646" t="s">
        <v>1379</v>
      </c>
      <c r="B1" s="1646"/>
      <c r="C1" s="1646"/>
      <c r="D1" s="1646"/>
      <c r="E1" s="1646"/>
      <c r="F1" s="1646"/>
      <c r="G1" s="1646"/>
      <c r="H1" s="1646"/>
      <c r="I1" s="1646"/>
      <c r="J1" s="1646"/>
      <c r="K1" s="1646"/>
      <c r="L1" s="1646"/>
      <c r="M1" s="1647"/>
      <c r="N1" s="1647"/>
      <c r="O1" s="1647"/>
      <c r="P1" s="1647"/>
      <c r="Q1" s="1647"/>
      <c r="R1" s="1647"/>
      <c r="S1" s="1646"/>
      <c r="T1" s="1646"/>
      <c r="U1" s="1646"/>
      <c r="V1" s="1646"/>
      <c r="W1" s="301"/>
    </row>
    <row r="2" spans="1:23" ht="15" x14ac:dyDescent="0.2">
      <c r="A2" s="1714" t="s">
        <v>794</v>
      </c>
      <c r="B2" s="1715"/>
      <c r="C2" s="1718" t="s">
        <v>795</v>
      </c>
      <c r="D2" s="1721" t="s">
        <v>796</v>
      </c>
      <c r="E2" s="1724" t="s">
        <v>797</v>
      </c>
      <c r="F2" s="1725"/>
      <c r="G2" s="1725"/>
      <c r="H2" s="1725"/>
      <c r="I2" s="1726"/>
      <c r="J2" s="1727" t="s">
        <v>872</v>
      </c>
      <c r="K2" s="1727" t="s">
        <v>849</v>
      </c>
      <c r="L2" s="1727" t="s">
        <v>800</v>
      </c>
      <c r="M2" s="1730" t="s">
        <v>1367</v>
      </c>
      <c r="N2" s="1730"/>
      <c r="O2" s="1730"/>
      <c r="P2" s="1730"/>
      <c r="Q2" s="1730"/>
      <c r="R2" s="1730"/>
      <c r="S2" s="1731" t="s">
        <v>802</v>
      </c>
      <c r="T2" s="1735" t="s">
        <v>873</v>
      </c>
      <c r="U2" s="1727" t="s">
        <v>804</v>
      </c>
      <c r="V2" s="1727" t="s">
        <v>805</v>
      </c>
      <c r="W2" s="1727" t="s">
        <v>806</v>
      </c>
    </row>
    <row r="3" spans="1:23" ht="15" x14ac:dyDescent="0.2">
      <c r="A3" s="1716"/>
      <c r="B3" s="1717"/>
      <c r="C3" s="1719"/>
      <c r="D3" s="1722"/>
      <c r="E3" s="1736" t="s">
        <v>807</v>
      </c>
      <c r="F3" s="1737"/>
      <c r="G3" s="1738" t="s">
        <v>808</v>
      </c>
      <c r="H3" s="1736" t="s">
        <v>809</v>
      </c>
      <c r="I3" s="1737"/>
      <c r="J3" s="1719"/>
      <c r="K3" s="1728"/>
      <c r="L3" s="1728"/>
      <c r="M3" s="1740" t="s">
        <v>850</v>
      </c>
      <c r="N3" s="1740" t="s">
        <v>851</v>
      </c>
      <c r="O3" s="1740" t="s">
        <v>812</v>
      </c>
      <c r="P3" s="1741" t="s">
        <v>852</v>
      </c>
      <c r="Q3" s="1741"/>
      <c r="R3" s="1741" t="s">
        <v>189</v>
      </c>
      <c r="S3" s="1732"/>
      <c r="T3" s="1722"/>
      <c r="U3" s="1719"/>
      <c r="V3" s="1719"/>
      <c r="W3" s="1719"/>
    </row>
    <row r="4" spans="1:23" ht="135" x14ac:dyDescent="0.2">
      <c r="A4" s="1716"/>
      <c r="B4" s="1717"/>
      <c r="C4" s="1720"/>
      <c r="D4" s="1723"/>
      <c r="E4" s="304" t="s">
        <v>814</v>
      </c>
      <c r="F4" s="304" t="s">
        <v>815</v>
      </c>
      <c r="G4" s="1739"/>
      <c r="H4" s="304" t="s">
        <v>816</v>
      </c>
      <c r="I4" s="304" t="s">
        <v>817</v>
      </c>
      <c r="J4" s="1720"/>
      <c r="K4" s="1729"/>
      <c r="L4" s="1729"/>
      <c r="M4" s="1740"/>
      <c r="N4" s="1740"/>
      <c r="O4" s="1740"/>
      <c r="P4" s="1742"/>
      <c r="Q4" s="1742"/>
      <c r="R4" s="1742"/>
      <c r="S4" s="1733"/>
      <c r="T4" s="1723"/>
      <c r="U4" s="1720"/>
      <c r="V4" s="1720"/>
      <c r="W4" s="1720"/>
    </row>
    <row r="5" spans="1:23" ht="15" x14ac:dyDescent="0.2">
      <c r="A5" s="1743">
        <v>1</v>
      </c>
      <c r="B5" s="1744"/>
      <c r="C5" s="305">
        <v>2</v>
      </c>
      <c r="D5" s="305">
        <v>3</v>
      </c>
      <c r="E5" s="305">
        <v>4</v>
      </c>
      <c r="F5" s="305">
        <v>5</v>
      </c>
      <c r="G5" s="305">
        <v>6</v>
      </c>
      <c r="H5" s="305">
        <v>7</v>
      </c>
      <c r="I5" s="305">
        <v>8</v>
      </c>
      <c r="J5" s="305">
        <v>9</v>
      </c>
      <c r="K5" s="305">
        <v>10</v>
      </c>
      <c r="L5" s="305">
        <v>11</v>
      </c>
      <c r="M5" s="305">
        <v>12</v>
      </c>
      <c r="N5" s="305">
        <v>13</v>
      </c>
      <c r="O5" s="305">
        <v>13</v>
      </c>
      <c r="P5" s="305">
        <v>14</v>
      </c>
      <c r="Q5" s="305">
        <v>15</v>
      </c>
      <c r="R5" s="305">
        <v>15</v>
      </c>
      <c r="S5" s="305">
        <v>16</v>
      </c>
      <c r="T5" s="305">
        <v>17</v>
      </c>
      <c r="U5" s="305">
        <v>18</v>
      </c>
      <c r="V5" s="305">
        <v>19</v>
      </c>
      <c r="W5" s="305">
        <v>19</v>
      </c>
    </row>
    <row r="6" spans="1:23" ht="15" x14ac:dyDescent="0.2">
      <c r="A6" s="1734" t="s">
        <v>202</v>
      </c>
      <c r="B6" s="1734"/>
      <c r="C6" s="303">
        <v>1</v>
      </c>
      <c r="D6" s="303"/>
      <c r="E6" s="303"/>
      <c r="F6" s="303"/>
      <c r="G6" s="303"/>
      <c r="H6" s="303"/>
      <c r="I6" s="303"/>
      <c r="J6" s="306">
        <v>58174.87</v>
      </c>
      <c r="K6" s="306"/>
      <c r="L6" s="306">
        <f>J6</f>
        <v>58174.87</v>
      </c>
      <c r="M6" s="306"/>
      <c r="N6" s="306"/>
      <c r="O6" s="306"/>
      <c r="P6" s="306"/>
      <c r="Q6" s="306"/>
      <c r="R6" s="306">
        <f>M6+N6+O6+P6+Q6</f>
        <v>0</v>
      </c>
      <c r="S6" s="306">
        <f>L6+R6</f>
        <v>58174.87</v>
      </c>
      <c r="T6" s="306">
        <f t="shared" ref="T6:T22" si="0">L6*22%</f>
        <v>12798.4714</v>
      </c>
      <c r="U6" s="306">
        <f>S6+T6</f>
        <v>70973.341400000005</v>
      </c>
      <c r="V6" s="306">
        <f>U6*6</f>
        <v>425840.04840000003</v>
      </c>
      <c r="W6" s="306">
        <f>V6*30.2%</f>
        <v>128603.6946168</v>
      </c>
    </row>
    <row r="7" spans="1:23" ht="15" x14ac:dyDescent="0.2">
      <c r="A7" s="1734" t="s">
        <v>853</v>
      </c>
      <c r="B7" s="1734"/>
      <c r="C7" s="303">
        <v>1</v>
      </c>
      <c r="D7" s="303"/>
      <c r="E7" s="303"/>
      <c r="F7" s="303"/>
      <c r="G7" s="303"/>
      <c r="H7" s="303"/>
      <c r="I7" s="303"/>
      <c r="J7" s="306">
        <v>45528.160000000003</v>
      </c>
      <c r="K7" s="306"/>
      <c r="L7" s="306">
        <f t="shared" ref="L7:L27" si="1">J7</f>
        <v>45528.160000000003</v>
      </c>
      <c r="M7" s="306"/>
      <c r="N7" s="306"/>
      <c r="O7" s="306"/>
      <c r="P7" s="306"/>
      <c r="Q7" s="306"/>
      <c r="R7" s="306">
        <f t="shared" ref="R7:R27" si="2">M7+N7+O7+P7+Q7</f>
        <v>0</v>
      </c>
      <c r="S7" s="306">
        <f t="shared" ref="S7:S27" si="3">L7+R7</f>
        <v>45528.160000000003</v>
      </c>
      <c r="T7" s="306">
        <f t="shared" si="0"/>
        <v>10016.1952</v>
      </c>
      <c r="U7" s="306">
        <f t="shared" ref="U7:U24" si="4">S7+T7</f>
        <v>55544.355200000005</v>
      </c>
      <c r="V7" s="306">
        <f t="shared" ref="V7:V27" si="5">U7*6</f>
        <v>333266.13120000006</v>
      </c>
      <c r="W7" s="306">
        <f t="shared" ref="W7:W27" si="6">V7*30.2%</f>
        <v>100646.37162240001</v>
      </c>
    </row>
    <row r="8" spans="1:23" ht="15" x14ac:dyDescent="0.2">
      <c r="A8" s="1734" t="s">
        <v>855</v>
      </c>
      <c r="B8" s="1734"/>
      <c r="C8" s="303">
        <v>0.5</v>
      </c>
      <c r="D8" s="303"/>
      <c r="E8" s="303"/>
      <c r="F8" s="303"/>
      <c r="G8" s="303"/>
      <c r="H8" s="303"/>
      <c r="I8" s="303"/>
      <c r="J8" s="306">
        <f>45528.16*0.5</f>
        <v>22764.080000000002</v>
      </c>
      <c r="K8" s="306"/>
      <c r="L8" s="306">
        <f t="shared" si="1"/>
        <v>22764.080000000002</v>
      </c>
      <c r="M8" s="306"/>
      <c r="N8" s="306"/>
      <c r="O8" s="306"/>
      <c r="P8" s="306"/>
      <c r="Q8" s="306"/>
      <c r="R8" s="306">
        <f t="shared" si="2"/>
        <v>0</v>
      </c>
      <c r="S8" s="306">
        <f t="shared" si="3"/>
        <v>22764.080000000002</v>
      </c>
      <c r="T8" s="306">
        <f t="shared" si="0"/>
        <v>5008.0976000000001</v>
      </c>
      <c r="U8" s="306">
        <f t="shared" si="4"/>
        <v>27772.177600000003</v>
      </c>
      <c r="V8" s="306">
        <f t="shared" si="5"/>
        <v>166633.06560000003</v>
      </c>
      <c r="W8" s="306">
        <f t="shared" si="6"/>
        <v>50323.185811200005</v>
      </c>
    </row>
    <row r="9" spans="1:23" ht="15" x14ac:dyDescent="0.2">
      <c r="A9" s="1734" t="s">
        <v>857</v>
      </c>
      <c r="B9" s="1734"/>
      <c r="C9" s="303">
        <v>0.25</v>
      </c>
      <c r="D9" s="303"/>
      <c r="E9" s="303"/>
      <c r="F9" s="303"/>
      <c r="G9" s="303"/>
      <c r="H9" s="303"/>
      <c r="I9" s="303"/>
      <c r="J9" s="306">
        <f>45528.16*0.25</f>
        <v>11382.04</v>
      </c>
      <c r="K9" s="306"/>
      <c r="L9" s="306">
        <f t="shared" si="1"/>
        <v>11382.04</v>
      </c>
      <c r="M9" s="306"/>
      <c r="N9" s="306"/>
      <c r="O9" s="306"/>
      <c r="P9" s="306"/>
      <c r="Q9" s="306"/>
      <c r="R9" s="306">
        <f t="shared" si="2"/>
        <v>0</v>
      </c>
      <c r="S9" s="306">
        <f t="shared" si="3"/>
        <v>11382.04</v>
      </c>
      <c r="T9" s="306">
        <f t="shared" si="0"/>
        <v>2504.0488</v>
      </c>
      <c r="U9" s="306">
        <f t="shared" si="4"/>
        <v>13886.088800000001</v>
      </c>
      <c r="V9" s="306">
        <f t="shared" si="5"/>
        <v>83316.532800000015</v>
      </c>
      <c r="W9" s="306">
        <f t="shared" si="6"/>
        <v>25161.592905600002</v>
      </c>
    </row>
    <row r="10" spans="1:23" ht="15" x14ac:dyDescent="0.2">
      <c r="A10" s="1734" t="s">
        <v>564</v>
      </c>
      <c r="B10" s="1734"/>
      <c r="C10" s="303">
        <v>0.5</v>
      </c>
      <c r="D10" s="303"/>
      <c r="E10" s="303"/>
      <c r="F10" s="303"/>
      <c r="G10" s="303"/>
      <c r="H10" s="303"/>
      <c r="I10" s="303"/>
      <c r="J10" s="306">
        <f>45528.16*0.5</f>
        <v>22764.080000000002</v>
      </c>
      <c r="K10" s="306"/>
      <c r="L10" s="306">
        <f>J10</f>
        <v>22764.080000000002</v>
      </c>
      <c r="M10" s="306"/>
      <c r="N10" s="306"/>
      <c r="O10" s="306"/>
      <c r="P10" s="306"/>
      <c r="Q10" s="306"/>
      <c r="R10" s="306">
        <f>M10+N10+O10+P10+Q10</f>
        <v>0</v>
      </c>
      <c r="S10" s="306">
        <f>L10+R10</f>
        <v>22764.080000000002</v>
      </c>
      <c r="T10" s="306">
        <f t="shared" si="0"/>
        <v>5008.0976000000001</v>
      </c>
      <c r="U10" s="306">
        <f>S10+T10</f>
        <v>27772.177600000003</v>
      </c>
      <c r="V10" s="306">
        <f t="shared" si="5"/>
        <v>166633.06560000003</v>
      </c>
      <c r="W10" s="306">
        <f t="shared" si="6"/>
        <v>50323.185811200005</v>
      </c>
    </row>
    <row r="11" spans="1:23" ht="15" x14ac:dyDescent="0.2">
      <c r="A11" s="1734" t="s">
        <v>859</v>
      </c>
      <c r="B11" s="1734"/>
      <c r="C11" s="303">
        <v>0.5</v>
      </c>
      <c r="D11" s="303">
        <v>12265</v>
      </c>
      <c r="E11" s="303">
        <v>1.8</v>
      </c>
      <c r="F11" s="303"/>
      <c r="G11" s="303"/>
      <c r="H11" s="303"/>
      <c r="I11" s="303"/>
      <c r="J11" s="306">
        <f>ROUND(D11*E11*C11,2)</f>
        <v>11038.5</v>
      </c>
      <c r="K11" s="306"/>
      <c r="L11" s="306">
        <f t="shared" ref="L11" si="7">J11</f>
        <v>11038.5</v>
      </c>
      <c r="M11" s="306"/>
      <c r="N11" s="306"/>
      <c r="O11" s="306"/>
      <c r="P11" s="306"/>
      <c r="Q11" s="306"/>
      <c r="R11" s="306">
        <f t="shared" ref="R11" si="8">M11+N11+O11+P11+Q11</f>
        <v>0</v>
      </c>
      <c r="S11" s="306">
        <f t="shared" ref="S11" si="9">L11+R11</f>
        <v>11038.5</v>
      </c>
      <c r="T11" s="306">
        <f t="shared" si="0"/>
        <v>2428.4699999999998</v>
      </c>
      <c r="U11" s="306">
        <f t="shared" ref="U11" si="10">S11+T11</f>
        <v>13466.97</v>
      </c>
      <c r="V11" s="306">
        <f t="shared" si="5"/>
        <v>80801.819999999992</v>
      </c>
      <c r="W11" s="306">
        <f t="shared" si="6"/>
        <v>24402.149639999996</v>
      </c>
    </row>
    <row r="12" spans="1:23" ht="15" x14ac:dyDescent="0.2">
      <c r="A12" s="1746" t="s">
        <v>860</v>
      </c>
      <c r="B12" s="1747"/>
      <c r="C12" s="303">
        <v>5.37</v>
      </c>
      <c r="D12" s="303">
        <v>12265</v>
      </c>
      <c r="E12" s="303">
        <v>1.7</v>
      </c>
      <c r="F12" s="303"/>
      <c r="G12" s="303"/>
      <c r="H12" s="303"/>
      <c r="I12" s="308"/>
      <c r="J12" s="306">
        <f>ROUND(D12*E12*C12,2)</f>
        <v>111967.19</v>
      </c>
      <c r="K12" s="306">
        <v>4633.4399999999996</v>
      </c>
      <c r="L12" s="306">
        <f>J12+K12</f>
        <v>116600.63</v>
      </c>
      <c r="M12" s="306">
        <v>9236.23</v>
      </c>
      <c r="N12" s="306">
        <v>18571.43</v>
      </c>
      <c r="O12" s="306"/>
      <c r="P12" s="306"/>
      <c r="Q12" s="306"/>
      <c r="R12" s="306">
        <f>M12+N12</f>
        <v>27807.66</v>
      </c>
      <c r="S12" s="306">
        <f>L12+R12</f>
        <v>144408.29</v>
      </c>
      <c r="T12" s="306">
        <f t="shared" si="0"/>
        <v>25652.138600000002</v>
      </c>
      <c r="U12" s="306">
        <f>S12+T12-136.12</f>
        <v>169924.30860000002</v>
      </c>
      <c r="V12" s="306">
        <f t="shared" si="5"/>
        <v>1019545.8516000002</v>
      </c>
      <c r="W12" s="306">
        <f t="shared" si="6"/>
        <v>307902.84718320007</v>
      </c>
    </row>
    <row r="13" spans="1:23" ht="15" x14ac:dyDescent="0.2">
      <c r="A13" s="1746" t="s">
        <v>861</v>
      </c>
      <c r="B13" s="1747"/>
      <c r="C13" s="303">
        <v>18.690000000000001</v>
      </c>
      <c r="D13" s="303">
        <v>12265</v>
      </c>
      <c r="E13" s="303"/>
      <c r="F13" s="303">
        <v>2</v>
      </c>
      <c r="G13" s="303"/>
      <c r="H13" s="303"/>
      <c r="I13" s="303"/>
      <c r="J13" s="306">
        <f>ROUND(C13*D13*F13,2)</f>
        <v>458465.7</v>
      </c>
      <c r="K13" s="306">
        <f>2453+4497.17+11242.92+7359+11447.33+2044.16+7767.83+9812+8167.67+4906+3679.5</f>
        <v>73376.58</v>
      </c>
      <c r="L13" s="306">
        <f>J13+K13</f>
        <v>531842.28</v>
      </c>
      <c r="M13" s="306">
        <v>19482.849999999999</v>
      </c>
      <c r="N13" s="306">
        <v>46071.43</v>
      </c>
      <c r="O13" s="306"/>
      <c r="P13" s="306">
        <v>0</v>
      </c>
      <c r="Q13" s="306"/>
      <c r="R13" s="306">
        <f>M13+N13</f>
        <v>65554.28</v>
      </c>
      <c r="S13" s="306">
        <f t="shared" si="3"/>
        <v>597396.56000000006</v>
      </c>
      <c r="T13" s="306">
        <f t="shared" si="0"/>
        <v>117005.30160000001</v>
      </c>
      <c r="U13" s="306">
        <f t="shared" si="4"/>
        <v>714401.86160000006</v>
      </c>
      <c r="V13" s="306">
        <f t="shared" si="5"/>
        <v>4286411.1696000006</v>
      </c>
      <c r="W13" s="306">
        <f t="shared" si="6"/>
        <v>1294496.1732192002</v>
      </c>
    </row>
    <row r="14" spans="1:23" ht="15" x14ac:dyDescent="0.2">
      <c r="A14" s="1734" t="s">
        <v>862</v>
      </c>
      <c r="B14" s="1734"/>
      <c r="C14" s="303">
        <v>0.33</v>
      </c>
      <c r="D14" s="303">
        <v>12265</v>
      </c>
      <c r="E14" s="312"/>
      <c r="F14" s="303">
        <v>1.9</v>
      </c>
      <c r="G14" s="312"/>
      <c r="H14" s="312"/>
      <c r="I14" s="312"/>
      <c r="J14" s="306">
        <f>ROUND(C14*D14*F14,2)</f>
        <v>7690.16</v>
      </c>
      <c r="K14" s="306"/>
      <c r="L14" s="306">
        <f t="shared" si="1"/>
        <v>7690.16</v>
      </c>
      <c r="M14" s="313"/>
      <c r="N14" s="306"/>
      <c r="O14" s="306"/>
      <c r="P14" s="306"/>
      <c r="Q14" s="306"/>
      <c r="R14" s="306">
        <f t="shared" si="2"/>
        <v>0</v>
      </c>
      <c r="S14" s="306">
        <f t="shared" si="3"/>
        <v>7690.16</v>
      </c>
      <c r="T14" s="306">
        <f t="shared" si="0"/>
        <v>1691.8352</v>
      </c>
      <c r="U14" s="306">
        <f t="shared" si="4"/>
        <v>9381.9951999999994</v>
      </c>
      <c r="V14" s="306">
        <f t="shared" si="5"/>
        <v>56291.9712</v>
      </c>
      <c r="W14" s="306">
        <f t="shared" si="6"/>
        <v>17000.175302399999</v>
      </c>
    </row>
    <row r="15" spans="1:23" ht="15" x14ac:dyDescent="0.2">
      <c r="A15" s="1734" t="s">
        <v>863</v>
      </c>
      <c r="B15" s="1734"/>
      <c r="C15" s="303">
        <v>0.33</v>
      </c>
      <c r="D15" s="303">
        <v>12265</v>
      </c>
      <c r="E15" s="303"/>
      <c r="F15" s="303">
        <v>1.8</v>
      </c>
      <c r="G15" s="303"/>
      <c r="H15" s="303"/>
      <c r="I15" s="303"/>
      <c r="J15" s="306">
        <f>ROUND(C15*D15*F15,2)</f>
        <v>7285.41</v>
      </c>
      <c r="K15" s="306"/>
      <c r="L15" s="306">
        <f t="shared" si="1"/>
        <v>7285.41</v>
      </c>
      <c r="M15" s="313"/>
      <c r="N15" s="306"/>
      <c r="O15" s="306"/>
      <c r="P15" s="306"/>
      <c r="Q15" s="306"/>
      <c r="R15" s="306">
        <f t="shared" si="2"/>
        <v>0</v>
      </c>
      <c r="S15" s="306">
        <f t="shared" si="3"/>
        <v>7285.41</v>
      </c>
      <c r="T15" s="306">
        <f t="shared" si="0"/>
        <v>1602.7901999999999</v>
      </c>
      <c r="U15" s="306">
        <f t="shared" si="4"/>
        <v>8888.2001999999993</v>
      </c>
      <c r="V15" s="306">
        <f t="shared" si="5"/>
        <v>53329.201199999996</v>
      </c>
      <c r="W15" s="306">
        <f t="shared" si="6"/>
        <v>16105.418762399999</v>
      </c>
    </row>
    <row r="16" spans="1:23" ht="15" x14ac:dyDescent="0.2">
      <c r="A16" s="1734" t="s">
        <v>1368</v>
      </c>
      <c r="B16" s="1734"/>
      <c r="C16" s="303">
        <v>0.33</v>
      </c>
      <c r="D16" s="303">
        <v>12265</v>
      </c>
      <c r="E16" s="303"/>
      <c r="F16" s="303">
        <v>1.75</v>
      </c>
      <c r="G16" s="303"/>
      <c r="H16" s="303"/>
      <c r="I16" s="303"/>
      <c r="J16" s="306">
        <f>ROUND(C16*D16*F16,2)</f>
        <v>7083.04</v>
      </c>
      <c r="K16" s="306"/>
      <c r="L16" s="306">
        <f>J16</f>
        <v>7083.04</v>
      </c>
      <c r="M16" s="306"/>
      <c r="N16" s="306"/>
      <c r="O16" s="306"/>
      <c r="P16" s="306"/>
      <c r="Q16" s="306"/>
      <c r="R16" s="306">
        <f>M16+N16+O16+P16+Q16</f>
        <v>0</v>
      </c>
      <c r="S16" s="306">
        <f>L16+R16</f>
        <v>7083.04</v>
      </c>
      <c r="T16" s="306">
        <f t="shared" si="0"/>
        <v>1558.2688000000001</v>
      </c>
      <c r="U16" s="306">
        <f>S16+T16</f>
        <v>8641.3088000000007</v>
      </c>
      <c r="V16" s="306">
        <f t="shared" si="5"/>
        <v>51847.852800000008</v>
      </c>
      <c r="W16" s="306">
        <f t="shared" si="6"/>
        <v>15658.051545600001</v>
      </c>
    </row>
    <row r="17" spans="1:23" ht="15" x14ac:dyDescent="0.2">
      <c r="A17" s="1645" t="s">
        <v>865</v>
      </c>
      <c r="B17" s="1645"/>
      <c r="C17" s="303">
        <v>1.39</v>
      </c>
      <c r="D17" s="303">
        <v>12265</v>
      </c>
      <c r="E17" s="303">
        <v>1.5</v>
      </c>
      <c r="F17" s="303"/>
      <c r="G17" s="303"/>
      <c r="H17" s="303"/>
      <c r="I17" s="303"/>
      <c r="J17" s="306">
        <f>ROUND(C17*D17*E17,2)</f>
        <v>25572.53</v>
      </c>
      <c r="K17" s="306"/>
      <c r="L17" s="306">
        <f t="shared" ref="L17" si="11">J17</f>
        <v>25572.53</v>
      </c>
      <c r="M17" s="306"/>
      <c r="N17" s="306"/>
      <c r="O17" s="306"/>
      <c r="P17" s="306"/>
      <c r="Q17" s="306"/>
      <c r="R17" s="306">
        <f t="shared" ref="R17" si="12">M17+N17+O17+P17+Q17</f>
        <v>0</v>
      </c>
      <c r="S17" s="306">
        <f t="shared" ref="S17" si="13">L17+R17</f>
        <v>25572.53</v>
      </c>
      <c r="T17" s="306">
        <f t="shared" si="0"/>
        <v>5625.9565999999995</v>
      </c>
      <c r="U17" s="306">
        <f t="shared" ref="U17" si="14">S17+T17</f>
        <v>31198.486599999997</v>
      </c>
      <c r="V17" s="306">
        <f t="shared" si="5"/>
        <v>187190.91959999996</v>
      </c>
      <c r="W17" s="306">
        <f t="shared" si="6"/>
        <v>56531.65771919999</v>
      </c>
    </row>
    <row r="18" spans="1:23" ht="15" x14ac:dyDescent="0.2">
      <c r="A18" s="1645" t="s">
        <v>866</v>
      </c>
      <c r="B18" s="1645"/>
      <c r="C18" s="303">
        <v>2.61</v>
      </c>
      <c r="D18" s="303">
        <v>12265</v>
      </c>
      <c r="E18" s="303"/>
      <c r="F18" s="303">
        <v>1.8</v>
      </c>
      <c r="G18" s="303"/>
      <c r="H18" s="303"/>
      <c r="I18" s="303"/>
      <c r="J18" s="306">
        <f>ROUND(C18*D18*F18,2)</f>
        <v>57620.97</v>
      </c>
      <c r="K18" s="306"/>
      <c r="L18" s="306">
        <f t="shared" si="1"/>
        <v>57620.97</v>
      </c>
      <c r="M18" s="306"/>
      <c r="N18" s="306"/>
      <c r="O18" s="306"/>
      <c r="P18" s="306"/>
      <c r="Q18" s="306"/>
      <c r="R18" s="306">
        <f t="shared" si="2"/>
        <v>0</v>
      </c>
      <c r="S18" s="306">
        <f t="shared" si="3"/>
        <v>57620.97</v>
      </c>
      <c r="T18" s="306">
        <f t="shared" si="0"/>
        <v>12676.6134</v>
      </c>
      <c r="U18" s="306">
        <f t="shared" si="4"/>
        <v>70297.583400000003</v>
      </c>
      <c r="V18" s="306">
        <f t="shared" si="5"/>
        <v>421785.50040000002</v>
      </c>
      <c r="W18" s="306">
        <f t="shared" si="6"/>
        <v>127379.22112080001</v>
      </c>
    </row>
    <row r="19" spans="1:23" ht="15" x14ac:dyDescent="0.2">
      <c r="A19" s="1645" t="s">
        <v>822</v>
      </c>
      <c r="B19" s="1645"/>
      <c r="C19" s="303"/>
      <c r="D19" s="303">
        <v>12265</v>
      </c>
      <c r="E19" s="303"/>
      <c r="F19" s="303">
        <v>1.9</v>
      </c>
      <c r="G19" s="303"/>
      <c r="H19" s="303"/>
      <c r="I19" s="303"/>
      <c r="J19" s="306">
        <f>ROUND(C19*D19*F19,2)</f>
        <v>0</v>
      </c>
      <c r="K19" s="306"/>
      <c r="L19" s="306">
        <f t="shared" si="1"/>
        <v>0</v>
      </c>
      <c r="M19" s="306"/>
      <c r="N19" s="306"/>
      <c r="O19" s="306"/>
      <c r="P19" s="306"/>
      <c r="Q19" s="306"/>
      <c r="R19" s="306">
        <f t="shared" si="2"/>
        <v>0</v>
      </c>
      <c r="S19" s="306">
        <f t="shared" si="3"/>
        <v>0</v>
      </c>
      <c r="T19" s="306">
        <f t="shared" si="0"/>
        <v>0</v>
      </c>
      <c r="U19" s="306">
        <f t="shared" si="4"/>
        <v>0</v>
      </c>
      <c r="V19" s="306">
        <f t="shared" si="5"/>
        <v>0</v>
      </c>
      <c r="W19" s="306">
        <f t="shared" si="6"/>
        <v>0</v>
      </c>
    </row>
    <row r="20" spans="1:23" ht="15" x14ac:dyDescent="0.2">
      <c r="A20" s="1645" t="s">
        <v>821</v>
      </c>
      <c r="B20" s="1645"/>
      <c r="C20" s="303"/>
      <c r="D20" s="303">
        <v>12265</v>
      </c>
      <c r="E20" s="303">
        <v>1.6</v>
      </c>
      <c r="F20" s="303"/>
      <c r="G20" s="303"/>
      <c r="H20" s="303"/>
      <c r="I20" s="303"/>
      <c r="J20" s="306">
        <f>ROUND(C20*D20*E20,2)</f>
        <v>0</v>
      </c>
      <c r="K20" s="306"/>
      <c r="L20" s="306">
        <f t="shared" si="1"/>
        <v>0</v>
      </c>
      <c r="M20" s="306"/>
      <c r="N20" s="306"/>
      <c r="O20" s="306"/>
      <c r="P20" s="306"/>
      <c r="Q20" s="306"/>
      <c r="R20" s="306">
        <f t="shared" si="2"/>
        <v>0</v>
      </c>
      <c r="S20" s="306">
        <f t="shared" si="3"/>
        <v>0</v>
      </c>
      <c r="T20" s="306">
        <f t="shared" si="0"/>
        <v>0</v>
      </c>
      <c r="U20" s="306">
        <f t="shared" si="4"/>
        <v>0</v>
      </c>
      <c r="V20" s="306">
        <f t="shared" si="5"/>
        <v>0</v>
      </c>
      <c r="W20" s="306">
        <f t="shared" si="6"/>
        <v>0</v>
      </c>
    </row>
    <row r="21" spans="1:23" ht="15" x14ac:dyDescent="0.2">
      <c r="A21" s="1645" t="s">
        <v>867</v>
      </c>
      <c r="B21" s="1645"/>
      <c r="C21" s="303">
        <v>0.25</v>
      </c>
      <c r="D21" s="303">
        <v>12265</v>
      </c>
      <c r="E21" s="303"/>
      <c r="F21" s="303"/>
      <c r="G21" s="303">
        <v>1.3</v>
      </c>
      <c r="H21" s="303"/>
      <c r="I21" s="303"/>
      <c r="J21" s="306">
        <f>ROUND(D21*G21*C21,2)</f>
        <v>3986.13</v>
      </c>
      <c r="K21" s="306"/>
      <c r="L21" s="306">
        <f>J21</f>
        <v>3986.13</v>
      </c>
      <c r="M21" s="306"/>
      <c r="N21" s="306"/>
      <c r="O21" s="306"/>
      <c r="P21" s="306"/>
      <c r="Q21" s="306"/>
      <c r="R21" s="306">
        <f>M21+N21+O21+P21+Q21</f>
        <v>0</v>
      </c>
      <c r="S21" s="306">
        <f>L21+R21</f>
        <v>3986.13</v>
      </c>
      <c r="T21" s="306">
        <f t="shared" si="0"/>
        <v>876.94860000000006</v>
      </c>
      <c r="U21" s="306">
        <f>S21+T21</f>
        <v>4863.0785999999998</v>
      </c>
      <c r="V21" s="306">
        <f t="shared" si="5"/>
        <v>29178.471599999997</v>
      </c>
      <c r="W21" s="306">
        <f t="shared" si="6"/>
        <v>8811.8984231999984</v>
      </c>
    </row>
    <row r="22" spans="1:23" ht="15" x14ac:dyDescent="0.2">
      <c r="A22" s="1645" t="s">
        <v>868</v>
      </c>
      <c r="B22" s="1645"/>
      <c r="C22" s="303">
        <v>0.5</v>
      </c>
      <c r="D22" s="303">
        <v>12265</v>
      </c>
      <c r="E22" s="303"/>
      <c r="F22" s="303"/>
      <c r="G22" s="303"/>
      <c r="H22" s="303"/>
      <c r="I22" s="303">
        <v>1.2</v>
      </c>
      <c r="J22" s="306">
        <f>ROUND(D22*I22*C22,2)</f>
        <v>7359</v>
      </c>
      <c r="K22" s="306"/>
      <c r="L22" s="306">
        <f>J22</f>
        <v>7359</v>
      </c>
      <c r="M22" s="306"/>
      <c r="N22" s="306"/>
      <c r="O22" s="306"/>
      <c r="P22" s="306"/>
      <c r="Q22" s="306"/>
      <c r="R22" s="306">
        <f>M22+N22+O22+P22+Q22</f>
        <v>0</v>
      </c>
      <c r="S22" s="306">
        <f>L22+R22</f>
        <v>7359</v>
      </c>
      <c r="T22" s="306">
        <f t="shared" si="0"/>
        <v>1618.98</v>
      </c>
      <c r="U22" s="306">
        <f>S22+T22</f>
        <v>8977.98</v>
      </c>
      <c r="V22" s="306">
        <f t="shared" si="5"/>
        <v>53867.88</v>
      </c>
      <c r="W22" s="306">
        <f t="shared" si="6"/>
        <v>16268.099759999999</v>
      </c>
    </row>
    <row r="23" spans="1:23" ht="15" x14ac:dyDescent="0.2">
      <c r="A23" s="1645" t="s">
        <v>829</v>
      </c>
      <c r="B23" s="1645"/>
      <c r="C23" s="303">
        <v>4.7</v>
      </c>
      <c r="D23" s="303">
        <v>12265</v>
      </c>
      <c r="E23" s="303"/>
      <c r="F23" s="303"/>
      <c r="G23" s="303"/>
      <c r="H23" s="303">
        <v>2</v>
      </c>
      <c r="I23" s="303">
        <v>1.05</v>
      </c>
      <c r="J23" s="306">
        <f>ROUND(D23*I23*C23,2)</f>
        <v>60527.78</v>
      </c>
      <c r="K23" s="306"/>
      <c r="L23" s="306">
        <f>J23</f>
        <v>60527.78</v>
      </c>
      <c r="M23" s="306"/>
      <c r="N23" s="306"/>
      <c r="O23" s="306"/>
      <c r="P23" s="306"/>
      <c r="Q23" s="306"/>
      <c r="R23" s="306">
        <f>M23+N23+O23+P23+Q23</f>
        <v>0</v>
      </c>
      <c r="S23" s="306">
        <f>L23+R23</f>
        <v>60527.78</v>
      </c>
      <c r="T23" s="306">
        <f>L23*23%+17139</f>
        <v>31060.3894</v>
      </c>
      <c r="U23" s="306">
        <f>S23+T23</f>
        <v>91588.169399999999</v>
      </c>
      <c r="V23" s="306">
        <f t="shared" si="5"/>
        <v>549529.01639999996</v>
      </c>
      <c r="W23" s="306">
        <f t="shared" si="6"/>
        <v>165957.7629528</v>
      </c>
    </row>
    <row r="24" spans="1:23" ht="15" x14ac:dyDescent="0.2">
      <c r="A24" s="1645" t="s">
        <v>869</v>
      </c>
      <c r="B24" s="1645"/>
      <c r="C24" s="303">
        <v>1</v>
      </c>
      <c r="D24" s="303">
        <v>12265</v>
      </c>
      <c r="E24" s="303"/>
      <c r="F24" s="303"/>
      <c r="G24" s="303">
        <v>1.8</v>
      </c>
      <c r="H24" s="303"/>
      <c r="I24" s="303"/>
      <c r="J24" s="306">
        <f>ROUND(D24*G24*C24,2)</f>
        <v>22077</v>
      </c>
      <c r="K24" s="306"/>
      <c r="L24" s="306">
        <f>J24+K24</f>
        <v>22077</v>
      </c>
      <c r="M24" s="306"/>
      <c r="N24" s="306"/>
      <c r="O24" s="306"/>
      <c r="P24" s="306"/>
      <c r="Q24" s="306"/>
      <c r="R24" s="306">
        <f t="shared" si="2"/>
        <v>0</v>
      </c>
      <c r="S24" s="306">
        <f t="shared" si="3"/>
        <v>22077</v>
      </c>
      <c r="T24" s="306">
        <f>L24*23%+5000</f>
        <v>10077.709999999999</v>
      </c>
      <c r="U24" s="306">
        <f t="shared" si="4"/>
        <v>32154.71</v>
      </c>
      <c r="V24" s="306">
        <f t="shared" si="5"/>
        <v>192928.26</v>
      </c>
      <c r="W24" s="306">
        <f t="shared" si="6"/>
        <v>58264.334520000004</v>
      </c>
    </row>
    <row r="25" spans="1:23" ht="15" x14ac:dyDescent="0.2">
      <c r="A25" s="1645" t="s">
        <v>830</v>
      </c>
      <c r="B25" s="1645"/>
      <c r="C25" s="303">
        <v>2</v>
      </c>
      <c r="D25" s="303">
        <v>12265</v>
      </c>
      <c r="E25" s="303"/>
      <c r="F25" s="303"/>
      <c r="G25" s="303"/>
      <c r="H25" s="303">
        <v>1</v>
      </c>
      <c r="I25" s="303">
        <v>1.05</v>
      </c>
      <c r="J25" s="306">
        <f>ROUND(D25*I25*C25,2)</f>
        <v>25756.5</v>
      </c>
      <c r="K25" s="306"/>
      <c r="L25" s="306">
        <f>J25</f>
        <v>25756.5</v>
      </c>
      <c r="M25" s="306"/>
      <c r="N25" s="306"/>
      <c r="O25" s="306"/>
      <c r="P25" s="306"/>
      <c r="Q25" s="306"/>
      <c r="R25" s="306">
        <f>M25+N25+O25+P25+Q25</f>
        <v>0</v>
      </c>
      <c r="S25" s="306">
        <f>L25+R25</f>
        <v>25756.5</v>
      </c>
      <c r="T25" s="306">
        <f>L25*23%+4284.75</f>
        <v>10208.744999999999</v>
      </c>
      <c r="U25" s="306">
        <f>S25+T25</f>
        <v>35965.244999999995</v>
      </c>
      <c r="V25" s="306">
        <f t="shared" si="5"/>
        <v>215791.46999999997</v>
      </c>
      <c r="W25" s="306">
        <f t="shared" si="6"/>
        <v>65169.023939999992</v>
      </c>
    </row>
    <row r="26" spans="1:23" ht="15" x14ac:dyDescent="0.2">
      <c r="A26" s="1645" t="s">
        <v>870</v>
      </c>
      <c r="B26" s="1645"/>
      <c r="C26" s="303">
        <v>2</v>
      </c>
      <c r="D26" s="303">
        <v>12265</v>
      </c>
      <c r="E26" s="303"/>
      <c r="F26" s="303"/>
      <c r="G26" s="303"/>
      <c r="H26" s="303">
        <v>1</v>
      </c>
      <c r="I26" s="303">
        <v>1.05</v>
      </c>
      <c r="J26" s="306">
        <f>ROUND(D26*I26*C26,2)</f>
        <v>25756.5</v>
      </c>
      <c r="K26" s="306"/>
      <c r="L26" s="306">
        <f>J26</f>
        <v>25756.5</v>
      </c>
      <c r="M26" s="306"/>
      <c r="N26" s="339"/>
      <c r="O26" s="306"/>
      <c r="P26" s="306"/>
      <c r="Q26" s="306"/>
      <c r="R26" s="306">
        <f>M26+N26+O26+P26+Q26</f>
        <v>0</v>
      </c>
      <c r="S26" s="306">
        <f>L26+R26</f>
        <v>25756.5</v>
      </c>
      <c r="T26" s="306">
        <f>L26*23%+8569.5</f>
        <v>14493.494999999999</v>
      </c>
      <c r="U26" s="306">
        <f>S26+T26</f>
        <v>40249.994999999995</v>
      </c>
      <c r="V26" s="306">
        <f t="shared" si="5"/>
        <v>241499.96999999997</v>
      </c>
      <c r="W26" s="306">
        <f t="shared" si="6"/>
        <v>72932.990939999989</v>
      </c>
    </row>
    <row r="27" spans="1:23" ht="15" x14ac:dyDescent="0.2">
      <c r="A27" s="1645" t="s">
        <v>871</v>
      </c>
      <c r="B27" s="1645"/>
      <c r="C27" s="303">
        <v>1</v>
      </c>
      <c r="D27" s="303">
        <v>12265</v>
      </c>
      <c r="E27" s="303"/>
      <c r="F27" s="303"/>
      <c r="G27" s="303">
        <v>1.2</v>
      </c>
      <c r="H27" s="303"/>
      <c r="I27" s="303"/>
      <c r="J27" s="306">
        <f>ROUND(D27*G27*C27,2)</f>
        <v>14718</v>
      </c>
      <c r="K27" s="306"/>
      <c r="L27" s="306">
        <f t="shared" si="1"/>
        <v>14718</v>
      </c>
      <c r="M27" s="306"/>
      <c r="N27" s="306"/>
      <c r="O27" s="306"/>
      <c r="P27" s="306"/>
      <c r="Q27" s="306"/>
      <c r="R27" s="306">
        <f t="shared" si="2"/>
        <v>0</v>
      </c>
      <c r="S27" s="306">
        <f t="shared" si="3"/>
        <v>14718</v>
      </c>
      <c r="T27" s="306">
        <f>L27*23%+2021.86</f>
        <v>5407</v>
      </c>
      <c r="U27" s="306">
        <f>S27+T27</f>
        <v>20125</v>
      </c>
      <c r="V27" s="306">
        <f t="shared" si="5"/>
        <v>120750</v>
      </c>
      <c r="W27" s="306">
        <f t="shared" si="6"/>
        <v>36466.5</v>
      </c>
    </row>
    <row r="28" spans="1:23" ht="14.25" x14ac:dyDescent="0.2">
      <c r="A28" s="1748" t="s">
        <v>189</v>
      </c>
      <c r="B28" s="1748"/>
      <c r="C28" s="314">
        <f>SUM(C6:C27)</f>
        <v>44.25</v>
      </c>
      <c r="D28" s="314"/>
      <c r="E28" s="314"/>
      <c r="F28" s="314"/>
      <c r="G28" s="314"/>
      <c r="H28" s="314"/>
      <c r="I28" s="314"/>
      <c r="J28" s="313">
        <f t="shared" ref="J28:T28" si="15">SUM(J6:J27)</f>
        <v>1007517.6400000001</v>
      </c>
      <c r="K28" s="313">
        <f t="shared" si="15"/>
        <v>78010.02</v>
      </c>
      <c r="L28" s="313">
        <f>SUM(L6:L27)</f>
        <v>1085527.6600000001</v>
      </c>
      <c r="M28" s="313">
        <f t="shared" si="15"/>
        <v>28719.079999999998</v>
      </c>
      <c r="N28" s="313">
        <f t="shared" si="15"/>
        <v>64642.86</v>
      </c>
      <c r="O28" s="313">
        <f t="shared" si="15"/>
        <v>0</v>
      </c>
      <c r="P28" s="313">
        <f t="shared" si="15"/>
        <v>0</v>
      </c>
      <c r="Q28" s="313">
        <f t="shared" si="15"/>
        <v>0</v>
      </c>
      <c r="R28" s="313">
        <f t="shared" si="15"/>
        <v>93361.94</v>
      </c>
      <c r="S28" s="313">
        <f>SUM(S6:S27)</f>
        <v>1178889.6000000001</v>
      </c>
      <c r="T28" s="313">
        <f t="shared" si="15"/>
        <v>277319.55300000001</v>
      </c>
      <c r="U28" s="313">
        <f>SUM(U6:U27)</f>
        <v>1456073.0329999998</v>
      </c>
      <c r="V28" s="313">
        <f>SUM(V6:V27)</f>
        <v>8736438.1980000008</v>
      </c>
      <c r="W28" s="313">
        <f>SUM(W6:W27)</f>
        <v>2638404.3357960004</v>
      </c>
    </row>
    <row r="29" spans="1:23" ht="15" x14ac:dyDescent="0.2">
      <c r="A29" s="316"/>
      <c r="B29" s="316"/>
      <c r="C29" s="317"/>
      <c r="D29" s="317"/>
      <c r="E29" s="317"/>
      <c r="F29" s="317"/>
      <c r="G29" s="317"/>
      <c r="H29" s="317"/>
      <c r="I29" s="317"/>
      <c r="J29" s="318"/>
      <c r="K29" s="318"/>
      <c r="L29" s="318"/>
      <c r="M29" s="319"/>
      <c r="N29" s="319"/>
      <c r="O29" s="319"/>
      <c r="P29" s="319"/>
      <c r="Q29" s="319"/>
      <c r="R29" s="319"/>
      <c r="S29" s="319"/>
      <c r="T29" s="320">
        <f>3609598.94+54272.4/4-S28</f>
        <v>2444277.44</v>
      </c>
      <c r="U29" s="319"/>
      <c r="V29" s="319"/>
      <c r="W29" s="319"/>
    </row>
    <row r="30" spans="1:23" ht="30" x14ac:dyDescent="0.2">
      <c r="A30" s="316"/>
      <c r="B30" s="2055"/>
      <c r="C30" s="2055"/>
      <c r="D30" s="2055"/>
      <c r="E30" s="2055"/>
      <c r="F30" s="2055"/>
      <c r="G30" s="2055"/>
      <c r="H30" s="321"/>
      <c r="I30" s="317"/>
      <c r="J30" s="322"/>
      <c r="K30" s="322"/>
      <c r="L30" s="317"/>
      <c r="M30" s="321"/>
      <c r="N30" s="323"/>
      <c r="O30" s="324"/>
      <c r="P30" s="325"/>
      <c r="Q30" s="325"/>
      <c r="R30" s="325"/>
      <c r="S30" s="325"/>
      <c r="T30" s="326">
        <f>T29*100/L28</f>
        <v>225.16952170523226</v>
      </c>
      <c r="U30" s="327">
        <f>U28*30.22%</f>
        <v>440025.2705725999</v>
      </c>
      <c r="V30" s="328" t="s">
        <v>831</v>
      </c>
      <c r="W30" s="324"/>
    </row>
    <row r="31" spans="1:23" ht="30" x14ac:dyDescent="0.2">
      <c r="A31" s="317"/>
      <c r="B31" s="317"/>
      <c r="C31" s="317"/>
      <c r="D31" s="317"/>
      <c r="E31" s="317"/>
      <c r="F31" s="329"/>
      <c r="G31" s="317"/>
      <c r="H31" s="317"/>
      <c r="I31" s="317"/>
      <c r="J31" s="322"/>
      <c r="K31" s="322"/>
      <c r="L31" s="317"/>
      <c r="M31" s="317"/>
      <c r="N31" s="317"/>
      <c r="O31" s="330"/>
      <c r="P31" s="331"/>
      <c r="Q31" s="331"/>
      <c r="R31" s="331"/>
      <c r="S31" s="332" t="s">
        <v>832</v>
      </c>
      <c r="T31" s="333">
        <f>S28*5%</f>
        <v>58944.48000000001</v>
      </c>
      <c r="U31" s="316" t="s">
        <v>833</v>
      </c>
      <c r="V31" s="333">
        <f>T31*12</f>
        <v>707333.76000000013</v>
      </c>
      <c r="W31" s="316" t="s">
        <v>834</v>
      </c>
    </row>
    <row r="32" spans="1:23" ht="30" x14ac:dyDescent="0.2">
      <c r="A32" s="317"/>
      <c r="B32" s="317"/>
      <c r="C32" s="317"/>
      <c r="D32" s="317"/>
      <c r="E32" s="317"/>
      <c r="F32" s="329"/>
      <c r="G32" s="317"/>
      <c r="H32" s="317"/>
      <c r="I32" s="317"/>
      <c r="J32" s="322"/>
      <c r="K32" s="322"/>
      <c r="L32" s="317"/>
      <c r="M32" s="317"/>
      <c r="N32" s="317"/>
      <c r="O32" s="330"/>
      <c r="P32" s="331"/>
      <c r="Q32" s="331"/>
      <c r="R32" s="331"/>
      <c r="S32" s="332" t="s">
        <v>835</v>
      </c>
      <c r="T32" s="333">
        <f>U28*2%</f>
        <v>29121.460659999997</v>
      </c>
      <c r="U32" s="316" t="s">
        <v>836</v>
      </c>
      <c r="V32" s="333">
        <f>T32*12</f>
        <v>349457.52791999996</v>
      </c>
      <c r="W32" s="316" t="s">
        <v>837</v>
      </c>
    </row>
    <row r="33" spans="1:23" ht="15" x14ac:dyDescent="0.2">
      <c r="A33" s="317"/>
      <c r="B33" s="317"/>
      <c r="C33" s="317"/>
      <c r="D33" s="317"/>
      <c r="E33" s="317"/>
      <c r="F33" s="329"/>
      <c r="G33" s="317"/>
      <c r="H33" s="317"/>
      <c r="I33" s="317"/>
      <c r="J33" s="322"/>
      <c r="K33" s="322"/>
      <c r="L33" s="317"/>
      <c r="M33" s="317"/>
      <c r="N33" s="317"/>
      <c r="O33" s="330"/>
      <c r="P33" s="331"/>
      <c r="Q33" s="331"/>
      <c r="R33" s="331"/>
      <c r="S33" s="332"/>
      <c r="T33" s="333"/>
      <c r="U33" s="316"/>
      <c r="V33" s="482"/>
      <c r="W33" s="330"/>
    </row>
    <row r="34" spans="1:23" ht="30" x14ac:dyDescent="0.2">
      <c r="A34" s="302"/>
      <c r="B34" s="302" t="s">
        <v>1369</v>
      </c>
      <c r="C34" s="302"/>
      <c r="D34" s="302"/>
      <c r="E34" s="302"/>
      <c r="F34" s="302"/>
      <c r="G34" s="302"/>
      <c r="H34" s="302"/>
      <c r="I34" s="302"/>
      <c r="J34" s="302"/>
      <c r="K34" s="302"/>
      <c r="L34" s="302"/>
      <c r="M34" s="302"/>
      <c r="N34" s="302"/>
      <c r="O34" s="302"/>
      <c r="P34" s="302"/>
      <c r="Q34" s="302"/>
      <c r="R34" s="302"/>
      <c r="S34" s="302"/>
      <c r="T34" s="302"/>
      <c r="U34" s="302"/>
      <c r="V34" s="302"/>
      <c r="W34" s="307"/>
    </row>
    <row r="35" spans="1:23" ht="15" x14ac:dyDescent="0.2">
      <c r="A35" s="302"/>
      <c r="B35" s="302" t="s">
        <v>1370</v>
      </c>
      <c r="C35" s="302"/>
      <c r="D35" s="302"/>
      <c r="E35" s="302"/>
      <c r="F35" s="302"/>
      <c r="G35" s="302"/>
      <c r="H35" s="302"/>
      <c r="I35" s="302"/>
      <c r="J35" s="302"/>
      <c r="K35" s="302"/>
      <c r="L35" s="302"/>
      <c r="M35" s="302"/>
      <c r="N35" s="302"/>
      <c r="O35" s="302"/>
      <c r="P35" s="302"/>
      <c r="Q35" s="302"/>
      <c r="R35" s="302"/>
      <c r="S35" s="302"/>
      <c r="T35" s="302"/>
      <c r="U35" s="307"/>
      <c r="V35" s="307" t="e">
        <f>V28+'расчет ФОТ обл ш с 01.07-31.08.'!#REF!+'расчет ФОТ обл ш с 01.09-31.12.'!#REF!</f>
        <v>#REF!</v>
      </c>
      <c r="W35" s="307"/>
    </row>
    <row r="36" spans="1:23" ht="15" x14ac:dyDescent="0.2">
      <c r="A36" s="302"/>
      <c r="B36" s="302" t="s">
        <v>1371</v>
      </c>
      <c r="C36" s="302"/>
      <c r="D36" s="302"/>
      <c r="E36" s="302"/>
      <c r="F36" s="302"/>
      <c r="G36" s="302"/>
      <c r="H36" s="302"/>
      <c r="I36" s="302"/>
      <c r="J36" s="302"/>
      <c r="K36" s="302"/>
      <c r="L36" s="302"/>
      <c r="M36" s="302"/>
      <c r="N36" s="302"/>
      <c r="O36" s="302"/>
      <c r="P36" s="302"/>
      <c r="Q36" s="302"/>
      <c r="R36" s="302"/>
      <c r="S36" s="302"/>
      <c r="T36" s="302"/>
      <c r="U36" s="302"/>
      <c r="V36" s="302"/>
      <c r="W36" s="307"/>
    </row>
    <row r="37" spans="1:23" ht="15" x14ac:dyDescent="0.2">
      <c r="A37" s="302"/>
      <c r="B37" s="302" t="s">
        <v>1372</v>
      </c>
      <c r="C37" s="302"/>
      <c r="D37" s="302"/>
      <c r="E37" s="302"/>
      <c r="F37" s="302"/>
      <c r="G37" s="302"/>
      <c r="H37" s="302"/>
      <c r="I37" s="302"/>
      <c r="J37" s="302"/>
      <c r="K37" s="302"/>
      <c r="L37" s="302"/>
      <c r="M37" s="302"/>
      <c r="N37" s="302"/>
      <c r="O37" s="302"/>
      <c r="P37" s="302"/>
      <c r="Q37" s="302"/>
      <c r="R37" s="302"/>
      <c r="S37" s="302"/>
      <c r="T37" s="302"/>
      <c r="U37" s="302"/>
      <c r="V37" s="302"/>
      <c r="W37" s="307"/>
    </row>
  </sheetData>
  <mergeCells count="48">
    <mergeCell ref="A1:V1"/>
    <mergeCell ref="A2:B4"/>
    <mergeCell ref="C2:C4"/>
    <mergeCell ref="D2:D4"/>
    <mergeCell ref="E2:I2"/>
    <mergeCell ref="J2:J4"/>
    <mergeCell ref="K2:K4"/>
    <mergeCell ref="L2:L4"/>
    <mergeCell ref="M2:R2"/>
    <mergeCell ref="S2:S4"/>
    <mergeCell ref="A7:B7"/>
    <mergeCell ref="T2:T4"/>
    <mergeCell ref="U2:U4"/>
    <mergeCell ref="V2:V4"/>
    <mergeCell ref="W2:W4"/>
    <mergeCell ref="E3:F3"/>
    <mergeCell ref="G3:G4"/>
    <mergeCell ref="H3:I3"/>
    <mergeCell ref="M3:M4"/>
    <mergeCell ref="N3:N4"/>
    <mergeCell ref="O3:O4"/>
    <mergeCell ref="P3:P4"/>
    <mergeCell ref="Q3:Q4"/>
    <mergeCell ref="R3:R4"/>
    <mergeCell ref="A5:B5"/>
    <mergeCell ref="A6:B6"/>
    <mergeCell ref="A19:B19"/>
    <mergeCell ref="A8:B8"/>
    <mergeCell ref="A9:B9"/>
    <mergeCell ref="A10:B10"/>
    <mergeCell ref="A11:B11"/>
    <mergeCell ref="A12:B12"/>
    <mergeCell ref="A13:B13"/>
    <mergeCell ref="A14:B14"/>
    <mergeCell ref="A15:B15"/>
    <mergeCell ref="A16:B16"/>
    <mergeCell ref="A17:B17"/>
    <mergeCell ref="A18:B18"/>
    <mergeCell ref="A26:B26"/>
    <mergeCell ref="A27:B27"/>
    <mergeCell ref="A28:B28"/>
    <mergeCell ref="B30:G30"/>
    <mergeCell ref="A20:B20"/>
    <mergeCell ref="A21:B21"/>
    <mergeCell ref="A22:B22"/>
    <mergeCell ref="A23:B23"/>
    <mergeCell ref="A24:B24"/>
    <mergeCell ref="A25:B25"/>
  </mergeCells>
  <pageMargins left="0.70866141732283472" right="0.70866141732283472" top="0.74803149606299213" bottom="0.74803149606299213" header="0.31496062992125984" footer="0.31496062992125984"/>
  <pageSetup paperSize="9" scale="5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AA107"/>
  <sheetViews>
    <sheetView view="pageBreakPreview" zoomScale="60" zoomScaleNormal="100" workbookViewId="0">
      <selection activeCell="H36" sqref="H36"/>
    </sheetView>
  </sheetViews>
  <sheetFormatPr defaultRowHeight="12.75" x14ac:dyDescent="0.2"/>
  <cols>
    <col min="2" max="2" width="18.5703125" customWidth="1"/>
    <col min="10" max="10" width="14.7109375" customWidth="1"/>
    <col min="11" max="11" width="12.7109375" customWidth="1"/>
    <col min="12" max="12" width="18" customWidth="1"/>
    <col min="13" max="13" width="12.140625" customWidth="1"/>
    <col min="14" max="14" width="12" customWidth="1"/>
    <col min="18" max="18" width="13" customWidth="1"/>
    <col min="19" max="19" width="17.28515625" customWidth="1"/>
    <col min="20" max="20" width="12.140625" customWidth="1"/>
    <col min="21" max="21" width="16.28515625" customWidth="1"/>
    <col min="22" max="22" width="15.85546875" customWidth="1"/>
    <col min="23" max="23" width="15.140625" customWidth="1"/>
    <col min="25" max="25" width="13.28515625" customWidth="1"/>
    <col min="26" max="26" width="14.28515625" customWidth="1"/>
  </cols>
  <sheetData>
    <row r="1" spans="1:27" ht="21" thickBot="1" x14ac:dyDescent="0.25">
      <c r="A1" s="1646" t="s">
        <v>1366</v>
      </c>
      <c r="B1" s="1646"/>
      <c r="C1" s="1646"/>
      <c r="D1" s="1646"/>
      <c r="E1" s="1646"/>
      <c r="F1" s="1646"/>
      <c r="G1" s="1646"/>
      <c r="H1" s="1646"/>
      <c r="I1" s="1646"/>
      <c r="J1" s="1646"/>
      <c r="K1" s="1646"/>
      <c r="L1" s="1646"/>
      <c r="M1" s="1647"/>
      <c r="N1" s="1647"/>
      <c r="O1" s="1647"/>
      <c r="P1" s="1647"/>
      <c r="Q1" s="1647"/>
      <c r="R1" s="1647"/>
      <c r="S1" s="1646"/>
      <c r="T1" s="1646"/>
      <c r="U1" s="1646"/>
      <c r="V1" s="1646"/>
      <c r="W1" s="301"/>
      <c r="X1" s="302"/>
      <c r="Y1" s="302"/>
      <c r="Z1" s="302"/>
      <c r="AA1" s="302"/>
    </row>
    <row r="2" spans="1:27" ht="15" x14ac:dyDescent="0.2">
      <c r="A2" s="1714" t="s">
        <v>794</v>
      </c>
      <c r="B2" s="1715"/>
      <c r="C2" s="1718" t="s">
        <v>795</v>
      </c>
      <c r="D2" s="1721" t="s">
        <v>796</v>
      </c>
      <c r="E2" s="1724" t="s">
        <v>797</v>
      </c>
      <c r="F2" s="1725"/>
      <c r="G2" s="1725"/>
      <c r="H2" s="1725"/>
      <c r="I2" s="1726"/>
      <c r="J2" s="1727" t="s">
        <v>872</v>
      </c>
      <c r="K2" s="1727" t="s">
        <v>849</v>
      </c>
      <c r="L2" s="1727" t="s">
        <v>800</v>
      </c>
      <c r="M2" s="1730" t="s">
        <v>1367</v>
      </c>
      <c r="N2" s="1730"/>
      <c r="O2" s="1730"/>
      <c r="P2" s="1730"/>
      <c r="Q2" s="1730"/>
      <c r="R2" s="1730"/>
      <c r="S2" s="1731" t="s">
        <v>802</v>
      </c>
      <c r="T2" s="1735" t="s">
        <v>873</v>
      </c>
      <c r="U2" s="1727" t="s">
        <v>804</v>
      </c>
      <c r="V2" s="1727" t="s">
        <v>805</v>
      </c>
      <c r="W2" s="1727" t="s">
        <v>806</v>
      </c>
      <c r="X2" s="302"/>
      <c r="Y2" s="302"/>
      <c r="Z2" s="302"/>
      <c r="AA2" s="302"/>
    </row>
    <row r="3" spans="1:27" ht="15" x14ac:dyDescent="0.2">
      <c r="A3" s="1716"/>
      <c r="B3" s="1717"/>
      <c r="C3" s="1719"/>
      <c r="D3" s="1722"/>
      <c r="E3" s="1736" t="s">
        <v>807</v>
      </c>
      <c r="F3" s="1737"/>
      <c r="G3" s="1738" t="s">
        <v>808</v>
      </c>
      <c r="H3" s="1736" t="s">
        <v>809</v>
      </c>
      <c r="I3" s="1737"/>
      <c r="J3" s="1719"/>
      <c r="K3" s="1728"/>
      <c r="L3" s="1728"/>
      <c r="M3" s="1740" t="s">
        <v>850</v>
      </c>
      <c r="N3" s="1740" t="s">
        <v>851</v>
      </c>
      <c r="O3" s="1740" t="s">
        <v>812</v>
      </c>
      <c r="P3" s="1741" t="s">
        <v>852</v>
      </c>
      <c r="Q3" s="1741"/>
      <c r="R3" s="1741" t="s">
        <v>189</v>
      </c>
      <c r="S3" s="1732"/>
      <c r="T3" s="1722"/>
      <c r="U3" s="1719"/>
      <c r="V3" s="1719"/>
      <c r="W3" s="1719"/>
      <c r="X3" s="302"/>
      <c r="Y3" s="302"/>
      <c r="Z3" s="302"/>
      <c r="AA3" s="302"/>
    </row>
    <row r="4" spans="1:27" ht="137.25" x14ac:dyDescent="0.2">
      <c r="A4" s="1716"/>
      <c r="B4" s="1717"/>
      <c r="C4" s="1720"/>
      <c r="D4" s="1723"/>
      <c r="E4" s="304" t="s">
        <v>814</v>
      </c>
      <c r="F4" s="304" t="s">
        <v>815</v>
      </c>
      <c r="G4" s="1739"/>
      <c r="H4" s="304" t="s">
        <v>816</v>
      </c>
      <c r="I4" s="304" t="s">
        <v>817</v>
      </c>
      <c r="J4" s="1720"/>
      <c r="K4" s="1729"/>
      <c r="L4" s="1729"/>
      <c r="M4" s="1740"/>
      <c r="N4" s="1740"/>
      <c r="O4" s="1740"/>
      <c r="P4" s="1742"/>
      <c r="Q4" s="1742"/>
      <c r="R4" s="1742"/>
      <c r="S4" s="1733"/>
      <c r="T4" s="1723"/>
      <c r="U4" s="1720"/>
      <c r="V4" s="1720"/>
      <c r="W4" s="1720"/>
      <c r="X4" s="302"/>
      <c r="Y4" s="302"/>
      <c r="Z4" s="302"/>
      <c r="AA4" s="302"/>
    </row>
    <row r="5" spans="1:27" ht="15" x14ac:dyDescent="0.2">
      <c r="A5" s="1743">
        <v>1</v>
      </c>
      <c r="B5" s="1744"/>
      <c r="C5" s="305">
        <v>2</v>
      </c>
      <c r="D5" s="305">
        <v>3</v>
      </c>
      <c r="E5" s="305">
        <v>4</v>
      </c>
      <c r="F5" s="305">
        <v>5</v>
      </c>
      <c r="G5" s="305">
        <v>6</v>
      </c>
      <c r="H5" s="305">
        <v>7</v>
      </c>
      <c r="I5" s="305">
        <v>8</v>
      </c>
      <c r="J5" s="305">
        <v>9</v>
      </c>
      <c r="K5" s="305">
        <v>10</v>
      </c>
      <c r="L5" s="305">
        <v>11</v>
      </c>
      <c r="M5" s="305">
        <v>12</v>
      </c>
      <c r="N5" s="305">
        <v>13</v>
      </c>
      <c r="O5" s="305">
        <v>13</v>
      </c>
      <c r="P5" s="305">
        <v>14</v>
      </c>
      <c r="Q5" s="305">
        <v>15</v>
      </c>
      <c r="R5" s="305">
        <v>15</v>
      </c>
      <c r="S5" s="305">
        <v>16</v>
      </c>
      <c r="T5" s="305">
        <v>17</v>
      </c>
      <c r="U5" s="305">
        <v>18</v>
      </c>
      <c r="V5" s="305">
        <v>19</v>
      </c>
      <c r="W5" s="305">
        <v>19</v>
      </c>
      <c r="X5" s="302"/>
      <c r="Y5" s="302"/>
      <c r="Z5" s="302"/>
      <c r="AA5" s="302"/>
    </row>
    <row r="6" spans="1:27" ht="15" x14ac:dyDescent="0.2">
      <c r="A6" s="1734" t="s">
        <v>202</v>
      </c>
      <c r="B6" s="1734"/>
      <c r="C6" s="303">
        <v>1</v>
      </c>
      <c r="D6" s="303"/>
      <c r="E6" s="303"/>
      <c r="F6" s="303"/>
      <c r="G6" s="303"/>
      <c r="H6" s="303"/>
      <c r="I6" s="303"/>
      <c r="J6" s="306">
        <f>P37</f>
        <v>58284.816100811127</v>
      </c>
      <c r="K6" s="306"/>
      <c r="L6" s="306">
        <f>J6</f>
        <v>58284.816100811127</v>
      </c>
      <c r="M6" s="306"/>
      <c r="N6" s="306"/>
      <c r="O6" s="306"/>
      <c r="P6" s="306"/>
      <c r="Q6" s="306"/>
      <c r="R6" s="306">
        <f>M6+N6+O6+P6+Q6</f>
        <v>0</v>
      </c>
      <c r="S6" s="306">
        <f>L6+R6</f>
        <v>58284.816100811127</v>
      </c>
      <c r="T6" s="306">
        <f>L6*22%</f>
        <v>12822.659542178448</v>
      </c>
      <c r="U6" s="306">
        <f>S6+T6</f>
        <v>71107.475642989579</v>
      </c>
      <c r="V6" s="306">
        <f>U6*2</f>
        <v>142214.95128597916</v>
      </c>
      <c r="W6" s="306">
        <f>V6*30.2%</f>
        <v>42948.915288365701</v>
      </c>
      <c r="X6" s="302"/>
      <c r="Y6" s="302" t="s">
        <v>818</v>
      </c>
      <c r="Z6" s="307">
        <f>U6</f>
        <v>71107.475642989579</v>
      </c>
      <c r="AA6" s="302"/>
    </row>
    <row r="7" spans="1:27" ht="15" x14ac:dyDescent="0.2">
      <c r="A7" s="1734" t="s">
        <v>853</v>
      </c>
      <c r="B7" s="1734"/>
      <c r="C7" s="303">
        <v>1</v>
      </c>
      <c r="D7" s="303"/>
      <c r="E7" s="303"/>
      <c r="F7" s="303"/>
      <c r="G7" s="303"/>
      <c r="H7" s="303"/>
      <c r="I7" s="303"/>
      <c r="J7" s="306">
        <f>M37*90%*C7</f>
        <v>45614.203904982627</v>
      </c>
      <c r="K7" s="306"/>
      <c r="L7" s="306">
        <f t="shared" ref="L7:L28" si="0">J7</f>
        <v>45614.203904982627</v>
      </c>
      <c r="M7" s="306"/>
      <c r="N7" s="306"/>
      <c r="O7" s="306"/>
      <c r="P7" s="306"/>
      <c r="Q7" s="306"/>
      <c r="R7" s="306">
        <f t="shared" ref="R7:R28" si="1">M7+N7+O7+P7+Q7</f>
        <v>0</v>
      </c>
      <c r="S7" s="306">
        <f t="shared" ref="S7:S28" si="2">L7+R7</f>
        <v>45614.203904982627</v>
      </c>
      <c r="T7" s="306">
        <f t="shared" ref="T7:T22" si="3">L7*22%</f>
        <v>10035.124859096179</v>
      </c>
      <c r="U7" s="306">
        <f t="shared" ref="U7:U24" si="4">S7+T7</f>
        <v>55649.328764078804</v>
      </c>
      <c r="V7" s="306">
        <f t="shared" ref="V7:V28" si="5">U7*2</f>
        <v>111298.65752815761</v>
      </c>
      <c r="W7" s="306">
        <f t="shared" ref="W7:W28" si="6">V7*30.2%</f>
        <v>33612.194573503599</v>
      </c>
      <c r="X7" s="302"/>
      <c r="Y7" s="307" t="s">
        <v>854</v>
      </c>
      <c r="Z7" s="307" t="e">
        <f>U7+U8+#REF!+U9+U10+#REF!</f>
        <v>#REF!</v>
      </c>
      <c r="AA7" s="302"/>
    </row>
    <row r="8" spans="1:27" ht="30" x14ac:dyDescent="0.2">
      <c r="A8" s="1734" t="s">
        <v>855</v>
      </c>
      <c r="B8" s="1734"/>
      <c r="C8" s="303">
        <v>0.5</v>
      </c>
      <c r="D8" s="303"/>
      <c r="E8" s="303"/>
      <c r="F8" s="303"/>
      <c r="G8" s="303"/>
      <c r="H8" s="303"/>
      <c r="I8" s="303"/>
      <c r="J8" s="306">
        <f>M37*90%*C8</f>
        <v>22807.101952491314</v>
      </c>
      <c r="K8" s="306"/>
      <c r="L8" s="306">
        <f t="shared" si="0"/>
        <v>22807.101952491314</v>
      </c>
      <c r="M8" s="306"/>
      <c r="N8" s="306"/>
      <c r="O8" s="306"/>
      <c r="P8" s="306"/>
      <c r="Q8" s="306"/>
      <c r="R8" s="306">
        <f t="shared" si="1"/>
        <v>0</v>
      </c>
      <c r="S8" s="306">
        <f t="shared" si="2"/>
        <v>22807.101952491314</v>
      </c>
      <c r="T8" s="306">
        <f t="shared" si="3"/>
        <v>5017.5624295480893</v>
      </c>
      <c r="U8" s="306">
        <f t="shared" si="4"/>
        <v>27824.664382039402</v>
      </c>
      <c r="V8" s="306">
        <f t="shared" si="5"/>
        <v>55649.328764078804</v>
      </c>
      <c r="W8" s="306">
        <f t="shared" si="6"/>
        <v>16806.097286751799</v>
      </c>
      <c r="X8" s="302"/>
      <c r="Y8" s="302" t="s">
        <v>856</v>
      </c>
      <c r="Z8" s="307" t="e">
        <f>U12+U13+#REF!+U14+U15+U18+#REF!+#REF!+U16+#REF!</f>
        <v>#REF!</v>
      </c>
      <c r="AA8" s="302"/>
    </row>
    <row r="9" spans="1:27" ht="15" x14ac:dyDescent="0.2">
      <c r="A9" s="1734" t="s">
        <v>857</v>
      </c>
      <c r="B9" s="1734"/>
      <c r="C9" s="303">
        <v>0.25</v>
      </c>
      <c r="D9" s="303"/>
      <c r="E9" s="303"/>
      <c r="F9" s="303"/>
      <c r="G9" s="303"/>
      <c r="H9" s="303"/>
      <c r="I9" s="303"/>
      <c r="J9" s="306">
        <f>M37*90%*C9</f>
        <v>11403.550976245657</v>
      </c>
      <c r="K9" s="306"/>
      <c r="L9" s="306">
        <f t="shared" si="0"/>
        <v>11403.550976245657</v>
      </c>
      <c r="M9" s="306"/>
      <c r="N9" s="306"/>
      <c r="O9" s="306"/>
      <c r="P9" s="306"/>
      <c r="Q9" s="306"/>
      <c r="R9" s="306">
        <f t="shared" si="1"/>
        <v>0</v>
      </c>
      <c r="S9" s="306">
        <f t="shared" si="2"/>
        <v>11403.550976245657</v>
      </c>
      <c r="T9" s="306">
        <f t="shared" si="3"/>
        <v>2508.7812147740447</v>
      </c>
      <c r="U9" s="306">
        <f t="shared" si="4"/>
        <v>13912.332191019701</v>
      </c>
      <c r="V9" s="306">
        <f t="shared" si="5"/>
        <v>27824.664382039402</v>
      </c>
      <c r="W9" s="306">
        <f t="shared" si="6"/>
        <v>8403.0486433758997</v>
      </c>
      <c r="X9" s="302"/>
      <c r="Y9" s="302" t="s">
        <v>819</v>
      </c>
      <c r="Z9" s="307" t="e">
        <f>#REF!+U21+U28+U23+#REF!+U25+U27+U22</f>
        <v>#REF!</v>
      </c>
      <c r="AA9" s="302"/>
    </row>
    <row r="10" spans="1:27" ht="15" x14ac:dyDescent="0.2">
      <c r="A10" s="1734" t="s">
        <v>564</v>
      </c>
      <c r="B10" s="1734"/>
      <c r="C10" s="303">
        <v>0.5</v>
      </c>
      <c r="D10" s="303"/>
      <c r="E10" s="303"/>
      <c r="F10" s="303"/>
      <c r="G10" s="303"/>
      <c r="H10" s="303"/>
      <c r="I10" s="303"/>
      <c r="J10" s="306">
        <f>M37*90%*C10</f>
        <v>22807.101952491314</v>
      </c>
      <c r="K10" s="306"/>
      <c r="L10" s="306">
        <f>J10</f>
        <v>22807.101952491314</v>
      </c>
      <c r="M10" s="306"/>
      <c r="N10" s="306"/>
      <c r="O10" s="306"/>
      <c r="P10" s="306"/>
      <c r="Q10" s="306"/>
      <c r="R10" s="306">
        <f>M10+N10+O10+P10+Q10</f>
        <v>0</v>
      </c>
      <c r="S10" s="306">
        <f>L10+R10</f>
        <v>22807.101952491314</v>
      </c>
      <c r="T10" s="306">
        <f t="shared" si="3"/>
        <v>5017.5624295480893</v>
      </c>
      <c r="U10" s="306">
        <f>S10+T10</f>
        <v>27824.664382039402</v>
      </c>
      <c r="V10" s="306">
        <f t="shared" si="5"/>
        <v>55649.328764078804</v>
      </c>
      <c r="W10" s="306">
        <f t="shared" si="6"/>
        <v>16806.097286751799</v>
      </c>
      <c r="X10" s="302"/>
      <c r="Y10" s="302" t="s">
        <v>838</v>
      </c>
      <c r="Z10" s="307" t="e">
        <f>Z6+Z7+Z8+Z9</f>
        <v>#REF!</v>
      </c>
      <c r="AA10" s="302"/>
    </row>
    <row r="11" spans="1:27" ht="30" x14ac:dyDescent="0.2">
      <c r="A11" s="1734" t="s">
        <v>859</v>
      </c>
      <c r="B11" s="1734"/>
      <c r="C11" s="303">
        <v>0.5</v>
      </c>
      <c r="D11" s="303">
        <v>12265</v>
      </c>
      <c r="E11" s="303">
        <v>1.8</v>
      </c>
      <c r="F11" s="303"/>
      <c r="G11" s="303"/>
      <c r="H11" s="303"/>
      <c r="I11" s="303"/>
      <c r="J11" s="306">
        <f>ROUND(D11*E11*C11,2)</f>
        <v>11038.5</v>
      </c>
      <c r="K11" s="306"/>
      <c r="L11" s="306">
        <f t="shared" ref="L11" si="7">J11</f>
        <v>11038.5</v>
      </c>
      <c r="M11" s="306"/>
      <c r="N11" s="306"/>
      <c r="O11" s="306"/>
      <c r="P11" s="306"/>
      <c r="Q11" s="306"/>
      <c r="R11" s="306">
        <f t="shared" ref="R11" si="8">M11+N11+O11+P11+Q11</f>
        <v>0</v>
      </c>
      <c r="S11" s="306">
        <f t="shared" ref="S11" si="9">L11+R11</f>
        <v>11038.5</v>
      </c>
      <c r="T11" s="306">
        <f t="shared" si="3"/>
        <v>2428.4699999999998</v>
      </c>
      <c r="U11" s="306">
        <f t="shared" ref="U11" si="10">S11+T11</f>
        <v>13466.97</v>
      </c>
      <c r="V11" s="306">
        <f t="shared" si="5"/>
        <v>26933.94</v>
      </c>
      <c r="W11" s="306">
        <f t="shared" si="6"/>
        <v>8134.0498799999996</v>
      </c>
      <c r="X11" s="302"/>
      <c r="Y11" s="302" t="s">
        <v>856</v>
      </c>
      <c r="Z11" s="307" t="e">
        <f>U15+U18+#REF!+U16+U24+#REF!+#REF!+#REF!+U21+#REF!</f>
        <v>#REF!</v>
      </c>
      <c r="AA11" s="302"/>
    </row>
    <row r="12" spans="1:27" ht="15" x14ac:dyDescent="0.2">
      <c r="A12" s="1746" t="s">
        <v>860</v>
      </c>
      <c r="B12" s="1747"/>
      <c r="C12" s="303">
        <v>5.37</v>
      </c>
      <c r="D12" s="303">
        <v>12265</v>
      </c>
      <c r="E12" s="303">
        <v>1.7</v>
      </c>
      <c r="F12" s="303"/>
      <c r="G12" s="303"/>
      <c r="H12" s="303"/>
      <c r="I12" s="308"/>
      <c r="J12" s="306">
        <f>ROUND(D12*E12*C12,2)</f>
        <v>111967.19</v>
      </c>
      <c r="K12" s="306">
        <v>3938.42</v>
      </c>
      <c r="L12" s="306">
        <f>J12+K12</f>
        <v>115905.61</v>
      </c>
      <c r="M12" s="306">
        <v>8915</v>
      </c>
      <c r="N12" s="306">
        <v>19285.71</v>
      </c>
      <c r="O12" s="306"/>
      <c r="P12" s="306"/>
      <c r="Q12" s="306"/>
      <c r="R12" s="306">
        <f>M12+N12</f>
        <v>28200.71</v>
      </c>
      <c r="S12" s="306">
        <f>L12+R12</f>
        <v>144106.32</v>
      </c>
      <c r="T12" s="306">
        <f t="shared" si="3"/>
        <v>25499.234199999999</v>
      </c>
      <c r="U12" s="306">
        <f>S12+T12-136.12</f>
        <v>169469.43420000002</v>
      </c>
      <c r="V12" s="306">
        <f t="shared" si="5"/>
        <v>338938.86840000004</v>
      </c>
      <c r="W12" s="306">
        <f t="shared" si="6"/>
        <v>102359.53825680001</v>
      </c>
      <c r="X12" s="302"/>
      <c r="Y12" s="307"/>
      <c r="Z12" s="302"/>
      <c r="AA12" s="302"/>
    </row>
    <row r="13" spans="1:27" ht="15" x14ac:dyDescent="0.2">
      <c r="A13" s="1746" t="s">
        <v>861</v>
      </c>
      <c r="B13" s="1747"/>
      <c r="C13" s="303">
        <v>18.690000000000001</v>
      </c>
      <c r="D13" s="303">
        <v>12265</v>
      </c>
      <c r="E13" s="303"/>
      <c r="F13" s="303">
        <v>2</v>
      </c>
      <c r="G13" s="303"/>
      <c r="H13" s="303"/>
      <c r="I13" s="303"/>
      <c r="J13" s="306">
        <f>ROUND(C13*D13*F13,2)</f>
        <v>458465.7</v>
      </c>
      <c r="K13" s="306">
        <f>2453+2453+7359+14309+12265+9812+8177+7768+4906+2044</f>
        <v>71546</v>
      </c>
      <c r="L13" s="306">
        <f>J13+K13</f>
        <v>530011.69999999995</v>
      </c>
      <c r="M13" s="306">
        <v>20344.330000000002</v>
      </c>
      <c r="N13" s="306">
        <v>49999.98</v>
      </c>
      <c r="O13" s="306"/>
      <c r="P13" s="306">
        <v>0</v>
      </c>
      <c r="Q13" s="306"/>
      <c r="R13" s="306">
        <f>M13+N13</f>
        <v>70344.31</v>
      </c>
      <c r="S13" s="306">
        <f t="shared" si="2"/>
        <v>600356.01</v>
      </c>
      <c r="T13" s="306">
        <f t="shared" si="3"/>
        <v>116602.57399999999</v>
      </c>
      <c r="U13" s="306">
        <f t="shared" si="4"/>
        <v>716958.58400000003</v>
      </c>
      <c r="V13" s="306">
        <f t="shared" si="5"/>
        <v>1433917.1680000001</v>
      </c>
      <c r="W13" s="306">
        <f t="shared" si="6"/>
        <v>433042.98473600001</v>
      </c>
      <c r="X13" s="302"/>
      <c r="Y13" s="307" t="e">
        <f>J12+J13+#REF!</f>
        <v>#REF!</v>
      </c>
      <c r="Z13" s="302" t="e">
        <f>Y13*1%</f>
        <v>#REF!</v>
      </c>
      <c r="AA13" s="302"/>
    </row>
    <row r="14" spans="1:27" ht="15" x14ac:dyDescent="0.2">
      <c r="A14" s="1734" t="s">
        <v>862</v>
      </c>
      <c r="B14" s="1734"/>
      <c r="C14" s="303">
        <v>0.33</v>
      </c>
      <c r="D14" s="303">
        <v>12265</v>
      </c>
      <c r="E14" s="312"/>
      <c r="F14" s="303">
        <v>1.9</v>
      </c>
      <c r="G14" s="312"/>
      <c r="H14" s="312"/>
      <c r="I14" s="312"/>
      <c r="J14" s="306">
        <f>ROUND(C14*D14*F14,2)</f>
        <v>7690.16</v>
      </c>
      <c r="K14" s="306"/>
      <c r="L14" s="306">
        <f t="shared" si="0"/>
        <v>7690.16</v>
      </c>
      <c r="M14" s="313"/>
      <c r="N14" s="306"/>
      <c r="O14" s="306"/>
      <c r="P14" s="306"/>
      <c r="Q14" s="306"/>
      <c r="R14" s="306">
        <f t="shared" si="1"/>
        <v>0</v>
      </c>
      <c r="S14" s="306">
        <f t="shared" si="2"/>
        <v>7690.16</v>
      </c>
      <c r="T14" s="306">
        <f t="shared" si="3"/>
        <v>1691.8352</v>
      </c>
      <c r="U14" s="306">
        <f t="shared" si="4"/>
        <v>9381.9951999999994</v>
      </c>
      <c r="V14" s="306">
        <f t="shared" si="5"/>
        <v>18763.990399999999</v>
      </c>
      <c r="W14" s="306">
        <f t="shared" si="6"/>
        <v>5666.7251007999994</v>
      </c>
      <c r="X14" s="302"/>
      <c r="Y14" s="302"/>
      <c r="Z14" s="302"/>
      <c r="AA14" s="302"/>
    </row>
    <row r="15" spans="1:27" ht="15" x14ac:dyDescent="0.2">
      <c r="A15" s="1734" t="s">
        <v>863</v>
      </c>
      <c r="B15" s="1734"/>
      <c r="C15" s="303">
        <v>0.33</v>
      </c>
      <c r="D15" s="303">
        <v>12265</v>
      </c>
      <c r="E15" s="303"/>
      <c r="F15" s="303">
        <v>1.8</v>
      </c>
      <c r="G15" s="303"/>
      <c r="H15" s="303"/>
      <c r="I15" s="303"/>
      <c r="J15" s="306">
        <f>ROUND(C15*D15*F15,2)</f>
        <v>7285.41</v>
      </c>
      <c r="K15" s="306"/>
      <c r="L15" s="306">
        <f t="shared" si="0"/>
        <v>7285.41</v>
      </c>
      <c r="M15" s="313"/>
      <c r="N15" s="306"/>
      <c r="O15" s="306"/>
      <c r="P15" s="306"/>
      <c r="Q15" s="306"/>
      <c r="R15" s="306">
        <f t="shared" si="1"/>
        <v>0</v>
      </c>
      <c r="S15" s="306">
        <f t="shared" si="2"/>
        <v>7285.41</v>
      </c>
      <c r="T15" s="306">
        <f t="shared" si="3"/>
        <v>1602.7901999999999</v>
      </c>
      <c r="U15" s="306">
        <f t="shared" si="4"/>
        <v>8888.2001999999993</v>
      </c>
      <c r="V15" s="306">
        <f t="shared" si="5"/>
        <v>17776.400399999999</v>
      </c>
      <c r="W15" s="306">
        <f t="shared" si="6"/>
        <v>5368.472920799999</v>
      </c>
      <c r="X15" s="299"/>
      <c r="Y15" s="299"/>
      <c r="Z15" s="299"/>
      <c r="AA15" s="299"/>
    </row>
    <row r="16" spans="1:27" ht="15" x14ac:dyDescent="0.2">
      <c r="A16" s="1734" t="s">
        <v>1368</v>
      </c>
      <c r="B16" s="1734"/>
      <c r="C16" s="303">
        <v>0.33</v>
      </c>
      <c r="D16" s="303">
        <v>12265</v>
      </c>
      <c r="E16" s="303"/>
      <c r="F16" s="303">
        <v>1.75</v>
      </c>
      <c r="G16" s="303"/>
      <c r="H16" s="303"/>
      <c r="I16" s="303"/>
      <c r="J16" s="306">
        <f>ROUND(C16*D16*F16,2)</f>
        <v>7083.04</v>
      </c>
      <c r="K16" s="306"/>
      <c r="L16" s="306">
        <f>J16</f>
        <v>7083.04</v>
      </c>
      <c r="M16" s="306"/>
      <c r="N16" s="306"/>
      <c r="O16" s="306"/>
      <c r="P16" s="306"/>
      <c r="Q16" s="306"/>
      <c r="R16" s="306">
        <f>M16+N16+O16+P16+Q16</f>
        <v>0</v>
      </c>
      <c r="S16" s="306">
        <f>L16+R16</f>
        <v>7083.04</v>
      </c>
      <c r="T16" s="306">
        <f t="shared" si="3"/>
        <v>1558.2688000000001</v>
      </c>
      <c r="U16" s="306">
        <f>S16+T16</f>
        <v>8641.3088000000007</v>
      </c>
      <c r="V16" s="306">
        <f t="shared" si="5"/>
        <v>17282.617600000001</v>
      </c>
      <c r="W16" s="306">
        <f t="shared" si="6"/>
        <v>5219.3505152000007</v>
      </c>
      <c r="X16" s="299"/>
      <c r="Y16" s="299"/>
      <c r="Z16" s="299"/>
      <c r="AA16" s="299"/>
    </row>
    <row r="17" spans="1:27" ht="15" x14ac:dyDescent="0.2">
      <c r="A17" s="1734" t="s">
        <v>865</v>
      </c>
      <c r="B17" s="1734"/>
      <c r="C17" s="303">
        <v>1.39</v>
      </c>
      <c r="D17" s="303">
        <v>12265</v>
      </c>
      <c r="E17" s="303">
        <v>1.5</v>
      </c>
      <c r="F17" s="303"/>
      <c r="G17" s="303"/>
      <c r="H17" s="303"/>
      <c r="I17" s="303"/>
      <c r="J17" s="306">
        <f>ROUND(C17*D17*E17,2)</f>
        <v>25572.53</v>
      </c>
      <c r="K17" s="306"/>
      <c r="L17" s="306">
        <f t="shared" ref="L17" si="11">J17</f>
        <v>25572.53</v>
      </c>
      <c r="M17" s="306"/>
      <c r="N17" s="306"/>
      <c r="O17" s="306"/>
      <c r="P17" s="306"/>
      <c r="Q17" s="306"/>
      <c r="R17" s="306">
        <f t="shared" ref="R17" si="12">M17+N17+O17+P17+Q17</f>
        <v>0</v>
      </c>
      <c r="S17" s="306">
        <f t="shared" ref="S17" si="13">L17+R17</f>
        <v>25572.53</v>
      </c>
      <c r="T17" s="306">
        <f t="shared" si="3"/>
        <v>5625.9565999999995</v>
      </c>
      <c r="U17" s="306">
        <f t="shared" ref="U17" si="14">S17+T17</f>
        <v>31198.486599999997</v>
      </c>
      <c r="V17" s="306">
        <f t="shared" si="5"/>
        <v>62396.973199999993</v>
      </c>
      <c r="W17" s="306">
        <f t="shared" si="6"/>
        <v>18843.885906399999</v>
      </c>
      <c r="X17" s="299"/>
      <c r="Y17" s="299"/>
      <c r="Z17" s="299"/>
      <c r="AA17" s="299"/>
    </row>
    <row r="18" spans="1:27" ht="15" x14ac:dyDescent="0.2">
      <c r="A18" s="1734" t="s">
        <v>866</v>
      </c>
      <c r="B18" s="1734"/>
      <c r="C18" s="303">
        <v>2.61</v>
      </c>
      <c r="D18" s="303">
        <v>12265</v>
      </c>
      <c r="E18" s="303"/>
      <c r="F18" s="303">
        <v>1.8</v>
      </c>
      <c r="G18" s="303"/>
      <c r="H18" s="303"/>
      <c r="I18" s="303"/>
      <c r="J18" s="306">
        <f>ROUND(C18*D18*F18,2)</f>
        <v>57620.97</v>
      </c>
      <c r="K18" s="306"/>
      <c r="L18" s="306">
        <f t="shared" si="0"/>
        <v>57620.97</v>
      </c>
      <c r="M18" s="306"/>
      <c r="N18" s="306"/>
      <c r="O18" s="306"/>
      <c r="P18" s="306"/>
      <c r="Q18" s="306"/>
      <c r="R18" s="306">
        <f t="shared" si="1"/>
        <v>0</v>
      </c>
      <c r="S18" s="306">
        <f t="shared" si="2"/>
        <v>57620.97</v>
      </c>
      <c r="T18" s="306">
        <f t="shared" si="3"/>
        <v>12676.6134</v>
      </c>
      <c r="U18" s="306">
        <f t="shared" si="4"/>
        <v>70297.583400000003</v>
      </c>
      <c r="V18" s="306">
        <f t="shared" si="5"/>
        <v>140595.16680000001</v>
      </c>
      <c r="W18" s="306">
        <f t="shared" si="6"/>
        <v>42459.740373599998</v>
      </c>
      <c r="X18" s="299"/>
      <c r="Y18" s="299"/>
      <c r="Z18" s="299"/>
      <c r="AA18" s="299"/>
    </row>
    <row r="19" spans="1:27" ht="15" x14ac:dyDescent="0.2">
      <c r="A19" s="1734" t="s">
        <v>822</v>
      </c>
      <c r="B19" s="1734"/>
      <c r="C19" s="303"/>
      <c r="D19" s="303">
        <v>12265</v>
      </c>
      <c r="E19" s="303"/>
      <c r="F19" s="303">
        <v>1.9</v>
      </c>
      <c r="G19" s="303"/>
      <c r="H19" s="303"/>
      <c r="I19" s="303"/>
      <c r="J19" s="306">
        <f>ROUND(C19*D19*F19,2)</f>
        <v>0</v>
      </c>
      <c r="K19" s="306"/>
      <c r="L19" s="306">
        <f t="shared" si="0"/>
        <v>0</v>
      </c>
      <c r="M19" s="306"/>
      <c r="N19" s="306"/>
      <c r="O19" s="306"/>
      <c r="P19" s="306"/>
      <c r="Q19" s="306"/>
      <c r="R19" s="306">
        <f t="shared" si="1"/>
        <v>0</v>
      </c>
      <c r="S19" s="306">
        <f t="shared" si="2"/>
        <v>0</v>
      </c>
      <c r="T19" s="306">
        <f t="shared" si="3"/>
        <v>0</v>
      </c>
      <c r="U19" s="306">
        <f t="shared" si="4"/>
        <v>0</v>
      </c>
      <c r="V19" s="306">
        <f t="shared" si="5"/>
        <v>0</v>
      </c>
      <c r="W19" s="306">
        <f t="shared" si="6"/>
        <v>0</v>
      </c>
      <c r="X19" s="299"/>
      <c r="Y19" s="299"/>
      <c r="Z19" s="299"/>
      <c r="AA19" s="299"/>
    </row>
    <row r="20" spans="1:27" ht="15" x14ac:dyDescent="0.2">
      <c r="A20" s="1645" t="s">
        <v>821</v>
      </c>
      <c r="B20" s="1645"/>
      <c r="C20" s="303"/>
      <c r="D20" s="303">
        <v>12265</v>
      </c>
      <c r="E20" s="303">
        <v>1.6</v>
      </c>
      <c r="F20" s="303"/>
      <c r="G20" s="303"/>
      <c r="H20" s="303"/>
      <c r="I20" s="303"/>
      <c r="J20" s="306">
        <f>ROUND(C20*D20*E20,2)</f>
        <v>0</v>
      </c>
      <c r="K20" s="306"/>
      <c r="L20" s="306">
        <f t="shared" si="0"/>
        <v>0</v>
      </c>
      <c r="M20" s="306"/>
      <c r="N20" s="306"/>
      <c r="O20" s="306"/>
      <c r="P20" s="306"/>
      <c r="Q20" s="306"/>
      <c r="R20" s="306">
        <f t="shared" si="1"/>
        <v>0</v>
      </c>
      <c r="S20" s="306">
        <f t="shared" si="2"/>
        <v>0</v>
      </c>
      <c r="T20" s="306">
        <f t="shared" si="3"/>
        <v>0</v>
      </c>
      <c r="U20" s="306">
        <f t="shared" si="4"/>
        <v>0</v>
      </c>
      <c r="V20" s="306">
        <f t="shared" si="5"/>
        <v>0</v>
      </c>
      <c r="W20" s="306">
        <f t="shared" si="6"/>
        <v>0</v>
      </c>
      <c r="X20" s="299"/>
      <c r="Y20" s="299"/>
      <c r="Z20" s="299"/>
      <c r="AA20" s="299"/>
    </row>
    <row r="21" spans="1:27" ht="15" x14ac:dyDescent="0.2">
      <c r="A21" s="1645" t="s">
        <v>867</v>
      </c>
      <c r="B21" s="1645"/>
      <c r="C21" s="303">
        <v>0.25</v>
      </c>
      <c r="D21" s="303">
        <v>12265</v>
      </c>
      <c r="E21" s="303"/>
      <c r="F21" s="303"/>
      <c r="G21" s="303">
        <v>1.3</v>
      </c>
      <c r="H21" s="303"/>
      <c r="I21" s="303"/>
      <c r="J21" s="306">
        <f>ROUND(D21*G21*C21,2)</f>
        <v>3986.13</v>
      </c>
      <c r="K21" s="306"/>
      <c r="L21" s="306">
        <f>J21</f>
        <v>3986.13</v>
      </c>
      <c r="M21" s="306"/>
      <c r="N21" s="306"/>
      <c r="O21" s="306"/>
      <c r="P21" s="306"/>
      <c r="Q21" s="306"/>
      <c r="R21" s="306">
        <f>M21+N21+O21+P21+Q21</f>
        <v>0</v>
      </c>
      <c r="S21" s="306">
        <f>L21+R21</f>
        <v>3986.13</v>
      </c>
      <c r="T21" s="306">
        <f t="shared" si="3"/>
        <v>876.94860000000006</v>
      </c>
      <c r="U21" s="306">
        <f>S21+T21</f>
        <v>4863.0785999999998</v>
      </c>
      <c r="V21" s="306">
        <f t="shared" si="5"/>
        <v>9726.1571999999996</v>
      </c>
      <c r="W21" s="306">
        <f t="shared" si="6"/>
        <v>2937.2994743999998</v>
      </c>
      <c r="X21" s="299"/>
      <c r="Y21" s="299"/>
      <c r="Z21" s="299"/>
      <c r="AA21" s="299"/>
    </row>
    <row r="22" spans="1:27" ht="15" x14ac:dyDescent="0.2">
      <c r="A22" s="1645" t="s">
        <v>868</v>
      </c>
      <c r="B22" s="1645"/>
      <c r="C22" s="303">
        <v>0.5</v>
      </c>
      <c r="D22" s="303">
        <v>12265</v>
      </c>
      <c r="E22" s="303"/>
      <c r="F22" s="303"/>
      <c r="G22" s="303"/>
      <c r="H22" s="303"/>
      <c r="I22" s="303">
        <v>1.2</v>
      </c>
      <c r="J22" s="306">
        <f>ROUND(D22*I22*C22,2)</f>
        <v>7359</v>
      </c>
      <c r="K22" s="306"/>
      <c r="L22" s="306">
        <f>J22</f>
        <v>7359</v>
      </c>
      <c r="M22" s="306"/>
      <c r="N22" s="306"/>
      <c r="O22" s="306"/>
      <c r="P22" s="306"/>
      <c r="Q22" s="306"/>
      <c r="R22" s="306">
        <f>M22+N22+O22+P22+Q22</f>
        <v>0</v>
      </c>
      <c r="S22" s="306">
        <f>L22+R22</f>
        <v>7359</v>
      </c>
      <c r="T22" s="306">
        <f t="shared" si="3"/>
        <v>1618.98</v>
      </c>
      <c r="U22" s="306">
        <f>S22+T22</f>
        <v>8977.98</v>
      </c>
      <c r="V22" s="306">
        <f t="shared" si="5"/>
        <v>17955.96</v>
      </c>
      <c r="W22" s="306">
        <f t="shared" si="6"/>
        <v>5422.69992</v>
      </c>
      <c r="X22" s="299"/>
      <c r="Y22" s="299"/>
      <c r="Z22" s="299"/>
      <c r="AA22" s="299"/>
    </row>
    <row r="23" spans="1:27" ht="15" x14ac:dyDescent="0.2">
      <c r="A23" s="1645" t="s">
        <v>829</v>
      </c>
      <c r="B23" s="1645"/>
      <c r="C23" s="303">
        <v>4.7</v>
      </c>
      <c r="D23" s="303">
        <v>12265</v>
      </c>
      <c r="E23" s="303"/>
      <c r="F23" s="303"/>
      <c r="G23" s="303"/>
      <c r="H23" s="303">
        <v>2</v>
      </c>
      <c r="I23" s="303">
        <v>1.05</v>
      </c>
      <c r="J23" s="306">
        <f>ROUND(D23*I23*C23,2)</f>
        <v>60527.78</v>
      </c>
      <c r="K23" s="306"/>
      <c r="L23" s="306">
        <f>J23</f>
        <v>60527.78</v>
      </c>
      <c r="M23" s="306"/>
      <c r="N23" s="306"/>
      <c r="O23" s="306"/>
      <c r="P23" s="306"/>
      <c r="Q23" s="306"/>
      <c r="R23" s="306">
        <f>M23+N23+O23+P23+Q23</f>
        <v>0</v>
      </c>
      <c r="S23" s="306">
        <f>L23+R23</f>
        <v>60527.78</v>
      </c>
      <c r="T23" s="306">
        <f>L23*23%+17139</f>
        <v>31060.3894</v>
      </c>
      <c r="U23" s="306">
        <f>S23+T23</f>
        <v>91588.169399999999</v>
      </c>
      <c r="V23" s="306">
        <f t="shared" si="5"/>
        <v>183176.3388</v>
      </c>
      <c r="W23" s="306">
        <f t="shared" si="6"/>
        <v>55319.254317599996</v>
      </c>
      <c r="X23" s="299"/>
      <c r="Y23" s="299"/>
      <c r="Z23" s="299"/>
      <c r="AA23" s="299"/>
    </row>
    <row r="24" spans="1:27" ht="15" x14ac:dyDescent="0.2">
      <c r="A24" s="1645" t="s">
        <v>869</v>
      </c>
      <c r="B24" s="1645"/>
      <c r="C24" s="303">
        <v>1</v>
      </c>
      <c r="D24" s="303">
        <v>12265</v>
      </c>
      <c r="E24" s="303"/>
      <c r="F24" s="303"/>
      <c r="G24" s="303">
        <v>1.8</v>
      </c>
      <c r="H24" s="303"/>
      <c r="I24" s="303"/>
      <c r="J24" s="306">
        <f>ROUND(D24*G24*C24,2)</f>
        <v>22077</v>
      </c>
      <c r="K24" s="306"/>
      <c r="L24" s="306">
        <f>J24+K24</f>
        <v>22077</v>
      </c>
      <c r="M24" s="306"/>
      <c r="N24" s="306"/>
      <c r="O24" s="306"/>
      <c r="P24" s="306"/>
      <c r="Q24" s="306"/>
      <c r="R24" s="306">
        <f t="shared" si="1"/>
        <v>0</v>
      </c>
      <c r="S24" s="306">
        <f t="shared" si="2"/>
        <v>22077</v>
      </c>
      <c r="T24" s="306">
        <f>L24*23%+5000</f>
        <v>10077.709999999999</v>
      </c>
      <c r="U24" s="306">
        <f t="shared" si="4"/>
        <v>32154.71</v>
      </c>
      <c r="V24" s="306">
        <f t="shared" si="5"/>
        <v>64309.42</v>
      </c>
      <c r="W24" s="306">
        <f t="shared" si="6"/>
        <v>19421.44484</v>
      </c>
      <c r="X24" s="299"/>
      <c r="Y24" s="299"/>
      <c r="Z24" s="299"/>
      <c r="AA24" s="299"/>
    </row>
    <row r="25" spans="1:27" ht="15" x14ac:dyDescent="0.2">
      <c r="A25" s="1645" t="s">
        <v>830</v>
      </c>
      <c r="B25" s="1645"/>
      <c r="C25" s="303">
        <v>2</v>
      </c>
      <c r="D25" s="303">
        <v>12265</v>
      </c>
      <c r="E25" s="303"/>
      <c r="F25" s="303"/>
      <c r="G25" s="303"/>
      <c r="H25" s="303">
        <v>1</v>
      </c>
      <c r="I25" s="303">
        <v>1.05</v>
      </c>
      <c r="J25" s="306">
        <f>ROUND(D25*I25*C25,2)</f>
        <v>25756.5</v>
      </c>
      <c r="K25" s="306"/>
      <c r="L25" s="306">
        <f>J25</f>
        <v>25756.5</v>
      </c>
      <c r="M25" s="306"/>
      <c r="N25" s="306"/>
      <c r="O25" s="306"/>
      <c r="P25" s="306"/>
      <c r="Q25" s="306"/>
      <c r="R25" s="306">
        <f>M25+N25+O25+P25+Q25</f>
        <v>0</v>
      </c>
      <c r="S25" s="306">
        <f>L25+R25</f>
        <v>25756.5</v>
      </c>
      <c r="T25" s="306">
        <f>L25*23%+4284.75</f>
        <v>10208.744999999999</v>
      </c>
      <c r="U25" s="306">
        <f>S25+T25</f>
        <v>35965.244999999995</v>
      </c>
      <c r="V25" s="306">
        <f t="shared" si="5"/>
        <v>71930.489999999991</v>
      </c>
      <c r="W25" s="306">
        <f t="shared" si="6"/>
        <v>21723.007979999995</v>
      </c>
      <c r="X25" s="299"/>
      <c r="Y25" s="299"/>
      <c r="Z25" s="299"/>
      <c r="AA25" s="299"/>
    </row>
    <row r="26" spans="1:27" ht="15" x14ac:dyDescent="0.2">
      <c r="A26" s="1643" t="s">
        <v>839</v>
      </c>
      <c r="B26" s="1644"/>
      <c r="C26" s="303">
        <v>1</v>
      </c>
      <c r="D26" s="303">
        <v>12265</v>
      </c>
      <c r="E26" s="303"/>
      <c r="F26" s="303"/>
      <c r="G26" s="303"/>
      <c r="H26" s="303">
        <v>1</v>
      </c>
      <c r="I26" s="303">
        <v>1.55</v>
      </c>
      <c r="J26" s="306">
        <f>ROUND(D26*I26*C26,2)</f>
        <v>19010.75</v>
      </c>
      <c r="K26" s="306"/>
      <c r="L26" s="306">
        <f>J26</f>
        <v>19010.75</v>
      </c>
      <c r="M26" s="306"/>
      <c r="N26" s="306"/>
      <c r="O26" s="306"/>
      <c r="P26" s="306"/>
      <c r="Q26" s="306"/>
      <c r="R26" s="306">
        <f>M26+N26+O26+P26+Q26</f>
        <v>0</v>
      </c>
      <c r="S26" s="306">
        <f>L26+R26</f>
        <v>19010.75</v>
      </c>
      <c r="T26" s="306">
        <f>L26*23%</f>
        <v>4372.4724999999999</v>
      </c>
      <c r="U26" s="306">
        <f>S26+T26</f>
        <v>23383.2225</v>
      </c>
      <c r="V26" s="306">
        <f t="shared" si="5"/>
        <v>46766.445</v>
      </c>
      <c r="W26" s="306">
        <f t="shared" si="6"/>
        <v>14123.46639</v>
      </c>
      <c r="X26" s="299"/>
      <c r="Y26" s="299"/>
      <c r="Z26" s="299"/>
      <c r="AA26" s="299"/>
    </row>
    <row r="27" spans="1:27" ht="15" x14ac:dyDescent="0.2">
      <c r="A27" s="1645" t="s">
        <v>870</v>
      </c>
      <c r="B27" s="1645"/>
      <c r="C27" s="303">
        <v>2</v>
      </c>
      <c r="D27" s="303">
        <v>12265</v>
      </c>
      <c r="E27" s="303"/>
      <c r="F27" s="303"/>
      <c r="G27" s="303"/>
      <c r="H27" s="303">
        <v>1</v>
      </c>
      <c r="I27" s="303">
        <v>1.05</v>
      </c>
      <c r="J27" s="306">
        <f>ROUND(D27*I27*C27,2)</f>
        <v>25756.5</v>
      </c>
      <c r="K27" s="306"/>
      <c r="L27" s="306">
        <f>J27</f>
        <v>25756.5</v>
      </c>
      <c r="M27" s="306"/>
      <c r="N27" s="339"/>
      <c r="O27" s="306"/>
      <c r="P27" s="306"/>
      <c r="Q27" s="306"/>
      <c r="R27" s="306">
        <f>M27+N27+O27+P27+Q27</f>
        <v>0</v>
      </c>
      <c r="S27" s="306">
        <f>L27+R27</f>
        <v>25756.5</v>
      </c>
      <c r="T27" s="306">
        <f>L27*23%+8569.5</f>
        <v>14493.494999999999</v>
      </c>
      <c r="U27" s="306">
        <f>S27+T27</f>
        <v>40249.994999999995</v>
      </c>
      <c r="V27" s="306">
        <f t="shared" si="5"/>
        <v>80499.989999999991</v>
      </c>
      <c r="W27" s="306">
        <f t="shared" si="6"/>
        <v>24310.996979999996</v>
      </c>
      <c r="X27" s="299"/>
      <c r="Y27" s="299"/>
      <c r="Z27" s="299"/>
      <c r="AA27" s="299"/>
    </row>
    <row r="28" spans="1:27" ht="15" x14ac:dyDescent="0.2">
      <c r="A28" s="1645" t="s">
        <v>871</v>
      </c>
      <c r="B28" s="1645"/>
      <c r="C28" s="303">
        <v>1</v>
      </c>
      <c r="D28" s="303">
        <v>12265</v>
      </c>
      <c r="E28" s="303"/>
      <c r="F28" s="303"/>
      <c r="G28" s="303">
        <v>1.2</v>
      </c>
      <c r="H28" s="303"/>
      <c r="I28" s="303"/>
      <c r="J28" s="306">
        <f>ROUND(D28*G28*C28,2)</f>
        <v>14718</v>
      </c>
      <c r="K28" s="306"/>
      <c r="L28" s="306">
        <f t="shared" si="0"/>
        <v>14718</v>
      </c>
      <c r="M28" s="306"/>
      <c r="N28" s="306"/>
      <c r="O28" s="306"/>
      <c r="P28" s="306"/>
      <c r="Q28" s="306"/>
      <c r="R28" s="306">
        <f t="shared" si="1"/>
        <v>0</v>
      </c>
      <c r="S28" s="306">
        <f t="shared" si="2"/>
        <v>14718</v>
      </c>
      <c r="T28" s="306">
        <f>L28*23%+2021.86</f>
        <v>5407</v>
      </c>
      <c r="U28" s="306">
        <f>S28+T28</f>
        <v>20125</v>
      </c>
      <c r="V28" s="306">
        <f t="shared" si="5"/>
        <v>40250</v>
      </c>
      <c r="W28" s="306">
        <f t="shared" si="6"/>
        <v>12155.5</v>
      </c>
      <c r="X28" s="299"/>
      <c r="Y28" s="299"/>
      <c r="Z28" s="299"/>
      <c r="AA28" s="299"/>
    </row>
    <row r="29" spans="1:27" ht="14.25" x14ac:dyDescent="0.2">
      <c r="A29" s="1748" t="s">
        <v>189</v>
      </c>
      <c r="B29" s="1748"/>
      <c r="C29" s="314">
        <f>SUM(C6:C28)</f>
        <v>45.25</v>
      </c>
      <c r="D29" s="314"/>
      <c r="E29" s="314"/>
      <c r="F29" s="314"/>
      <c r="G29" s="314"/>
      <c r="H29" s="314"/>
      <c r="I29" s="314"/>
      <c r="J29" s="313">
        <f t="shared" ref="J29:W29" si="15">SUM(J6:J28)</f>
        <v>1026831.9348870221</v>
      </c>
      <c r="K29" s="313">
        <f t="shared" si="15"/>
        <v>75484.42</v>
      </c>
      <c r="L29" s="313">
        <f t="shared" si="15"/>
        <v>1102316.3548870222</v>
      </c>
      <c r="M29" s="313">
        <f t="shared" si="15"/>
        <v>29259.33</v>
      </c>
      <c r="N29" s="313">
        <f t="shared" si="15"/>
        <v>69285.69</v>
      </c>
      <c r="O29" s="313">
        <f t="shared" si="15"/>
        <v>0</v>
      </c>
      <c r="P29" s="313">
        <f t="shared" si="15"/>
        <v>0</v>
      </c>
      <c r="Q29" s="313">
        <f t="shared" si="15"/>
        <v>0</v>
      </c>
      <c r="R29" s="313">
        <f t="shared" si="15"/>
        <v>98545.01999999999</v>
      </c>
      <c r="S29" s="313">
        <f t="shared" si="15"/>
        <v>1200861.3748870222</v>
      </c>
      <c r="T29" s="313">
        <f t="shared" si="15"/>
        <v>281203.17337514483</v>
      </c>
      <c r="U29" s="313">
        <f t="shared" si="15"/>
        <v>1481928.4282621667</v>
      </c>
      <c r="V29" s="313">
        <f t="shared" si="15"/>
        <v>2963856.8565243334</v>
      </c>
      <c r="W29" s="313">
        <f t="shared" si="15"/>
        <v>895084.77067034901</v>
      </c>
      <c r="X29" s="315"/>
      <c r="Y29" s="315"/>
      <c r="Z29" s="315"/>
      <c r="AA29" s="315"/>
    </row>
    <row r="30" spans="1:27" ht="15" x14ac:dyDescent="0.2">
      <c r="A30" s="316"/>
      <c r="B30" s="316"/>
      <c r="C30" s="317"/>
      <c r="D30" s="317"/>
      <c r="E30" s="317"/>
      <c r="F30" s="317"/>
      <c r="G30" s="317"/>
      <c r="H30" s="317"/>
      <c r="I30" s="317"/>
      <c r="J30" s="318"/>
      <c r="K30" s="318"/>
      <c r="L30" s="318"/>
      <c r="M30" s="319"/>
      <c r="N30" s="319"/>
      <c r="O30" s="319"/>
      <c r="P30" s="319"/>
      <c r="Q30" s="319"/>
      <c r="R30" s="319"/>
      <c r="S30" s="319"/>
      <c r="T30" s="320">
        <f>3609598.94+54272.4/4-S29</f>
        <v>2422305.6651129778</v>
      </c>
      <c r="U30" s="319"/>
      <c r="V30" s="319"/>
      <c r="W30" s="319"/>
      <c r="X30" s="302"/>
      <c r="Y30" s="302"/>
      <c r="Z30" s="302"/>
      <c r="AA30" s="302"/>
    </row>
    <row r="31" spans="1:27" ht="30" x14ac:dyDescent="0.2">
      <c r="A31" s="316"/>
      <c r="B31" s="2055"/>
      <c r="C31" s="2055"/>
      <c r="D31" s="2055"/>
      <c r="E31" s="2055"/>
      <c r="F31" s="2055"/>
      <c r="G31" s="2055"/>
      <c r="H31" s="321"/>
      <c r="I31" s="317"/>
      <c r="J31" s="322"/>
      <c r="K31" s="322"/>
      <c r="L31" s="317"/>
      <c r="M31" s="321"/>
      <c r="N31" s="323"/>
      <c r="O31" s="324"/>
      <c r="P31" s="325"/>
      <c r="Q31" s="325"/>
      <c r="R31" s="325"/>
      <c r="S31" s="325"/>
      <c r="T31" s="326">
        <f>T30*100/L29</f>
        <v>219.74686798158257</v>
      </c>
      <c r="U31" s="327">
        <f>U29*30.22%</f>
        <v>447838.77102082671</v>
      </c>
      <c r="V31" s="328" t="s">
        <v>831</v>
      </c>
      <c r="W31" s="324"/>
      <c r="X31" s="302"/>
      <c r="Y31" s="302"/>
      <c r="Z31" s="302"/>
      <c r="AA31" s="302"/>
    </row>
    <row r="32" spans="1:27" ht="30" x14ac:dyDescent="0.2">
      <c r="A32" s="317"/>
      <c r="B32" s="317"/>
      <c r="C32" s="317"/>
      <c r="D32" s="317"/>
      <c r="E32" s="317"/>
      <c r="F32" s="329"/>
      <c r="G32" s="317"/>
      <c r="H32" s="317"/>
      <c r="I32" s="317"/>
      <c r="J32" s="322"/>
      <c r="K32" s="322"/>
      <c r="L32" s="317"/>
      <c r="M32" s="317"/>
      <c r="N32" s="317"/>
      <c r="O32" s="330"/>
      <c r="P32" s="331"/>
      <c r="Q32" s="331"/>
      <c r="R32" s="331"/>
      <c r="S32" s="332" t="s">
        <v>832</v>
      </c>
      <c r="T32" s="333">
        <f>S29*5%</f>
        <v>60043.068744351112</v>
      </c>
      <c r="U32" s="316" t="s">
        <v>833</v>
      </c>
      <c r="V32" s="333">
        <f>T32*12</f>
        <v>720516.82493221341</v>
      </c>
      <c r="W32" s="316" t="s">
        <v>834</v>
      </c>
      <c r="X32" s="302"/>
      <c r="Y32" s="302"/>
      <c r="Z32" s="302"/>
      <c r="AA32" s="302"/>
    </row>
    <row r="33" spans="1:27" ht="15" x14ac:dyDescent="0.2">
      <c r="A33" s="317"/>
      <c r="B33" s="317"/>
      <c r="C33" s="317"/>
      <c r="D33" s="317"/>
      <c r="E33" s="317"/>
      <c r="F33" s="329"/>
      <c r="G33" s="317"/>
      <c r="H33" s="317"/>
      <c r="I33" s="317"/>
      <c r="J33" s="322"/>
      <c r="K33" s="322"/>
      <c r="L33" s="317"/>
      <c r="M33" s="317"/>
      <c r="N33" s="317"/>
      <c r="O33" s="330"/>
      <c r="P33" s="331"/>
      <c r="Q33" s="331"/>
      <c r="R33" s="331"/>
      <c r="S33" s="332" t="s">
        <v>835</v>
      </c>
      <c r="T33" s="333">
        <f>U29*2%</f>
        <v>29638.568565243335</v>
      </c>
      <c r="U33" s="316" t="s">
        <v>836</v>
      </c>
      <c r="V33" s="333">
        <f>T33*12</f>
        <v>355662.82278292003</v>
      </c>
      <c r="W33" s="316" t="s">
        <v>837</v>
      </c>
      <c r="X33" s="302"/>
      <c r="Y33" s="302"/>
      <c r="Z33" s="302"/>
      <c r="AA33" s="302"/>
    </row>
    <row r="34" spans="1:27" ht="15" x14ac:dyDescent="0.2">
      <c r="A34" s="317"/>
      <c r="B34" s="317"/>
      <c r="C34" s="317"/>
      <c r="D34" s="317"/>
      <c r="E34" s="317"/>
      <c r="F34" s="329"/>
      <c r="G34" s="317"/>
      <c r="H34" s="317"/>
      <c r="I34" s="317"/>
      <c r="J34" s="322"/>
      <c r="K34" s="322"/>
      <c r="L34" s="317"/>
      <c r="M34" s="317"/>
      <c r="N34" s="317"/>
      <c r="O34" s="330"/>
      <c r="P34" s="331"/>
      <c r="Q34" s="331"/>
      <c r="R34" s="331"/>
      <c r="S34" s="332"/>
      <c r="T34" s="333"/>
      <c r="U34" s="316"/>
      <c r="V34" s="482"/>
      <c r="W34" s="330"/>
      <c r="X34" s="302"/>
      <c r="Y34" s="302"/>
      <c r="Z34" s="302"/>
      <c r="AA34" s="302"/>
    </row>
    <row r="35" spans="1:27" ht="15" x14ac:dyDescent="0.2">
      <c r="A35" s="302"/>
      <c r="B35" s="302" t="s">
        <v>1369</v>
      </c>
      <c r="C35" s="302"/>
      <c r="D35" s="302"/>
      <c r="E35" s="302"/>
      <c r="F35" s="302"/>
      <c r="G35" s="302"/>
      <c r="H35" s="302" t="s">
        <v>1409</v>
      </c>
      <c r="I35" s="302">
        <v>2</v>
      </c>
      <c r="J35" s="302">
        <v>42927.5</v>
      </c>
      <c r="K35" s="302"/>
      <c r="L35" s="302"/>
      <c r="M35" s="302"/>
      <c r="N35" s="302"/>
      <c r="O35" s="302"/>
      <c r="P35" s="302"/>
      <c r="Q35" s="302"/>
      <c r="R35" s="302"/>
      <c r="S35" s="302"/>
      <c r="T35" s="302"/>
      <c r="U35" s="302"/>
      <c r="V35" s="302"/>
      <c r="W35" s="307"/>
      <c r="X35" s="302"/>
      <c r="Y35" s="302"/>
      <c r="Z35" s="302"/>
      <c r="AA35" s="302"/>
    </row>
    <row r="36" spans="1:27" ht="15" x14ac:dyDescent="0.2">
      <c r="A36" s="302"/>
      <c r="B36" s="302" t="s">
        <v>1370</v>
      </c>
      <c r="C36" s="302"/>
      <c r="D36" s="302"/>
      <c r="E36" s="302"/>
      <c r="F36" s="302"/>
      <c r="G36" s="302"/>
      <c r="H36" s="302" t="s">
        <v>1410</v>
      </c>
      <c r="I36" s="302">
        <f>C12+C13+C14+C15+C16+C17+C18</f>
        <v>29.049999999999997</v>
      </c>
      <c r="J36" s="307">
        <f>J12+J13+J14+J15+J16+J17+J18</f>
        <v>675685.00000000012</v>
      </c>
      <c r="K36" s="302"/>
      <c r="L36" s="302"/>
      <c r="M36" s="302"/>
      <c r="N36" s="302"/>
      <c r="O36" s="302"/>
      <c r="P36" s="302"/>
      <c r="Q36" s="302"/>
      <c r="R36" s="302"/>
      <c r="S36" s="302"/>
      <c r="T36" s="302"/>
      <c r="U36" s="307"/>
      <c r="V36" s="302"/>
      <c r="W36" s="302"/>
      <c r="X36" s="302"/>
      <c r="Y36" s="302"/>
      <c r="Z36" s="302"/>
      <c r="AA36" s="302"/>
    </row>
    <row r="37" spans="1:27" ht="30" x14ac:dyDescent="0.2">
      <c r="A37" s="302"/>
      <c r="B37" s="302" t="s">
        <v>1371</v>
      </c>
      <c r="C37" s="302"/>
      <c r="D37" s="302"/>
      <c r="E37" s="302"/>
      <c r="F37" s="302"/>
      <c r="G37" s="302"/>
      <c r="H37" s="302" t="s">
        <v>1411</v>
      </c>
      <c r="I37" s="302">
        <v>12.1</v>
      </c>
      <c r="J37" s="302">
        <v>253364.24</v>
      </c>
      <c r="K37" s="858">
        <f>J38/I38</f>
        <v>22525.532792584014</v>
      </c>
      <c r="L37" s="858">
        <v>2.25</v>
      </c>
      <c r="M37" s="858">
        <f>K37*L37</f>
        <v>50682.44878331403</v>
      </c>
      <c r="N37" s="858">
        <v>1.1499999999999999</v>
      </c>
      <c r="O37" s="858"/>
      <c r="P37" s="858">
        <f>M37*N37</f>
        <v>58284.816100811127</v>
      </c>
      <c r="Q37" s="302"/>
      <c r="R37" s="302" t="s">
        <v>1412</v>
      </c>
      <c r="S37" s="302"/>
      <c r="T37" s="302"/>
      <c r="U37" s="302"/>
      <c r="V37" s="302"/>
      <c r="W37" s="307"/>
      <c r="X37" s="302"/>
      <c r="Y37" s="302"/>
      <c r="Z37" s="302"/>
      <c r="AA37" s="302"/>
    </row>
    <row r="38" spans="1:27" ht="15" x14ac:dyDescent="0.2">
      <c r="A38" s="302"/>
      <c r="B38" s="302" t="s">
        <v>1372</v>
      </c>
      <c r="C38" s="302"/>
      <c r="D38" s="302"/>
      <c r="E38" s="302"/>
      <c r="F38" s="302"/>
      <c r="G38" s="302"/>
      <c r="H38" s="302" t="s">
        <v>783</v>
      </c>
      <c r="I38" s="302">
        <f>SUM(I35:I37)</f>
        <v>43.15</v>
      </c>
      <c r="J38" s="302">
        <f>SUM(J35:J37)</f>
        <v>971976.74000000011</v>
      </c>
      <c r="K38" s="302"/>
      <c r="L38" s="302"/>
      <c r="M38" s="302"/>
      <c r="N38" s="302"/>
      <c r="O38" s="302"/>
      <c r="P38" s="302"/>
      <c r="Q38" s="302"/>
      <c r="R38" s="302"/>
      <c r="S38" s="302"/>
      <c r="T38" s="302"/>
      <c r="U38" s="302"/>
      <c r="V38" s="302"/>
      <c r="W38" s="307"/>
      <c r="X38" s="302"/>
      <c r="Y38" s="302"/>
      <c r="Z38" s="302"/>
      <c r="AA38" s="302"/>
    </row>
    <row r="39" spans="1:27" ht="15" x14ac:dyDescent="0.2">
      <c r="A39" s="302"/>
      <c r="B39" s="302"/>
      <c r="C39" s="302"/>
      <c r="D39" s="302"/>
      <c r="E39" s="302"/>
      <c r="F39" s="302"/>
      <c r="G39" s="302"/>
      <c r="H39" s="302"/>
      <c r="I39" s="302"/>
      <c r="J39" s="302"/>
      <c r="K39" s="302"/>
      <c r="L39" s="302"/>
      <c r="M39" s="302"/>
      <c r="N39" s="302"/>
      <c r="O39" s="302"/>
      <c r="P39" s="302"/>
      <c r="Q39" s="302"/>
      <c r="R39" s="302"/>
      <c r="S39" s="302"/>
      <c r="T39" s="302"/>
      <c r="U39" s="302"/>
      <c r="V39" s="302"/>
      <c r="W39" s="307"/>
      <c r="X39" s="302"/>
      <c r="Y39" s="302"/>
      <c r="Z39" s="302"/>
      <c r="AA39" s="302"/>
    </row>
    <row r="40" spans="1:27" ht="15" x14ac:dyDescent="0.2">
      <c r="A40" s="302"/>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row>
    <row r="41" spans="1:27" ht="15" x14ac:dyDescent="0.2">
      <c r="A41" s="302"/>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row>
    <row r="42" spans="1:27" ht="15" x14ac:dyDescent="0.2">
      <c r="A42" s="302"/>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row>
    <row r="43" spans="1:27" ht="15" x14ac:dyDescent="0.2">
      <c r="A43" s="302"/>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row>
    <row r="44" spans="1:27" ht="15" x14ac:dyDescent="0.2">
      <c r="A44" s="302"/>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row>
    <row r="45" spans="1:27" ht="15" x14ac:dyDescent="0.2">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row>
    <row r="46" spans="1:27" ht="15" x14ac:dyDescent="0.2">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row>
    <row r="47" spans="1:27" ht="15" x14ac:dyDescent="0.2">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row>
    <row r="48" spans="1:27" ht="15" x14ac:dyDescent="0.2">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row>
    <row r="49" spans="1:27" ht="15" x14ac:dyDescent="0.2">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row>
    <row r="50" spans="1:27" ht="15" x14ac:dyDescent="0.2">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row>
    <row r="51" spans="1:27" ht="15" x14ac:dyDescent="0.2">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row>
    <row r="52" spans="1:27" ht="15" x14ac:dyDescent="0.2">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row>
    <row r="53" spans="1:27" ht="15" x14ac:dyDescent="0.2">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row>
    <row r="54" spans="1:27" ht="15" x14ac:dyDescent="0.2">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row>
    <row r="55" spans="1:27" ht="15" x14ac:dyDescent="0.2">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row>
    <row r="56" spans="1:27" ht="15" x14ac:dyDescent="0.2">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row>
    <row r="57" spans="1:27" ht="15" x14ac:dyDescent="0.2">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row>
    <row r="58" spans="1:27" ht="15" x14ac:dyDescent="0.2">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row>
    <row r="59" spans="1:27" ht="15" x14ac:dyDescent="0.2">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row>
    <row r="60" spans="1:27" ht="15" x14ac:dyDescent="0.2">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row>
    <row r="61" spans="1:27" ht="15" x14ac:dyDescent="0.2">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row>
    <row r="62" spans="1:27" ht="15" x14ac:dyDescent="0.2">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row>
    <row r="63" spans="1:27" ht="15" x14ac:dyDescent="0.2">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row>
    <row r="64" spans="1:27" ht="15" x14ac:dyDescent="0.2">
      <c r="A64" s="30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row>
    <row r="65" spans="1:27" ht="15" x14ac:dyDescent="0.2">
      <c r="A65" s="302"/>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row>
    <row r="66" spans="1:27" ht="15" x14ac:dyDescent="0.2">
      <c r="A66" s="302"/>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row>
    <row r="67" spans="1:27" ht="15" x14ac:dyDescent="0.2">
      <c r="A67" s="302"/>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row>
    <row r="68" spans="1:27" ht="15" x14ac:dyDescent="0.2">
      <c r="A68" s="302"/>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row>
    <row r="69" spans="1:27" ht="15" x14ac:dyDescent="0.2">
      <c r="A69" s="302"/>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row>
    <row r="70" spans="1:27" ht="15" x14ac:dyDescent="0.2">
      <c r="A70" s="302"/>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row>
    <row r="71" spans="1:27" ht="15" x14ac:dyDescent="0.2">
      <c r="A71" s="302"/>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row>
    <row r="72" spans="1:27" ht="15" x14ac:dyDescent="0.2">
      <c r="A72" s="302"/>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row>
    <row r="73" spans="1:27" ht="15" x14ac:dyDescent="0.2">
      <c r="A73" s="302"/>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row>
    <row r="74" spans="1:27" ht="15" x14ac:dyDescent="0.2">
      <c r="A74" s="302"/>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row>
    <row r="75" spans="1:27" ht="15" x14ac:dyDescent="0.2">
      <c r="A75" s="302"/>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row>
    <row r="76" spans="1:27" ht="15" x14ac:dyDescent="0.2">
      <c r="A76" s="302"/>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row>
    <row r="77" spans="1:27" ht="15" x14ac:dyDescent="0.2">
      <c r="A77" s="302"/>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row>
    <row r="78" spans="1:27" ht="15" x14ac:dyDescent="0.2">
      <c r="A78" s="302"/>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row>
    <row r="79" spans="1:27" ht="15" x14ac:dyDescent="0.2">
      <c r="A79" s="302"/>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row>
    <row r="80" spans="1:27" ht="15" x14ac:dyDescent="0.2">
      <c r="A80" s="302"/>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row>
    <row r="81" spans="1:27" ht="15" x14ac:dyDescent="0.2">
      <c r="A81" s="302"/>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row>
    <row r="82" spans="1:27" ht="15" x14ac:dyDescent="0.2">
      <c r="A82" s="302"/>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row>
    <row r="83" spans="1:27" ht="15" x14ac:dyDescent="0.2">
      <c r="A83" s="302"/>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row>
    <row r="84" spans="1:27" ht="15" x14ac:dyDescent="0.2">
      <c r="A84" s="302"/>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row>
    <row r="85" spans="1:27" ht="15" x14ac:dyDescent="0.2">
      <c r="A85" s="302"/>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row>
    <row r="86" spans="1:27" ht="15" x14ac:dyDescent="0.2">
      <c r="A86" s="302"/>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row>
    <row r="87" spans="1:27" ht="15" x14ac:dyDescent="0.2">
      <c r="A87" s="302"/>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row>
    <row r="88" spans="1:27" ht="15" x14ac:dyDescent="0.2">
      <c r="A88" s="302"/>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row>
    <row r="89" spans="1:27" ht="15" x14ac:dyDescent="0.2">
      <c r="A89" s="302"/>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row>
    <row r="90" spans="1:27" ht="15" x14ac:dyDescent="0.2">
      <c r="A90" s="302"/>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row>
    <row r="91" spans="1:27" ht="15" x14ac:dyDescent="0.2">
      <c r="A91" s="302"/>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row>
    <row r="92" spans="1:27" ht="15" x14ac:dyDescent="0.2">
      <c r="A92" s="302"/>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row>
    <row r="93" spans="1:27" ht="15" x14ac:dyDescent="0.2">
      <c r="A93" s="302"/>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row>
    <row r="94" spans="1:27" ht="15" x14ac:dyDescent="0.2">
      <c r="A94" s="302"/>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row>
    <row r="95" spans="1:27" ht="15" x14ac:dyDescent="0.2">
      <c r="A95" s="302"/>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row>
    <row r="96" spans="1:27" ht="15" x14ac:dyDescent="0.2">
      <c r="A96" s="302"/>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row>
    <row r="97" spans="1:27" ht="15" x14ac:dyDescent="0.2">
      <c r="A97" s="302"/>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row>
    <row r="98" spans="1:27" ht="15" x14ac:dyDescent="0.2">
      <c r="A98" s="302"/>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row>
    <row r="99" spans="1:27" ht="15" x14ac:dyDescent="0.2">
      <c r="A99" s="302"/>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row>
    <row r="100" spans="1:27" ht="15" x14ac:dyDescent="0.2">
      <c r="A100" s="302"/>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row>
    <row r="101" spans="1:27" ht="15" x14ac:dyDescent="0.2">
      <c r="A101" s="302"/>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row>
    <row r="102" spans="1:27" ht="15" x14ac:dyDescent="0.2">
      <c r="A102" s="302"/>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row>
    <row r="103" spans="1:27" ht="15" x14ac:dyDescent="0.2">
      <c r="A103" s="302"/>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row>
    <row r="104" spans="1:27" ht="15" x14ac:dyDescent="0.2">
      <c r="A104" s="302"/>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row>
    <row r="105" spans="1:27" ht="15" x14ac:dyDescent="0.2">
      <c r="A105" s="302"/>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row>
    <row r="106" spans="1:27" ht="15" x14ac:dyDescent="0.2">
      <c r="A106" s="302"/>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row>
    <row r="107" spans="1:27" ht="15" x14ac:dyDescent="0.2">
      <c r="A107" s="302"/>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row>
  </sheetData>
  <mergeCells count="49">
    <mergeCell ref="A1:V1"/>
    <mergeCell ref="A2:B4"/>
    <mergeCell ref="C2:C4"/>
    <mergeCell ref="D2:D4"/>
    <mergeCell ref="E2:I2"/>
    <mergeCell ref="J2:J4"/>
    <mergeCell ref="K2:K4"/>
    <mergeCell ref="L2:L4"/>
    <mergeCell ref="M2:R2"/>
    <mergeCell ref="S2:S4"/>
    <mergeCell ref="T2:T4"/>
    <mergeCell ref="U2:U4"/>
    <mergeCell ref="V2:V4"/>
    <mergeCell ref="W2:W4"/>
    <mergeCell ref="E3:F3"/>
    <mergeCell ref="G3:G4"/>
    <mergeCell ref="H3:I3"/>
    <mergeCell ref="M3:M4"/>
    <mergeCell ref="N3:N4"/>
    <mergeCell ref="O3:O4"/>
    <mergeCell ref="A13:B13"/>
    <mergeCell ref="P3:P4"/>
    <mergeCell ref="Q3:Q4"/>
    <mergeCell ref="R3:R4"/>
    <mergeCell ref="A5:B5"/>
    <mergeCell ref="A6:B6"/>
    <mergeCell ref="A7:B7"/>
    <mergeCell ref="A8:B8"/>
    <mergeCell ref="A9:B9"/>
    <mergeCell ref="A10:B10"/>
    <mergeCell ref="A11:B11"/>
    <mergeCell ref="A12:B12"/>
    <mergeCell ref="A25:B25"/>
    <mergeCell ref="A14:B14"/>
    <mergeCell ref="A15:B15"/>
    <mergeCell ref="A16:B16"/>
    <mergeCell ref="A17:B17"/>
    <mergeCell ref="A18:B18"/>
    <mergeCell ref="A19:B19"/>
    <mergeCell ref="A20:B20"/>
    <mergeCell ref="A21:B21"/>
    <mergeCell ref="A22:B22"/>
    <mergeCell ref="A23:B23"/>
    <mergeCell ref="A24:B24"/>
    <mergeCell ref="A26:B26"/>
    <mergeCell ref="A27:B27"/>
    <mergeCell ref="A28:B28"/>
    <mergeCell ref="A29:B29"/>
    <mergeCell ref="B31:G31"/>
  </mergeCells>
  <pageMargins left="0.70866141732283472" right="0.70866141732283472" top="0.74803149606299213" bottom="0.74803149606299213" header="0.31496062992125984" footer="0.31496062992125984"/>
  <pageSetup paperSize="9" scale="4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AD61"/>
  <sheetViews>
    <sheetView view="pageBreakPreview" zoomScale="60" zoomScaleNormal="100" workbookViewId="0">
      <selection activeCell="T28" sqref="T28"/>
    </sheetView>
  </sheetViews>
  <sheetFormatPr defaultRowHeight="12.75" x14ac:dyDescent="0.2"/>
  <cols>
    <col min="2" max="2" width="16.140625" customWidth="1"/>
    <col min="10" max="10" width="16" customWidth="1"/>
    <col min="11" max="11" width="14.5703125" customWidth="1"/>
    <col min="12" max="12" width="13.28515625" customWidth="1"/>
    <col min="13" max="13" width="13" customWidth="1"/>
    <col min="14" max="14" width="13.5703125" customWidth="1"/>
    <col min="16" max="16" width="13.85546875" customWidth="1"/>
    <col min="18" max="18" width="13.5703125" customWidth="1"/>
    <col min="19" max="19" width="17.42578125" customWidth="1"/>
    <col min="20" max="20" width="15.140625" customWidth="1"/>
    <col min="21" max="21" width="14.140625" customWidth="1"/>
    <col min="22" max="22" width="18.85546875" customWidth="1"/>
    <col min="23" max="23" width="13.42578125" customWidth="1"/>
    <col min="24" max="24" width="17.28515625" customWidth="1"/>
    <col min="25" max="25" width="12.42578125" customWidth="1"/>
    <col min="26" max="26" width="17.5703125" customWidth="1"/>
    <col min="27" max="27" width="27.28515625" customWidth="1"/>
    <col min="28" max="28" width="15.5703125" customWidth="1"/>
    <col min="29" max="29" width="13" customWidth="1"/>
  </cols>
  <sheetData>
    <row r="1" spans="1:30" ht="21" thickBot="1" x14ac:dyDescent="0.25">
      <c r="A1" s="1646" t="s">
        <v>1364</v>
      </c>
      <c r="B1" s="1646"/>
      <c r="C1" s="1646"/>
      <c r="D1" s="1646"/>
      <c r="E1" s="1646"/>
      <c r="F1" s="1646"/>
      <c r="G1" s="1646"/>
      <c r="H1" s="1646"/>
      <c r="I1" s="1646"/>
      <c r="J1" s="1646"/>
      <c r="K1" s="1646"/>
      <c r="L1" s="1646"/>
      <c r="M1" s="1647"/>
      <c r="N1" s="1647"/>
      <c r="O1" s="1647"/>
      <c r="P1" s="1647"/>
      <c r="Q1" s="1647"/>
      <c r="R1" s="1647"/>
      <c r="S1" s="1646"/>
      <c r="T1" s="1646"/>
      <c r="U1" s="1646"/>
      <c r="V1" s="1646"/>
      <c r="W1" s="301"/>
      <c r="X1" s="302"/>
      <c r="Y1" s="302"/>
      <c r="Z1" s="302"/>
      <c r="AA1" s="302"/>
      <c r="AB1" s="302"/>
      <c r="AC1" s="302"/>
      <c r="AD1" s="302"/>
    </row>
    <row r="2" spans="1:30" ht="15" x14ac:dyDescent="0.2">
      <c r="A2" s="1714" t="s">
        <v>794</v>
      </c>
      <c r="B2" s="1715"/>
      <c r="C2" s="1718" t="s">
        <v>795</v>
      </c>
      <c r="D2" s="1721" t="s">
        <v>796</v>
      </c>
      <c r="E2" s="1724" t="s">
        <v>797</v>
      </c>
      <c r="F2" s="1725"/>
      <c r="G2" s="1725"/>
      <c r="H2" s="1725"/>
      <c r="I2" s="1726"/>
      <c r="J2" s="1727" t="s">
        <v>872</v>
      </c>
      <c r="K2" s="1727" t="s">
        <v>849</v>
      </c>
      <c r="L2" s="1727" t="s">
        <v>800</v>
      </c>
      <c r="M2" s="1730" t="s">
        <v>1367</v>
      </c>
      <c r="N2" s="1730"/>
      <c r="O2" s="1730"/>
      <c r="P2" s="1730"/>
      <c r="Q2" s="1730"/>
      <c r="R2" s="1730"/>
      <c r="S2" s="1731" t="s">
        <v>802</v>
      </c>
      <c r="T2" s="1735" t="s">
        <v>873</v>
      </c>
      <c r="U2" s="1727" t="s">
        <v>804</v>
      </c>
      <c r="V2" s="1727" t="s">
        <v>805</v>
      </c>
      <c r="W2" s="1727" t="s">
        <v>806</v>
      </c>
      <c r="X2" s="302"/>
      <c r="Y2" s="302"/>
      <c r="Z2" s="302"/>
      <c r="AA2" s="302"/>
      <c r="AB2" s="302"/>
      <c r="AC2" s="302"/>
      <c r="AD2" s="302"/>
    </row>
    <row r="3" spans="1:30" ht="15" x14ac:dyDescent="0.2">
      <c r="A3" s="1716"/>
      <c r="B3" s="1717"/>
      <c r="C3" s="1719"/>
      <c r="D3" s="1722"/>
      <c r="E3" s="1736" t="s">
        <v>807</v>
      </c>
      <c r="F3" s="1737"/>
      <c r="G3" s="1738" t="s">
        <v>808</v>
      </c>
      <c r="H3" s="1736" t="s">
        <v>809</v>
      </c>
      <c r="I3" s="1737"/>
      <c r="J3" s="1719"/>
      <c r="K3" s="1728"/>
      <c r="L3" s="1728"/>
      <c r="M3" s="1740" t="s">
        <v>850</v>
      </c>
      <c r="N3" s="1740" t="s">
        <v>851</v>
      </c>
      <c r="O3" s="1740" t="s">
        <v>812</v>
      </c>
      <c r="P3" s="1741" t="s">
        <v>852</v>
      </c>
      <c r="Q3" s="1741"/>
      <c r="R3" s="1741" t="s">
        <v>189</v>
      </c>
      <c r="S3" s="1732"/>
      <c r="T3" s="1722"/>
      <c r="U3" s="1719"/>
      <c r="V3" s="1719"/>
      <c r="W3" s="1719"/>
      <c r="X3" s="302"/>
      <c r="Y3" s="302"/>
      <c r="Z3" s="302"/>
      <c r="AA3" s="302"/>
      <c r="AB3" s="302"/>
      <c r="AC3" s="302"/>
      <c r="AD3" s="302"/>
    </row>
    <row r="4" spans="1:30" ht="137.25" x14ac:dyDescent="0.2">
      <c r="A4" s="1716"/>
      <c r="B4" s="1717"/>
      <c r="C4" s="1720"/>
      <c r="D4" s="1723"/>
      <c r="E4" s="304" t="s">
        <v>814</v>
      </c>
      <c r="F4" s="304" t="s">
        <v>815</v>
      </c>
      <c r="G4" s="1739"/>
      <c r="H4" s="304" t="s">
        <v>816</v>
      </c>
      <c r="I4" s="304" t="s">
        <v>817</v>
      </c>
      <c r="J4" s="1720"/>
      <c r="K4" s="1729"/>
      <c r="L4" s="1729"/>
      <c r="M4" s="1740"/>
      <c r="N4" s="1740"/>
      <c r="O4" s="1740"/>
      <c r="P4" s="1742"/>
      <c r="Q4" s="1742"/>
      <c r="R4" s="1742"/>
      <c r="S4" s="1733"/>
      <c r="T4" s="1723"/>
      <c r="U4" s="1720"/>
      <c r="V4" s="1720"/>
      <c r="W4" s="1720"/>
      <c r="X4" s="302"/>
      <c r="Y4" s="302"/>
      <c r="Z4" s="302"/>
      <c r="AA4" s="302"/>
      <c r="AB4" s="302"/>
      <c r="AC4" s="302"/>
      <c r="AD4" s="302"/>
    </row>
    <row r="5" spans="1:30" ht="15" x14ac:dyDescent="0.2">
      <c r="A5" s="1743">
        <v>1</v>
      </c>
      <c r="B5" s="1744"/>
      <c r="C5" s="305">
        <v>2</v>
      </c>
      <c r="D5" s="305">
        <v>3</v>
      </c>
      <c r="E5" s="305">
        <v>4</v>
      </c>
      <c r="F5" s="305">
        <v>5</v>
      </c>
      <c r="G5" s="305">
        <v>6</v>
      </c>
      <c r="H5" s="305">
        <v>7</v>
      </c>
      <c r="I5" s="305">
        <v>8</v>
      </c>
      <c r="J5" s="305">
        <v>9</v>
      </c>
      <c r="K5" s="305">
        <v>10</v>
      </c>
      <c r="L5" s="305">
        <v>11</v>
      </c>
      <c r="M5" s="305">
        <v>12</v>
      </c>
      <c r="N5" s="305">
        <v>13</v>
      </c>
      <c r="O5" s="305">
        <v>13</v>
      </c>
      <c r="P5" s="305">
        <v>14</v>
      </c>
      <c r="Q5" s="305">
        <v>15</v>
      </c>
      <c r="R5" s="305">
        <v>15</v>
      </c>
      <c r="S5" s="305">
        <v>16</v>
      </c>
      <c r="T5" s="305">
        <v>17</v>
      </c>
      <c r="U5" s="305">
        <v>18</v>
      </c>
      <c r="V5" s="305">
        <v>19</v>
      </c>
      <c r="W5" s="305">
        <v>19</v>
      </c>
      <c r="X5" s="302"/>
      <c r="Y5" s="302"/>
      <c r="Z5" s="302"/>
      <c r="AA5" s="302"/>
      <c r="AB5" s="302"/>
      <c r="AC5" s="302"/>
      <c r="AD5" s="302"/>
    </row>
    <row r="6" spans="1:30" ht="15" x14ac:dyDescent="0.2">
      <c r="A6" s="1734" t="s">
        <v>202</v>
      </c>
      <c r="B6" s="1734"/>
      <c r="C6" s="303">
        <v>1</v>
      </c>
      <c r="D6" s="303"/>
      <c r="E6" s="303"/>
      <c r="F6" s="303"/>
      <c r="G6" s="303"/>
      <c r="H6" s="303"/>
      <c r="I6" s="303"/>
      <c r="J6" s="306">
        <f>P38</f>
        <v>57896.96992822169</v>
      </c>
      <c r="K6" s="306"/>
      <c r="L6" s="306">
        <f>J6</f>
        <v>57896.96992822169</v>
      </c>
      <c r="M6" s="306"/>
      <c r="N6" s="306"/>
      <c r="O6" s="306"/>
      <c r="P6" s="306"/>
      <c r="Q6" s="306"/>
      <c r="R6" s="306">
        <f>M6+N6+O6+P6+Q6</f>
        <v>0</v>
      </c>
      <c r="S6" s="306">
        <f>L6+R6</f>
        <v>57896.96992822169</v>
      </c>
      <c r="T6" s="306">
        <f t="shared" ref="T6:T18" si="0">L6*25%</f>
        <v>14474.242482055422</v>
      </c>
      <c r="U6" s="306">
        <f>S6+T6</f>
        <v>72371.212410277105</v>
      </c>
      <c r="V6" s="306">
        <f>U6*4</f>
        <v>289484.84964110842</v>
      </c>
      <c r="W6" s="306">
        <f>V6*30.2%</f>
        <v>87424.424591614734</v>
      </c>
      <c r="X6" s="302"/>
      <c r="Y6" s="302" t="s">
        <v>818</v>
      </c>
      <c r="Z6" s="307">
        <f>U6</f>
        <v>72371.212410277105</v>
      </c>
      <c r="AA6" s="302"/>
      <c r="AB6" s="302"/>
      <c r="AC6" s="302"/>
      <c r="AD6" s="302"/>
    </row>
    <row r="7" spans="1:30" ht="15" x14ac:dyDescent="0.2">
      <c r="A7" s="1734" t="s">
        <v>853</v>
      </c>
      <c r="B7" s="1734"/>
      <c r="C7" s="303">
        <v>1</v>
      </c>
      <c r="D7" s="303"/>
      <c r="E7" s="303"/>
      <c r="F7" s="303"/>
      <c r="G7" s="303"/>
      <c r="H7" s="303"/>
      <c r="I7" s="303"/>
      <c r="J7" s="306">
        <f>M38*90%*C7</f>
        <v>45310.672117738715</v>
      </c>
      <c r="K7" s="306"/>
      <c r="L7" s="306">
        <f>J7</f>
        <v>45310.672117738715</v>
      </c>
      <c r="M7" s="306"/>
      <c r="N7" s="306"/>
      <c r="O7" s="306"/>
      <c r="P7" s="306"/>
      <c r="Q7" s="306"/>
      <c r="R7" s="306">
        <f t="shared" ref="R7:R28" si="1">M7+N7+O7+P7+Q7</f>
        <v>0</v>
      </c>
      <c r="S7" s="306">
        <f t="shared" ref="S7:S28" si="2">L7+R7</f>
        <v>45310.672117738715</v>
      </c>
      <c r="T7" s="306">
        <f t="shared" si="0"/>
        <v>11327.668029434679</v>
      </c>
      <c r="U7" s="306">
        <f t="shared" ref="U7:U20" si="3">S7+T7</f>
        <v>56638.340147173396</v>
      </c>
      <c r="V7" s="306">
        <f>U7*4</f>
        <v>226553.36058869358</v>
      </c>
      <c r="W7" s="306">
        <f t="shared" ref="W7:W28" si="4">V7*30.2%</f>
        <v>68419.114897785461</v>
      </c>
      <c r="X7" s="302"/>
      <c r="Y7" s="307" t="s">
        <v>854</v>
      </c>
      <c r="Z7" s="307" t="e">
        <f>U7+U8+#REF!+U9+U10+#REF!</f>
        <v>#REF!</v>
      </c>
      <c r="AA7" s="302"/>
      <c r="AB7" s="302"/>
      <c r="AC7" s="302"/>
      <c r="AD7" s="302"/>
    </row>
    <row r="8" spans="1:30" ht="30" x14ac:dyDescent="0.2">
      <c r="A8" s="1734" t="s">
        <v>855</v>
      </c>
      <c r="B8" s="1734"/>
      <c r="C8" s="303">
        <v>0.5</v>
      </c>
      <c r="D8" s="303"/>
      <c r="E8" s="303"/>
      <c r="F8" s="303"/>
      <c r="G8" s="303"/>
      <c r="H8" s="303"/>
      <c r="I8" s="303"/>
      <c r="J8" s="306">
        <f>M38*90%*C8</f>
        <v>22655.336058869358</v>
      </c>
      <c r="K8" s="306"/>
      <c r="L8" s="306">
        <f t="shared" ref="L8:L28" si="5">J8</f>
        <v>22655.336058869358</v>
      </c>
      <c r="M8" s="306"/>
      <c r="N8" s="306"/>
      <c r="O8" s="306"/>
      <c r="P8" s="306"/>
      <c r="Q8" s="306"/>
      <c r="R8" s="306">
        <f t="shared" si="1"/>
        <v>0</v>
      </c>
      <c r="S8" s="306">
        <f t="shared" si="2"/>
        <v>22655.336058869358</v>
      </c>
      <c r="T8" s="306">
        <f t="shared" si="0"/>
        <v>5663.8340147173394</v>
      </c>
      <c r="U8" s="306">
        <f t="shared" si="3"/>
        <v>28319.170073586698</v>
      </c>
      <c r="V8" s="306">
        <f t="shared" ref="V8:V28" si="6">U8*4</f>
        <v>113276.68029434679</v>
      </c>
      <c r="W8" s="306">
        <f t="shared" si="4"/>
        <v>34209.55744889273</v>
      </c>
      <c r="X8" s="302"/>
      <c r="Y8" s="302" t="s">
        <v>856</v>
      </c>
      <c r="Z8" s="307" t="e">
        <f>U12+U13+#REF!+U14+U15+U18+#REF!+#REF!+U16+#REF!</f>
        <v>#REF!</v>
      </c>
      <c r="AA8" s="302"/>
      <c r="AB8" s="302"/>
      <c r="AC8" s="302"/>
      <c r="AD8" s="302"/>
    </row>
    <row r="9" spans="1:30" ht="15" x14ac:dyDescent="0.2">
      <c r="A9" s="1734" t="s">
        <v>857</v>
      </c>
      <c r="B9" s="1734"/>
      <c r="C9" s="303">
        <v>0.25</v>
      </c>
      <c r="D9" s="303"/>
      <c r="E9" s="303"/>
      <c r="F9" s="303"/>
      <c r="G9" s="303"/>
      <c r="H9" s="303"/>
      <c r="I9" s="303"/>
      <c r="J9" s="306">
        <f>M38*90%*C9</f>
        <v>11327.668029434679</v>
      </c>
      <c r="K9" s="306"/>
      <c r="L9" s="306">
        <f t="shared" si="5"/>
        <v>11327.668029434679</v>
      </c>
      <c r="M9" s="306"/>
      <c r="N9" s="306"/>
      <c r="O9" s="306"/>
      <c r="P9" s="306"/>
      <c r="Q9" s="306"/>
      <c r="R9" s="306">
        <f t="shared" si="1"/>
        <v>0</v>
      </c>
      <c r="S9" s="306">
        <f t="shared" si="2"/>
        <v>11327.668029434679</v>
      </c>
      <c r="T9" s="306">
        <f t="shared" si="0"/>
        <v>2831.9170073586697</v>
      </c>
      <c r="U9" s="306">
        <f t="shared" si="3"/>
        <v>14159.585036793349</v>
      </c>
      <c r="V9" s="306">
        <f t="shared" si="6"/>
        <v>56638.340147173396</v>
      </c>
      <c r="W9" s="306">
        <f t="shared" si="4"/>
        <v>17104.778724446365</v>
      </c>
      <c r="X9" s="302"/>
      <c r="Y9" s="302" t="s">
        <v>819</v>
      </c>
      <c r="Z9" s="307" t="e">
        <f>#REF!+U21+U28+U23+#REF!+U25+U27+U22</f>
        <v>#REF!</v>
      </c>
      <c r="AA9" s="302"/>
      <c r="AB9" s="302"/>
      <c r="AC9" s="302"/>
      <c r="AD9" s="302"/>
    </row>
    <row r="10" spans="1:30" ht="15" x14ac:dyDescent="0.2">
      <c r="A10" s="1734" t="s">
        <v>564</v>
      </c>
      <c r="B10" s="1734"/>
      <c r="C10" s="303">
        <v>0.5</v>
      </c>
      <c r="D10" s="303"/>
      <c r="E10" s="303"/>
      <c r="F10" s="303"/>
      <c r="G10" s="303"/>
      <c r="H10" s="303"/>
      <c r="I10" s="303"/>
      <c r="J10" s="306">
        <f>M38*90%*C10</f>
        <v>22655.336058869358</v>
      </c>
      <c r="K10" s="306"/>
      <c r="L10" s="306">
        <f>J10</f>
        <v>22655.336058869358</v>
      </c>
      <c r="M10" s="306"/>
      <c r="N10" s="306"/>
      <c r="O10" s="306"/>
      <c r="P10" s="306"/>
      <c r="Q10" s="306"/>
      <c r="R10" s="306">
        <f>M10+N10+O10+P10+Q10</f>
        <v>0</v>
      </c>
      <c r="S10" s="306">
        <f>L10+R10</f>
        <v>22655.336058869358</v>
      </c>
      <c r="T10" s="306">
        <f t="shared" si="0"/>
        <v>5663.8340147173394</v>
      </c>
      <c r="U10" s="306">
        <f>S10+T10</f>
        <v>28319.170073586698</v>
      </c>
      <c r="V10" s="306">
        <f t="shared" si="6"/>
        <v>113276.68029434679</v>
      </c>
      <c r="W10" s="306">
        <f t="shared" si="4"/>
        <v>34209.55744889273</v>
      </c>
      <c r="X10" s="302"/>
      <c r="Y10" s="302" t="s">
        <v>838</v>
      </c>
      <c r="Z10" s="307" t="e">
        <f>Z6+Z7+Z8+Z9</f>
        <v>#REF!</v>
      </c>
      <c r="AA10" s="302"/>
      <c r="AB10" s="302"/>
      <c r="AC10" s="302"/>
      <c r="AD10" s="302"/>
    </row>
    <row r="11" spans="1:30" ht="30" x14ac:dyDescent="0.2">
      <c r="A11" s="1734" t="s">
        <v>859</v>
      </c>
      <c r="B11" s="1734"/>
      <c r="C11" s="303">
        <v>0.5</v>
      </c>
      <c r="D11" s="303">
        <v>12265</v>
      </c>
      <c r="E11" s="303">
        <v>1.8</v>
      </c>
      <c r="F11" s="303"/>
      <c r="G11" s="303"/>
      <c r="H11" s="303"/>
      <c r="I11" s="303"/>
      <c r="J11" s="306">
        <f>ROUND(D11*E11*C11,2)</f>
        <v>11038.5</v>
      </c>
      <c r="K11" s="306"/>
      <c r="L11" s="306">
        <f t="shared" ref="L11" si="7">J11</f>
        <v>11038.5</v>
      </c>
      <c r="M11" s="306"/>
      <c r="N11" s="306"/>
      <c r="O11" s="306"/>
      <c r="P11" s="306"/>
      <c r="Q11" s="306"/>
      <c r="R11" s="306">
        <f>M11+N11+O11+P11+Q11</f>
        <v>0</v>
      </c>
      <c r="S11" s="306">
        <f t="shared" ref="S11" si="8">L11+R11</f>
        <v>11038.5</v>
      </c>
      <c r="T11" s="306">
        <f t="shared" si="0"/>
        <v>2759.625</v>
      </c>
      <c r="U11" s="306">
        <f t="shared" ref="U11" si="9">S11+T11</f>
        <v>13798.125</v>
      </c>
      <c r="V11" s="306">
        <f t="shared" si="6"/>
        <v>55192.5</v>
      </c>
      <c r="W11" s="306">
        <f t="shared" si="4"/>
        <v>16668.134999999998</v>
      </c>
      <c r="X11" s="302"/>
      <c r="Y11" s="302" t="s">
        <v>856</v>
      </c>
      <c r="Z11" s="307" t="e">
        <f>U15+U18+#REF!+U16+U24+#REF!+#REF!+#REF!+U21+#REF!</f>
        <v>#REF!</v>
      </c>
      <c r="AA11" s="302"/>
      <c r="AB11" s="302"/>
      <c r="AC11" s="302"/>
      <c r="AD11" s="302"/>
    </row>
    <row r="12" spans="1:30" ht="34.9" customHeight="1" x14ac:dyDescent="0.2">
      <c r="A12" s="1746" t="s">
        <v>860</v>
      </c>
      <c r="B12" s="1747"/>
      <c r="C12" s="303">
        <v>8.6199999999999992</v>
      </c>
      <c r="D12" s="303">
        <v>12265</v>
      </c>
      <c r="E12" s="303">
        <v>1.7</v>
      </c>
      <c r="F12" s="303"/>
      <c r="G12" s="303"/>
      <c r="H12" s="303"/>
      <c r="I12" s="308"/>
      <c r="J12" s="306">
        <f>ROUND(D12*E12*C12,2)</f>
        <v>179731.31</v>
      </c>
      <c r="K12" s="306">
        <v>4170.1000000000004</v>
      </c>
      <c r="L12" s="306">
        <f>J12+K12</f>
        <v>183901.41</v>
      </c>
      <c r="M12" s="306">
        <v>16410.759999999998</v>
      </c>
      <c r="N12" s="306">
        <v>27857.14</v>
      </c>
      <c r="O12" s="306"/>
      <c r="P12" s="306"/>
      <c r="Q12" s="306"/>
      <c r="R12" s="306">
        <f>M12+N12</f>
        <v>44267.899999999994</v>
      </c>
      <c r="S12" s="306">
        <f>L12+R12</f>
        <v>228169.31</v>
      </c>
      <c r="T12" s="306">
        <f t="shared" si="0"/>
        <v>45975.352500000001</v>
      </c>
      <c r="U12" s="306">
        <f>S12+T12</f>
        <v>274144.66249999998</v>
      </c>
      <c r="V12" s="306">
        <f t="shared" si="6"/>
        <v>1096578.6499999999</v>
      </c>
      <c r="W12" s="306">
        <f t="shared" si="4"/>
        <v>331166.75229999993</v>
      </c>
      <c r="X12" s="302"/>
      <c r="Y12" s="307"/>
      <c r="Z12" s="302"/>
      <c r="AA12" s="302"/>
      <c r="AB12" s="302"/>
      <c r="AC12" s="302"/>
      <c r="AD12" s="302"/>
    </row>
    <row r="13" spans="1:30" ht="27.6" customHeight="1" x14ac:dyDescent="0.2">
      <c r="A13" s="1746" t="s">
        <v>861</v>
      </c>
      <c r="B13" s="1747"/>
      <c r="C13" s="303">
        <v>17.22</v>
      </c>
      <c r="D13" s="303">
        <v>12265</v>
      </c>
      <c r="E13" s="303"/>
      <c r="F13" s="303">
        <v>2</v>
      </c>
      <c r="G13" s="303"/>
      <c r="H13" s="303"/>
      <c r="I13" s="303"/>
      <c r="J13" s="306">
        <f>ROUND(C13*D13*F13,2)</f>
        <v>422406.6</v>
      </c>
      <c r="K13" s="306">
        <v>70401.100000000006</v>
      </c>
      <c r="L13" s="306">
        <f>J13+K13</f>
        <v>492807.69999999995</v>
      </c>
      <c r="M13" s="306">
        <v>15686.55</v>
      </c>
      <c r="N13" s="306">
        <v>38571.43</v>
      </c>
      <c r="O13" s="306"/>
      <c r="P13" s="306">
        <v>0</v>
      </c>
      <c r="Q13" s="306"/>
      <c r="R13" s="306">
        <f>M13+N13</f>
        <v>54257.979999999996</v>
      </c>
      <c r="S13" s="306">
        <f t="shared" si="2"/>
        <v>547065.67999999993</v>
      </c>
      <c r="T13" s="306">
        <f t="shared" si="0"/>
        <v>123201.92499999999</v>
      </c>
      <c r="U13" s="306">
        <f t="shared" si="3"/>
        <v>670267.60499999998</v>
      </c>
      <c r="V13" s="306">
        <f t="shared" si="6"/>
        <v>2681070.42</v>
      </c>
      <c r="W13" s="306">
        <f t="shared" si="4"/>
        <v>809683.26683999994</v>
      </c>
      <c r="X13" s="302"/>
      <c r="Y13" s="307" t="e">
        <f>J12+J13+#REF!</f>
        <v>#REF!</v>
      </c>
      <c r="Z13" s="302" t="e">
        <f>Y13*1%</f>
        <v>#REF!</v>
      </c>
      <c r="AA13" s="302"/>
      <c r="AB13" s="2056" t="s">
        <v>1413</v>
      </c>
      <c r="AC13" s="2057"/>
      <c r="AD13" s="302"/>
    </row>
    <row r="14" spans="1:30" ht="15" x14ac:dyDescent="0.2">
      <c r="A14" s="1734" t="s">
        <v>862</v>
      </c>
      <c r="B14" s="1734"/>
      <c r="C14" s="303">
        <v>0.33</v>
      </c>
      <c r="D14" s="303">
        <v>12265</v>
      </c>
      <c r="E14" s="312"/>
      <c r="F14" s="303">
        <v>1.9</v>
      </c>
      <c r="G14" s="312"/>
      <c r="H14" s="312"/>
      <c r="I14" s="312"/>
      <c r="J14" s="306">
        <f>ROUND(C14*D14*F14,2)</f>
        <v>7690.16</v>
      </c>
      <c r="K14" s="306"/>
      <c r="L14" s="306">
        <f t="shared" si="5"/>
        <v>7690.16</v>
      </c>
      <c r="M14" s="313"/>
      <c r="N14" s="306"/>
      <c r="O14" s="306"/>
      <c r="P14" s="306"/>
      <c r="Q14" s="306"/>
      <c r="R14" s="306">
        <f t="shared" si="1"/>
        <v>0</v>
      </c>
      <c r="S14" s="306">
        <f t="shared" si="2"/>
        <v>7690.16</v>
      </c>
      <c r="T14" s="306">
        <f t="shared" si="0"/>
        <v>1922.54</v>
      </c>
      <c r="U14" s="306">
        <f t="shared" si="3"/>
        <v>9612.7000000000007</v>
      </c>
      <c r="V14" s="306">
        <f t="shared" si="6"/>
        <v>38450.800000000003</v>
      </c>
      <c r="W14" s="306">
        <f t="shared" si="4"/>
        <v>11612.141600000001</v>
      </c>
      <c r="X14" s="302"/>
      <c r="Y14" s="302"/>
      <c r="Z14" s="302"/>
      <c r="AA14" s="302"/>
      <c r="AB14" s="2057"/>
      <c r="AC14" s="2057"/>
      <c r="AD14" s="302"/>
    </row>
    <row r="15" spans="1:30" ht="15" x14ac:dyDescent="0.2">
      <c r="A15" s="1734" t="s">
        <v>863</v>
      </c>
      <c r="B15" s="1734"/>
      <c r="C15" s="303">
        <v>0.33</v>
      </c>
      <c r="D15" s="303">
        <v>12265</v>
      </c>
      <c r="E15" s="303"/>
      <c r="F15" s="303">
        <v>1.8</v>
      </c>
      <c r="G15" s="303"/>
      <c r="H15" s="303"/>
      <c r="I15" s="303"/>
      <c r="J15" s="306">
        <f>ROUND(C15*D15*F15,2)</f>
        <v>7285.41</v>
      </c>
      <c r="K15" s="306"/>
      <c r="L15" s="306">
        <f t="shared" si="5"/>
        <v>7285.41</v>
      </c>
      <c r="M15" s="313"/>
      <c r="N15" s="306"/>
      <c r="O15" s="306"/>
      <c r="P15" s="306"/>
      <c r="Q15" s="306"/>
      <c r="R15" s="306">
        <f t="shared" si="1"/>
        <v>0</v>
      </c>
      <c r="S15" s="306">
        <f t="shared" si="2"/>
        <v>7285.41</v>
      </c>
      <c r="T15" s="306">
        <f t="shared" si="0"/>
        <v>1821.3525</v>
      </c>
      <c r="U15" s="306">
        <f t="shared" si="3"/>
        <v>9106.7625000000007</v>
      </c>
      <c r="V15" s="306">
        <f t="shared" si="6"/>
        <v>36427.050000000003</v>
      </c>
      <c r="W15" s="306">
        <f t="shared" si="4"/>
        <v>11000.9691</v>
      </c>
      <c r="X15" s="299"/>
      <c r="Y15" s="299"/>
      <c r="Z15" s="299"/>
      <c r="AA15" s="299"/>
      <c r="AB15" s="299"/>
      <c r="AC15" s="299"/>
      <c r="AD15" s="299"/>
    </row>
    <row r="16" spans="1:30" ht="15" x14ac:dyDescent="0.2">
      <c r="A16" s="1734" t="s">
        <v>1368</v>
      </c>
      <c r="B16" s="1734"/>
      <c r="C16" s="303">
        <v>0.33</v>
      </c>
      <c r="D16" s="303">
        <v>12265</v>
      </c>
      <c r="E16" s="303"/>
      <c r="F16" s="303">
        <v>1.75</v>
      </c>
      <c r="G16" s="303"/>
      <c r="H16" s="303"/>
      <c r="I16" s="303"/>
      <c r="J16" s="306">
        <f>ROUND(C16*D16*F16,2)</f>
        <v>7083.04</v>
      </c>
      <c r="K16" s="306"/>
      <c r="L16" s="306">
        <f>J16</f>
        <v>7083.04</v>
      </c>
      <c r="M16" s="306"/>
      <c r="N16" s="306"/>
      <c r="O16" s="306"/>
      <c r="P16" s="306"/>
      <c r="Q16" s="306"/>
      <c r="R16" s="306">
        <f>M16+N16+O16+P16+Q16</f>
        <v>0</v>
      </c>
      <c r="S16" s="306">
        <f>L16+R16</f>
        <v>7083.04</v>
      </c>
      <c r="T16" s="306">
        <f t="shared" si="0"/>
        <v>1770.76</v>
      </c>
      <c r="U16" s="306">
        <f>S16+T16</f>
        <v>8853.7999999999993</v>
      </c>
      <c r="V16" s="306">
        <f t="shared" si="6"/>
        <v>35415.199999999997</v>
      </c>
      <c r="W16" s="306">
        <f t="shared" si="4"/>
        <v>10695.390399999998</v>
      </c>
      <c r="X16" s="299"/>
      <c r="Y16" s="299"/>
      <c r="Z16" s="299"/>
      <c r="AA16" s="299"/>
      <c r="AB16" s="846" t="s">
        <v>1255</v>
      </c>
      <c r="AC16" s="847" t="s">
        <v>164</v>
      </c>
      <c r="AD16" s="299"/>
    </row>
    <row r="17" spans="1:30" ht="37.9" customHeight="1" x14ac:dyDescent="0.2">
      <c r="A17" s="1645" t="s">
        <v>865</v>
      </c>
      <c r="B17" s="1645"/>
      <c r="C17" s="303">
        <v>1.94</v>
      </c>
      <c r="D17" s="303">
        <v>12265</v>
      </c>
      <c r="E17" s="303">
        <v>1.5</v>
      </c>
      <c r="F17" s="303"/>
      <c r="G17" s="303"/>
      <c r="H17" s="303"/>
      <c r="I17" s="303"/>
      <c r="J17" s="306">
        <f>ROUND(C17*D17*E17,2)</f>
        <v>35691.15</v>
      </c>
      <c r="K17" s="306"/>
      <c r="L17" s="306">
        <f t="shared" ref="L17" si="10">J17</f>
        <v>35691.15</v>
      </c>
      <c r="M17" s="306"/>
      <c r="N17" s="306"/>
      <c r="O17" s="306"/>
      <c r="P17" s="306"/>
      <c r="Q17" s="306"/>
      <c r="R17" s="306">
        <f t="shared" ref="R17" si="11">M17+N17+O17+P17+Q17</f>
        <v>0</v>
      </c>
      <c r="S17" s="306">
        <f t="shared" ref="S17" si="12">L17+R17</f>
        <v>35691.15</v>
      </c>
      <c r="T17" s="306">
        <f t="shared" si="0"/>
        <v>8922.7875000000004</v>
      </c>
      <c r="U17" s="306">
        <f t="shared" ref="U17" si="13">S17+T17</f>
        <v>44613.9375</v>
      </c>
      <c r="V17" s="306">
        <f t="shared" si="6"/>
        <v>178455.75</v>
      </c>
      <c r="W17" s="306">
        <f t="shared" si="4"/>
        <v>53893.636500000001</v>
      </c>
      <c r="X17" s="299"/>
      <c r="Y17" s="299"/>
      <c r="Z17" s="299"/>
      <c r="AA17" s="299"/>
      <c r="AB17" s="848">
        <f>'[4]с 01.01.2024-30.06.2024'!V12+'[4]с 01.01.2024-30.06.2024'!V13+'[4]с 01.01.2024-30.06.2024'!V14+'[4]с 01.01.2024-30.06.2024'!V15+'[4]с 01.01.2024-30.06.2024'!V16+'[4]с 01.01.2024-30.06.2024'!V17+'[4]с 01.01.2024-30.06.2024'!V18+'[4]с 01.07.2024-31.08.2024'!V12+'[4]с 01.07.2024-31.08.2024'!V13+'[4]с 01.07.2024-31.08.2024'!V14+'[4]с 01.07.2024-31.08.2024'!V15+'[4]с 01.07.2024-31.08.2024'!V16+'[4]с 01.07.2024-31.08.2024'!V17+'[4]с 01.07.2024-31.08.2024'!V18+'[4]с 01.09.2024-31.12.2024'!V12+'[4]с 01.09.2024-31.12.2024'!V13+'[4]с 01.09.2024-31.12.2024'!V14+'[4]с 01.09.2024-31.12.2024'!V15+'[4]с 01.09.2024-31.12.2024'!V16+'[4]с 01.09.2024-31.12.2024'!V17+'[4]с 01.09.2024-31.12.2024'!V18</f>
        <v>12423329.211999997</v>
      </c>
      <c r="AC17" s="849">
        <f>AB17/18/12</f>
        <v>57515.413018518506</v>
      </c>
      <c r="AD17" s="299"/>
    </row>
    <row r="18" spans="1:30" ht="30" customHeight="1" x14ac:dyDescent="0.2">
      <c r="A18" s="1645" t="s">
        <v>866</v>
      </c>
      <c r="B18" s="1645"/>
      <c r="C18" s="303">
        <v>2.06</v>
      </c>
      <c r="D18" s="303">
        <v>12265</v>
      </c>
      <c r="E18" s="303"/>
      <c r="F18" s="303">
        <v>1.8</v>
      </c>
      <c r="G18" s="303"/>
      <c r="H18" s="303"/>
      <c r="I18" s="303"/>
      <c r="J18" s="306">
        <f>ROUND(C18*D18*F18,2)</f>
        <v>45478.62</v>
      </c>
      <c r="K18" s="306"/>
      <c r="L18" s="306">
        <f t="shared" si="5"/>
        <v>45478.62</v>
      </c>
      <c r="M18" s="306"/>
      <c r="N18" s="306"/>
      <c r="O18" s="306"/>
      <c r="P18" s="306"/>
      <c r="Q18" s="306"/>
      <c r="R18" s="306">
        <f t="shared" si="1"/>
        <v>0</v>
      </c>
      <c r="S18" s="306">
        <f t="shared" si="2"/>
        <v>45478.62</v>
      </c>
      <c r="T18" s="306">
        <f t="shared" si="0"/>
        <v>11369.655000000001</v>
      </c>
      <c r="U18" s="306">
        <f t="shared" si="3"/>
        <v>56848.275000000001</v>
      </c>
      <c r="V18" s="306">
        <f t="shared" si="6"/>
        <v>227393.1</v>
      </c>
      <c r="W18" s="306">
        <f t="shared" si="4"/>
        <v>68672.716199999995</v>
      </c>
      <c r="X18" s="299"/>
      <c r="Y18" s="299"/>
      <c r="Z18" s="299"/>
      <c r="AA18" s="299"/>
      <c r="AB18" s="299"/>
      <c r="AC18" s="299"/>
      <c r="AD18" s="299"/>
    </row>
    <row r="19" spans="1:30" ht="40.9" customHeight="1" x14ac:dyDescent="0.2">
      <c r="A19" s="1645" t="s">
        <v>822</v>
      </c>
      <c r="B19" s="1645"/>
      <c r="C19" s="303"/>
      <c r="D19" s="303">
        <v>12265</v>
      </c>
      <c r="E19" s="303"/>
      <c r="F19" s="303">
        <v>1.9</v>
      </c>
      <c r="G19" s="303"/>
      <c r="H19" s="303"/>
      <c r="I19" s="303"/>
      <c r="J19" s="306">
        <f>ROUND(C19*D19*F19,2)</f>
        <v>0</v>
      </c>
      <c r="K19" s="306"/>
      <c r="L19" s="306">
        <f t="shared" si="5"/>
        <v>0</v>
      </c>
      <c r="M19" s="306"/>
      <c r="N19" s="306"/>
      <c r="O19" s="306"/>
      <c r="P19" s="306"/>
      <c r="Q19" s="306"/>
      <c r="R19" s="306">
        <f t="shared" si="1"/>
        <v>0</v>
      </c>
      <c r="S19" s="306">
        <f t="shared" si="2"/>
        <v>0</v>
      </c>
      <c r="T19" s="306">
        <f>L19*23%</f>
        <v>0</v>
      </c>
      <c r="U19" s="306">
        <f t="shared" si="3"/>
        <v>0</v>
      </c>
      <c r="V19" s="306">
        <f t="shared" si="6"/>
        <v>0</v>
      </c>
      <c r="W19" s="306">
        <f t="shared" si="4"/>
        <v>0</v>
      </c>
      <c r="X19" s="299"/>
      <c r="Y19" s="299"/>
      <c r="Z19" s="299"/>
      <c r="AA19" s="299"/>
      <c r="AB19" s="299"/>
      <c r="AC19" s="299"/>
      <c r="AD19" s="299"/>
    </row>
    <row r="20" spans="1:30" ht="28.9" customHeight="1" x14ac:dyDescent="0.2">
      <c r="A20" s="1645" t="s">
        <v>821</v>
      </c>
      <c r="B20" s="1645"/>
      <c r="C20" s="303"/>
      <c r="D20" s="303">
        <v>12265</v>
      </c>
      <c r="E20" s="303">
        <v>1.6</v>
      </c>
      <c r="F20" s="303"/>
      <c r="G20" s="303"/>
      <c r="H20" s="303"/>
      <c r="I20" s="303"/>
      <c r="J20" s="306">
        <f>ROUND(C20*D20*E20,2)</f>
        <v>0</v>
      </c>
      <c r="K20" s="306"/>
      <c r="L20" s="306">
        <f t="shared" si="5"/>
        <v>0</v>
      </c>
      <c r="M20" s="306"/>
      <c r="N20" s="306"/>
      <c r="O20" s="306"/>
      <c r="P20" s="306"/>
      <c r="Q20" s="306"/>
      <c r="R20" s="306">
        <f t="shared" si="1"/>
        <v>0</v>
      </c>
      <c r="S20" s="306">
        <f t="shared" si="2"/>
        <v>0</v>
      </c>
      <c r="T20" s="306">
        <f t="shared" ref="T20" si="14">L20*22%</f>
        <v>0</v>
      </c>
      <c r="U20" s="306">
        <f t="shared" si="3"/>
        <v>0</v>
      </c>
      <c r="V20" s="306">
        <f t="shared" si="6"/>
        <v>0</v>
      </c>
      <c r="W20" s="306">
        <f t="shared" si="4"/>
        <v>0</v>
      </c>
      <c r="X20" s="299"/>
      <c r="Y20" s="299"/>
      <c r="Z20" s="299"/>
      <c r="AA20" s="299"/>
      <c r="AB20" s="299"/>
      <c r="AC20" s="299"/>
      <c r="AD20" s="299"/>
    </row>
    <row r="21" spans="1:30" ht="15" x14ac:dyDescent="0.2">
      <c r="A21" s="1645" t="s">
        <v>867</v>
      </c>
      <c r="B21" s="1645"/>
      <c r="C21" s="303">
        <v>0.25</v>
      </c>
      <c r="D21" s="303">
        <v>12265</v>
      </c>
      <c r="E21" s="303"/>
      <c r="F21" s="303"/>
      <c r="G21" s="303">
        <v>1.3</v>
      </c>
      <c r="H21" s="303"/>
      <c r="I21" s="303"/>
      <c r="J21" s="306">
        <f>ROUND(D21*G21*C21,2)</f>
        <v>3986.13</v>
      </c>
      <c r="K21" s="306"/>
      <c r="L21" s="306">
        <f>J21</f>
        <v>3986.13</v>
      </c>
      <c r="M21" s="306"/>
      <c r="N21" s="306"/>
      <c r="O21" s="306"/>
      <c r="P21" s="306"/>
      <c r="Q21" s="306"/>
      <c r="R21" s="306">
        <f>M21+N21+O21+P21+Q21</f>
        <v>0</v>
      </c>
      <c r="S21" s="306">
        <f>L21+R21</f>
        <v>3986.13</v>
      </c>
      <c r="T21" s="306">
        <f>L21*25%</f>
        <v>996.53250000000003</v>
      </c>
      <c r="U21" s="306">
        <f t="shared" ref="U21:U28" si="15">S21+T21</f>
        <v>4982.6625000000004</v>
      </c>
      <c r="V21" s="306">
        <f t="shared" si="6"/>
        <v>19930.650000000001</v>
      </c>
      <c r="W21" s="306">
        <f t="shared" si="4"/>
        <v>6019.0563000000002</v>
      </c>
      <c r="X21" s="299"/>
      <c r="Y21" s="299"/>
      <c r="Z21" s="870">
        <f>'расчет ФОТ обл ш с 01.01-30.06.'!V28+'расчет ФОТ обл ш с 01.07-31.08.'!V29+'расчет ФОТ обл ш с 01.09-31.12.'!V29</f>
        <v>17888021.797490001</v>
      </c>
      <c r="AA21" s="299"/>
      <c r="AB21" s="299"/>
      <c r="AC21" s="299"/>
      <c r="AD21" s="299"/>
    </row>
    <row r="22" spans="1:30" ht="15" x14ac:dyDescent="0.2">
      <c r="A22" s="1645" t="s">
        <v>868</v>
      </c>
      <c r="B22" s="1645"/>
      <c r="C22" s="303">
        <v>0.5</v>
      </c>
      <c r="D22" s="303">
        <v>12265</v>
      </c>
      <c r="E22" s="303"/>
      <c r="F22" s="303"/>
      <c r="G22" s="303"/>
      <c r="H22" s="303"/>
      <c r="I22" s="303">
        <v>1.2</v>
      </c>
      <c r="J22" s="306">
        <f>ROUND(D22*I22*C22,2)</f>
        <v>7359</v>
      </c>
      <c r="K22" s="306"/>
      <c r="L22" s="306">
        <f>J22</f>
        <v>7359</v>
      </c>
      <c r="M22" s="306"/>
      <c r="N22" s="306"/>
      <c r="O22" s="306"/>
      <c r="P22" s="306"/>
      <c r="Q22" s="306"/>
      <c r="R22" s="306">
        <f>M22+N22+O22+P22+Q22</f>
        <v>0</v>
      </c>
      <c r="S22" s="306">
        <f>L22+R22</f>
        <v>7359</v>
      </c>
      <c r="T22" s="306">
        <f>L22*25%</f>
        <v>1839.75</v>
      </c>
      <c r="U22" s="306">
        <f t="shared" si="15"/>
        <v>9198.75</v>
      </c>
      <c r="V22" s="306">
        <f t="shared" si="6"/>
        <v>36795</v>
      </c>
      <c r="W22" s="306">
        <f t="shared" si="4"/>
        <v>11112.09</v>
      </c>
      <c r="X22" s="299"/>
      <c r="Y22" s="299"/>
      <c r="Z22" s="870">
        <f>W29+'расчет ФОТ обл ш с 01.07-31.08.'!W29+'расчет ФОТ обл ш с 01.01-30.06.'!W28</f>
        <v>5402182.5828419812</v>
      </c>
      <c r="AA22" s="299"/>
      <c r="AB22" s="299"/>
      <c r="AC22" s="299"/>
      <c r="AD22" s="299"/>
    </row>
    <row r="23" spans="1:30" ht="15" x14ac:dyDescent="0.2">
      <c r="A23" s="1645" t="s">
        <v>829</v>
      </c>
      <c r="B23" s="1645"/>
      <c r="C23" s="303">
        <v>4.7</v>
      </c>
      <c r="D23" s="303">
        <v>12265</v>
      </c>
      <c r="E23" s="303"/>
      <c r="F23" s="303"/>
      <c r="G23" s="303"/>
      <c r="H23" s="303">
        <v>2</v>
      </c>
      <c r="I23" s="303">
        <v>1.05</v>
      </c>
      <c r="J23" s="306">
        <f>ROUND(D23*I23*C23,2)</f>
        <v>60527.78</v>
      </c>
      <c r="K23" s="306"/>
      <c r="L23" s="306">
        <f>J23</f>
        <v>60527.78</v>
      </c>
      <c r="M23" s="306"/>
      <c r="N23" s="306"/>
      <c r="O23" s="306"/>
      <c r="P23" s="306"/>
      <c r="Q23" s="306"/>
      <c r="R23" s="306">
        <f>M23+N23+O23+P23+Q23</f>
        <v>0</v>
      </c>
      <c r="S23" s="306">
        <f>L23+R23</f>
        <v>60527.78</v>
      </c>
      <c r="T23" s="306">
        <f>L23*24.5%+17139</f>
        <v>31968.306100000002</v>
      </c>
      <c r="U23" s="306">
        <f t="shared" si="15"/>
        <v>92496.0861</v>
      </c>
      <c r="V23" s="306">
        <f t="shared" si="6"/>
        <v>369984.3444</v>
      </c>
      <c r="W23" s="306">
        <f t="shared" si="4"/>
        <v>111735.27200879999</v>
      </c>
      <c r="X23" s="299"/>
      <c r="Y23" s="299"/>
      <c r="Z23" s="299"/>
      <c r="AA23" s="299"/>
      <c r="AB23" s="299"/>
      <c r="AC23" s="299"/>
      <c r="AD23" s="299"/>
    </row>
    <row r="24" spans="1:30" ht="15" x14ac:dyDescent="0.2">
      <c r="A24" s="1645" t="s">
        <v>869</v>
      </c>
      <c r="B24" s="1645"/>
      <c r="C24" s="303">
        <v>1</v>
      </c>
      <c r="D24" s="303">
        <v>12265</v>
      </c>
      <c r="E24" s="303"/>
      <c r="F24" s="303"/>
      <c r="G24" s="303">
        <v>1.8</v>
      </c>
      <c r="H24" s="303"/>
      <c r="I24" s="303"/>
      <c r="J24" s="306">
        <f>ROUND(D24*G24*C24,2)</f>
        <v>22077</v>
      </c>
      <c r="K24" s="306"/>
      <c r="L24" s="306">
        <f>J24+K24</f>
        <v>22077</v>
      </c>
      <c r="M24" s="306"/>
      <c r="N24" s="306"/>
      <c r="O24" s="306"/>
      <c r="P24" s="306"/>
      <c r="Q24" s="306"/>
      <c r="R24" s="306">
        <f t="shared" si="1"/>
        <v>0</v>
      </c>
      <c r="S24" s="306">
        <f t="shared" si="2"/>
        <v>22077</v>
      </c>
      <c r="T24" s="306">
        <f>L24*24.5%+5000</f>
        <v>10408.865</v>
      </c>
      <c r="U24" s="306">
        <f t="shared" si="15"/>
        <v>32485.864999999998</v>
      </c>
      <c r="V24" s="306">
        <f t="shared" si="6"/>
        <v>129943.45999999999</v>
      </c>
      <c r="W24" s="306">
        <f t="shared" si="4"/>
        <v>39242.924919999998</v>
      </c>
      <c r="X24" s="299"/>
      <c r="Y24" s="299"/>
      <c r="Z24" s="299"/>
      <c r="AA24" s="299"/>
      <c r="AB24" s="299"/>
      <c r="AC24" s="299"/>
      <c r="AD24" s="299"/>
    </row>
    <row r="25" spans="1:30" ht="15" x14ac:dyDescent="0.2">
      <c r="A25" s="1645" t="s">
        <v>830</v>
      </c>
      <c r="B25" s="1645"/>
      <c r="C25" s="303">
        <v>2</v>
      </c>
      <c r="D25" s="303">
        <v>12265</v>
      </c>
      <c r="E25" s="303"/>
      <c r="F25" s="303"/>
      <c r="G25" s="303"/>
      <c r="H25" s="303">
        <v>1</v>
      </c>
      <c r="I25" s="303">
        <v>1.05</v>
      </c>
      <c r="J25" s="306">
        <f>ROUND(D25*I25*C25,2)</f>
        <v>25756.5</v>
      </c>
      <c r="K25" s="306"/>
      <c r="L25" s="306">
        <f>J25</f>
        <v>25756.5</v>
      </c>
      <c r="M25" s="306"/>
      <c r="N25" s="306"/>
      <c r="O25" s="306"/>
      <c r="P25" s="306"/>
      <c r="Q25" s="306"/>
      <c r="R25" s="306">
        <f>M25+N25+O25+P25+Q25</f>
        <v>0</v>
      </c>
      <c r="S25" s="306">
        <f>L25+R25</f>
        <v>25756.5</v>
      </c>
      <c r="T25" s="306">
        <f>L25*24%+4284.75</f>
        <v>10466.31</v>
      </c>
      <c r="U25" s="306">
        <f t="shared" si="15"/>
        <v>36222.81</v>
      </c>
      <c r="V25" s="306">
        <f t="shared" si="6"/>
        <v>144891.24</v>
      </c>
      <c r="W25" s="306">
        <f t="shared" si="4"/>
        <v>43757.154479999997</v>
      </c>
      <c r="X25" s="299"/>
      <c r="Y25" s="299"/>
      <c r="Z25" s="299"/>
      <c r="AA25" s="299"/>
      <c r="AB25" s="299"/>
      <c r="AC25" s="299"/>
      <c r="AD25" s="299"/>
    </row>
    <row r="26" spans="1:30" ht="15" x14ac:dyDescent="0.2">
      <c r="A26" s="1643" t="s">
        <v>839</v>
      </c>
      <c r="B26" s="1644"/>
      <c r="C26" s="303">
        <v>1</v>
      </c>
      <c r="D26" s="303">
        <v>12265</v>
      </c>
      <c r="E26" s="303"/>
      <c r="F26" s="303"/>
      <c r="G26" s="303"/>
      <c r="H26" s="303">
        <v>1</v>
      </c>
      <c r="I26" s="303">
        <v>1.55</v>
      </c>
      <c r="J26" s="306">
        <f>ROUND(D26*I26*C26,2)</f>
        <v>19010.75</v>
      </c>
      <c r="K26" s="306"/>
      <c r="L26" s="306">
        <f>J26</f>
        <v>19010.75</v>
      </c>
      <c r="M26" s="306"/>
      <c r="N26" s="306"/>
      <c r="O26" s="306"/>
      <c r="P26" s="306"/>
      <c r="Q26" s="306"/>
      <c r="R26" s="306">
        <f>M26+N26+O26+P26+Q26</f>
        <v>0</v>
      </c>
      <c r="S26" s="306">
        <f>L26+R26</f>
        <v>19010.75</v>
      </c>
      <c r="T26" s="306">
        <f>L26*24.5%</f>
        <v>4657.63375</v>
      </c>
      <c r="U26" s="306">
        <f t="shared" si="15"/>
        <v>23668.383750000001</v>
      </c>
      <c r="V26" s="306">
        <f t="shared" si="6"/>
        <v>94673.535000000003</v>
      </c>
      <c r="W26" s="306">
        <f t="shared" si="4"/>
        <v>28591.407569999999</v>
      </c>
      <c r="X26" s="299"/>
      <c r="Y26" s="299"/>
      <c r="Z26" s="299"/>
      <c r="AA26" s="299"/>
      <c r="AB26" s="299"/>
      <c r="AC26" s="299"/>
      <c r="AD26" s="299"/>
    </row>
    <row r="27" spans="1:30" ht="15" x14ac:dyDescent="0.2">
      <c r="A27" s="1645" t="s">
        <v>870</v>
      </c>
      <c r="B27" s="1645"/>
      <c r="C27" s="303">
        <v>2</v>
      </c>
      <c r="D27" s="303">
        <v>12265</v>
      </c>
      <c r="E27" s="303"/>
      <c r="F27" s="303"/>
      <c r="G27" s="303"/>
      <c r="H27" s="303">
        <v>1</v>
      </c>
      <c r="I27" s="303">
        <v>1.05</v>
      </c>
      <c r="J27" s="306">
        <f>ROUND(D27*I27*C27,2)</f>
        <v>25756.5</v>
      </c>
      <c r="K27" s="306"/>
      <c r="L27" s="306">
        <f>J27</f>
        <v>25756.5</v>
      </c>
      <c r="M27" s="306"/>
      <c r="N27" s="339"/>
      <c r="O27" s="306"/>
      <c r="P27" s="306"/>
      <c r="Q27" s="306"/>
      <c r="R27" s="306">
        <f>M27+N27+O27+P27+Q27</f>
        <v>0</v>
      </c>
      <c r="S27" s="306">
        <f>L27+R27</f>
        <v>25756.5</v>
      </c>
      <c r="T27" s="306">
        <f>L27*24.11%+8569.5</f>
        <v>14779.39215</v>
      </c>
      <c r="U27" s="306">
        <f t="shared" si="15"/>
        <v>40535.89215</v>
      </c>
      <c r="V27" s="306">
        <f t="shared" si="6"/>
        <v>162143.5686</v>
      </c>
      <c r="W27" s="306">
        <f t="shared" si="4"/>
        <v>48967.3577172</v>
      </c>
      <c r="X27" s="299"/>
      <c r="Y27" s="299"/>
      <c r="Z27" s="299"/>
      <c r="AA27" s="299"/>
      <c r="AB27" s="299"/>
      <c r="AC27" s="299"/>
      <c r="AD27" s="299"/>
    </row>
    <row r="28" spans="1:30" ht="15" x14ac:dyDescent="0.2">
      <c r="A28" s="1645" t="s">
        <v>871</v>
      </c>
      <c r="B28" s="1645"/>
      <c r="C28" s="303">
        <v>1</v>
      </c>
      <c r="D28" s="303">
        <v>12265</v>
      </c>
      <c r="E28" s="303"/>
      <c r="F28" s="303"/>
      <c r="G28" s="303">
        <v>1.2</v>
      </c>
      <c r="H28" s="303"/>
      <c r="I28" s="303"/>
      <c r="J28" s="306">
        <f>ROUND(D28*G28*C28,2)</f>
        <v>14718</v>
      </c>
      <c r="K28" s="306"/>
      <c r="L28" s="306">
        <f t="shared" si="5"/>
        <v>14718</v>
      </c>
      <c r="M28" s="306"/>
      <c r="N28" s="306"/>
      <c r="O28" s="306"/>
      <c r="P28" s="306"/>
      <c r="Q28" s="306"/>
      <c r="R28" s="306">
        <f t="shared" si="1"/>
        <v>0</v>
      </c>
      <c r="S28" s="306">
        <f t="shared" si="2"/>
        <v>14718</v>
      </c>
      <c r="T28" s="306">
        <f>L28*24.1%+2021.86+0.993</f>
        <v>5569.8910000000005</v>
      </c>
      <c r="U28" s="306">
        <f t="shared" si="15"/>
        <v>20287.891</v>
      </c>
      <c r="V28" s="306">
        <f t="shared" si="6"/>
        <v>81151.563999999998</v>
      </c>
      <c r="W28" s="306">
        <f t="shared" si="4"/>
        <v>24507.772327999999</v>
      </c>
      <c r="X28" s="299"/>
      <c r="Y28" s="299"/>
      <c r="Z28" s="299"/>
      <c r="AA28" s="299"/>
      <c r="AB28" s="299"/>
      <c r="AC28" s="299"/>
      <c r="AD28" s="299"/>
    </row>
    <row r="29" spans="1:30" ht="14.25" x14ac:dyDescent="0.2">
      <c r="A29" s="1748" t="s">
        <v>189</v>
      </c>
      <c r="B29" s="1748"/>
      <c r="C29" s="314">
        <f>SUM(C6:C28)</f>
        <v>47.029999999999994</v>
      </c>
      <c r="D29" s="314"/>
      <c r="E29" s="314"/>
      <c r="F29" s="314"/>
      <c r="G29" s="314"/>
      <c r="H29" s="314"/>
      <c r="I29" s="314"/>
      <c r="J29" s="313">
        <f t="shared" ref="J29:W29" si="16">SUM(J6:J28)</f>
        <v>1055442.432193134</v>
      </c>
      <c r="K29" s="313">
        <f t="shared" si="16"/>
        <v>74571.200000000012</v>
      </c>
      <c r="L29" s="313">
        <f t="shared" si="16"/>
        <v>1130013.6321931339</v>
      </c>
      <c r="M29" s="313">
        <f t="shared" si="16"/>
        <v>32097.309999999998</v>
      </c>
      <c r="N29" s="313">
        <f t="shared" si="16"/>
        <v>66428.570000000007</v>
      </c>
      <c r="O29" s="313">
        <f t="shared" si="16"/>
        <v>0</v>
      </c>
      <c r="P29" s="313">
        <f t="shared" si="16"/>
        <v>0</v>
      </c>
      <c r="Q29" s="313">
        <f t="shared" si="16"/>
        <v>0</v>
      </c>
      <c r="R29" s="313">
        <f t="shared" si="16"/>
        <v>98525.87999999999</v>
      </c>
      <c r="S29" s="313">
        <f>SUM(S6:S28)</f>
        <v>1228539.5121931338</v>
      </c>
      <c r="T29" s="313">
        <f t="shared" si="16"/>
        <v>318392.17354828346</v>
      </c>
      <c r="U29" s="313">
        <f t="shared" si="16"/>
        <v>1546931.6857414171</v>
      </c>
      <c r="V29" s="313">
        <f t="shared" si="16"/>
        <v>6187726.7429656684</v>
      </c>
      <c r="W29" s="313">
        <f t="shared" si="16"/>
        <v>1868693.476375632</v>
      </c>
      <c r="X29" s="315"/>
      <c r="Y29" s="315"/>
      <c r="Z29" s="315"/>
      <c r="AA29" s="315"/>
      <c r="AB29" s="315"/>
      <c r="AC29" s="315"/>
      <c r="AD29" s="315"/>
    </row>
    <row r="30" spans="1:30" ht="15" x14ac:dyDescent="0.2">
      <c r="A30" s="316"/>
      <c r="B30" s="316"/>
      <c r="C30" s="317"/>
      <c r="D30" s="317"/>
      <c r="E30" s="317"/>
      <c r="F30" s="317"/>
      <c r="G30" s="317"/>
      <c r="H30" s="317"/>
      <c r="I30" s="317"/>
      <c r="J30" s="318"/>
      <c r="K30" s="318"/>
      <c r="L30" s="318"/>
      <c r="M30" s="319"/>
      <c r="N30" s="319"/>
      <c r="O30" s="319"/>
      <c r="P30" s="319"/>
      <c r="Q30" s="319"/>
      <c r="R30" s="319"/>
      <c r="S30" s="319"/>
      <c r="T30" s="320">
        <f>3609598.94+54272.4/4-S29</f>
        <v>2394627.527806866</v>
      </c>
      <c r="U30" s="319"/>
      <c r="V30" s="319"/>
      <c r="W30" s="319"/>
      <c r="X30" s="302"/>
      <c r="Y30" s="302"/>
      <c r="Z30" s="302"/>
      <c r="AA30" s="302"/>
      <c r="AB30" s="302"/>
      <c r="AC30" s="302"/>
      <c r="AD30" s="302"/>
    </row>
    <row r="31" spans="1:30" ht="15" x14ac:dyDescent="0.2">
      <c r="A31" s="316"/>
      <c r="B31" s="2055"/>
      <c r="C31" s="2055"/>
      <c r="D31" s="2055"/>
      <c r="E31" s="2055"/>
      <c r="F31" s="2055"/>
      <c r="G31" s="2055"/>
      <c r="H31" s="321"/>
      <c r="I31" s="317"/>
      <c r="J31" s="322"/>
      <c r="K31" s="322"/>
      <c r="L31" s="317"/>
      <c r="M31" s="321"/>
      <c r="N31" s="323"/>
      <c r="O31" s="324"/>
      <c r="P31" s="325"/>
      <c r="Q31" s="325"/>
      <c r="R31" s="325"/>
      <c r="S31" s="325"/>
      <c r="T31" s="326">
        <f>T30*100/L29</f>
        <v>211.91138403873637</v>
      </c>
      <c r="U31" s="327">
        <f>U29*30.22%</f>
        <v>467482.7554310562</v>
      </c>
      <c r="V31" s="328" t="s">
        <v>831</v>
      </c>
      <c r="W31" s="324"/>
      <c r="X31" s="302"/>
      <c r="Y31" s="302"/>
      <c r="Z31" s="302"/>
      <c r="AA31" s="302"/>
      <c r="AB31" s="302"/>
      <c r="AC31" s="302"/>
      <c r="AD31" s="302"/>
    </row>
    <row r="32" spans="1:30" ht="30" x14ac:dyDescent="0.2">
      <c r="A32" s="317"/>
      <c r="B32" s="317"/>
      <c r="C32" s="317"/>
      <c r="D32" s="317"/>
      <c r="E32" s="317"/>
      <c r="F32" s="329"/>
      <c r="G32" s="317"/>
      <c r="H32" s="317"/>
      <c r="I32" s="317"/>
      <c r="J32" s="322"/>
      <c r="K32" s="322"/>
      <c r="L32" s="317"/>
      <c r="M32" s="317"/>
      <c r="N32" s="317"/>
      <c r="O32" s="330"/>
      <c r="P32" s="331"/>
      <c r="Q32" s="331"/>
      <c r="R32" s="331"/>
      <c r="S32" s="332" t="s">
        <v>832</v>
      </c>
      <c r="T32" s="333">
        <f>S29*5%</f>
        <v>61426.975609656693</v>
      </c>
      <c r="U32" s="316" t="s">
        <v>833</v>
      </c>
      <c r="V32" s="333">
        <f>T32*12</f>
        <v>737123.70731588034</v>
      </c>
      <c r="W32" s="316" t="s">
        <v>834</v>
      </c>
      <c r="X32" s="302"/>
      <c r="Y32" s="302"/>
      <c r="Z32" s="302"/>
      <c r="AA32" s="302"/>
      <c r="AB32" s="302"/>
      <c r="AC32" s="302"/>
      <c r="AD32" s="302"/>
    </row>
    <row r="33" spans="1:30" ht="30" x14ac:dyDescent="0.2">
      <c r="A33" s="317"/>
      <c r="B33" s="317"/>
      <c r="C33" s="317"/>
      <c r="D33" s="317"/>
      <c r="E33" s="317"/>
      <c r="F33" s="329"/>
      <c r="G33" s="317"/>
      <c r="H33" s="317"/>
      <c r="I33" s="317"/>
      <c r="J33" s="322"/>
      <c r="K33" s="322"/>
      <c r="L33" s="317"/>
      <c r="M33" s="317"/>
      <c r="N33" s="317"/>
      <c r="O33" s="330"/>
      <c r="P33" s="331"/>
      <c r="Q33" s="331"/>
      <c r="R33" s="331"/>
      <c r="S33" s="332" t="s">
        <v>835</v>
      </c>
      <c r="T33" s="333">
        <f>U29*2%</f>
        <v>30938.633714828342</v>
      </c>
      <c r="U33" s="316" t="s">
        <v>836</v>
      </c>
      <c r="V33" s="333">
        <f>T33*12</f>
        <v>371263.60457794007</v>
      </c>
      <c r="W33" s="316" t="s">
        <v>837</v>
      </c>
      <c r="X33" s="302"/>
      <c r="Y33" s="302"/>
      <c r="Z33" s="302"/>
      <c r="AA33" s="302"/>
      <c r="AB33" s="302"/>
      <c r="AC33" s="302"/>
      <c r="AD33" s="302"/>
    </row>
    <row r="34" spans="1:30" ht="15" x14ac:dyDescent="0.2">
      <c r="A34" s="317"/>
      <c r="B34" s="317"/>
      <c r="C34" s="317"/>
      <c r="D34" s="317"/>
      <c r="E34" s="317"/>
      <c r="F34" s="329"/>
      <c r="G34" s="317"/>
      <c r="H34" s="317"/>
      <c r="I34" s="317"/>
      <c r="J34" s="322"/>
      <c r="K34" s="322"/>
      <c r="L34" s="317"/>
      <c r="M34" s="317"/>
      <c r="N34" s="317"/>
      <c r="O34" s="330"/>
      <c r="P34" s="331"/>
      <c r="Q34" s="331"/>
      <c r="R34" s="331"/>
      <c r="S34" s="332"/>
      <c r="T34" s="333"/>
      <c r="U34" s="316"/>
      <c r="V34" s="482"/>
      <c r="W34" s="330"/>
      <c r="X34" s="302"/>
      <c r="Y34" s="302"/>
      <c r="Z34" s="302"/>
      <c r="AA34" s="302"/>
      <c r="AB34" s="302"/>
      <c r="AC34" s="302"/>
      <c r="AD34" s="302"/>
    </row>
    <row r="35" spans="1:30" ht="15" x14ac:dyDescent="0.2">
      <c r="A35" s="302"/>
      <c r="B35" s="302"/>
      <c r="C35" s="302"/>
      <c r="D35" s="302"/>
      <c r="E35" s="302"/>
      <c r="F35" s="302"/>
      <c r="G35" s="302"/>
      <c r="H35" s="302"/>
      <c r="I35" s="302"/>
      <c r="J35" s="302"/>
      <c r="K35" s="302"/>
      <c r="L35" s="302"/>
      <c r="M35" s="302"/>
      <c r="N35" s="302"/>
      <c r="O35" s="302"/>
      <c r="P35" s="302"/>
      <c r="Q35" s="302"/>
      <c r="R35" s="302"/>
      <c r="S35" s="302"/>
      <c r="T35" s="302"/>
      <c r="U35" s="302"/>
      <c r="V35" s="302"/>
      <c r="W35" s="850"/>
      <c r="X35" s="851" t="s">
        <v>1373</v>
      </c>
      <c r="Y35" s="302"/>
      <c r="Z35" s="302"/>
      <c r="AA35" s="852"/>
      <c r="AB35" s="852" t="s">
        <v>1374</v>
      </c>
      <c r="AC35" s="302" t="s">
        <v>1375</v>
      </c>
      <c r="AD35" s="302"/>
    </row>
    <row r="36" spans="1:30" ht="31.5" x14ac:dyDescent="0.2">
      <c r="A36" s="302"/>
      <c r="B36" s="302" t="s">
        <v>1369</v>
      </c>
      <c r="C36" s="302"/>
      <c r="D36" s="302"/>
      <c r="E36" s="302"/>
      <c r="F36" s="302"/>
      <c r="G36" s="302"/>
      <c r="H36" s="302" t="s">
        <v>1409</v>
      </c>
      <c r="I36" s="302">
        <v>2</v>
      </c>
      <c r="J36" s="302">
        <v>42927.5</v>
      </c>
      <c r="K36" s="302"/>
      <c r="L36" s="302"/>
      <c r="M36" s="302"/>
      <c r="N36" s="302"/>
      <c r="O36" s="302"/>
      <c r="P36" s="302"/>
      <c r="Q36" s="302"/>
      <c r="R36" s="302"/>
      <c r="S36" s="302"/>
      <c r="T36" s="302"/>
      <c r="U36" s="307"/>
      <c r="V36" s="302"/>
      <c r="W36" s="853" t="s">
        <v>1197</v>
      </c>
      <c r="X36" s="854">
        <v>24547930</v>
      </c>
      <c r="Y36" s="302"/>
      <c r="Z36" s="302"/>
      <c r="AA36" s="852"/>
      <c r="AB36" s="855">
        <v>24547930</v>
      </c>
      <c r="AC36" s="302"/>
      <c r="AD36" s="302"/>
    </row>
    <row r="37" spans="1:30" ht="15.75" x14ac:dyDescent="0.2">
      <c r="A37" s="302"/>
      <c r="B37" s="302" t="s">
        <v>1370</v>
      </c>
      <c r="C37" s="302"/>
      <c r="D37" s="302"/>
      <c r="E37" s="302"/>
      <c r="F37" s="302"/>
      <c r="G37" s="302"/>
      <c r="H37" s="302" t="s">
        <v>1410</v>
      </c>
      <c r="I37" s="302">
        <f>C12+C13+C14+C15+C16+C17+C18</f>
        <v>30.829999999999991</v>
      </c>
      <c r="J37" s="307">
        <f>J12+J13+J14+J15+J16+J17+J18</f>
        <v>705366.29</v>
      </c>
      <c r="K37" s="302"/>
      <c r="L37" s="302"/>
      <c r="M37" s="302"/>
      <c r="N37" s="302"/>
      <c r="O37" s="302"/>
      <c r="P37" s="302"/>
      <c r="Q37" s="302"/>
      <c r="R37" s="302"/>
      <c r="S37" s="302"/>
      <c r="T37" s="302"/>
      <c r="U37" s="302"/>
      <c r="V37" s="302"/>
      <c r="W37" s="854">
        <v>211</v>
      </c>
      <c r="X37" s="854">
        <f>'[4]с 01.01.2024-30.06.2024'!V28+'[4]с 01.07.2024-31.08.2024'!V29+'[4]с 01.09.2024-31.12.2024'!V29</f>
        <v>17888021.801883899</v>
      </c>
      <c r="Y37" s="302"/>
      <c r="Z37" s="302"/>
      <c r="AA37" s="852"/>
      <c r="AB37" s="855">
        <f>'[4]расчёт фот обл 1 план'!V28</f>
        <v>16943153.7696</v>
      </c>
      <c r="AC37" s="307">
        <f>X37-AB37</f>
        <v>944868.03228389844</v>
      </c>
      <c r="AD37" s="302"/>
    </row>
    <row r="38" spans="1:30" ht="30" x14ac:dyDescent="0.2">
      <c r="A38" s="302"/>
      <c r="B38" s="302" t="s">
        <v>1371</v>
      </c>
      <c r="C38" s="302"/>
      <c r="D38" s="302"/>
      <c r="E38" s="302"/>
      <c r="F38" s="302"/>
      <c r="G38" s="302"/>
      <c r="H38" s="302" t="s">
        <v>1411</v>
      </c>
      <c r="I38" s="302">
        <v>12.1</v>
      </c>
      <c r="J38" s="302">
        <v>257043.74</v>
      </c>
      <c r="K38" s="858">
        <f>J39/I39</f>
        <v>22375.640551969736</v>
      </c>
      <c r="L38" s="858">
        <v>2.25</v>
      </c>
      <c r="M38" s="858">
        <f>K38*L38</f>
        <v>50345.191241931905</v>
      </c>
      <c r="N38" s="858">
        <v>1.1499999999999999</v>
      </c>
      <c r="O38" s="858"/>
      <c r="P38" s="858">
        <f>M38*N38</f>
        <v>57896.96992822169</v>
      </c>
      <c r="Q38" s="302"/>
      <c r="R38" s="302" t="s">
        <v>1412</v>
      </c>
      <c r="S38" s="302"/>
      <c r="T38" s="302"/>
      <c r="U38" s="302"/>
      <c r="V38" s="302"/>
      <c r="W38" s="854">
        <v>213</v>
      </c>
      <c r="X38" s="854">
        <f>'[4]с 01.01.2024-30.06.2024'!W28++'[4]с 01.07.2024-31.08.2024'!W29+'[4]с 01.09.2024-31.12.2024'!W29</f>
        <v>5402182.5841689389</v>
      </c>
      <c r="Y38" s="302"/>
      <c r="Z38" s="302"/>
      <c r="AA38" s="852"/>
      <c r="AB38" s="855">
        <f>'[4]расчёт фот обл 1 план'!W28</f>
        <v>5116832.4384192005</v>
      </c>
      <c r="AC38" s="307">
        <f>X38-AB38</f>
        <v>285350.14574973844</v>
      </c>
      <c r="AD38" s="302"/>
    </row>
    <row r="39" spans="1:30" ht="15.75" x14ac:dyDescent="0.2">
      <c r="A39" s="302"/>
      <c r="B39" s="302" t="s">
        <v>1376</v>
      </c>
      <c r="C39" s="302"/>
      <c r="D39" s="302"/>
      <c r="E39" s="302"/>
      <c r="F39" s="302"/>
      <c r="G39" s="302"/>
      <c r="H39" s="302" t="s">
        <v>783</v>
      </c>
      <c r="I39" s="302">
        <f>SUM(I36:I38)</f>
        <v>44.929999999999993</v>
      </c>
      <c r="J39" s="302">
        <f>SUM(J36:J38)</f>
        <v>1005337.53</v>
      </c>
      <c r="K39" s="302"/>
      <c r="L39" s="302"/>
      <c r="M39" s="302"/>
      <c r="N39" s="302"/>
      <c r="O39" s="302"/>
      <c r="P39" s="302"/>
      <c r="Q39" s="302"/>
      <c r="R39" s="302"/>
      <c r="S39" s="302"/>
      <c r="T39" s="302"/>
      <c r="U39" s="302"/>
      <c r="V39" s="302"/>
      <c r="W39" s="854"/>
      <c r="X39" s="853"/>
      <c r="Y39" s="302"/>
      <c r="Z39" s="302"/>
      <c r="AA39" s="852"/>
      <c r="AB39" s="855"/>
      <c r="AC39" s="302"/>
      <c r="AD39" s="302"/>
    </row>
    <row r="40" spans="1:30" ht="31.5" x14ac:dyDescent="0.2">
      <c r="A40" s="302"/>
      <c r="B40" s="302"/>
      <c r="C40" s="302"/>
      <c r="D40" s="302"/>
      <c r="E40" s="302"/>
      <c r="F40" s="302"/>
      <c r="G40" s="302"/>
      <c r="H40" s="302"/>
      <c r="I40" s="302"/>
      <c r="J40" s="302"/>
      <c r="K40" s="302"/>
      <c r="L40" s="302"/>
      <c r="M40" s="302"/>
      <c r="N40" s="302"/>
      <c r="O40" s="302"/>
      <c r="P40" s="302"/>
      <c r="Q40" s="302"/>
      <c r="R40" s="302"/>
      <c r="S40" s="302"/>
      <c r="T40" s="302"/>
      <c r="U40" s="302"/>
      <c r="V40" s="302"/>
      <c r="W40" s="853" t="s">
        <v>1377</v>
      </c>
      <c r="X40" s="854">
        <f>X36-X37-X38</f>
        <v>1257725.6139471624</v>
      </c>
      <c r="Y40" s="856">
        <f t="shared" ref="Y40:AB40" si="17">Y36-Y37-Y38</f>
        <v>0</v>
      </c>
      <c r="Z40" s="856">
        <f t="shared" si="17"/>
        <v>0</v>
      </c>
      <c r="AA40" s="855"/>
      <c r="AB40" s="855">
        <f t="shared" si="17"/>
        <v>2487943.7919807993</v>
      </c>
      <c r="AC40" s="302"/>
      <c r="AD40" s="302"/>
    </row>
    <row r="41" spans="1:30" ht="15" x14ac:dyDescent="0.2">
      <c r="A41" s="302"/>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row>
    <row r="42" spans="1:30" ht="30" x14ac:dyDescent="0.2">
      <c r="A42" s="302"/>
      <c r="B42" s="302"/>
      <c r="C42" s="302"/>
      <c r="D42" s="302"/>
      <c r="E42" s="302"/>
      <c r="F42" s="302"/>
      <c r="G42" s="302"/>
      <c r="H42" s="302"/>
      <c r="I42" s="302"/>
      <c r="J42" s="302"/>
      <c r="K42" s="302"/>
      <c r="L42" s="302"/>
      <c r="M42" s="302"/>
      <c r="N42" s="302"/>
      <c r="O42" s="302"/>
      <c r="P42" s="302"/>
      <c r="Q42" s="302"/>
      <c r="R42" s="302"/>
      <c r="S42" s="302"/>
      <c r="T42" s="302"/>
      <c r="U42" s="302"/>
      <c r="V42" s="302"/>
      <c r="W42" s="302" t="s">
        <v>1378</v>
      </c>
      <c r="X42" s="307">
        <v>1011143.79</v>
      </c>
      <c r="Y42" s="302"/>
      <c r="Z42" s="302"/>
      <c r="AA42" s="302"/>
      <c r="AB42" s="302"/>
      <c r="AC42" s="302"/>
      <c r="AD42" s="302"/>
    </row>
    <row r="43" spans="1:30" ht="15" x14ac:dyDescent="0.2">
      <c r="A43" s="302"/>
      <c r="B43" s="302"/>
      <c r="C43" s="302"/>
      <c r="D43" s="302"/>
      <c r="E43" s="302"/>
      <c r="F43" s="302"/>
      <c r="G43" s="302"/>
      <c r="H43" s="302"/>
      <c r="I43" s="302"/>
      <c r="J43" s="302"/>
      <c r="K43" s="302"/>
      <c r="L43" s="302"/>
      <c r="M43" s="302"/>
      <c r="N43" s="302"/>
      <c r="O43" s="302"/>
      <c r="P43" s="302"/>
      <c r="Q43" s="302"/>
      <c r="R43" s="302"/>
      <c r="S43" s="302"/>
      <c r="T43" s="302"/>
      <c r="U43" s="302"/>
      <c r="V43" s="302"/>
      <c r="W43" s="302"/>
      <c r="X43" s="857">
        <f>X40-X42</f>
        <v>246581.82394716237</v>
      </c>
      <c r="Y43" s="302"/>
      <c r="Z43" s="302"/>
      <c r="AA43" s="302"/>
      <c r="AB43" s="302"/>
      <c r="AC43" s="302"/>
      <c r="AD43" s="302"/>
    </row>
    <row r="44" spans="1:30" ht="15" x14ac:dyDescent="0.2">
      <c r="A44" s="302"/>
      <c r="B44" s="302"/>
      <c r="C44" s="302"/>
      <c r="D44" s="302"/>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row>
    <row r="45" spans="1:30" ht="15" x14ac:dyDescent="0.2">
      <c r="A45" s="302"/>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row>
    <row r="46" spans="1:30" ht="15" x14ac:dyDescent="0.2">
      <c r="A46" s="302"/>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row>
    <row r="47" spans="1:30" ht="15" x14ac:dyDescent="0.2">
      <c r="A47" s="302"/>
      <c r="B47" s="302"/>
      <c r="C47" s="302"/>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row>
    <row r="48" spans="1:30" ht="15" x14ac:dyDescent="0.2">
      <c r="A48" s="302"/>
      <c r="B48" s="302"/>
      <c r="C48" s="302"/>
      <c r="D48" s="302"/>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row>
    <row r="49" spans="1:30" ht="15" x14ac:dyDescent="0.2">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row>
    <row r="50" spans="1:30" ht="15" x14ac:dyDescent="0.2">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row>
    <row r="51" spans="1:30" ht="15" x14ac:dyDescent="0.2">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row>
    <row r="52" spans="1:30" ht="15" x14ac:dyDescent="0.2">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302"/>
    </row>
    <row r="53" spans="1:30" ht="15" x14ac:dyDescent="0.2">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row>
    <row r="54" spans="1:30" ht="15" x14ac:dyDescent="0.2">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302"/>
    </row>
    <row r="55" spans="1:30" ht="15" x14ac:dyDescent="0.2">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302"/>
    </row>
    <row r="56" spans="1:30" ht="15" x14ac:dyDescent="0.2">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row>
    <row r="57" spans="1:30" ht="15" x14ac:dyDescent="0.2">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302"/>
    </row>
    <row r="58" spans="1:30" ht="15" x14ac:dyDescent="0.2">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302"/>
    </row>
    <row r="59" spans="1:30" ht="15" x14ac:dyDescent="0.2">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302"/>
    </row>
    <row r="60" spans="1:30" ht="15" x14ac:dyDescent="0.2">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row>
    <row r="61" spans="1:30" ht="15" x14ac:dyDescent="0.2">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row>
  </sheetData>
  <mergeCells count="50">
    <mergeCell ref="B31:G31"/>
    <mergeCell ref="A1:V1"/>
    <mergeCell ref="A2:B4"/>
    <mergeCell ref="C2:C4"/>
    <mergeCell ref="D2:D4"/>
    <mergeCell ref="E2:I2"/>
    <mergeCell ref="J2:J4"/>
    <mergeCell ref="K2:K4"/>
    <mergeCell ref="L2:L4"/>
    <mergeCell ref="M2:R2"/>
    <mergeCell ref="S2:S4"/>
    <mergeCell ref="T2:T4"/>
    <mergeCell ref="U2:U4"/>
    <mergeCell ref="V2:V4"/>
    <mergeCell ref="E3:F3"/>
    <mergeCell ref="H3:I3"/>
    <mergeCell ref="M3:M4"/>
    <mergeCell ref="N3:N4"/>
    <mergeCell ref="O3:O4"/>
    <mergeCell ref="AB13:AC14"/>
    <mergeCell ref="W2:W4"/>
    <mergeCell ref="P3:P4"/>
    <mergeCell ref="Q3:Q4"/>
    <mergeCell ref="R3:R4"/>
    <mergeCell ref="A29:B29"/>
    <mergeCell ref="A27:B27"/>
    <mergeCell ref="A16:B16"/>
    <mergeCell ref="A17:B17"/>
    <mergeCell ref="A18:B18"/>
    <mergeCell ref="A19:B19"/>
    <mergeCell ref="A20:B20"/>
    <mergeCell ref="A21:B21"/>
    <mergeCell ref="A22:B22"/>
    <mergeCell ref="A23:B23"/>
    <mergeCell ref="A24:B24"/>
    <mergeCell ref="A25:B25"/>
    <mergeCell ref="A26:B26"/>
    <mergeCell ref="A5:B5"/>
    <mergeCell ref="A6:B6"/>
    <mergeCell ref="G3:G4"/>
    <mergeCell ref="A28:B28"/>
    <mergeCell ref="A15:B15"/>
    <mergeCell ref="A7:B7"/>
    <mergeCell ref="A8:B8"/>
    <mergeCell ref="A9:B9"/>
    <mergeCell ref="A10:B10"/>
    <mergeCell ref="A11:B11"/>
    <mergeCell ref="A12:B12"/>
    <mergeCell ref="A13:B13"/>
    <mergeCell ref="A14:B14"/>
  </mergeCells>
  <pageMargins left="0.70866141732283472" right="0.70866141732283472" top="0.74803149606299213" bottom="0.74803149606299213" header="0.31496062992125984" footer="0.31496062992125984"/>
  <pageSetup paperSize="9" scale="4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pageSetUpPr fitToPage="1"/>
  </sheetPr>
  <dimension ref="A1:R174"/>
  <sheetViews>
    <sheetView view="pageBreakPreview" zoomScale="60" zoomScaleNormal="100" workbookViewId="0">
      <selection activeCell="O48" sqref="O48"/>
    </sheetView>
  </sheetViews>
  <sheetFormatPr defaultColWidth="1.140625" defaultRowHeight="15.75" x14ac:dyDescent="0.2"/>
  <cols>
    <col min="1" max="1" width="4" style="128" customWidth="1"/>
    <col min="2" max="2" width="27.42578125" style="128" customWidth="1"/>
    <col min="3" max="3" width="12.85546875" style="128" customWidth="1"/>
    <col min="4" max="4" width="13.140625" style="128" customWidth="1"/>
    <col min="5" max="5" width="12.85546875" style="128" customWidth="1"/>
    <col min="6" max="6" width="16.28515625" style="128" customWidth="1"/>
    <col min="7" max="7" width="15" style="128" customWidth="1"/>
    <col min="8" max="8" width="16" style="128" customWidth="1"/>
    <col min="9" max="9" width="15.140625" style="128" customWidth="1"/>
    <col min="10" max="10" width="14.7109375" style="128" customWidth="1"/>
    <col min="11" max="11" width="13" style="128" customWidth="1"/>
    <col min="12" max="12" width="9.7109375" style="128" customWidth="1"/>
    <col min="13" max="13" width="12.85546875" style="128" customWidth="1"/>
    <col min="14" max="14" width="11.42578125" style="128" customWidth="1"/>
    <col min="15" max="15" width="20.42578125" style="128" customWidth="1"/>
    <col min="16" max="16" width="13.5703125" style="128" hidden="1" customWidth="1"/>
    <col min="17" max="17" width="12.42578125" style="128" hidden="1" customWidth="1"/>
    <col min="18" max="18" width="4.5703125" style="128" hidden="1" customWidth="1"/>
    <col min="19" max="16384" width="1.140625" style="128"/>
  </cols>
  <sheetData>
    <row r="1" spans="1:15" s="34" customFormat="1" x14ac:dyDescent="0.2">
      <c r="O1" s="124" t="s">
        <v>33</v>
      </c>
    </row>
    <row r="2" spans="1:15" s="34" customFormat="1" ht="17.25" customHeight="1" x14ac:dyDescent="0.2">
      <c r="O2" s="124" t="s">
        <v>59</v>
      </c>
    </row>
    <row r="3" spans="1:15" s="34" customFormat="1" ht="11.25" x14ac:dyDescent="0.2">
      <c r="O3" s="35"/>
    </row>
    <row r="4" spans="1:15" s="37" customFormat="1" x14ac:dyDescent="0.2">
      <c r="A4" s="1634" t="s">
        <v>1206</v>
      </c>
      <c r="B4" s="1634"/>
      <c r="C4" s="1634"/>
      <c r="D4" s="1634"/>
      <c r="E4" s="1634"/>
      <c r="F4" s="1634"/>
      <c r="G4" s="1634"/>
      <c r="H4" s="1634"/>
      <c r="I4" s="1634"/>
      <c r="J4" s="1634"/>
      <c r="K4" s="1634"/>
      <c r="L4" s="1634"/>
      <c r="M4" s="1634"/>
      <c r="N4" s="1634"/>
      <c r="O4" s="1634"/>
    </row>
    <row r="5" spans="1:15" s="39" customFormat="1" ht="9.75" x14ac:dyDescent="0.2">
      <c r="A5" s="38"/>
      <c r="B5" s="38"/>
      <c r="C5" s="38"/>
      <c r="D5" s="38"/>
      <c r="E5" s="38"/>
      <c r="F5" s="38"/>
      <c r="G5" s="38"/>
      <c r="H5" s="38"/>
    </row>
    <row r="6" spans="1:15" s="39" customFormat="1" ht="17.25" customHeight="1" x14ac:dyDescent="0.2">
      <c r="A6" s="37" t="s">
        <v>58</v>
      </c>
      <c r="B6" s="38"/>
      <c r="C6" s="38"/>
      <c r="D6" s="38"/>
      <c r="E6" s="38"/>
      <c r="F6" s="340" t="s">
        <v>1308</v>
      </c>
      <c r="G6" s="125"/>
      <c r="H6" s="125"/>
      <c r="I6" s="125"/>
      <c r="J6" s="125"/>
      <c r="K6" s="125"/>
      <c r="L6" s="125"/>
      <c r="M6" s="125"/>
      <c r="N6" s="125"/>
      <c r="O6" s="125"/>
    </row>
    <row r="7" spans="1:15" s="37" customFormat="1" x14ac:dyDescent="0.2">
      <c r="A7" s="126" t="s">
        <v>34</v>
      </c>
      <c r="B7" s="126"/>
      <c r="C7" s="126"/>
      <c r="D7" s="126"/>
      <c r="E7" s="126"/>
      <c r="F7" s="126"/>
      <c r="G7" s="126"/>
      <c r="H7" s="126"/>
    </row>
    <row r="8" spans="1:15" x14ac:dyDescent="0.2">
      <c r="A8" s="126" t="s">
        <v>48</v>
      </c>
      <c r="B8" s="126"/>
      <c r="C8" s="126"/>
      <c r="D8" s="126"/>
      <c r="E8" s="126"/>
      <c r="F8" s="126"/>
      <c r="G8" s="126"/>
      <c r="H8" s="126"/>
      <c r="I8" s="126"/>
      <c r="J8" s="126"/>
      <c r="K8" s="126"/>
      <c r="L8" s="126"/>
      <c r="M8" s="126"/>
      <c r="N8" s="126"/>
      <c r="O8" s="126"/>
    </row>
    <row r="9" spans="1:15" x14ac:dyDescent="0.2">
      <c r="A9" s="126"/>
      <c r="B9" s="126"/>
      <c r="C9" s="126"/>
      <c r="D9" s="126"/>
      <c r="E9" s="126"/>
      <c r="F9" s="126"/>
      <c r="G9" s="126"/>
      <c r="H9" s="126"/>
      <c r="I9" s="126"/>
      <c r="J9" s="126"/>
      <c r="K9" s="126"/>
      <c r="L9" s="126"/>
      <c r="M9" s="126"/>
      <c r="N9" s="126"/>
      <c r="O9" s="126"/>
    </row>
    <row r="10" spans="1:15" s="132" customFormat="1" ht="33.75" customHeight="1" x14ac:dyDescent="0.2">
      <c r="A10" s="2058"/>
      <c r="B10" s="2058"/>
      <c r="D10" s="133"/>
      <c r="E10" s="133"/>
      <c r="F10" s="133"/>
      <c r="G10" s="133"/>
      <c r="H10" s="133"/>
      <c r="I10" s="133"/>
      <c r="J10" s="133"/>
      <c r="K10" s="133"/>
      <c r="L10" s="133"/>
      <c r="M10" s="133"/>
      <c r="N10" s="133"/>
      <c r="O10" s="133"/>
    </row>
    <row r="11" spans="1:15" s="127" customFormat="1" ht="12.75" x14ac:dyDescent="0.2">
      <c r="A11" s="2018" t="s">
        <v>38</v>
      </c>
      <c r="B11" s="2024" t="s">
        <v>36</v>
      </c>
      <c r="C11" s="2018" t="s">
        <v>37</v>
      </c>
      <c r="D11" s="2018" t="s">
        <v>0</v>
      </c>
      <c r="E11" s="2018"/>
      <c r="F11" s="2018"/>
      <c r="G11" s="2018"/>
      <c r="H11" s="2018" t="s">
        <v>882</v>
      </c>
      <c r="I11" s="2018" t="s">
        <v>52</v>
      </c>
      <c r="J11" s="2018"/>
      <c r="K11" s="2018"/>
      <c r="L11" s="2018"/>
      <c r="M11" s="2018"/>
      <c r="N11" s="2018"/>
      <c r="O11" s="2018"/>
    </row>
    <row r="12" spans="1:15" s="127" customFormat="1" ht="12.75" x14ac:dyDescent="0.2">
      <c r="A12" s="2018"/>
      <c r="B12" s="2024"/>
      <c r="C12" s="2018"/>
      <c r="D12" s="2018" t="s">
        <v>1</v>
      </c>
      <c r="E12" s="2018" t="s">
        <v>39</v>
      </c>
      <c r="F12" s="2018" t="s">
        <v>40</v>
      </c>
      <c r="G12" s="2018" t="s">
        <v>41</v>
      </c>
      <c r="H12" s="2018"/>
      <c r="I12" s="2018" t="s">
        <v>35</v>
      </c>
      <c r="J12" s="2018"/>
      <c r="K12" s="2018"/>
      <c r="L12" s="2019" t="s">
        <v>45</v>
      </c>
      <c r="M12" s="2020"/>
      <c r="N12" s="2021"/>
      <c r="O12" s="2018" t="s">
        <v>46</v>
      </c>
    </row>
    <row r="13" spans="1:15" s="127" customFormat="1" ht="25.5" x14ac:dyDescent="0.2">
      <c r="A13" s="2018"/>
      <c r="B13" s="2024"/>
      <c r="C13" s="2018"/>
      <c r="D13" s="2018"/>
      <c r="E13" s="2018"/>
      <c r="F13" s="2018"/>
      <c r="G13" s="2018"/>
      <c r="H13" s="2018"/>
      <c r="I13" s="42" t="s">
        <v>43</v>
      </c>
      <c r="J13" s="42" t="s">
        <v>592</v>
      </c>
      <c r="K13" s="42" t="s">
        <v>44</v>
      </c>
      <c r="L13" s="42" t="s">
        <v>55</v>
      </c>
      <c r="M13" s="42" t="s">
        <v>43</v>
      </c>
      <c r="N13" s="42" t="s">
        <v>44</v>
      </c>
      <c r="O13" s="2018"/>
    </row>
    <row r="14" spans="1:15" s="127" customFormat="1" ht="12.75" x14ac:dyDescent="0.2">
      <c r="A14" s="43">
        <v>1</v>
      </c>
      <c r="B14" s="43">
        <v>2</v>
      </c>
      <c r="C14" s="43">
        <v>3</v>
      </c>
      <c r="D14" s="43" t="s">
        <v>47</v>
      </c>
      <c r="E14" s="43">
        <v>5</v>
      </c>
      <c r="F14" s="43">
        <v>6</v>
      </c>
      <c r="G14" s="43">
        <v>7</v>
      </c>
      <c r="H14" s="43" t="s">
        <v>63</v>
      </c>
      <c r="I14" s="43">
        <v>9</v>
      </c>
      <c r="J14" s="43"/>
      <c r="K14" s="43">
        <v>10</v>
      </c>
      <c r="L14" s="43">
        <v>11</v>
      </c>
      <c r="M14" s="43">
        <v>12</v>
      </c>
      <c r="N14" s="43">
        <v>13</v>
      </c>
      <c r="O14" s="43">
        <v>14</v>
      </c>
    </row>
    <row r="15" spans="1:15" s="127" customFormat="1" ht="53.25" customHeight="1" x14ac:dyDescent="0.2">
      <c r="A15" s="43">
        <v>1</v>
      </c>
      <c r="B15" s="130" t="s">
        <v>858</v>
      </c>
      <c r="C15" s="303">
        <v>0.5</v>
      </c>
      <c r="D15" s="341">
        <f>E15+G15+F15</f>
        <v>22690.25</v>
      </c>
      <c r="E15" s="341">
        <v>12265</v>
      </c>
      <c r="F15" s="341"/>
      <c r="G15" s="341">
        <f>E15*85%</f>
        <v>10425.25</v>
      </c>
      <c r="H15" s="341">
        <f>I15+J15+K15</f>
        <v>272082.28000000003</v>
      </c>
      <c r="I15" s="341">
        <v>89787.28</v>
      </c>
      <c r="J15" s="341">
        <v>182295</v>
      </c>
      <c r="K15" s="341"/>
      <c r="L15" s="341"/>
      <c r="M15" s="341"/>
      <c r="N15" s="341"/>
      <c r="O15" s="341"/>
    </row>
    <row r="16" spans="1:15" s="127" customFormat="1" ht="12.75" x14ac:dyDescent="0.2">
      <c r="A16" s="2016" t="s">
        <v>54</v>
      </c>
      <c r="B16" s="2016"/>
      <c r="C16" s="131" t="s">
        <v>3</v>
      </c>
      <c r="D16" s="343">
        <f>D15</f>
        <v>22690.25</v>
      </c>
      <c r="E16" s="343" t="s">
        <v>3</v>
      </c>
      <c r="F16" s="343" t="s">
        <v>3</v>
      </c>
      <c r="G16" s="343" t="s">
        <v>3</v>
      </c>
      <c r="H16" s="343">
        <f>H15</f>
        <v>272082.28000000003</v>
      </c>
      <c r="I16" s="343">
        <f>I15</f>
        <v>89787.28</v>
      </c>
      <c r="J16" s="345">
        <f>J15</f>
        <v>182295</v>
      </c>
      <c r="K16" s="343"/>
      <c r="L16" s="343"/>
      <c r="M16" s="343"/>
      <c r="N16" s="343"/>
      <c r="O16" s="343"/>
    </row>
    <row r="17" spans="1:15" s="127" customFormat="1" ht="12.75" x14ac:dyDescent="0.2">
      <c r="A17" s="132"/>
      <c r="B17" s="132"/>
      <c r="C17" s="132"/>
      <c r="D17" s="344"/>
      <c r="E17" s="344"/>
      <c r="F17" s="344"/>
      <c r="G17" s="344"/>
      <c r="H17" s="344"/>
      <c r="I17" s="344"/>
      <c r="J17" s="344"/>
      <c r="K17" s="344"/>
      <c r="L17" s="344"/>
      <c r="M17" s="344"/>
      <c r="N17" s="344"/>
      <c r="O17" s="344"/>
    </row>
    <row r="18" spans="1:15" s="127" customFormat="1" ht="12.75" x14ac:dyDescent="0.2"/>
    <row r="19" spans="1:15" s="127" customFormat="1" ht="12.75" x14ac:dyDescent="0.2"/>
    <row r="20" spans="1:15" s="127" customFormat="1" ht="12.75" x14ac:dyDescent="0.2"/>
    <row r="21" spans="1:15" s="127" customFormat="1" ht="12.75" x14ac:dyDescent="0.2"/>
    <row r="22" spans="1:15" s="127" customFormat="1" ht="12.75" x14ac:dyDescent="0.2"/>
    <row r="23" spans="1:15" s="127" customFormat="1" ht="12.75" x14ac:dyDescent="0.2"/>
    <row r="24" spans="1:15" s="127" customFormat="1" ht="12.75" x14ac:dyDescent="0.2"/>
    <row r="25" spans="1:15" s="127" customFormat="1" ht="12.75" x14ac:dyDescent="0.2"/>
    <row r="26" spans="1:15" s="127" customFormat="1" ht="12.75" x14ac:dyDescent="0.2"/>
    <row r="27" spans="1:15" s="127" customFormat="1" ht="12.75" x14ac:dyDescent="0.2"/>
    <row r="28" spans="1:15" s="127" customFormat="1" ht="12.75" x14ac:dyDescent="0.2"/>
    <row r="29" spans="1:15" s="127" customFormat="1" ht="12.75" x14ac:dyDescent="0.2"/>
    <row r="30" spans="1:15" s="127" customFormat="1" ht="12.75" x14ac:dyDescent="0.2"/>
    <row r="31" spans="1:15" s="127" customFormat="1" ht="12.75" x14ac:dyDescent="0.2"/>
    <row r="32" spans="1:15" s="127" customFormat="1" ht="12.75" x14ac:dyDescent="0.2"/>
    <row r="33" s="127" customFormat="1" ht="12.75" x14ac:dyDescent="0.2"/>
    <row r="34" s="127" customFormat="1" ht="12.75" x14ac:dyDescent="0.2"/>
    <row r="35" s="127" customFormat="1" ht="12.75" x14ac:dyDescent="0.2"/>
    <row r="36" s="127" customFormat="1" ht="12.75" x14ac:dyDescent="0.2"/>
    <row r="37" s="127" customFormat="1" ht="12.75" x14ac:dyDescent="0.2"/>
    <row r="38" s="127" customFormat="1" ht="12.75" x14ac:dyDescent="0.2"/>
    <row r="39" s="127" customFormat="1" ht="12.75" x14ac:dyDescent="0.2"/>
    <row r="40" s="127" customFormat="1" ht="12.75" x14ac:dyDescent="0.2"/>
    <row r="41" s="127" customFormat="1" ht="12.75" x14ac:dyDescent="0.2"/>
    <row r="42" s="127" customFormat="1" ht="12.75" x14ac:dyDescent="0.2"/>
    <row r="43" s="127" customFormat="1" ht="12.75" x14ac:dyDescent="0.2"/>
    <row r="44" s="127" customFormat="1" ht="12.75" x14ac:dyDescent="0.2"/>
    <row r="45" s="127" customFormat="1" ht="12.75" x14ac:dyDescent="0.2"/>
    <row r="46" s="127" customFormat="1" ht="12.75" x14ac:dyDescent="0.2"/>
    <row r="47" s="127" customFormat="1" ht="12.75" x14ac:dyDescent="0.2"/>
    <row r="48" s="127" customFormat="1" ht="12.75" x14ac:dyDescent="0.2"/>
    <row r="49" s="127" customFormat="1" ht="12.75" x14ac:dyDescent="0.2"/>
    <row r="50" s="127" customFormat="1" ht="12.75" x14ac:dyDescent="0.2"/>
    <row r="51" s="127" customFormat="1" ht="12.75" x14ac:dyDescent="0.2"/>
    <row r="52" s="127" customFormat="1" ht="12.75" x14ac:dyDescent="0.2"/>
    <row r="53" s="127" customFormat="1" ht="12.75" x14ac:dyDescent="0.2"/>
    <row r="54" s="127" customFormat="1" ht="12.75" x14ac:dyDescent="0.2"/>
    <row r="55" s="127" customFormat="1" ht="12.75" x14ac:dyDescent="0.2"/>
    <row r="56" s="127" customFormat="1" ht="12.75" x14ac:dyDescent="0.2"/>
    <row r="57" s="127" customFormat="1" ht="12.75" x14ac:dyDescent="0.2"/>
    <row r="58" s="127" customFormat="1" ht="12.75" x14ac:dyDescent="0.2"/>
    <row r="59" s="127" customFormat="1" ht="12.75" x14ac:dyDescent="0.2"/>
    <row r="60" s="127" customFormat="1" ht="12.75" x14ac:dyDescent="0.2"/>
    <row r="61" s="127" customFormat="1" ht="12.75" x14ac:dyDescent="0.2"/>
    <row r="62" s="127" customFormat="1" ht="12.75" x14ac:dyDescent="0.2"/>
    <row r="63" s="127" customFormat="1" ht="12.75" x14ac:dyDescent="0.2"/>
    <row r="64" s="127" customFormat="1" ht="12.75" x14ac:dyDescent="0.2"/>
    <row r="65" s="127" customFormat="1" ht="12.75" x14ac:dyDescent="0.2"/>
    <row r="66" s="127" customFormat="1" ht="12.75" x14ac:dyDescent="0.2"/>
    <row r="67" s="127" customFormat="1" ht="12.75" x14ac:dyDescent="0.2"/>
    <row r="68" s="127" customFormat="1" ht="12.75" x14ac:dyDescent="0.2"/>
    <row r="69" s="127" customFormat="1" ht="12.75" x14ac:dyDescent="0.2"/>
    <row r="70" s="127" customFormat="1" ht="12.75" x14ac:dyDescent="0.2"/>
    <row r="71" s="127" customFormat="1" ht="12.75" x14ac:dyDescent="0.2"/>
    <row r="72" s="127" customFormat="1" ht="12.75" x14ac:dyDescent="0.2"/>
    <row r="73" s="127" customFormat="1" ht="12.75" x14ac:dyDescent="0.2"/>
    <row r="74" s="127" customFormat="1" ht="12.75" x14ac:dyDescent="0.2"/>
    <row r="75" s="127" customFormat="1" ht="12.75" x14ac:dyDescent="0.2"/>
    <row r="76" s="127" customFormat="1" ht="12.75" x14ac:dyDescent="0.2"/>
    <row r="77" s="127" customFormat="1" ht="12.75" x14ac:dyDescent="0.2"/>
    <row r="78" s="127" customFormat="1" ht="12.75" x14ac:dyDescent="0.2"/>
    <row r="79" s="127" customFormat="1" ht="12.75" x14ac:dyDescent="0.2"/>
    <row r="80" s="127" customFormat="1" ht="12.75" x14ac:dyDescent="0.2"/>
    <row r="81" s="127" customFormat="1" ht="12.75" x14ac:dyDescent="0.2"/>
    <row r="82" s="127" customFormat="1" ht="12.75" x14ac:dyDescent="0.2"/>
    <row r="83" s="127" customFormat="1" ht="12.75" x14ac:dyDescent="0.2"/>
    <row r="84" s="127" customFormat="1" ht="12.75" x14ac:dyDescent="0.2"/>
    <row r="85" s="127" customFormat="1" ht="12.75" x14ac:dyDescent="0.2"/>
    <row r="86" s="127" customFormat="1" ht="12.75" x14ac:dyDescent="0.2"/>
    <row r="87" s="127" customFormat="1" ht="12.75" x14ac:dyDescent="0.2"/>
    <row r="88" s="127" customFormat="1" ht="12.75" x14ac:dyDescent="0.2"/>
    <row r="89" s="127" customFormat="1" ht="12.75" x14ac:dyDescent="0.2"/>
    <row r="90" s="127" customFormat="1" ht="12.75" x14ac:dyDescent="0.2"/>
    <row r="91" s="127" customFormat="1" ht="12.75" x14ac:dyDescent="0.2"/>
    <row r="92" s="127" customFormat="1" ht="12.75" x14ac:dyDescent="0.2"/>
    <row r="93" s="127" customFormat="1" ht="12.75" x14ac:dyDescent="0.2"/>
    <row r="94" s="127" customFormat="1" ht="12.75" x14ac:dyDescent="0.2"/>
    <row r="95" s="127" customFormat="1" ht="12.75" x14ac:dyDescent="0.2"/>
    <row r="96" s="127" customFormat="1" ht="12.75" x14ac:dyDescent="0.2"/>
    <row r="97" s="127" customFormat="1" ht="12.75" x14ac:dyDescent="0.2"/>
    <row r="98" s="127" customFormat="1" ht="12.75" x14ac:dyDescent="0.2"/>
    <row r="99" s="127" customFormat="1" ht="12.75" x14ac:dyDescent="0.2"/>
    <row r="100" s="127" customFormat="1" ht="12.75" x14ac:dyDescent="0.2"/>
    <row r="101" s="127" customFormat="1" ht="12.75" x14ac:dyDescent="0.2"/>
    <row r="102" s="127" customFormat="1" ht="12.75" x14ac:dyDescent="0.2"/>
    <row r="103" s="127" customFormat="1" ht="12.75" x14ac:dyDescent="0.2"/>
    <row r="104" s="127" customFormat="1" ht="12.75" x14ac:dyDescent="0.2"/>
    <row r="105" s="127" customFormat="1" ht="12.75" x14ac:dyDescent="0.2"/>
    <row r="106" s="127" customFormat="1" ht="12.75" x14ac:dyDescent="0.2"/>
    <row r="107" s="127" customFormat="1" ht="12.75" x14ac:dyDescent="0.2"/>
    <row r="108" s="127" customFormat="1" ht="12.75" x14ac:dyDescent="0.2"/>
    <row r="109" s="127" customFormat="1" ht="12.75" x14ac:dyDescent="0.2"/>
    <row r="110" s="127" customFormat="1" ht="12.75" x14ac:dyDescent="0.2"/>
    <row r="111" s="127" customFormat="1" ht="12.75" x14ac:dyDescent="0.2"/>
    <row r="112" s="127" customFormat="1" ht="12.75" x14ac:dyDescent="0.2"/>
    <row r="113" s="127" customFormat="1" ht="12.75" x14ac:dyDescent="0.2"/>
    <row r="114" s="127" customFormat="1" ht="12.75" x14ac:dyDescent="0.2"/>
    <row r="115" s="127" customFormat="1" ht="12.75" x14ac:dyDescent="0.2"/>
    <row r="116" s="127" customFormat="1" ht="12.75" x14ac:dyDescent="0.2"/>
    <row r="117" s="127" customFormat="1" ht="12.75" x14ac:dyDescent="0.2"/>
    <row r="118" s="127" customFormat="1" ht="12.75" x14ac:dyDescent="0.2"/>
    <row r="119" s="127" customFormat="1" ht="12.75" x14ac:dyDescent="0.2"/>
    <row r="120" s="127" customFormat="1" ht="12.75" x14ac:dyDescent="0.2"/>
    <row r="121" s="127" customFormat="1" ht="12.75" x14ac:dyDescent="0.2"/>
    <row r="122" s="127" customFormat="1" ht="12.75" x14ac:dyDescent="0.2"/>
    <row r="123" s="127" customFormat="1" ht="12.75" x14ac:dyDescent="0.2"/>
    <row r="124" s="127" customFormat="1" ht="12.75" x14ac:dyDescent="0.2"/>
    <row r="125" s="127" customFormat="1" ht="12.75" x14ac:dyDescent="0.2"/>
    <row r="126" s="127" customFormat="1" ht="12.75" x14ac:dyDescent="0.2"/>
    <row r="127" s="127" customFormat="1" ht="12.75" x14ac:dyDescent="0.2"/>
    <row r="128" s="127" customFormat="1" ht="12.75" x14ac:dyDescent="0.2"/>
    <row r="129" s="127" customFormat="1" ht="12.75" x14ac:dyDescent="0.2"/>
    <row r="130" s="127" customFormat="1" ht="12.75" x14ac:dyDescent="0.2"/>
    <row r="131" s="127" customFormat="1" ht="12.75" x14ac:dyDescent="0.2"/>
    <row r="132" s="127" customFormat="1" ht="12.75" x14ac:dyDescent="0.2"/>
    <row r="133" s="127" customFormat="1" ht="12.75" x14ac:dyDescent="0.2"/>
    <row r="134" s="127" customFormat="1" ht="12.75" x14ac:dyDescent="0.2"/>
    <row r="135" s="127" customFormat="1" ht="12.75" x14ac:dyDescent="0.2"/>
    <row r="136" s="127" customFormat="1" ht="12.75" x14ac:dyDescent="0.2"/>
    <row r="137" s="127" customFormat="1" ht="12.75" x14ac:dyDescent="0.2"/>
    <row r="138" s="127" customFormat="1" ht="12.75" x14ac:dyDescent="0.2"/>
    <row r="139" s="127" customFormat="1" ht="12.75" x14ac:dyDescent="0.2"/>
    <row r="140" s="127" customFormat="1" ht="12.75" x14ac:dyDescent="0.2"/>
    <row r="141" s="127" customFormat="1" ht="12.75" x14ac:dyDescent="0.2"/>
    <row r="142" s="127" customFormat="1" ht="12.75" x14ac:dyDescent="0.2"/>
    <row r="143" s="127" customFormat="1" ht="12.75" x14ac:dyDescent="0.2"/>
    <row r="144" s="127" customFormat="1" ht="12.75" x14ac:dyDescent="0.2"/>
    <row r="145" spans="1:15" s="127" customFormat="1" ht="12.75" x14ac:dyDescent="0.2"/>
    <row r="146" spans="1:15" x14ac:dyDescent="0.2">
      <c r="A146" s="127"/>
      <c r="B146" s="127"/>
      <c r="C146" s="127"/>
      <c r="D146" s="127"/>
      <c r="E146" s="127"/>
      <c r="F146" s="127"/>
      <c r="G146" s="127"/>
      <c r="H146" s="127"/>
      <c r="I146" s="127"/>
      <c r="J146" s="127"/>
      <c r="K146" s="127"/>
      <c r="L146" s="127"/>
      <c r="M146" s="127"/>
      <c r="N146" s="127"/>
      <c r="O146" s="127"/>
    </row>
    <row r="147" spans="1:15" x14ac:dyDescent="0.2">
      <c r="A147" s="127"/>
      <c r="B147" s="127"/>
      <c r="C147" s="127"/>
      <c r="D147" s="127"/>
      <c r="E147" s="127"/>
      <c r="F147" s="127"/>
      <c r="G147" s="127"/>
      <c r="H147" s="127"/>
      <c r="I147" s="127"/>
      <c r="J147" s="127"/>
      <c r="K147" s="127"/>
      <c r="L147" s="127"/>
      <c r="M147" s="127"/>
      <c r="N147" s="127"/>
      <c r="O147" s="127"/>
    </row>
    <row r="148" spans="1:15" x14ac:dyDescent="0.2">
      <c r="A148" s="127"/>
      <c r="B148" s="127"/>
      <c r="C148" s="127"/>
      <c r="D148" s="127"/>
      <c r="E148" s="127"/>
      <c r="F148" s="127"/>
      <c r="G148" s="127"/>
      <c r="H148" s="127"/>
      <c r="I148" s="127"/>
      <c r="J148" s="127"/>
      <c r="K148" s="127"/>
      <c r="L148" s="127"/>
      <c r="M148" s="127"/>
      <c r="N148" s="127"/>
      <c r="O148" s="127"/>
    </row>
    <row r="149" spans="1:15" x14ac:dyDescent="0.2">
      <c r="A149" s="127"/>
      <c r="B149" s="127"/>
      <c r="C149" s="127"/>
      <c r="D149" s="127"/>
      <c r="E149" s="127"/>
      <c r="F149" s="127"/>
      <c r="G149" s="127"/>
      <c r="H149" s="127"/>
      <c r="I149" s="127"/>
      <c r="J149" s="127"/>
      <c r="K149" s="127"/>
      <c r="L149" s="127"/>
      <c r="M149" s="127"/>
      <c r="N149" s="127"/>
      <c r="O149" s="127"/>
    </row>
    <row r="150" spans="1:15" x14ac:dyDescent="0.2">
      <c r="A150" s="127"/>
      <c r="B150" s="127"/>
      <c r="C150" s="127"/>
      <c r="D150" s="127"/>
      <c r="E150" s="127"/>
      <c r="F150" s="127"/>
      <c r="G150" s="127"/>
      <c r="H150" s="127"/>
      <c r="I150" s="127"/>
      <c r="J150" s="127"/>
      <c r="K150" s="127"/>
      <c r="L150" s="127"/>
      <c r="M150" s="127"/>
      <c r="N150" s="127"/>
      <c r="O150" s="127"/>
    </row>
    <row r="151" spans="1:15" x14ac:dyDescent="0.2">
      <c r="A151" s="127"/>
      <c r="B151" s="127"/>
      <c r="C151" s="127"/>
      <c r="D151" s="127"/>
      <c r="E151" s="127"/>
      <c r="F151" s="127"/>
      <c r="G151" s="127"/>
      <c r="H151" s="127"/>
      <c r="I151" s="127"/>
      <c r="J151" s="127"/>
      <c r="K151" s="127"/>
      <c r="L151" s="127"/>
      <c r="M151" s="127"/>
      <c r="N151" s="127"/>
      <c r="O151" s="127"/>
    </row>
    <row r="152" spans="1:15" x14ac:dyDescent="0.2">
      <c r="A152" s="127"/>
      <c r="B152" s="127"/>
      <c r="C152" s="127"/>
      <c r="D152" s="127"/>
      <c r="E152" s="127"/>
      <c r="F152" s="127"/>
      <c r="G152" s="127"/>
      <c r="H152" s="127"/>
      <c r="I152" s="127"/>
      <c r="J152" s="127"/>
      <c r="K152" s="127"/>
      <c r="L152" s="127"/>
      <c r="M152" s="127"/>
      <c r="N152" s="127"/>
      <c r="O152" s="127"/>
    </row>
    <row r="153" spans="1:15" x14ac:dyDescent="0.2">
      <c r="A153" s="127"/>
      <c r="B153" s="127"/>
      <c r="C153" s="127"/>
      <c r="D153" s="127"/>
      <c r="E153" s="127"/>
      <c r="F153" s="127"/>
      <c r="G153" s="127"/>
      <c r="H153" s="127"/>
      <c r="I153" s="127"/>
      <c r="J153" s="127"/>
      <c r="K153" s="127"/>
      <c r="L153" s="127"/>
      <c r="M153" s="127"/>
      <c r="N153" s="127"/>
      <c r="O153" s="127"/>
    </row>
    <row r="154" spans="1:15" x14ac:dyDescent="0.2">
      <c r="A154" s="127"/>
      <c r="B154" s="127"/>
      <c r="C154" s="127"/>
      <c r="D154" s="127"/>
      <c r="E154" s="127"/>
      <c r="F154" s="127"/>
      <c r="G154" s="127"/>
      <c r="H154" s="127"/>
      <c r="I154" s="127"/>
      <c r="J154" s="127"/>
      <c r="K154" s="127"/>
      <c r="L154" s="127"/>
      <c r="M154" s="127"/>
      <c r="N154" s="127"/>
      <c r="O154" s="127"/>
    </row>
    <row r="155" spans="1:15" x14ac:dyDescent="0.2">
      <c r="A155" s="127"/>
      <c r="B155" s="127"/>
      <c r="C155" s="127"/>
      <c r="D155" s="127"/>
      <c r="E155" s="127"/>
      <c r="F155" s="127"/>
      <c r="G155" s="127"/>
      <c r="H155" s="127"/>
      <c r="I155" s="127"/>
      <c r="J155" s="127"/>
      <c r="K155" s="127"/>
      <c r="L155" s="127"/>
      <c r="M155" s="127"/>
      <c r="N155" s="127"/>
      <c r="O155" s="127"/>
    </row>
    <row r="156" spans="1:15" x14ac:dyDescent="0.2">
      <c r="A156" s="127"/>
      <c r="B156" s="127"/>
      <c r="C156" s="127"/>
      <c r="D156" s="127"/>
      <c r="E156" s="127"/>
      <c r="F156" s="127"/>
      <c r="G156" s="127"/>
      <c r="H156" s="127"/>
      <c r="I156" s="127"/>
      <c r="J156" s="127"/>
      <c r="K156" s="127"/>
      <c r="L156" s="127"/>
      <c r="M156" s="127"/>
      <c r="N156" s="127"/>
      <c r="O156" s="127"/>
    </row>
    <row r="157" spans="1:15" x14ac:dyDescent="0.2">
      <c r="A157" s="127"/>
      <c r="B157" s="127"/>
      <c r="C157" s="127"/>
      <c r="D157" s="127"/>
      <c r="E157" s="127"/>
      <c r="F157" s="127"/>
      <c r="G157" s="127"/>
      <c r="H157" s="127"/>
      <c r="I157" s="127"/>
      <c r="J157" s="127"/>
      <c r="K157" s="127"/>
      <c r="L157" s="127"/>
      <c r="M157" s="127"/>
      <c r="N157" s="127"/>
      <c r="O157" s="127"/>
    </row>
    <row r="158" spans="1:15" x14ac:dyDescent="0.2">
      <c r="A158" s="127"/>
      <c r="B158" s="127"/>
      <c r="C158" s="127"/>
      <c r="D158" s="127"/>
      <c r="E158" s="127"/>
      <c r="F158" s="127"/>
      <c r="G158" s="127"/>
      <c r="H158" s="127"/>
      <c r="I158" s="127"/>
      <c r="J158" s="127"/>
      <c r="K158" s="127"/>
      <c r="L158" s="127"/>
      <c r="M158" s="127"/>
      <c r="N158" s="127"/>
      <c r="O158" s="127"/>
    </row>
    <row r="159" spans="1:15" x14ac:dyDescent="0.2">
      <c r="A159" s="127"/>
      <c r="B159" s="127"/>
      <c r="C159" s="127"/>
      <c r="D159" s="127"/>
      <c r="E159" s="127"/>
      <c r="F159" s="127"/>
      <c r="G159" s="127"/>
      <c r="H159" s="127"/>
      <c r="I159" s="127"/>
      <c r="J159" s="127"/>
      <c r="K159" s="127"/>
      <c r="L159" s="127"/>
      <c r="M159" s="127"/>
      <c r="N159" s="127"/>
      <c r="O159" s="127"/>
    </row>
    <row r="160" spans="1:15" x14ac:dyDescent="0.2">
      <c r="A160" s="127"/>
      <c r="B160" s="127"/>
      <c r="C160" s="127"/>
      <c r="D160" s="127"/>
      <c r="E160" s="127"/>
      <c r="F160" s="127"/>
      <c r="G160" s="127"/>
      <c r="H160" s="127"/>
      <c r="I160" s="127"/>
      <c r="J160" s="127"/>
      <c r="K160" s="127"/>
      <c r="L160" s="127"/>
      <c r="M160" s="127"/>
      <c r="N160" s="127"/>
      <c r="O160" s="127"/>
    </row>
    <row r="161" spans="1:15" x14ac:dyDescent="0.2">
      <c r="A161" s="127"/>
      <c r="B161" s="127"/>
      <c r="C161" s="127"/>
      <c r="D161" s="127"/>
      <c r="E161" s="127"/>
      <c r="F161" s="127"/>
      <c r="G161" s="127"/>
      <c r="H161" s="127"/>
      <c r="I161" s="127"/>
      <c r="J161" s="127"/>
      <c r="K161" s="127"/>
      <c r="L161" s="127"/>
      <c r="M161" s="127"/>
      <c r="N161" s="127"/>
      <c r="O161" s="127"/>
    </row>
    <row r="162" spans="1:15" x14ac:dyDescent="0.2">
      <c r="A162" s="127"/>
      <c r="B162" s="127"/>
      <c r="C162" s="127"/>
      <c r="D162" s="127"/>
      <c r="E162" s="127"/>
      <c r="F162" s="127"/>
      <c r="G162" s="127"/>
      <c r="H162" s="127"/>
      <c r="I162" s="127"/>
      <c r="J162" s="127"/>
      <c r="K162" s="127"/>
      <c r="L162" s="127"/>
      <c r="M162" s="127"/>
      <c r="N162" s="127"/>
      <c r="O162" s="127"/>
    </row>
    <row r="163" spans="1:15" x14ac:dyDescent="0.2">
      <c r="A163" s="127"/>
      <c r="B163" s="127"/>
      <c r="C163" s="127"/>
      <c r="D163" s="127"/>
      <c r="E163" s="127"/>
      <c r="F163" s="127"/>
      <c r="G163" s="127"/>
      <c r="H163" s="127"/>
      <c r="I163" s="127"/>
      <c r="J163" s="127"/>
      <c r="K163" s="127"/>
      <c r="L163" s="127"/>
      <c r="M163" s="127"/>
      <c r="N163" s="127"/>
      <c r="O163" s="127"/>
    </row>
    <row r="164" spans="1:15" x14ac:dyDescent="0.2">
      <c r="A164" s="127"/>
      <c r="B164" s="127"/>
      <c r="C164" s="127"/>
      <c r="D164" s="127"/>
      <c r="E164" s="127"/>
      <c r="F164" s="127"/>
      <c r="G164" s="127"/>
      <c r="H164" s="127"/>
      <c r="I164" s="127"/>
      <c r="J164" s="127"/>
      <c r="K164" s="127"/>
      <c r="L164" s="127"/>
      <c r="M164" s="127"/>
      <c r="N164" s="127"/>
      <c r="O164" s="127"/>
    </row>
    <row r="165" spans="1:15" x14ac:dyDescent="0.2">
      <c r="A165" s="127"/>
      <c r="B165" s="127"/>
      <c r="C165" s="127"/>
      <c r="D165" s="127"/>
      <c r="E165" s="127"/>
      <c r="F165" s="127"/>
      <c r="G165" s="127"/>
      <c r="H165" s="127"/>
      <c r="I165" s="127"/>
      <c r="J165" s="127"/>
      <c r="K165" s="127"/>
      <c r="L165" s="127"/>
      <c r="M165" s="127"/>
      <c r="N165" s="127"/>
      <c r="O165" s="127"/>
    </row>
    <row r="166" spans="1:15" x14ac:dyDescent="0.2">
      <c r="A166" s="127"/>
      <c r="B166" s="127"/>
      <c r="C166" s="127"/>
      <c r="D166" s="127"/>
      <c r="E166" s="127"/>
      <c r="F166" s="127"/>
      <c r="G166" s="127"/>
      <c r="H166" s="127"/>
      <c r="I166" s="127"/>
      <c r="J166" s="127"/>
      <c r="K166" s="127"/>
      <c r="L166" s="127"/>
      <c r="M166" s="127"/>
      <c r="N166" s="127"/>
      <c r="O166" s="127"/>
    </row>
    <row r="167" spans="1:15" x14ac:dyDescent="0.2">
      <c r="A167" s="127"/>
      <c r="B167" s="127"/>
      <c r="C167" s="127"/>
      <c r="D167" s="127"/>
      <c r="E167" s="127"/>
      <c r="F167" s="127"/>
      <c r="G167" s="127"/>
      <c r="H167" s="127"/>
      <c r="I167" s="127"/>
      <c r="J167" s="127"/>
      <c r="K167" s="127"/>
      <c r="L167" s="127"/>
      <c r="M167" s="127"/>
      <c r="N167" s="127"/>
      <c r="O167" s="127"/>
    </row>
    <row r="168" spans="1:15" x14ac:dyDescent="0.2">
      <c r="A168" s="127"/>
      <c r="B168" s="127"/>
      <c r="C168" s="127"/>
      <c r="D168" s="127"/>
      <c r="E168" s="127"/>
      <c r="F168" s="127"/>
      <c r="G168" s="127"/>
      <c r="H168" s="127"/>
      <c r="I168" s="127"/>
      <c r="J168" s="127"/>
      <c r="K168" s="127"/>
      <c r="L168" s="127"/>
      <c r="M168" s="127"/>
      <c r="N168" s="127"/>
      <c r="O168" s="127"/>
    </row>
    <row r="169" spans="1:15" x14ac:dyDescent="0.2">
      <c r="A169" s="127"/>
      <c r="B169" s="127"/>
      <c r="C169" s="127"/>
      <c r="D169" s="127"/>
      <c r="E169" s="127"/>
      <c r="F169" s="127"/>
      <c r="G169" s="127"/>
      <c r="H169" s="127"/>
      <c r="I169" s="127"/>
      <c r="J169" s="127"/>
      <c r="K169" s="127"/>
      <c r="L169" s="127"/>
      <c r="M169" s="127"/>
      <c r="N169" s="127"/>
      <c r="O169" s="127"/>
    </row>
    <row r="170" spans="1:15" x14ac:dyDescent="0.2">
      <c r="A170" s="127"/>
      <c r="B170" s="127"/>
      <c r="C170" s="127"/>
      <c r="D170" s="127"/>
      <c r="E170" s="127"/>
      <c r="F170" s="127"/>
      <c r="G170" s="127"/>
      <c r="H170" s="127"/>
      <c r="I170" s="127"/>
      <c r="J170" s="127"/>
      <c r="K170" s="127"/>
      <c r="L170" s="127"/>
      <c r="M170" s="127"/>
      <c r="N170" s="127"/>
      <c r="O170" s="127"/>
    </row>
    <row r="171" spans="1:15" x14ac:dyDescent="0.2">
      <c r="A171" s="127"/>
      <c r="B171" s="127"/>
      <c r="C171" s="127"/>
      <c r="D171" s="127"/>
      <c r="E171" s="127"/>
      <c r="F171" s="127"/>
      <c r="G171" s="127"/>
      <c r="H171" s="127"/>
      <c r="I171" s="127"/>
      <c r="J171" s="127"/>
      <c r="K171" s="127"/>
      <c r="L171" s="127"/>
      <c r="M171" s="127"/>
      <c r="N171" s="127"/>
      <c r="O171" s="127"/>
    </row>
    <row r="172" spans="1:15" x14ac:dyDescent="0.2">
      <c r="A172" s="127"/>
      <c r="B172" s="127"/>
      <c r="C172" s="127"/>
      <c r="D172" s="127"/>
      <c r="E172" s="127"/>
      <c r="F172" s="127"/>
      <c r="G172" s="127"/>
      <c r="H172" s="127"/>
      <c r="I172" s="127"/>
      <c r="J172" s="127"/>
      <c r="K172" s="127"/>
      <c r="L172" s="127"/>
      <c r="M172" s="127"/>
      <c r="N172" s="127"/>
      <c r="O172" s="127"/>
    </row>
    <row r="173" spans="1:15" x14ac:dyDescent="0.2">
      <c r="A173" s="127"/>
      <c r="B173" s="127"/>
      <c r="C173" s="127"/>
      <c r="D173" s="127"/>
      <c r="E173" s="127"/>
      <c r="F173" s="127"/>
      <c r="G173" s="127"/>
      <c r="H173" s="127"/>
      <c r="I173" s="127"/>
      <c r="J173" s="127"/>
      <c r="K173" s="127"/>
      <c r="L173" s="127"/>
      <c r="M173" s="127"/>
      <c r="N173" s="127"/>
      <c r="O173" s="127"/>
    </row>
    <row r="174" spans="1:15" x14ac:dyDescent="0.2">
      <c r="A174" s="127"/>
      <c r="B174" s="127"/>
      <c r="C174" s="127"/>
      <c r="D174" s="127"/>
      <c r="E174" s="127"/>
      <c r="F174" s="127"/>
      <c r="G174" s="127"/>
      <c r="H174" s="127"/>
      <c r="I174" s="127"/>
      <c r="J174" s="127"/>
      <c r="K174" s="127"/>
      <c r="L174" s="127"/>
      <c r="M174" s="127"/>
      <c r="N174" s="127"/>
      <c r="O174" s="127"/>
    </row>
  </sheetData>
  <mergeCells count="16">
    <mergeCell ref="A16:B16"/>
    <mergeCell ref="A4:O4"/>
    <mergeCell ref="A10:B10"/>
    <mergeCell ref="A11:A13"/>
    <mergeCell ref="B11:B13"/>
    <mergeCell ref="C11:C13"/>
    <mergeCell ref="D11:G11"/>
    <mergeCell ref="H11:H13"/>
    <mergeCell ref="I11:O11"/>
    <mergeCell ref="D12:D13"/>
    <mergeCell ref="E12:E13"/>
    <mergeCell ref="F12:F13"/>
    <mergeCell ref="G12:G13"/>
    <mergeCell ref="I12:K12"/>
    <mergeCell ref="L12:N12"/>
    <mergeCell ref="O12:O13"/>
  </mergeCells>
  <pageMargins left="0.19685039370078741" right="0.19685039370078741" top="0.59055118110236227" bottom="0.19685039370078741" header="0.27559055118110237" footer="0.27559055118110237"/>
  <pageSetup paperSize="9" scale="68" fitToHeight="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K28"/>
  <sheetViews>
    <sheetView view="pageBreakPreview" topLeftCell="A13" zoomScale="60" zoomScaleNormal="100" workbookViewId="0">
      <selection activeCell="U14" sqref="U14:V14"/>
    </sheetView>
  </sheetViews>
  <sheetFormatPr defaultColWidth="9.140625" defaultRowHeight="15" x14ac:dyDescent="0.25"/>
  <cols>
    <col min="1" max="1" width="8.28515625" style="359" customWidth="1"/>
    <col min="2" max="2" width="56" style="360" customWidth="1"/>
    <col min="3" max="3" width="16.5703125" style="360" customWidth="1"/>
    <col min="4" max="4" width="17" style="360" customWidth="1"/>
    <col min="5" max="6" width="15.140625" style="360" customWidth="1"/>
    <col min="7" max="7" width="12.7109375" style="360" customWidth="1"/>
    <col min="8" max="10" width="9.140625" style="360"/>
    <col min="11" max="11" width="16.42578125" style="360" customWidth="1"/>
    <col min="12" max="16384" width="9.140625" style="360"/>
  </cols>
  <sheetData>
    <row r="1" spans="1:11" s="361" customFormat="1" ht="30" customHeight="1" x14ac:dyDescent="0.25">
      <c r="A1" s="1750" t="s">
        <v>974</v>
      </c>
      <c r="B1" s="1750"/>
      <c r="C1" s="1750"/>
      <c r="D1" s="1750"/>
      <c r="E1" s="1750"/>
      <c r="F1" s="1750"/>
      <c r="G1" s="1750"/>
      <c r="H1" s="1750"/>
      <c r="I1" s="1750"/>
      <c r="J1" s="1750"/>
      <c r="K1" s="1750"/>
    </row>
    <row r="2" spans="1:11" s="363" customFormat="1" ht="12.75" customHeight="1" x14ac:dyDescent="0.15">
      <c r="A2" s="362"/>
    </row>
    <row r="3" spans="1:11" s="365" customFormat="1" ht="33.75" customHeight="1" x14ac:dyDescent="0.2">
      <c r="A3" s="1751" t="s">
        <v>38</v>
      </c>
      <c r="B3" s="1754" t="s">
        <v>7</v>
      </c>
      <c r="C3" s="1757" t="s">
        <v>56</v>
      </c>
      <c r="D3" s="1757" t="s">
        <v>57</v>
      </c>
      <c r="E3" s="1760" t="s">
        <v>52</v>
      </c>
      <c r="F3" s="1761"/>
      <c r="G3" s="1761"/>
      <c r="H3" s="1761"/>
      <c r="I3" s="1761"/>
      <c r="J3" s="1761"/>
      <c r="K3" s="1762"/>
    </row>
    <row r="4" spans="1:11" s="365" customFormat="1" ht="87.75" customHeight="1" x14ac:dyDescent="0.2">
      <c r="A4" s="1752"/>
      <c r="B4" s="1755"/>
      <c r="C4" s="1758"/>
      <c r="D4" s="1758"/>
      <c r="E4" s="1763" t="s">
        <v>35</v>
      </c>
      <c r="F4" s="1765"/>
      <c r="G4" s="1764"/>
      <c r="H4" s="1763" t="s">
        <v>45</v>
      </c>
      <c r="I4" s="1765"/>
      <c r="J4" s="1764"/>
      <c r="K4" s="1766" t="s">
        <v>46</v>
      </c>
    </row>
    <row r="5" spans="1:11" s="365" customFormat="1" ht="12.75" customHeight="1" x14ac:dyDescent="0.2">
      <c r="A5" s="1752"/>
      <c r="B5" s="1755"/>
      <c r="C5" s="1758"/>
      <c r="D5" s="1758"/>
      <c r="E5" s="1766" t="s">
        <v>43</v>
      </c>
      <c r="F5" s="1766" t="s">
        <v>592</v>
      </c>
      <c r="G5" s="1766" t="s">
        <v>44</v>
      </c>
      <c r="H5" s="1766" t="s">
        <v>55</v>
      </c>
      <c r="I5" s="1766" t="s">
        <v>43</v>
      </c>
      <c r="J5" s="1766" t="s">
        <v>44</v>
      </c>
      <c r="K5" s="1767"/>
    </row>
    <row r="6" spans="1:11" s="365" customFormat="1" ht="30.75" customHeight="1" x14ac:dyDescent="0.2">
      <c r="A6" s="1753"/>
      <c r="B6" s="1756"/>
      <c r="C6" s="1759"/>
      <c r="D6" s="1759"/>
      <c r="E6" s="1768"/>
      <c r="F6" s="1768"/>
      <c r="G6" s="1768"/>
      <c r="H6" s="1768"/>
      <c r="I6" s="1768"/>
      <c r="J6" s="1768"/>
      <c r="K6" s="1768"/>
    </row>
    <row r="7" spans="1:11" s="365" customFormat="1" ht="12.75" x14ac:dyDescent="0.2">
      <c r="A7" s="366">
        <v>1</v>
      </c>
      <c r="B7" s="364">
        <v>2</v>
      </c>
      <c r="C7" s="367">
        <v>3</v>
      </c>
      <c r="D7" s="364">
        <v>4</v>
      </c>
      <c r="E7" s="368">
        <v>5</v>
      </c>
      <c r="F7" s="368">
        <v>6</v>
      </c>
      <c r="G7" s="368">
        <v>7</v>
      </c>
      <c r="H7" s="368">
        <v>8</v>
      </c>
      <c r="I7" s="368">
        <v>9</v>
      </c>
      <c r="J7" s="368">
        <v>10</v>
      </c>
      <c r="K7" s="368">
        <v>11</v>
      </c>
    </row>
    <row r="8" spans="1:11" s="365" customFormat="1" ht="51" x14ac:dyDescent="0.2">
      <c r="A8" s="366">
        <v>1</v>
      </c>
      <c r="B8" s="369" t="s">
        <v>954</v>
      </c>
      <c r="C8" s="366" t="s">
        <v>3</v>
      </c>
      <c r="D8" s="377">
        <f>D9</f>
        <v>81624.689999999988</v>
      </c>
      <c r="E8" s="377">
        <f t="shared" ref="E8:F8" si="0">E9</f>
        <v>26936.19</v>
      </c>
      <c r="F8" s="377">
        <f t="shared" si="0"/>
        <v>54688.5</v>
      </c>
      <c r="G8" s="377"/>
      <c r="H8" s="371"/>
      <c r="I8" s="371"/>
      <c r="J8" s="371"/>
      <c r="K8" s="371"/>
    </row>
    <row r="9" spans="1:11" s="365" customFormat="1" ht="51" x14ac:dyDescent="0.2">
      <c r="A9" s="366" t="s">
        <v>8</v>
      </c>
      <c r="B9" s="369" t="s">
        <v>955</v>
      </c>
      <c r="C9" s="375">
        <f>советник!H16</f>
        <v>272082.28000000003</v>
      </c>
      <c r="D9" s="377">
        <f>D23-D17</f>
        <v>81624.689999999988</v>
      </c>
      <c r="E9" s="377">
        <f>E23-E17</f>
        <v>26936.19</v>
      </c>
      <c r="F9" s="377">
        <f>54688.5</f>
        <v>54688.5</v>
      </c>
      <c r="G9" s="377"/>
      <c r="H9" s="366"/>
      <c r="I9" s="366"/>
      <c r="J9" s="366"/>
      <c r="K9" s="366"/>
    </row>
    <row r="10" spans="1:11" s="365" customFormat="1" ht="25.5" x14ac:dyDescent="0.2">
      <c r="A10" s="366" t="s">
        <v>12</v>
      </c>
      <c r="B10" s="369" t="s">
        <v>956</v>
      </c>
      <c r="C10" s="370"/>
      <c r="D10" s="370"/>
      <c r="E10" s="371"/>
      <c r="F10" s="371"/>
      <c r="G10" s="371"/>
      <c r="H10" s="371"/>
      <c r="I10" s="371"/>
      <c r="J10" s="371"/>
      <c r="K10" s="371"/>
    </row>
    <row r="11" spans="1:11" s="365" customFormat="1" ht="25.5" x14ac:dyDescent="0.2">
      <c r="A11" s="366" t="s">
        <v>13</v>
      </c>
      <c r="B11" s="369" t="s">
        <v>957</v>
      </c>
      <c r="C11" s="370"/>
      <c r="D11" s="370"/>
      <c r="E11" s="366"/>
      <c r="F11" s="366"/>
      <c r="G11" s="366"/>
      <c r="H11" s="366"/>
      <c r="I11" s="366"/>
      <c r="J11" s="366"/>
      <c r="K11" s="366"/>
    </row>
    <row r="12" spans="1:11" s="365" customFormat="1" ht="38.25" x14ac:dyDescent="0.2">
      <c r="A12" s="372" t="s">
        <v>502</v>
      </c>
      <c r="B12" s="369" t="s">
        <v>958</v>
      </c>
      <c r="C12" s="366" t="s">
        <v>3</v>
      </c>
      <c r="D12" s="366"/>
      <c r="E12" s="366"/>
      <c r="F12" s="366"/>
      <c r="G12" s="366"/>
      <c r="H12" s="366"/>
      <c r="I12" s="366"/>
      <c r="J12" s="366"/>
      <c r="K12" s="366"/>
    </row>
    <row r="13" spans="1:11" s="365" customFormat="1" ht="12.75" x14ac:dyDescent="0.2">
      <c r="A13" s="366"/>
      <c r="B13" s="371"/>
      <c r="C13" s="366"/>
      <c r="D13" s="366"/>
      <c r="E13" s="366"/>
      <c r="F13" s="366"/>
      <c r="G13" s="366"/>
      <c r="H13" s="366"/>
      <c r="I13" s="366"/>
      <c r="J13" s="366"/>
      <c r="K13" s="366"/>
    </row>
    <row r="14" spans="1:11" s="365" customFormat="1" ht="25.5" x14ac:dyDescent="0.2">
      <c r="A14" s="372" t="s">
        <v>512</v>
      </c>
      <c r="B14" s="369" t="s">
        <v>959</v>
      </c>
      <c r="C14" s="373"/>
      <c r="D14" s="373"/>
      <c r="E14" s="373"/>
      <c r="F14" s="373"/>
      <c r="G14" s="373"/>
      <c r="H14" s="373"/>
      <c r="I14" s="373"/>
      <c r="J14" s="373"/>
      <c r="K14" s="373"/>
    </row>
    <row r="15" spans="1:11" s="365" customFormat="1" ht="38.25" x14ac:dyDescent="0.2">
      <c r="A15" s="372" t="s">
        <v>515</v>
      </c>
      <c r="B15" s="369" t="s">
        <v>958</v>
      </c>
      <c r="C15" s="373"/>
      <c r="D15" s="373"/>
      <c r="E15" s="373"/>
      <c r="F15" s="373"/>
      <c r="G15" s="373"/>
      <c r="H15" s="373"/>
      <c r="I15" s="373"/>
      <c r="J15" s="373"/>
      <c r="K15" s="373"/>
    </row>
    <row r="16" spans="1:11" s="365" customFormat="1" ht="12.75" x14ac:dyDescent="0.2">
      <c r="A16" s="366"/>
      <c r="B16" s="371"/>
      <c r="C16" s="373"/>
      <c r="D16" s="373"/>
      <c r="E16" s="373"/>
      <c r="F16" s="373"/>
      <c r="G16" s="373"/>
      <c r="H16" s="373"/>
      <c r="I16" s="373"/>
      <c r="J16" s="373"/>
      <c r="K16" s="373"/>
    </row>
    <row r="17" spans="1:11" s="365" customFormat="1" ht="38.25" x14ac:dyDescent="0.2">
      <c r="A17" s="366" t="s">
        <v>960</v>
      </c>
      <c r="B17" s="369" t="s">
        <v>961</v>
      </c>
      <c r="C17" s="376">
        <f>C18</f>
        <v>272082.28000000003</v>
      </c>
      <c r="D17" s="376">
        <f t="shared" ref="D17:E17" si="1">D18</f>
        <v>544.16</v>
      </c>
      <c r="E17" s="376">
        <f t="shared" si="1"/>
        <v>179.57</v>
      </c>
      <c r="F17" s="376">
        <f>F18</f>
        <v>364.59</v>
      </c>
      <c r="G17" s="376"/>
      <c r="H17" s="366"/>
      <c r="I17" s="366"/>
      <c r="J17" s="366"/>
      <c r="K17" s="366"/>
    </row>
    <row r="18" spans="1:11" s="365" customFormat="1" ht="51" x14ac:dyDescent="0.2">
      <c r="A18" s="372" t="s">
        <v>962</v>
      </c>
      <c r="B18" s="369" t="s">
        <v>963</v>
      </c>
      <c r="C18" s="375">
        <f>C9</f>
        <v>272082.28000000003</v>
      </c>
      <c r="D18" s="375">
        <f>SUM(E18:G18)</f>
        <v>544.16</v>
      </c>
      <c r="E18" s="358">
        <v>179.57</v>
      </c>
      <c r="F18" s="358">
        <f>364.59</f>
        <v>364.59</v>
      </c>
      <c r="G18" s="358"/>
      <c r="H18" s="366"/>
      <c r="I18" s="366"/>
      <c r="J18" s="366"/>
      <c r="K18" s="366"/>
    </row>
    <row r="19" spans="1:11" s="365" customFormat="1" ht="25.5" x14ac:dyDescent="0.2">
      <c r="A19" s="372" t="s">
        <v>964</v>
      </c>
      <c r="B19" s="369" t="s">
        <v>965</v>
      </c>
      <c r="C19" s="370"/>
      <c r="D19" s="370"/>
      <c r="E19" s="366"/>
      <c r="F19" s="366"/>
      <c r="G19" s="366"/>
      <c r="H19" s="366"/>
      <c r="I19" s="366"/>
      <c r="J19" s="366"/>
      <c r="K19" s="366"/>
    </row>
    <row r="20" spans="1:11" s="365" customFormat="1" ht="25.5" x14ac:dyDescent="0.2">
      <c r="A20" s="372" t="s">
        <v>966</v>
      </c>
      <c r="B20" s="369" t="s">
        <v>967</v>
      </c>
      <c r="C20" s="370"/>
      <c r="D20" s="370"/>
      <c r="E20" s="366"/>
      <c r="F20" s="366"/>
      <c r="G20" s="366"/>
      <c r="H20" s="366"/>
      <c r="I20" s="366"/>
      <c r="J20" s="366"/>
      <c r="K20" s="366"/>
    </row>
    <row r="21" spans="1:11" s="365" customFormat="1" ht="38.25" x14ac:dyDescent="0.2">
      <c r="A21" s="372" t="s">
        <v>968</v>
      </c>
      <c r="B21" s="369" t="s">
        <v>969</v>
      </c>
      <c r="C21" s="370"/>
      <c r="D21" s="370"/>
      <c r="E21" s="366"/>
      <c r="F21" s="366"/>
      <c r="G21" s="366"/>
      <c r="H21" s="366"/>
      <c r="I21" s="366"/>
      <c r="J21" s="366"/>
      <c r="K21" s="366"/>
    </row>
    <row r="22" spans="1:11" s="365" customFormat="1" ht="25.5" customHeight="1" x14ac:dyDescent="0.2">
      <c r="A22" s="372" t="s">
        <v>970</v>
      </c>
      <c r="B22" s="369" t="s">
        <v>971</v>
      </c>
      <c r="C22" s="370"/>
      <c r="D22" s="370"/>
      <c r="E22" s="366"/>
      <c r="F22" s="366"/>
      <c r="G22" s="366"/>
      <c r="H22" s="366"/>
      <c r="I22" s="366"/>
      <c r="J22" s="366"/>
      <c r="K22" s="366"/>
    </row>
    <row r="23" spans="1:11" s="383" customFormat="1" ht="24" customHeight="1" x14ac:dyDescent="0.2">
      <c r="A23" s="378"/>
      <c r="B23" s="379" t="s">
        <v>61</v>
      </c>
      <c r="C23" s="380" t="s">
        <v>3</v>
      </c>
      <c r="D23" s="381">
        <f>E23+F23</f>
        <v>82168.849999999991</v>
      </c>
      <c r="E23" s="337">
        <v>27115.759999999998</v>
      </c>
      <c r="F23" s="337">
        <f>F9+F18</f>
        <v>55053.09</v>
      </c>
      <c r="G23" s="337"/>
      <c r="H23" s="380" t="s">
        <v>3</v>
      </c>
      <c r="I23" s="382"/>
      <c r="J23" s="382"/>
      <c r="K23" s="382"/>
    </row>
    <row r="24" spans="1:11" s="365" customFormat="1" ht="12.75" x14ac:dyDescent="0.2">
      <c r="A24" s="374"/>
    </row>
    <row r="26" spans="1:11" ht="56.25" customHeight="1" x14ac:dyDescent="0.25">
      <c r="A26" s="1769" t="s">
        <v>972</v>
      </c>
      <c r="B26" s="1769"/>
      <c r="C26" s="1769"/>
      <c r="D26" s="1769"/>
      <c r="E26" s="1769"/>
      <c r="F26" s="1769"/>
      <c r="G26" s="1769"/>
      <c r="H26" s="1769"/>
      <c r="I26" s="1769"/>
      <c r="J26" s="1769"/>
      <c r="K26" s="1769"/>
    </row>
    <row r="27" spans="1:11" ht="55.5" customHeight="1" x14ac:dyDescent="0.25">
      <c r="A27" s="1749" t="s">
        <v>973</v>
      </c>
      <c r="B27" s="1749"/>
      <c r="C27" s="1749"/>
      <c r="D27" s="1749"/>
      <c r="E27" s="1749"/>
      <c r="F27" s="1749"/>
      <c r="G27" s="1749"/>
      <c r="H27" s="1749"/>
      <c r="I27" s="1749"/>
      <c r="J27" s="1749"/>
      <c r="K27" s="1749"/>
    </row>
    <row r="28" spans="1:11" x14ac:dyDescent="0.25">
      <c r="D28" s="609">
        <f>D23+советник!H16</f>
        <v>354251.13</v>
      </c>
      <c r="E28" s="609">
        <f>E23+советник!I16</f>
        <v>116903.03999999999</v>
      </c>
      <c r="F28" s="609">
        <f>F23+советник!J16</f>
        <v>237348.09</v>
      </c>
    </row>
  </sheetData>
  <mergeCells count="17">
    <mergeCell ref="A27:K27"/>
    <mergeCell ref="F5:F6"/>
    <mergeCell ref="G5:G6"/>
    <mergeCell ref="H5:H6"/>
    <mergeCell ref="I5:I6"/>
    <mergeCell ref="J5:J6"/>
    <mergeCell ref="A26:K26"/>
    <mergeCell ref="A1:K1"/>
    <mergeCell ref="A3:A6"/>
    <mergeCell ref="B3:B6"/>
    <mergeCell ref="C3:C6"/>
    <mergeCell ref="D3:D6"/>
    <mergeCell ref="E3:K3"/>
    <mergeCell ref="E4:G4"/>
    <mergeCell ref="H4:J4"/>
    <mergeCell ref="K4:K6"/>
    <mergeCell ref="E5:E6"/>
  </mergeCells>
  <pageMargins left="0.70866141732283472" right="0.70866141732283472" top="0.27" bottom="0.19" header="0.31496062992125984" footer="0.31496062992125984"/>
  <pageSetup paperSize="9" scale="6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CT75"/>
  <sheetViews>
    <sheetView view="pageBreakPreview" topLeftCell="A28" zoomScale="77" zoomScaleNormal="100" zoomScaleSheetLayoutView="77" workbookViewId="0">
      <selection activeCell="CJ61" sqref="CJ61"/>
    </sheetView>
  </sheetViews>
  <sheetFormatPr defaultColWidth="1.140625" defaultRowHeight="12.75" x14ac:dyDescent="0.2"/>
  <cols>
    <col min="1" max="18" width="1.140625" style="137"/>
    <col min="19" max="19" width="2.140625" style="137" customWidth="1"/>
    <col min="20" max="30" width="1.140625" style="137"/>
    <col min="31" max="31" width="16.140625" style="137" customWidth="1"/>
    <col min="32" max="32" width="0.85546875" style="137" hidden="1" customWidth="1"/>
    <col min="33" max="35" width="1.140625" style="137" hidden="1" customWidth="1"/>
    <col min="36" max="40" width="1.140625" style="137"/>
    <col min="41" max="41" width="3.28515625" style="137" customWidth="1"/>
    <col min="42" max="42" width="0.42578125" style="137" customWidth="1"/>
    <col min="43" max="44" width="1.140625" style="137" hidden="1" customWidth="1"/>
    <col min="45" max="46" width="8.7109375" style="137" customWidth="1"/>
    <col min="47" max="63" width="1.140625" style="137"/>
    <col min="64" max="64" width="0.42578125" style="137" customWidth="1"/>
    <col min="65" max="66" width="1.140625" style="137" hidden="1" customWidth="1"/>
    <col min="67" max="67" width="3" style="137" customWidth="1"/>
    <col min="68" max="73" width="1.140625" style="137"/>
    <col min="74" max="74" width="9.85546875" style="137" bestFit="1" customWidth="1"/>
    <col min="75" max="77" width="1.140625" style="137"/>
    <col min="78" max="78" width="0.85546875" style="137" customWidth="1"/>
    <col min="79" max="80" width="1.140625" style="137" hidden="1" customWidth="1"/>
    <col min="81" max="81" width="11.7109375" style="137" customWidth="1"/>
    <col min="82" max="82" width="14.42578125" style="137" customWidth="1"/>
    <col min="83" max="83" width="12.28515625" style="137" customWidth="1"/>
    <col min="84" max="84" width="11.140625" style="137" customWidth="1"/>
    <col min="85" max="85" width="8.7109375" style="137" customWidth="1"/>
    <col min="86" max="86" width="15.140625" style="137" customWidth="1"/>
    <col min="87" max="87" width="28.42578125" style="137" customWidth="1"/>
    <col min="88" max="88" width="22.28515625" style="137" customWidth="1"/>
    <col min="89" max="89" width="15.140625" style="137" customWidth="1"/>
    <col min="90" max="97" width="1.140625" style="137"/>
    <col min="98" max="98" width="13.140625" style="137" customWidth="1"/>
    <col min="99" max="16384" width="1.140625" style="137"/>
  </cols>
  <sheetData>
    <row r="1" spans="1:87" s="93" customFormat="1" ht="15.75" x14ac:dyDescent="0.2">
      <c r="A1" s="136" t="s">
        <v>103</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row>
    <row r="2" spans="1:87" s="93" customFormat="1" ht="15.75" x14ac:dyDescent="0.2">
      <c r="A2" s="136" t="s">
        <v>594</v>
      </c>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c r="AT2" s="136"/>
      <c r="AU2" s="136"/>
      <c r="AV2" s="136"/>
      <c r="AW2" s="136"/>
      <c r="AX2" s="136"/>
      <c r="AY2" s="136"/>
      <c r="AZ2" s="136"/>
      <c r="BA2" s="136"/>
      <c r="BB2" s="136"/>
      <c r="BC2" s="136"/>
      <c r="BD2" s="136"/>
      <c r="BE2" s="136"/>
      <c r="BF2" s="136"/>
      <c r="BG2" s="136"/>
      <c r="BH2" s="136"/>
      <c r="BI2" s="136"/>
      <c r="BJ2" s="136"/>
      <c r="BK2" s="136"/>
      <c r="BL2" s="136"/>
      <c r="BM2" s="136"/>
      <c r="BN2" s="136"/>
      <c r="BO2" s="136"/>
      <c r="BP2" s="136"/>
      <c r="BQ2" s="136"/>
      <c r="BR2" s="136"/>
      <c r="BS2" s="136"/>
      <c r="BT2" s="136"/>
      <c r="BU2" s="136"/>
      <c r="BV2" s="136"/>
      <c r="BW2" s="136"/>
      <c r="BX2" s="136"/>
      <c r="BY2" s="136"/>
      <c r="BZ2" s="136"/>
      <c r="CA2" s="136"/>
      <c r="CB2" s="136"/>
      <c r="CC2" s="136"/>
      <c r="CD2" s="136"/>
      <c r="CE2" s="136"/>
      <c r="CF2" s="136"/>
      <c r="CG2" s="136"/>
      <c r="CH2" s="136"/>
    </row>
    <row r="3" spans="1:87" ht="15.75" customHeight="1" x14ac:dyDescent="0.2">
      <c r="A3" s="1810" t="s">
        <v>38</v>
      </c>
      <c r="B3" s="1810"/>
      <c r="C3" s="1810"/>
      <c r="D3" s="1810"/>
      <c r="E3" s="1830" t="s">
        <v>4</v>
      </c>
      <c r="F3" s="1830"/>
      <c r="G3" s="1830"/>
      <c r="H3" s="1830"/>
      <c r="I3" s="1830"/>
      <c r="J3" s="1830"/>
      <c r="K3" s="1830"/>
      <c r="L3" s="1830"/>
      <c r="M3" s="1830"/>
      <c r="N3" s="1830"/>
      <c r="O3" s="1830"/>
      <c r="P3" s="1830"/>
      <c r="Q3" s="1830"/>
      <c r="R3" s="1830"/>
      <c r="S3" s="1830"/>
      <c r="T3" s="1830"/>
      <c r="U3" s="1830"/>
      <c r="V3" s="1830"/>
      <c r="W3" s="1830"/>
      <c r="X3" s="1830"/>
      <c r="Y3" s="1830"/>
      <c r="Z3" s="1830"/>
      <c r="AA3" s="1830"/>
      <c r="AB3" s="1830"/>
      <c r="AC3" s="1830"/>
      <c r="AD3" s="1830"/>
      <c r="AE3" s="1830"/>
      <c r="AF3" s="1830"/>
      <c r="AG3" s="1830"/>
      <c r="AH3" s="1830"/>
      <c r="AI3" s="1830"/>
      <c r="AJ3" s="1810" t="s">
        <v>595</v>
      </c>
      <c r="AK3" s="1810"/>
      <c r="AL3" s="1810"/>
      <c r="AM3" s="1810"/>
      <c r="AN3" s="1810"/>
      <c r="AO3" s="1810"/>
      <c r="AP3" s="1810"/>
      <c r="AQ3" s="1810"/>
      <c r="AR3" s="1810"/>
      <c r="AS3" s="1810"/>
      <c r="AT3" s="1810"/>
      <c r="AU3" s="1810" t="s">
        <v>140</v>
      </c>
      <c r="AV3" s="1810"/>
      <c r="AW3" s="1810"/>
      <c r="AX3" s="1810"/>
      <c r="AY3" s="1810"/>
      <c r="AZ3" s="1810"/>
      <c r="BA3" s="1810"/>
      <c r="BB3" s="1810"/>
      <c r="BC3" s="1810"/>
      <c r="BD3" s="1810"/>
      <c r="BE3" s="1810" t="s">
        <v>596</v>
      </c>
      <c r="BF3" s="1810"/>
      <c r="BG3" s="1810"/>
      <c r="BH3" s="1810"/>
      <c r="BI3" s="1810"/>
      <c r="BJ3" s="1810"/>
      <c r="BK3" s="1810"/>
      <c r="BL3" s="1810"/>
      <c r="BM3" s="1810"/>
      <c r="BN3" s="1810"/>
      <c r="BO3" s="1810"/>
      <c r="BP3" s="1830" t="s">
        <v>6</v>
      </c>
      <c r="BQ3" s="1830"/>
      <c r="BR3" s="1830"/>
      <c r="BS3" s="1830"/>
      <c r="BT3" s="1830"/>
      <c r="BU3" s="1830"/>
      <c r="BV3" s="1830"/>
      <c r="BW3" s="1830"/>
      <c r="BX3" s="1830"/>
      <c r="BY3" s="1830"/>
      <c r="BZ3" s="1830"/>
      <c r="CA3" s="1830"/>
      <c r="CB3" s="1830"/>
      <c r="CC3" s="1830" t="s">
        <v>52</v>
      </c>
      <c r="CD3" s="1830"/>
      <c r="CE3" s="1830"/>
      <c r="CF3" s="1830"/>
      <c r="CG3" s="1830"/>
      <c r="CH3" s="1830"/>
    </row>
    <row r="4" spans="1:87" ht="78.75" customHeight="1" x14ac:dyDescent="0.2">
      <c r="A4" s="1810"/>
      <c r="B4" s="1810"/>
      <c r="C4" s="1810"/>
      <c r="D4" s="1810"/>
      <c r="E4" s="1830"/>
      <c r="F4" s="1830"/>
      <c r="G4" s="1830"/>
      <c r="H4" s="1830"/>
      <c r="I4" s="1830"/>
      <c r="J4" s="1830"/>
      <c r="K4" s="1830"/>
      <c r="L4" s="1830"/>
      <c r="M4" s="1830"/>
      <c r="N4" s="1830"/>
      <c r="O4" s="1830"/>
      <c r="P4" s="1830"/>
      <c r="Q4" s="1830"/>
      <c r="R4" s="1830"/>
      <c r="S4" s="1830"/>
      <c r="T4" s="1830"/>
      <c r="U4" s="1830"/>
      <c r="V4" s="1830"/>
      <c r="W4" s="1830"/>
      <c r="X4" s="1830"/>
      <c r="Y4" s="1830"/>
      <c r="Z4" s="1830"/>
      <c r="AA4" s="1830"/>
      <c r="AB4" s="1830"/>
      <c r="AC4" s="1830"/>
      <c r="AD4" s="1830"/>
      <c r="AE4" s="1830"/>
      <c r="AF4" s="1830"/>
      <c r="AG4" s="1830"/>
      <c r="AH4" s="1830"/>
      <c r="AI4" s="1830"/>
      <c r="AJ4" s="1810"/>
      <c r="AK4" s="1810"/>
      <c r="AL4" s="1810"/>
      <c r="AM4" s="1810"/>
      <c r="AN4" s="1810"/>
      <c r="AO4" s="1810"/>
      <c r="AP4" s="1810"/>
      <c r="AQ4" s="1810"/>
      <c r="AR4" s="1810"/>
      <c r="AS4" s="1810"/>
      <c r="AT4" s="1810"/>
      <c r="AU4" s="1810"/>
      <c r="AV4" s="1810"/>
      <c r="AW4" s="1810"/>
      <c r="AX4" s="1810"/>
      <c r="AY4" s="1810"/>
      <c r="AZ4" s="1810"/>
      <c r="BA4" s="1810"/>
      <c r="BB4" s="1810"/>
      <c r="BC4" s="1810"/>
      <c r="BD4" s="1810"/>
      <c r="BE4" s="1810"/>
      <c r="BF4" s="1810"/>
      <c r="BG4" s="1810"/>
      <c r="BH4" s="1810"/>
      <c r="BI4" s="1810"/>
      <c r="BJ4" s="1810"/>
      <c r="BK4" s="1810"/>
      <c r="BL4" s="1810"/>
      <c r="BM4" s="1810"/>
      <c r="BN4" s="1810"/>
      <c r="BO4" s="1810"/>
      <c r="BP4" s="1830"/>
      <c r="BQ4" s="1830"/>
      <c r="BR4" s="1830"/>
      <c r="BS4" s="1830"/>
      <c r="BT4" s="1830"/>
      <c r="BU4" s="1830"/>
      <c r="BV4" s="1830"/>
      <c r="BW4" s="1830"/>
      <c r="BX4" s="1830"/>
      <c r="BY4" s="1830"/>
      <c r="BZ4" s="1830"/>
      <c r="CA4" s="1830"/>
      <c r="CB4" s="1830"/>
      <c r="CC4" s="1810" t="s">
        <v>35</v>
      </c>
      <c r="CD4" s="1810"/>
      <c r="CE4" s="1788" t="s">
        <v>45</v>
      </c>
      <c r="CF4" s="1790"/>
      <c r="CG4" s="1789"/>
      <c r="CH4" s="1810" t="s">
        <v>46</v>
      </c>
    </row>
    <row r="5" spans="1:87" x14ac:dyDescent="0.2">
      <c r="A5" s="1810"/>
      <c r="B5" s="1810"/>
      <c r="C5" s="1810"/>
      <c r="D5" s="1810"/>
      <c r="E5" s="1830"/>
      <c r="F5" s="1830"/>
      <c r="G5" s="1830"/>
      <c r="H5" s="1830"/>
      <c r="I5" s="1830"/>
      <c r="J5" s="1830"/>
      <c r="K5" s="1830"/>
      <c r="L5" s="1830"/>
      <c r="M5" s="1830"/>
      <c r="N5" s="1830"/>
      <c r="O5" s="1830"/>
      <c r="P5" s="1830"/>
      <c r="Q5" s="1830"/>
      <c r="R5" s="1830"/>
      <c r="S5" s="1830"/>
      <c r="T5" s="1830"/>
      <c r="U5" s="1830"/>
      <c r="V5" s="1830"/>
      <c r="W5" s="1830"/>
      <c r="X5" s="1830"/>
      <c r="Y5" s="1830"/>
      <c r="Z5" s="1830"/>
      <c r="AA5" s="1830"/>
      <c r="AB5" s="1830"/>
      <c r="AC5" s="1830"/>
      <c r="AD5" s="1830"/>
      <c r="AE5" s="1830"/>
      <c r="AF5" s="1830"/>
      <c r="AG5" s="1830"/>
      <c r="AH5" s="1830"/>
      <c r="AI5" s="1830"/>
      <c r="AJ5" s="1810"/>
      <c r="AK5" s="1810"/>
      <c r="AL5" s="1810"/>
      <c r="AM5" s="1810"/>
      <c r="AN5" s="1810"/>
      <c r="AO5" s="1810"/>
      <c r="AP5" s="1810"/>
      <c r="AQ5" s="1810"/>
      <c r="AR5" s="1810"/>
      <c r="AS5" s="1810"/>
      <c r="AT5" s="1810"/>
      <c r="AU5" s="1810"/>
      <c r="AV5" s="1810"/>
      <c r="AW5" s="1810"/>
      <c r="AX5" s="1810"/>
      <c r="AY5" s="1810"/>
      <c r="AZ5" s="1810"/>
      <c r="BA5" s="1810"/>
      <c r="BB5" s="1810"/>
      <c r="BC5" s="1810"/>
      <c r="BD5" s="1810"/>
      <c r="BE5" s="1810"/>
      <c r="BF5" s="1810"/>
      <c r="BG5" s="1810"/>
      <c r="BH5" s="1810"/>
      <c r="BI5" s="1810"/>
      <c r="BJ5" s="1810"/>
      <c r="BK5" s="1810"/>
      <c r="BL5" s="1810"/>
      <c r="BM5" s="1810"/>
      <c r="BN5" s="1810"/>
      <c r="BO5" s="1810"/>
      <c r="BP5" s="1830"/>
      <c r="BQ5" s="1830"/>
      <c r="BR5" s="1830"/>
      <c r="BS5" s="1830"/>
      <c r="BT5" s="1830"/>
      <c r="BU5" s="1830"/>
      <c r="BV5" s="1830"/>
      <c r="BW5" s="1830"/>
      <c r="BX5" s="1830"/>
      <c r="BY5" s="1830"/>
      <c r="BZ5" s="1830"/>
      <c r="CA5" s="1830"/>
      <c r="CB5" s="1830"/>
      <c r="CC5" s="1810" t="s">
        <v>43</v>
      </c>
      <c r="CD5" s="1810" t="s">
        <v>44</v>
      </c>
      <c r="CE5" s="1778" t="s">
        <v>55</v>
      </c>
      <c r="CF5" s="1810" t="s">
        <v>43</v>
      </c>
      <c r="CG5" s="1810" t="s">
        <v>44</v>
      </c>
      <c r="CH5" s="1810"/>
    </row>
    <row r="6" spans="1:87" x14ac:dyDescent="0.2">
      <c r="A6" s="1810"/>
      <c r="B6" s="1810"/>
      <c r="C6" s="1810"/>
      <c r="D6" s="1810"/>
      <c r="E6" s="1830"/>
      <c r="F6" s="1830"/>
      <c r="G6" s="1830"/>
      <c r="H6" s="1830"/>
      <c r="I6" s="1830"/>
      <c r="J6" s="1830"/>
      <c r="K6" s="1830"/>
      <c r="L6" s="1830"/>
      <c r="M6" s="1830"/>
      <c r="N6" s="1830"/>
      <c r="O6" s="1830"/>
      <c r="P6" s="1830"/>
      <c r="Q6" s="1830"/>
      <c r="R6" s="1830"/>
      <c r="S6" s="1830"/>
      <c r="T6" s="1830"/>
      <c r="U6" s="1830"/>
      <c r="V6" s="1830"/>
      <c r="W6" s="1830"/>
      <c r="X6" s="1830"/>
      <c r="Y6" s="1830"/>
      <c r="Z6" s="1830"/>
      <c r="AA6" s="1830"/>
      <c r="AB6" s="1830"/>
      <c r="AC6" s="1830"/>
      <c r="AD6" s="1830"/>
      <c r="AE6" s="1830"/>
      <c r="AF6" s="1830"/>
      <c r="AG6" s="1830"/>
      <c r="AH6" s="1830"/>
      <c r="AI6" s="1830"/>
      <c r="AJ6" s="1810"/>
      <c r="AK6" s="1810"/>
      <c r="AL6" s="1810"/>
      <c r="AM6" s="1810"/>
      <c r="AN6" s="1810"/>
      <c r="AO6" s="1810"/>
      <c r="AP6" s="1810"/>
      <c r="AQ6" s="1810"/>
      <c r="AR6" s="1810"/>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c r="BP6" s="1830"/>
      <c r="BQ6" s="1830"/>
      <c r="BR6" s="1830"/>
      <c r="BS6" s="1830"/>
      <c r="BT6" s="1830"/>
      <c r="BU6" s="1830"/>
      <c r="BV6" s="1830"/>
      <c r="BW6" s="1830"/>
      <c r="BX6" s="1830"/>
      <c r="BY6" s="1830"/>
      <c r="BZ6" s="1830"/>
      <c r="CA6" s="1830"/>
      <c r="CB6" s="1830"/>
      <c r="CC6" s="1810"/>
      <c r="CD6" s="1810"/>
      <c r="CE6" s="1780"/>
      <c r="CF6" s="1810"/>
      <c r="CG6" s="1810"/>
      <c r="CH6" s="1810"/>
    </row>
    <row r="7" spans="1:87" x14ac:dyDescent="0.2">
      <c r="A7" s="1830">
        <v>1</v>
      </c>
      <c r="B7" s="1830"/>
      <c r="C7" s="1830"/>
      <c r="D7" s="1830"/>
      <c r="E7" s="1830">
        <v>2</v>
      </c>
      <c r="F7" s="1830"/>
      <c r="G7" s="1830"/>
      <c r="H7" s="1830"/>
      <c r="I7" s="1830"/>
      <c r="J7" s="1830"/>
      <c r="K7" s="1830"/>
      <c r="L7" s="1830"/>
      <c r="M7" s="1830"/>
      <c r="N7" s="1830"/>
      <c r="O7" s="1830"/>
      <c r="P7" s="1830"/>
      <c r="Q7" s="1830"/>
      <c r="R7" s="1830"/>
      <c r="S7" s="1830"/>
      <c r="T7" s="1830"/>
      <c r="U7" s="1830"/>
      <c r="V7" s="1830"/>
      <c r="W7" s="1830"/>
      <c r="X7" s="1830"/>
      <c r="Y7" s="1830"/>
      <c r="Z7" s="1830"/>
      <c r="AA7" s="1830"/>
      <c r="AB7" s="1830"/>
      <c r="AC7" s="1830"/>
      <c r="AD7" s="1830"/>
      <c r="AE7" s="1830"/>
      <c r="AF7" s="1830"/>
      <c r="AG7" s="1830"/>
      <c r="AH7" s="1830"/>
      <c r="AI7" s="1830"/>
      <c r="AJ7" s="1830">
        <v>3</v>
      </c>
      <c r="AK7" s="1830"/>
      <c r="AL7" s="1830"/>
      <c r="AM7" s="1830"/>
      <c r="AN7" s="1830"/>
      <c r="AO7" s="1830"/>
      <c r="AP7" s="1830"/>
      <c r="AQ7" s="1830"/>
      <c r="AR7" s="1830"/>
      <c r="AS7" s="1830"/>
      <c r="AT7" s="1830"/>
      <c r="AU7" s="1830">
        <v>4</v>
      </c>
      <c r="AV7" s="1830"/>
      <c r="AW7" s="1830"/>
      <c r="AX7" s="1830"/>
      <c r="AY7" s="1830"/>
      <c r="AZ7" s="1830"/>
      <c r="BA7" s="1830"/>
      <c r="BB7" s="1830"/>
      <c r="BC7" s="1830"/>
      <c r="BD7" s="1830"/>
      <c r="BE7" s="1830">
        <v>5</v>
      </c>
      <c r="BF7" s="1830"/>
      <c r="BG7" s="1830"/>
      <c r="BH7" s="1830"/>
      <c r="BI7" s="1830"/>
      <c r="BJ7" s="1830"/>
      <c r="BK7" s="1830"/>
      <c r="BL7" s="1830"/>
      <c r="BM7" s="1830"/>
      <c r="BN7" s="1830"/>
      <c r="BO7" s="1830"/>
      <c r="BP7" s="1830" t="s">
        <v>112</v>
      </c>
      <c r="BQ7" s="1830"/>
      <c r="BR7" s="1830"/>
      <c r="BS7" s="1830"/>
      <c r="BT7" s="1830"/>
      <c r="BU7" s="1830"/>
      <c r="BV7" s="1830"/>
      <c r="BW7" s="1830"/>
      <c r="BX7" s="1830"/>
      <c r="BY7" s="1830"/>
      <c r="BZ7" s="1830"/>
      <c r="CA7" s="1830"/>
      <c r="CB7" s="1830"/>
      <c r="CC7" s="16">
        <v>7</v>
      </c>
      <c r="CD7" s="16">
        <v>8</v>
      </c>
      <c r="CE7" s="16">
        <v>9</v>
      </c>
      <c r="CF7" s="16">
        <v>10</v>
      </c>
      <c r="CG7" s="16">
        <v>11</v>
      </c>
      <c r="CH7" s="16">
        <v>12</v>
      </c>
    </row>
    <row r="8" spans="1:87" ht="28.5" customHeight="1" x14ac:dyDescent="0.2">
      <c r="A8" s="1830"/>
      <c r="B8" s="1830"/>
      <c r="C8" s="1830"/>
      <c r="D8" s="1830"/>
      <c r="E8" s="2082" t="s">
        <v>1183</v>
      </c>
      <c r="F8" s="2082"/>
      <c r="G8" s="2082"/>
      <c r="H8" s="2082"/>
      <c r="I8" s="2082"/>
      <c r="J8" s="2082"/>
      <c r="K8" s="2082"/>
      <c r="L8" s="2082"/>
      <c r="M8" s="2082"/>
      <c r="N8" s="2082"/>
      <c r="O8" s="2082"/>
      <c r="P8" s="2082"/>
      <c r="Q8" s="2082"/>
      <c r="R8" s="2082"/>
      <c r="S8" s="2082"/>
      <c r="T8" s="2082"/>
      <c r="U8" s="2082"/>
      <c r="V8" s="2082"/>
      <c r="W8" s="2082"/>
      <c r="X8" s="2082"/>
      <c r="Y8" s="2082"/>
      <c r="Z8" s="2082"/>
      <c r="AA8" s="2082"/>
      <c r="AB8" s="2082"/>
      <c r="AC8" s="2082"/>
      <c r="AD8" s="2082"/>
      <c r="AE8" s="2082"/>
      <c r="AF8" s="2082"/>
      <c r="AG8" s="2082"/>
      <c r="AH8" s="2082"/>
      <c r="AI8" s="2082"/>
      <c r="AJ8" s="1838">
        <v>4</v>
      </c>
      <c r="AK8" s="1838"/>
      <c r="AL8" s="1838"/>
      <c r="AM8" s="1838"/>
      <c r="AN8" s="1838"/>
      <c r="AO8" s="1838"/>
      <c r="AP8" s="1838"/>
      <c r="AQ8" s="1838"/>
      <c r="AR8" s="1838"/>
      <c r="AS8" s="1838"/>
      <c r="AT8" s="1838"/>
      <c r="AU8" s="1838">
        <v>12</v>
      </c>
      <c r="AV8" s="1838"/>
      <c r="AW8" s="1838"/>
      <c r="AX8" s="1838"/>
      <c r="AY8" s="1838"/>
      <c r="AZ8" s="1838"/>
      <c r="BA8" s="1838"/>
      <c r="BB8" s="1838"/>
      <c r="BC8" s="1838"/>
      <c r="BD8" s="1838"/>
      <c r="BE8" s="2072">
        <f>BP8/AU8/AJ8</f>
        <v>928.35270833333334</v>
      </c>
      <c r="BF8" s="2072"/>
      <c r="BG8" s="2072"/>
      <c r="BH8" s="2072"/>
      <c r="BI8" s="2072"/>
      <c r="BJ8" s="2072"/>
      <c r="BK8" s="2072"/>
      <c r="BL8" s="2072"/>
      <c r="BM8" s="2072"/>
      <c r="BN8" s="2072"/>
      <c r="BO8" s="2072"/>
      <c r="BP8" s="2072">
        <f>CD8</f>
        <v>44560.93</v>
      </c>
      <c r="BQ8" s="2072"/>
      <c r="BR8" s="2072"/>
      <c r="BS8" s="2072"/>
      <c r="BT8" s="2072"/>
      <c r="BU8" s="2072"/>
      <c r="BV8" s="2072"/>
      <c r="BW8" s="2072"/>
      <c r="BX8" s="2072"/>
      <c r="BY8" s="2072"/>
      <c r="BZ8" s="2072"/>
      <c r="CA8" s="2072"/>
      <c r="CB8" s="2072"/>
      <c r="CC8" s="138"/>
      <c r="CD8" s="138">
        <v>44560.93</v>
      </c>
      <c r="CE8" s="987" t="s">
        <v>1508</v>
      </c>
      <c r="CF8" s="138"/>
      <c r="CG8" s="138"/>
      <c r="CH8" s="138"/>
    </row>
    <row r="9" spans="1:87" x14ac:dyDescent="0.2">
      <c r="A9" s="1830"/>
      <c r="B9" s="1830"/>
      <c r="C9" s="1830"/>
      <c r="D9" s="1830"/>
      <c r="E9" s="1837" t="s">
        <v>1184</v>
      </c>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8">
        <v>1</v>
      </c>
      <c r="AK9" s="1838"/>
      <c r="AL9" s="1838"/>
      <c r="AM9" s="1838"/>
      <c r="AN9" s="1838"/>
      <c r="AO9" s="1838"/>
      <c r="AP9" s="1838"/>
      <c r="AQ9" s="1838"/>
      <c r="AR9" s="1838"/>
      <c r="AS9" s="1838"/>
      <c r="AT9" s="1838"/>
      <c r="AU9" s="1838">
        <v>12</v>
      </c>
      <c r="AV9" s="1838"/>
      <c r="AW9" s="1838"/>
      <c r="AX9" s="1838"/>
      <c r="AY9" s="1838"/>
      <c r="AZ9" s="1838"/>
      <c r="BA9" s="1838"/>
      <c r="BB9" s="1838"/>
      <c r="BC9" s="1838"/>
      <c r="BD9" s="1838"/>
      <c r="BE9" s="2072">
        <v>2840</v>
      </c>
      <c r="BF9" s="2072"/>
      <c r="BG9" s="2072"/>
      <c r="BH9" s="2072"/>
      <c r="BI9" s="2072"/>
      <c r="BJ9" s="2072"/>
      <c r="BK9" s="2072"/>
      <c r="BL9" s="2072"/>
      <c r="BM9" s="2072"/>
      <c r="BN9" s="2072"/>
      <c r="BO9" s="2072"/>
      <c r="BP9" s="2072">
        <f>CD9</f>
        <v>11360</v>
      </c>
      <c r="BQ9" s="2072"/>
      <c r="BR9" s="2072"/>
      <c r="BS9" s="2072"/>
      <c r="BT9" s="2072"/>
      <c r="BU9" s="2072"/>
      <c r="BV9" s="2072"/>
      <c r="BW9" s="2072"/>
      <c r="BX9" s="2072"/>
      <c r="BY9" s="2072"/>
      <c r="BZ9" s="2072"/>
      <c r="CA9" s="2072"/>
      <c r="CB9" s="2072"/>
      <c r="CC9" s="138"/>
      <c r="CD9" s="138">
        <f>AU9*BE9-22720</f>
        <v>11360</v>
      </c>
      <c r="CE9" s="987" t="s">
        <v>1508</v>
      </c>
      <c r="CF9" s="138"/>
      <c r="CG9" s="138"/>
      <c r="CH9" s="138"/>
    </row>
    <row r="10" spans="1:87" x14ac:dyDescent="0.2">
      <c r="A10" s="1830"/>
      <c r="B10" s="1830"/>
      <c r="C10" s="1830"/>
      <c r="D10" s="1830"/>
      <c r="E10" s="1837" t="s">
        <v>158</v>
      </c>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8">
        <v>1</v>
      </c>
      <c r="AK10" s="1838"/>
      <c r="AL10" s="1838"/>
      <c r="AM10" s="1838"/>
      <c r="AN10" s="1838"/>
      <c r="AO10" s="1838"/>
      <c r="AP10" s="1838"/>
      <c r="AQ10" s="1838"/>
      <c r="AR10" s="1838"/>
      <c r="AS10" s="1838"/>
      <c r="AT10" s="1838"/>
      <c r="AU10" s="1838">
        <v>12</v>
      </c>
      <c r="AV10" s="1838"/>
      <c r="AW10" s="1838"/>
      <c r="AX10" s="1838"/>
      <c r="AY10" s="1838"/>
      <c r="AZ10" s="1838"/>
      <c r="BA10" s="1838"/>
      <c r="BB10" s="1838"/>
      <c r="BC10" s="1838"/>
      <c r="BD10" s="1838"/>
      <c r="BE10" s="2072">
        <v>550</v>
      </c>
      <c r="BF10" s="2072"/>
      <c r="BG10" s="2072"/>
      <c r="BH10" s="2072"/>
      <c r="BI10" s="2072"/>
      <c r="BJ10" s="2072"/>
      <c r="BK10" s="2072"/>
      <c r="BL10" s="2072"/>
      <c r="BM10" s="2072"/>
      <c r="BN10" s="2072"/>
      <c r="BO10" s="2072"/>
      <c r="BP10" s="2072">
        <f>CD10</f>
        <v>6600</v>
      </c>
      <c r="BQ10" s="2072"/>
      <c r="BR10" s="2072"/>
      <c r="BS10" s="2072"/>
      <c r="BT10" s="2072"/>
      <c r="BU10" s="2072"/>
      <c r="BV10" s="2072"/>
      <c r="BW10" s="2072"/>
      <c r="BX10" s="2072"/>
      <c r="BY10" s="2072"/>
      <c r="BZ10" s="2072"/>
      <c r="CA10" s="2072"/>
      <c r="CB10" s="2072"/>
      <c r="CC10" s="138"/>
      <c r="CD10" s="138">
        <f>AU10*BE10</f>
        <v>6600</v>
      </c>
      <c r="CE10" s="987" t="s">
        <v>1508</v>
      </c>
      <c r="CF10" s="138"/>
      <c r="CG10" s="138"/>
      <c r="CH10" s="138"/>
    </row>
    <row r="11" spans="1:87" s="140" customFormat="1" x14ac:dyDescent="0.2">
      <c r="A11" s="1774" t="s">
        <v>598</v>
      </c>
      <c r="B11" s="1775"/>
      <c r="C11" s="1775"/>
      <c r="D11" s="1775"/>
      <c r="E11" s="1775"/>
      <c r="F11" s="1775"/>
      <c r="G11" s="1775"/>
      <c r="H11" s="1775"/>
      <c r="I11" s="1775"/>
      <c r="J11" s="1775"/>
      <c r="K11" s="1775"/>
      <c r="L11" s="1775"/>
      <c r="M11" s="1775"/>
      <c r="N11" s="1775"/>
      <c r="O11" s="1775"/>
      <c r="P11" s="1775"/>
      <c r="Q11" s="1775"/>
      <c r="R11" s="1775"/>
      <c r="S11" s="1775"/>
      <c r="T11" s="1775"/>
      <c r="U11" s="1775"/>
      <c r="V11" s="1775"/>
      <c r="W11" s="1775"/>
      <c r="X11" s="1775"/>
      <c r="Y11" s="1775"/>
      <c r="Z11" s="1775"/>
      <c r="AA11" s="1775"/>
      <c r="AB11" s="1775"/>
      <c r="AC11" s="1775"/>
      <c r="AD11" s="1775"/>
      <c r="AE11" s="1775"/>
      <c r="AF11" s="1775"/>
      <c r="AG11" s="1775"/>
      <c r="AH11" s="1775"/>
      <c r="AI11" s="1776"/>
      <c r="AJ11" s="2073" t="s">
        <v>3</v>
      </c>
      <c r="AK11" s="2073"/>
      <c r="AL11" s="2073"/>
      <c r="AM11" s="2073"/>
      <c r="AN11" s="2073"/>
      <c r="AO11" s="2073"/>
      <c r="AP11" s="2073"/>
      <c r="AQ11" s="2073"/>
      <c r="AR11" s="2073"/>
      <c r="AS11" s="2073"/>
      <c r="AT11" s="2073"/>
      <c r="AU11" s="2073" t="s">
        <v>3</v>
      </c>
      <c r="AV11" s="2073"/>
      <c r="AW11" s="2073"/>
      <c r="AX11" s="2073"/>
      <c r="AY11" s="2073"/>
      <c r="AZ11" s="2073"/>
      <c r="BA11" s="2073"/>
      <c r="BB11" s="2073"/>
      <c r="BC11" s="2073"/>
      <c r="BD11" s="2073"/>
      <c r="BE11" s="2073" t="s">
        <v>3</v>
      </c>
      <c r="BF11" s="2073"/>
      <c r="BG11" s="2073"/>
      <c r="BH11" s="2073"/>
      <c r="BI11" s="2073"/>
      <c r="BJ11" s="2073"/>
      <c r="BK11" s="2073"/>
      <c r="BL11" s="2073"/>
      <c r="BM11" s="2073"/>
      <c r="BN11" s="2073"/>
      <c r="BO11" s="2073"/>
      <c r="BP11" s="2073">
        <f>SUM(BP8:CB10)</f>
        <v>62520.93</v>
      </c>
      <c r="BQ11" s="2073"/>
      <c r="BR11" s="2073"/>
      <c r="BS11" s="2073"/>
      <c r="BT11" s="2073"/>
      <c r="BU11" s="2073"/>
      <c r="BV11" s="2073"/>
      <c r="BW11" s="2073"/>
      <c r="BX11" s="2073"/>
      <c r="BY11" s="2073"/>
      <c r="BZ11" s="2073"/>
      <c r="CA11" s="2073"/>
      <c r="CB11" s="2073"/>
      <c r="CC11" s="139"/>
      <c r="CD11" s="139">
        <f>SUM(CD8:CD10)</f>
        <v>62520.93</v>
      </c>
      <c r="CE11" s="1058"/>
      <c r="CF11" s="139"/>
      <c r="CG11" s="139"/>
      <c r="CH11" s="139"/>
    </row>
    <row r="12" spans="1:87" s="93" customFormat="1" ht="15.75" x14ac:dyDescent="0.2">
      <c r="A12" s="136" t="s">
        <v>599</v>
      </c>
      <c r="B12" s="136"/>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row>
    <row r="13" spans="1:87" ht="3.75" customHeight="1" x14ac:dyDescent="0.2"/>
    <row r="14" spans="1:87" ht="12.75" customHeight="1" x14ac:dyDescent="0.2">
      <c r="A14" s="1810" t="s">
        <v>38</v>
      </c>
      <c r="B14" s="1810"/>
      <c r="C14" s="1810"/>
      <c r="D14" s="1810"/>
      <c r="E14" s="1830" t="s">
        <v>114</v>
      </c>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781" t="s">
        <v>600</v>
      </c>
      <c r="AK14" s="1925"/>
      <c r="AL14" s="1925"/>
      <c r="AM14" s="1925"/>
      <c r="AN14" s="1925"/>
      <c r="AO14" s="1925"/>
      <c r="AP14" s="1925"/>
      <c r="AQ14" s="1925"/>
      <c r="AR14" s="1782"/>
      <c r="AS14" s="1778" t="s">
        <v>601</v>
      </c>
      <c r="AT14" s="1778" t="s">
        <v>602</v>
      </c>
      <c r="AU14" s="1810" t="s">
        <v>603</v>
      </c>
      <c r="AV14" s="1810"/>
      <c r="AW14" s="1810"/>
      <c r="AX14" s="1810"/>
      <c r="AY14" s="1810"/>
      <c r="AZ14" s="1810"/>
      <c r="BA14" s="1810"/>
      <c r="BB14" s="1810"/>
      <c r="BC14" s="1810"/>
      <c r="BD14" s="1810"/>
      <c r="BE14" s="1810" t="s">
        <v>604</v>
      </c>
      <c r="BF14" s="1810"/>
      <c r="BG14" s="1810"/>
      <c r="BH14" s="1810"/>
      <c r="BI14" s="1810"/>
      <c r="BJ14" s="1810"/>
      <c r="BK14" s="1810"/>
      <c r="BL14" s="1810"/>
      <c r="BM14" s="1810"/>
      <c r="BN14" s="1810"/>
      <c r="BO14" s="1810"/>
      <c r="BP14" s="1830" t="s">
        <v>6</v>
      </c>
      <c r="BQ14" s="1830"/>
      <c r="BR14" s="1830"/>
      <c r="BS14" s="1830"/>
      <c r="BT14" s="1830"/>
      <c r="BU14" s="1830"/>
      <c r="BV14" s="1830"/>
      <c r="BW14" s="1830"/>
      <c r="BX14" s="1830"/>
      <c r="BY14" s="1830"/>
      <c r="BZ14" s="1830"/>
      <c r="CA14" s="1830"/>
      <c r="CB14" s="1830"/>
      <c r="CC14" s="1830" t="s">
        <v>52</v>
      </c>
      <c r="CD14" s="1830"/>
      <c r="CE14" s="1830"/>
      <c r="CF14" s="1830"/>
      <c r="CG14" s="1830"/>
      <c r="CH14" s="1830"/>
    </row>
    <row r="15" spans="1:87" ht="79.5" customHeight="1" x14ac:dyDescent="0.2">
      <c r="A15" s="1810"/>
      <c r="B15" s="1810"/>
      <c r="C15" s="1810"/>
      <c r="D15" s="1810"/>
      <c r="E15" s="1830"/>
      <c r="F15" s="1830"/>
      <c r="G15" s="1830"/>
      <c r="H15" s="1830"/>
      <c r="I15" s="1830"/>
      <c r="J15" s="1830"/>
      <c r="K15" s="1830"/>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c r="AH15" s="1830"/>
      <c r="AI15" s="1830"/>
      <c r="AJ15" s="1783"/>
      <c r="AK15" s="1926"/>
      <c r="AL15" s="1926"/>
      <c r="AM15" s="1926"/>
      <c r="AN15" s="1926"/>
      <c r="AO15" s="1926"/>
      <c r="AP15" s="1926"/>
      <c r="AQ15" s="1926"/>
      <c r="AR15" s="1784"/>
      <c r="AS15" s="1779"/>
      <c r="AT15" s="1779"/>
      <c r="AU15" s="1810"/>
      <c r="AV15" s="1810"/>
      <c r="AW15" s="1810"/>
      <c r="AX15" s="1810"/>
      <c r="AY15" s="1810"/>
      <c r="AZ15" s="1810"/>
      <c r="BA15" s="1810"/>
      <c r="BB15" s="1810"/>
      <c r="BC15" s="1810"/>
      <c r="BD15" s="1810"/>
      <c r="BE15" s="1810"/>
      <c r="BF15" s="1810"/>
      <c r="BG15" s="1810"/>
      <c r="BH15" s="1810"/>
      <c r="BI15" s="1810"/>
      <c r="BJ15" s="1810"/>
      <c r="BK15" s="1810"/>
      <c r="BL15" s="1810"/>
      <c r="BM15" s="1810"/>
      <c r="BN15" s="1810"/>
      <c r="BO15" s="1810"/>
      <c r="BP15" s="1830"/>
      <c r="BQ15" s="1830"/>
      <c r="BR15" s="1830"/>
      <c r="BS15" s="1830"/>
      <c r="BT15" s="1830"/>
      <c r="BU15" s="1830"/>
      <c r="BV15" s="1830"/>
      <c r="BW15" s="1830"/>
      <c r="BX15" s="1830"/>
      <c r="BY15" s="1830"/>
      <c r="BZ15" s="1830"/>
      <c r="CA15" s="1830"/>
      <c r="CB15" s="1830"/>
      <c r="CC15" s="1810" t="s">
        <v>35</v>
      </c>
      <c r="CD15" s="1810"/>
      <c r="CE15" s="1810" t="s">
        <v>45</v>
      </c>
      <c r="CF15" s="1810"/>
      <c r="CG15" s="1810"/>
      <c r="CH15" s="1810" t="s">
        <v>46</v>
      </c>
    </row>
    <row r="16" spans="1:87" x14ac:dyDescent="0.2">
      <c r="A16" s="1810"/>
      <c r="B16" s="1810"/>
      <c r="C16" s="1810"/>
      <c r="D16" s="1810"/>
      <c r="E16" s="1830"/>
      <c r="F16" s="1830"/>
      <c r="G16" s="1830"/>
      <c r="H16" s="1830"/>
      <c r="I16" s="1830"/>
      <c r="J16" s="1830"/>
      <c r="K16" s="1830"/>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c r="AH16" s="1830"/>
      <c r="AI16" s="1830"/>
      <c r="AJ16" s="1783"/>
      <c r="AK16" s="1926"/>
      <c r="AL16" s="1926"/>
      <c r="AM16" s="1926"/>
      <c r="AN16" s="1926"/>
      <c r="AO16" s="1926"/>
      <c r="AP16" s="1926"/>
      <c r="AQ16" s="1926"/>
      <c r="AR16" s="1784"/>
      <c r="AS16" s="1779"/>
      <c r="AT16" s="1779"/>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c r="BP16" s="1830"/>
      <c r="BQ16" s="1830"/>
      <c r="BR16" s="1830"/>
      <c r="BS16" s="1830"/>
      <c r="BT16" s="1830"/>
      <c r="BU16" s="1830"/>
      <c r="BV16" s="1830"/>
      <c r="BW16" s="1830"/>
      <c r="BX16" s="1830"/>
      <c r="BY16" s="1830"/>
      <c r="BZ16" s="1830"/>
      <c r="CA16" s="1830"/>
      <c r="CB16" s="1830"/>
      <c r="CC16" s="1810" t="s">
        <v>43</v>
      </c>
      <c r="CD16" s="1810" t="s">
        <v>44</v>
      </c>
      <c r="CE16" s="1810" t="s">
        <v>55</v>
      </c>
      <c r="CF16" s="1810" t="s">
        <v>43</v>
      </c>
      <c r="CG16" s="1810" t="s">
        <v>44</v>
      </c>
      <c r="CH16" s="1810"/>
      <c r="CI16" s="590"/>
    </row>
    <row r="17" spans="1:98" ht="20.25" customHeight="1" x14ac:dyDescent="0.2">
      <c r="A17" s="1810"/>
      <c r="B17" s="1810"/>
      <c r="C17" s="1810"/>
      <c r="D17" s="1810"/>
      <c r="E17" s="1830"/>
      <c r="F17" s="1830"/>
      <c r="G17" s="1830"/>
      <c r="H17" s="1830"/>
      <c r="I17" s="1830"/>
      <c r="J17" s="1830"/>
      <c r="K17" s="1830"/>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785"/>
      <c r="AK17" s="1927"/>
      <c r="AL17" s="1927"/>
      <c r="AM17" s="1927"/>
      <c r="AN17" s="1927"/>
      <c r="AO17" s="1927"/>
      <c r="AP17" s="1927"/>
      <c r="AQ17" s="1927"/>
      <c r="AR17" s="1786"/>
      <c r="AS17" s="1780"/>
      <c r="AT17" s="1780"/>
      <c r="AU17" s="1810"/>
      <c r="AV17" s="1810"/>
      <c r="AW17" s="1810"/>
      <c r="AX17" s="1810"/>
      <c r="AY17" s="1810"/>
      <c r="AZ17" s="1810"/>
      <c r="BA17" s="1810"/>
      <c r="BB17" s="1810"/>
      <c r="BC17" s="1810"/>
      <c r="BD17" s="1810"/>
      <c r="BE17" s="1810"/>
      <c r="BF17" s="1810"/>
      <c r="BG17" s="1810"/>
      <c r="BH17" s="1810"/>
      <c r="BI17" s="1810"/>
      <c r="BJ17" s="1810"/>
      <c r="BK17" s="1810"/>
      <c r="BL17" s="1810"/>
      <c r="BM17" s="1810"/>
      <c r="BN17" s="1810"/>
      <c r="BO17" s="1810"/>
      <c r="BP17" s="1830"/>
      <c r="BQ17" s="1830"/>
      <c r="BR17" s="1830"/>
      <c r="BS17" s="1830"/>
      <c r="BT17" s="1830"/>
      <c r="BU17" s="1830"/>
      <c r="BV17" s="1830"/>
      <c r="BW17" s="1830"/>
      <c r="BX17" s="1830"/>
      <c r="BY17" s="1830"/>
      <c r="BZ17" s="1830"/>
      <c r="CA17" s="1830"/>
      <c r="CB17" s="1830"/>
      <c r="CC17" s="1810"/>
      <c r="CD17" s="1810"/>
      <c r="CE17" s="1810"/>
      <c r="CF17" s="1810"/>
      <c r="CG17" s="1810"/>
      <c r="CH17" s="1810"/>
    </row>
    <row r="18" spans="1:98" x14ac:dyDescent="0.2">
      <c r="A18" s="1830">
        <v>1</v>
      </c>
      <c r="B18" s="1830"/>
      <c r="C18" s="1830"/>
      <c r="D18" s="1830"/>
      <c r="E18" s="1830">
        <v>2</v>
      </c>
      <c r="F18" s="1830"/>
      <c r="G18" s="1830"/>
      <c r="H18" s="1830"/>
      <c r="I18" s="1830"/>
      <c r="J18" s="1830"/>
      <c r="K18" s="1830"/>
      <c r="L18" s="1830"/>
      <c r="M18" s="1830"/>
      <c r="N18" s="1830"/>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0">
        <v>3</v>
      </c>
      <c r="AK18" s="1830"/>
      <c r="AL18" s="1830"/>
      <c r="AM18" s="1830"/>
      <c r="AN18" s="1830"/>
      <c r="AO18" s="1830"/>
      <c r="AP18" s="1830"/>
      <c r="AQ18" s="1830"/>
      <c r="AR18" s="1830"/>
      <c r="AS18" s="1830"/>
      <c r="AT18" s="1830"/>
      <c r="AU18" s="1830">
        <v>4</v>
      </c>
      <c r="AV18" s="1830"/>
      <c r="AW18" s="1830"/>
      <c r="AX18" s="1830"/>
      <c r="AY18" s="1830"/>
      <c r="AZ18" s="1830"/>
      <c r="BA18" s="1830"/>
      <c r="BB18" s="1830"/>
      <c r="BC18" s="1830"/>
      <c r="BD18" s="1830"/>
      <c r="BE18" s="1830">
        <v>5</v>
      </c>
      <c r="BF18" s="1830"/>
      <c r="BG18" s="1830"/>
      <c r="BH18" s="1830"/>
      <c r="BI18" s="1830"/>
      <c r="BJ18" s="1830"/>
      <c r="BK18" s="1830"/>
      <c r="BL18" s="1830"/>
      <c r="BM18" s="1830"/>
      <c r="BN18" s="1830"/>
      <c r="BO18" s="1830"/>
      <c r="BP18" s="1830" t="s">
        <v>124</v>
      </c>
      <c r="BQ18" s="1830"/>
      <c r="BR18" s="1830"/>
      <c r="BS18" s="1830"/>
      <c r="BT18" s="1830"/>
      <c r="BU18" s="1830"/>
      <c r="BV18" s="1830"/>
      <c r="BW18" s="1830"/>
      <c r="BX18" s="1830"/>
      <c r="BY18" s="1830"/>
      <c r="BZ18" s="1830"/>
      <c r="CA18" s="1830"/>
      <c r="CB18" s="1830"/>
      <c r="CC18" s="16">
        <v>7</v>
      </c>
      <c r="CD18" s="16">
        <v>8</v>
      </c>
      <c r="CE18" s="16">
        <v>9</v>
      </c>
      <c r="CF18" s="16">
        <v>10</v>
      </c>
      <c r="CG18" s="16">
        <v>11</v>
      </c>
      <c r="CH18" s="16">
        <v>12</v>
      </c>
    </row>
    <row r="19" spans="1:98" x14ac:dyDescent="0.2">
      <c r="A19" s="1830"/>
      <c r="B19" s="1830"/>
      <c r="C19" s="1830"/>
      <c r="D19" s="1830"/>
      <c r="E19" s="1837" t="s">
        <v>1552</v>
      </c>
      <c r="F19" s="1837"/>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2060">
        <f>42.34+77.79+33.05+42</f>
        <v>195.18</v>
      </c>
      <c r="AK19" s="2061"/>
      <c r="AL19" s="2061"/>
      <c r="AM19" s="2061"/>
      <c r="AN19" s="2061"/>
      <c r="AO19" s="2061"/>
      <c r="AP19" s="2061"/>
      <c r="AQ19" s="587"/>
      <c r="AR19" s="587"/>
      <c r="AS19" s="581"/>
      <c r="AT19" s="581">
        <f>AJ19+AS19</f>
        <v>195.18</v>
      </c>
      <c r="AU19" s="2072">
        <v>64.760000000000005</v>
      </c>
      <c r="AV19" s="2072"/>
      <c r="AW19" s="2072"/>
      <c r="AX19" s="2072"/>
      <c r="AY19" s="2072"/>
      <c r="AZ19" s="2072"/>
      <c r="BA19" s="2072"/>
      <c r="BB19" s="2072"/>
      <c r="BC19" s="2072"/>
      <c r="BD19" s="2072"/>
      <c r="BE19" s="2072"/>
      <c r="BF19" s="2072"/>
      <c r="BG19" s="2072"/>
      <c r="BH19" s="2072"/>
      <c r="BI19" s="2072"/>
      <c r="BJ19" s="2072"/>
      <c r="BK19" s="2072"/>
      <c r="BL19" s="2072"/>
      <c r="BM19" s="2072"/>
      <c r="BN19" s="2072"/>
      <c r="BO19" s="2072"/>
      <c r="BP19" s="2072">
        <f>CD19+CH19</f>
        <v>12639.86</v>
      </c>
      <c r="BQ19" s="2072"/>
      <c r="BR19" s="2072"/>
      <c r="BS19" s="2072"/>
      <c r="BT19" s="2072"/>
      <c r="BU19" s="2072"/>
      <c r="BV19" s="2072"/>
      <c r="BW19" s="2072"/>
      <c r="BX19" s="2072"/>
      <c r="BY19" s="2072"/>
      <c r="BZ19" s="2072"/>
      <c r="CA19" s="2072"/>
      <c r="CB19" s="2072"/>
      <c r="CC19" s="138"/>
      <c r="CD19" s="138">
        <v>11805.76</v>
      </c>
      <c r="CE19" s="138"/>
      <c r="CF19" s="138"/>
      <c r="CG19" s="138"/>
      <c r="CH19" s="138">
        <f>190.39+253.86+167.08+222.77</f>
        <v>834.1</v>
      </c>
      <c r="CI19" s="988"/>
    </row>
    <row r="20" spans="1:98" x14ac:dyDescent="0.2">
      <c r="A20" s="1770"/>
      <c r="B20" s="1787"/>
      <c r="C20" s="1787"/>
      <c r="D20" s="1771"/>
      <c r="E20" s="2076" t="s">
        <v>1553</v>
      </c>
      <c r="F20" s="2077"/>
      <c r="G20" s="2077"/>
      <c r="H20" s="2077"/>
      <c r="I20" s="2077"/>
      <c r="J20" s="2077"/>
      <c r="K20" s="2077"/>
      <c r="L20" s="2077"/>
      <c r="M20" s="2077"/>
      <c r="N20" s="2077"/>
      <c r="O20" s="2077"/>
      <c r="P20" s="2077"/>
      <c r="Q20" s="2077"/>
      <c r="R20" s="2077"/>
      <c r="S20" s="2077"/>
      <c r="T20" s="2077"/>
      <c r="U20" s="2077"/>
      <c r="V20" s="2077"/>
      <c r="W20" s="2077"/>
      <c r="X20" s="2077"/>
      <c r="Y20" s="2077"/>
      <c r="Z20" s="2077"/>
      <c r="AA20" s="2077"/>
      <c r="AB20" s="2077"/>
      <c r="AC20" s="2077"/>
      <c r="AD20" s="2077"/>
      <c r="AE20" s="2077"/>
      <c r="AF20" s="2077"/>
      <c r="AG20" s="2077"/>
      <c r="AH20" s="2077"/>
      <c r="AI20" s="2078"/>
      <c r="AJ20" s="2060">
        <v>220</v>
      </c>
      <c r="AK20" s="2061"/>
      <c r="AL20" s="2061"/>
      <c r="AM20" s="2061"/>
      <c r="AN20" s="2061"/>
      <c r="AO20" s="2061"/>
      <c r="AP20" s="2062"/>
      <c r="AQ20" s="581"/>
      <c r="AR20" s="581"/>
      <c r="AS20" s="581"/>
      <c r="AT20" s="581">
        <f>AJ20+AS20</f>
        <v>220</v>
      </c>
      <c r="AU20" s="2060">
        <v>64.760000000000005</v>
      </c>
      <c r="AV20" s="2061"/>
      <c r="AW20" s="2061"/>
      <c r="AX20" s="2061"/>
      <c r="AY20" s="2061"/>
      <c r="AZ20" s="2061"/>
      <c r="BA20" s="2061"/>
      <c r="BB20" s="2061"/>
      <c r="BC20" s="2061"/>
      <c r="BD20" s="2062"/>
      <c r="BE20" s="2060"/>
      <c r="BF20" s="2061"/>
      <c r="BG20" s="2061"/>
      <c r="BH20" s="2061"/>
      <c r="BI20" s="2061"/>
      <c r="BJ20" s="2061"/>
      <c r="BK20" s="2061"/>
      <c r="BL20" s="2061"/>
      <c r="BM20" s="2061"/>
      <c r="BN20" s="2061"/>
      <c r="BO20" s="2062"/>
      <c r="BP20" s="2060">
        <f>CH20</f>
        <v>14247.2</v>
      </c>
      <c r="BQ20" s="2061"/>
      <c r="BR20" s="2061"/>
      <c r="BS20" s="2061"/>
      <c r="BT20" s="2061"/>
      <c r="BU20" s="2061"/>
      <c r="BV20" s="2061"/>
      <c r="BW20" s="2061"/>
      <c r="BX20" s="2061"/>
      <c r="BY20" s="2061"/>
      <c r="BZ20" s="2061"/>
      <c r="CA20" s="2061"/>
      <c r="CB20" s="2062"/>
      <c r="CC20" s="138"/>
      <c r="CD20" s="138"/>
      <c r="CE20" s="138"/>
      <c r="CF20" s="138"/>
      <c r="CG20" s="138"/>
      <c r="CH20" s="138">
        <f>4414.04+3448.47+2069.08+4315.61</f>
        <v>14247.2</v>
      </c>
      <c r="CI20" s="988"/>
      <c r="CT20" s="590"/>
    </row>
    <row r="21" spans="1:98" s="140" customFormat="1" x14ac:dyDescent="0.2">
      <c r="A21" s="2074"/>
      <c r="B21" s="2074"/>
      <c r="C21" s="2074"/>
      <c r="D21" s="2074"/>
      <c r="E21" s="2075" t="s">
        <v>605</v>
      </c>
      <c r="F21" s="2075"/>
      <c r="G21" s="2075"/>
      <c r="H21" s="2075"/>
      <c r="I21" s="2075"/>
      <c r="J21" s="2075"/>
      <c r="K21" s="2075"/>
      <c r="L21" s="2075"/>
      <c r="M21" s="2075"/>
      <c r="N21" s="2075"/>
      <c r="O21" s="2075"/>
      <c r="P21" s="2075"/>
      <c r="Q21" s="2075"/>
      <c r="R21" s="2075"/>
      <c r="S21" s="2075"/>
      <c r="T21" s="2075"/>
      <c r="U21" s="2075"/>
      <c r="V21" s="2075"/>
      <c r="W21" s="2075"/>
      <c r="X21" s="2075"/>
      <c r="Y21" s="2075"/>
      <c r="Z21" s="2075"/>
      <c r="AA21" s="2075"/>
      <c r="AB21" s="2075"/>
      <c r="AC21" s="2075"/>
      <c r="AD21" s="2075"/>
      <c r="AE21" s="2075"/>
      <c r="AF21" s="2075"/>
      <c r="AG21" s="2075"/>
      <c r="AH21" s="2075"/>
      <c r="AI21" s="2075"/>
      <c r="AJ21" s="2073">
        <f>SUM(AJ19:AJ20)</f>
        <v>415.18</v>
      </c>
      <c r="AK21" s="2073"/>
      <c r="AL21" s="2073"/>
      <c r="AM21" s="2073"/>
      <c r="AN21" s="2073"/>
      <c r="AO21" s="2073"/>
      <c r="AP21" s="2073"/>
      <c r="AQ21" s="588"/>
      <c r="AR21" s="588"/>
      <c r="AS21" s="588">
        <f>AS19+AS20</f>
        <v>0</v>
      </c>
      <c r="AT21" s="588">
        <f>AT19+AT20</f>
        <v>415.18</v>
      </c>
      <c r="AU21" s="2073"/>
      <c r="AV21" s="2073"/>
      <c r="AW21" s="2073"/>
      <c r="AX21" s="2073"/>
      <c r="AY21" s="2073"/>
      <c r="AZ21" s="2073"/>
      <c r="BA21" s="2073"/>
      <c r="BB21" s="2073"/>
      <c r="BC21" s="2073"/>
      <c r="BD21" s="2073"/>
      <c r="BE21" s="2073"/>
      <c r="BF21" s="2073"/>
      <c r="BG21" s="2073"/>
      <c r="BH21" s="2073"/>
      <c r="BI21" s="2073"/>
      <c r="BJ21" s="2073"/>
      <c r="BK21" s="2073"/>
      <c r="BL21" s="2073"/>
      <c r="BM21" s="2073"/>
      <c r="BN21" s="2073"/>
      <c r="BO21" s="2073"/>
      <c r="BP21" s="2073">
        <f>CD21+CH21</f>
        <v>26887.06</v>
      </c>
      <c r="BQ21" s="2073"/>
      <c r="BR21" s="2073"/>
      <c r="BS21" s="2073"/>
      <c r="BT21" s="2073"/>
      <c r="BU21" s="2073"/>
      <c r="BV21" s="2073"/>
      <c r="BW21" s="2073"/>
      <c r="BX21" s="2073"/>
      <c r="BY21" s="2073"/>
      <c r="BZ21" s="2073"/>
      <c r="CA21" s="2073"/>
      <c r="CB21" s="2073"/>
      <c r="CC21" s="139"/>
      <c r="CD21" s="139">
        <f>SUM(CD19:CD20)</f>
        <v>11805.76</v>
      </c>
      <c r="CE21" s="138"/>
      <c r="CF21" s="139"/>
      <c r="CG21" s="139"/>
      <c r="CH21" s="139">
        <f>CH20+CH19</f>
        <v>15081.300000000001</v>
      </c>
      <c r="CI21" s="1056" t="s">
        <v>1579</v>
      </c>
    </row>
    <row r="22" spans="1:98" x14ac:dyDescent="0.2">
      <c r="A22" s="1830"/>
      <c r="B22" s="1830"/>
      <c r="C22" s="1830"/>
      <c r="D22" s="1830"/>
      <c r="E22" s="1837" t="s">
        <v>735</v>
      </c>
      <c r="F22" s="1837"/>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2072">
        <f>106.9+134.37+47.64+112</f>
        <v>400.91</v>
      </c>
      <c r="AK22" s="2072"/>
      <c r="AL22" s="2072"/>
      <c r="AM22" s="2072"/>
      <c r="AN22" s="2072"/>
      <c r="AO22" s="2072"/>
      <c r="AP22" s="2072"/>
      <c r="AQ22" s="581"/>
      <c r="AR22" s="581"/>
      <c r="AS22" s="581"/>
      <c r="AT22" s="581">
        <f>AJ22+AS22</f>
        <v>400.91</v>
      </c>
      <c r="AU22" s="2072">
        <v>77.3</v>
      </c>
      <c r="AV22" s="2072"/>
      <c r="AW22" s="2072"/>
      <c r="AX22" s="2072"/>
      <c r="AY22" s="2072"/>
      <c r="AZ22" s="2072"/>
      <c r="BA22" s="2072"/>
      <c r="BB22" s="2072"/>
      <c r="BC22" s="2072"/>
      <c r="BD22" s="2072"/>
      <c r="BE22" s="2072"/>
      <c r="BF22" s="2072"/>
      <c r="BG22" s="2072"/>
      <c r="BH22" s="2072"/>
      <c r="BI22" s="2072"/>
      <c r="BJ22" s="2072"/>
      <c r="BK22" s="2072"/>
      <c r="BL22" s="2072"/>
      <c r="BM22" s="2072"/>
      <c r="BN22" s="2072"/>
      <c r="BO22" s="2072"/>
      <c r="BP22" s="2072">
        <f>CD22+CH22</f>
        <v>30990.34</v>
      </c>
      <c r="BQ22" s="2072"/>
      <c r="BR22" s="2072"/>
      <c r="BS22" s="2072"/>
      <c r="BT22" s="2072"/>
      <c r="BU22" s="2072"/>
      <c r="BV22" s="2072"/>
      <c r="BW22" s="2072"/>
      <c r="BX22" s="2072"/>
      <c r="BY22" s="2072"/>
      <c r="BZ22" s="2072"/>
      <c r="CA22" s="2072"/>
      <c r="CB22" s="2072"/>
      <c r="CC22" s="138"/>
      <c r="CD22" s="138">
        <v>29994.720000000001</v>
      </c>
      <c r="CE22" s="138"/>
      <c r="CF22" s="138"/>
      <c r="CG22" s="138"/>
      <c r="CH22" s="138">
        <f>227.26+303.02+199.43+265.91</f>
        <v>995.62000000000012</v>
      </c>
      <c r="CI22" s="988"/>
    </row>
    <row r="23" spans="1:98" x14ac:dyDescent="0.2">
      <c r="A23" s="1830"/>
      <c r="B23" s="1830"/>
      <c r="C23" s="1830"/>
      <c r="D23" s="1830"/>
      <c r="E23" s="2076" t="s">
        <v>1553</v>
      </c>
      <c r="F23" s="2077"/>
      <c r="G23" s="2077"/>
      <c r="H23" s="2077"/>
      <c r="I23" s="2077"/>
      <c r="J23" s="2077"/>
      <c r="K23" s="2077"/>
      <c r="L23" s="2077"/>
      <c r="M23" s="2077"/>
      <c r="N23" s="2077"/>
      <c r="O23" s="2077"/>
      <c r="P23" s="2077"/>
      <c r="Q23" s="2077"/>
      <c r="R23" s="2077"/>
      <c r="S23" s="2077"/>
      <c r="T23" s="2077"/>
      <c r="U23" s="2077"/>
      <c r="V23" s="2077"/>
      <c r="W23" s="2077"/>
      <c r="X23" s="2077"/>
      <c r="Y23" s="2077"/>
      <c r="Z23" s="2077"/>
      <c r="AA23" s="2077"/>
      <c r="AB23" s="2077"/>
      <c r="AC23" s="2077"/>
      <c r="AD23" s="2077"/>
      <c r="AE23" s="2077"/>
      <c r="AF23" s="2077"/>
      <c r="AG23" s="2077"/>
      <c r="AH23" s="2077"/>
      <c r="AI23" s="2078"/>
      <c r="AJ23" s="2072">
        <v>387</v>
      </c>
      <c r="AK23" s="2072"/>
      <c r="AL23" s="2072"/>
      <c r="AM23" s="2072"/>
      <c r="AN23" s="2072"/>
      <c r="AO23" s="2072"/>
      <c r="AP23" s="2072"/>
      <c r="AQ23" s="581"/>
      <c r="AR23" s="581"/>
      <c r="AS23" s="581"/>
      <c r="AT23" s="581">
        <f>AJ23+AS23</f>
        <v>387</v>
      </c>
      <c r="AU23" s="2072">
        <v>77.3</v>
      </c>
      <c r="AV23" s="2072"/>
      <c r="AW23" s="2072"/>
      <c r="AX23" s="2072"/>
      <c r="AY23" s="2072"/>
      <c r="AZ23" s="2072"/>
      <c r="BA23" s="2072"/>
      <c r="BB23" s="2072"/>
      <c r="BC23" s="2072"/>
      <c r="BD23" s="2072"/>
      <c r="BE23" s="2072"/>
      <c r="BF23" s="2072"/>
      <c r="BG23" s="2072"/>
      <c r="BH23" s="2072"/>
      <c r="BI23" s="2072"/>
      <c r="BJ23" s="2072"/>
      <c r="BK23" s="2072"/>
      <c r="BL23" s="2072"/>
      <c r="BM23" s="2072"/>
      <c r="BN23" s="2072"/>
      <c r="BO23" s="2072"/>
      <c r="BP23" s="2072">
        <f>CD23+CH23</f>
        <v>29915.1</v>
      </c>
      <c r="BQ23" s="2072"/>
      <c r="BR23" s="2072"/>
      <c r="BS23" s="2072"/>
      <c r="BT23" s="2072"/>
      <c r="BU23" s="2072"/>
      <c r="BV23" s="2072"/>
      <c r="BW23" s="2072"/>
      <c r="BX23" s="2072"/>
      <c r="BY23" s="2072"/>
      <c r="BZ23" s="2072"/>
      <c r="CA23" s="2072"/>
      <c r="CB23" s="2072"/>
      <c r="CC23" s="138"/>
      <c r="CD23" s="138"/>
      <c r="CE23" s="138"/>
      <c r="CF23" s="138"/>
      <c r="CG23" s="138"/>
      <c r="CH23" s="138">
        <f>4406.1+8765.82+9399.68+7343.5</f>
        <v>29915.1</v>
      </c>
      <c r="CI23" s="988"/>
    </row>
    <row r="24" spans="1:98" s="140" customFormat="1" x14ac:dyDescent="0.2">
      <c r="A24" s="2074"/>
      <c r="B24" s="2074"/>
      <c r="C24" s="2074"/>
      <c r="D24" s="2074"/>
      <c r="E24" s="2075" t="s">
        <v>606</v>
      </c>
      <c r="F24" s="2075"/>
      <c r="G24" s="2075"/>
      <c r="H24" s="2075"/>
      <c r="I24" s="2075"/>
      <c r="J24" s="2075"/>
      <c r="K24" s="2075"/>
      <c r="L24" s="2075"/>
      <c r="M24" s="2075"/>
      <c r="N24" s="2075"/>
      <c r="O24" s="2075"/>
      <c r="P24" s="2075"/>
      <c r="Q24" s="2075"/>
      <c r="R24" s="2075"/>
      <c r="S24" s="2075"/>
      <c r="T24" s="2075"/>
      <c r="U24" s="2075"/>
      <c r="V24" s="2075"/>
      <c r="W24" s="2075"/>
      <c r="X24" s="2075"/>
      <c r="Y24" s="2075"/>
      <c r="Z24" s="2075"/>
      <c r="AA24" s="2075"/>
      <c r="AB24" s="2075"/>
      <c r="AC24" s="2075"/>
      <c r="AD24" s="2075"/>
      <c r="AE24" s="2075"/>
      <c r="AF24" s="2075"/>
      <c r="AG24" s="2075"/>
      <c r="AH24" s="2075"/>
      <c r="AI24" s="2075"/>
      <c r="AJ24" s="2073">
        <f>SUM(AJ22:AJ23)</f>
        <v>787.91000000000008</v>
      </c>
      <c r="AK24" s="2073"/>
      <c r="AL24" s="2073"/>
      <c r="AM24" s="2073"/>
      <c r="AN24" s="2073"/>
      <c r="AO24" s="2073"/>
      <c r="AP24" s="2073"/>
      <c r="AQ24" s="588"/>
      <c r="AR24" s="588"/>
      <c r="AS24" s="588">
        <f>AS22+AS23</f>
        <v>0</v>
      </c>
      <c r="AT24" s="588">
        <f>AT22+AT23</f>
        <v>787.91000000000008</v>
      </c>
      <c r="AU24" s="2073"/>
      <c r="AV24" s="2073"/>
      <c r="AW24" s="2073"/>
      <c r="AX24" s="2073"/>
      <c r="AY24" s="2073"/>
      <c r="AZ24" s="2073"/>
      <c r="BA24" s="2073"/>
      <c r="BB24" s="2073"/>
      <c r="BC24" s="2073"/>
      <c r="BD24" s="2073"/>
      <c r="BE24" s="2073"/>
      <c r="BF24" s="2073"/>
      <c r="BG24" s="2073"/>
      <c r="BH24" s="2073"/>
      <c r="BI24" s="2073"/>
      <c r="BJ24" s="2073"/>
      <c r="BK24" s="2073"/>
      <c r="BL24" s="2073"/>
      <c r="BM24" s="2073"/>
      <c r="BN24" s="2073"/>
      <c r="BO24" s="2073"/>
      <c r="BP24" s="2073">
        <f>SUM(BP22:BP23)</f>
        <v>60905.440000000002</v>
      </c>
      <c r="BQ24" s="2073"/>
      <c r="BR24" s="2073"/>
      <c r="BS24" s="2073"/>
      <c r="BT24" s="2073"/>
      <c r="BU24" s="2073"/>
      <c r="BV24" s="2073"/>
      <c r="BW24" s="2073"/>
      <c r="BX24" s="2073"/>
      <c r="BY24" s="2073"/>
      <c r="BZ24" s="2073"/>
      <c r="CA24" s="2073"/>
      <c r="CB24" s="2073"/>
      <c r="CC24" s="139"/>
      <c r="CD24" s="139">
        <f>SUM(CD22:CD23)</f>
        <v>29994.720000000001</v>
      </c>
      <c r="CE24" s="1058"/>
      <c r="CF24" s="139"/>
      <c r="CG24" s="139"/>
      <c r="CH24" s="139">
        <f>CH23+CH22</f>
        <v>30910.719999999998</v>
      </c>
      <c r="CI24" s="1056" t="s">
        <v>1585</v>
      </c>
    </row>
    <row r="25" spans="1:98" x14ac:dyDescent="0.2">
      <c r="A25" s="1830"/>
      <c r="B25" s="1830"/>
      <c r="C25" s="1830"/>
      <c r="D25" s="1830"/>
      <c r="E25" s="1837" t="s">
        <v>1583</v>
      </c>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2072">
        <f>AJ22</f>
        <v>400.91</v>
      </c>
      <c r="AK25" s="2072"/>
      <c r="AL25" s="2072"/>
      <c r="AM25" s="2072"/>
      <c r="AN25" s="2072"/>
      <c r="AO25" s="2072"/>
      <c r="AP25" s="2072"/>
      <c r="AQ25" s="2072"/>
      <c r="AR25" s="2072"/>
      <c r="AS25" s="2072"/>
      <c r="AT25" s="2072"/>
      <c r="AU25" s="2072">
        <f>AU22/2</f>
        <v>38.65</v>
      </c>
      <c r="AV25" s="2072"/>
      <c r="AW25" s="2072"/>
      <c r="AX25" s="2072"/>
      <c r="AY25" s="2072"/>
      <c r="AZ25" s="2072"/>
      <c r="BA25" s="2072"/>
      <c r="BB25" s="2072"/>
      <c r="BC25" s="2072"/>
      <c r="BD25" s="2072"/>
      <c r="BE25" s="2072"/>
      <c r="BF25" s="2072"/>
      <c r="BG25" s="2072"/>
      <c r="BH25" s="2072"/>
      <c r="BI25" s="2072"/>
      <c r="BJ25" s="2072"/>
      <c r="BK25" s="2072"/>
      <c r="BL25" s="2072"/>
      <c r="BM25" s="2072"/>
      <c r="BN25" s="2072"/>
      <c r="BO25" s="2072"/>
      <c r="BP25" s="2072">
        <f>CD25+CH25</f>
        <v>15495.17</v>
      </c>
      <c r="BQ25" s="2072"/>
      <c r="BR25" s="2072"/>
      <c r="BS25" s="2072"/>
      <c r="BT25" s="2072"/>
      <c r="BU25" s="2072"/>
      <c r="BV25" s="2072"/>
      <c r="BW25" s="2072"/>
      <c r="BX25" s="2072"/>
      <c r="BY25" s="2072"/>
      <c r="BZ25" s="2072"/>
      <c r="CA25" s="2072"/>
      <c r="CB25" s="2072"/>
      <c r="CC25" s="138"/>
      <c r="CD25" s="138">
        <f>15495.17-CH25</f>
        <v>14997.36</v>
      </c>
      <c r="CE25" s="138"/>
      <c r="CF25" s="138"/>
      <c r="CG25" s="138"/>
      <c r="CH25" s="138">
        <f>265.14+232.67</f>
        <v>497.80999999999995</v>
      </c>
      <c r="CI25" s="988"/>
    </row>
    <row r="26" spans="1:98" x14ac:dyDescent="0.2">
      <c r="A26" s="1830"/>
      <c r="B26" s="1830"/>
      <c r="C26" s="1830"/>
      <c r="D26" s="1830"/>
      <c r="E26" s="2076" t="s">
        <v>1553</v>
      </c>
      <c r="F26" s="2077"/>
      <c r="G26" s="2077"/>
      <c r="H26" s="2077"/>
      <c r="I26" s="2077"/>
      <c r="J26" s="2077"/>
      <c r="K26" s="2077"/>
      <c r="L26" s="2077"/>
      <c r="M26" s="2077"/>
      <c r="N26" s="2077"/>
      <c r="O26" s="2077"/>
      <c r="P26" s="2077"/>
      <c r="Q26" s="2077"/>
      <c r="R26" s="2077"/>
      <c r="S26" s="2077"/>
      <c r="T26" s="2077"/>
      <c r="U26" s="2077"/>
      <c r="V26" s="2077"/>
      <c r="W26" s="2077"/>
      <c r="X26" s="2077"/>
      <c r="Y26" s="2077"/>
      <c r="Z26" s="2077"/>
      <c r="AA26" s="2077"/>
      <c r="AB26" s="2077"/>
      <c r="AC26" s="2077"/>
      <c r="AD26" s="2077"/>
      <c r="AE26" s="2077"/>
      <c r="AF26" s="2077"/>
      <c r="AG26" s="2077"/>
      <c r="AH26" s="2077"/>
      <c r="AI26" s="2078"/>
      <c r="AJ26" s="2072">
        <f>AJ23</f>
        <v>387</v>
      </c>
      <c r="AK26" s="2072"/>
      <c r="AL26" s="2072"/>
      <c r="AM26" s="2072"/>
      <c r="AN26" s="2072"/>
      <c r="AO26" s="2072"/>
      <c r="AP26" s="2072"/>
      <c r="AQ26" s="2072"/>
      <c r="AR26" s="2072"/>
      <c r="AS26" s="2072"/>
      <c r="AT26" s="2072"/>
      <c r="AU26" s="2072">
        <f>AU23/2</f>
        <v>38.65</v>
      </c>
      <c r="AV26" s="2072"/>
      <c r="AW26" s="2072"/>
      <c r="AX26" s="2072"/>
      <c r="AY26" s="2072"/>
      <c r="AZ26" s="2072"/>
      <c r="BA26" s="2072"/>
      <c r="BB26" s="2072"/>
      <c r="BC26" s="2072"/>
      <c r="BD26" s="2072"/>
      <c r="BE26" s="2072"/>
      <c r="BF26" s="2072"/>
      <c r="BG26" s="2072"/>
      <c r="BH26" s="2072"/>
      <c r="BI26" s="2072"/>
      <c r="BJ26" s="2072"/>
      <c r="BK26" s="2072"/>
      <c r="BL26" s="2072"/>
      <c r="BM26" s="2072"/>
      <c r="BN26" s="2072"/>
      <c r="BO26" s="2072"/>
      <c r="BP26" s="2072">
        <f>CD26+CH26</f>
        <v>14957.55</v>
      </c>
      <c r="BQ26" s="2072"/>
      <c r="BR26" s="2072"/>
      <c r="BS26" s="2072"/>
      <c r="BT26" s="2072"/>
      <c r="BU26" s="2072"/>
      <c r="BV26" s="2072"/>
      <c r="BW26" s="2072"/>
      <c r="BX26" s="2072"/>
      <c r="BY26" s="2072"/>
      <c r="BZ26" s="2072"/>
      <c r="CA26" s="2072"/>
      <c r="CB26" s="2072"/>
      <c r="CC26" s="138"/>
      <c r="CD26" s="138"/>
      <c r="CE26" s="138"/>
      <c r="CF26" s="138"/>
      <c r="CG26" s="138"/>
      <c r="CH26" s="138">
        <f>2203.05+4382.91+4699.84+3671.75</f>
        <v>14957.55</v>
      </c>
      <c r="CI26" s="988"/>
    </row>
    <row r="27" spans="1:98" s="140" customFormat="1" x14ac:dyDescent="0.2">
      <c r="A27" s="2074"/>
      <c r="B27" s="2074"/>
      <c r="C27" s="2074"/>
      <c r="D27" s="2074"/>
      <c r="E27" s="2075" t="s">
        <v>1207</v>
      </c>
      <c r="F27" s="2075"/>
      <c r="G27" s="2075"/>
      <c r="H27" s="2075"/>
      <c r="I27" s="2075"/>
      <c r="J27" s="2075"/>
      <c r="K27" s="2075"/>
      <c r="L27" s="2075"/>
      <c r="M27" s="2075"/>
      <c r="N27" s="2075"/>
      <c r="O27" s="2075"/>
      <c r="P27" s="2075"/>
      <c r="Q27" s="2075"/>
      <c r="R27" s="2075"/>
      <c r="S27" s="2075"/>
      <c r="T27" s="2075"/>
      <c r="U27" s="2075"/>
      <c r="V27" s="2075"/>
      <c r="W27" s="2075"/>
      <c r="X27" s="2075"/>
      <c r="Y27" s="2075"/>
      <c r="Z27" s="2075"/>
      <c r="AA27" s="2075"/>
      <c r="AB27" s="2075"/>
      <c r="AC27" s="2075"/>
      <c r="AD27" s="2075"/>
      <c r="AE27" s="2075"/>
      <c r="AF27" s="2075"/>
      <c r="AG27" s="2075"/>
      <c r="AH27" s="2075"/>
      <c r="AI27" s="2075"/>
      <c r="AJ27" s="2073">
        <f>SUM(AJ25:AT26)</f>
        <v>787.91000000000008</v>
      </c>
      <c r="AK27" s="2073"/>
      <c r="AL27" s="2073"/>
      <c r="AM27" s="2073"/>
      <c r="AN27" s="2073"/>
      <c r="AO27" s="2073"/>
      <c r="AP27" s="2073"/>
      <c r="AQ27" s="2073"/>
      <c r="AR27" s="2073"/>
      <c r="AS27" s="2073"/>
      <c r="AT27" s="2073"/>
      <c r="AU27" s="2073"/>
      <c r="AV27" s="2073"/>
      <c r="AW27" s="2073"/>
      <c r="AX27" s="2073"/>
      <c r="AY27" s="2073"/>
      <c r="AZ27" s="2073"/>
      <c r="BA27" s="2073"/>
      <c r="BB27" s="2073"/>
      <c r="BC27" s="2073"/>
      <c r="BD27" s="2073"/>
      <c r="BE27" s="2073"/>
      <c r="BF27" s="2073"/>
      <c r="BG27" s="2073"/>
      <c r="BH27" s="2073"/>
      <c r="BI27" s="2073"/>
      <c r="BJ27" s="2073"/>
      <c r="BK27" s="2073"/>
      <c r="BL27" s="2073"/>
      <c r="BM27" s="2073"/>
      <c r="BN27" s="2073"/>
      <c r="BO27" s="2073"/>
      <c r="BP27" s="2073">
        <f>BP26+BP25</f>
        <v>30452.720000000001</v>
      </c>
      <c r="BQ27" s="2073"/>
      <c r="BR27" s="2073"/>
      <c r="BS27" s="2073"/>
      <c r="BT27" s="2073"/>
      <c r="BU27" s="2073"/>
      <c r="BV27" s="2073"/>
      <c r="BW27" s="2073"/>
      <c r="BX27" s="2073"/>
      <c r="BY27" s="2073"/>
      <c r="BZ27" s="2073"/>
      <c r="CA27" s="2073"/>
      <c r="CB27" s="2073"/>
      <c r="CC27" s="139"/>
      <c r="CD27" s="139">
        <f>CD26+CD25</f>
        <v>14997.36</v>
      </c>
      <c r="CE27" s="138"/>
      <c r="CF27" s="139"/>
      <c r="CG27" s="139"/>
      <c r="CH27" s="139">
        <f>SUM(CH25:CH26)</f>
        <v>15455.359999999999</v>
      </c>
      <c r="CI27" s="1056" t="s">
        <v>1561</v>
      </c>
    </row>
    <row r="28" spans="1:98" s="140" customFormat="1" x14ac:dyDescent="0.2">
      <c r="A28" s="2074"/>
      <c r="B28" s="2074"/>
      <c r="C28" s="2074"/>
      <c r="D28" s="2074"/>
      <c r="E28" s="2075" t="s">
        <v>1572</v>
      </c>
      <c r="F28" s="2075"/>
      <c r="G28" s="2075"/>
      <c r="H28" s="2075"/>
      <c r="I28" s="2075"/>
      <c r="J28" s="2075"/>
      <c r="K28" s="2075"/>
      <c r="L28" s="2075"/>
      <c r="M28" s="2075"/>
      <c r="N28" s="2075"/>
      <c r="O28" s="2075"/>
      <c r="P28" s="2075"/>
      <c r="Q28" s="2075"/>
      <c r="R28" s="2075"/>
      <c r="S28" s="2075"/>
      <c r="T28" s="2075"/>
      <c r="U28" s="2075"/>
      <c r="V28" s="2075"/>
      <c r="W28" s="2075"/>
      <c r="X28" s="2075"/>
      <c r="Y28" s="2075"/>
      <c r="Z28" s="2075"/>
      <c r="AA28" s="2075"/>
      <c r="AB28" s="2075"/>
      <c r="AC28" s="2075"/>
      <c r="AD28" s="2075"/>
      <c r="AE28" s="2075"/>
      <c r="AF28" s="2075"/>
      <c r="AG28" s="2075"/>
      <c r="AH28" s="2075"/>
      <c r="AI28" s="2075"/>
      <c r="AJ28" s="2073"/>
      <c r="AK28" s="2073"/>
      <c r="AL28" s="2073"/>
      <c r="AM28" s="2073"/>
      <c r="AN28" s="2073"/>
      <c r="AO28" s="2073"/>
      <c r="AP28" s="2073"/>
      <c r="AQ28" s="2073"/>
      <c r="AR28" s="2073"/>
      <c r="AS28" s="2073"/>
      <c r="AT28" s="2073"/>
      <c r="AU28" s="2073"/>
      <c r="AV28" s="2073"/>
      <c r="AW28" s="2073"/>
      <c r="AX28" s="2073"/>
      <c r="AY28" s="2073"/>
      <c r="AZ28" s="2073"/>
      <c r="BA28" s="2073"/>
      <c r="BB28" s="2073"/>
      <c r="BC28" s="2073"/>
      <c r="BD28" s="2073"/>
      <c r="BE28" s="2073"/>
      <c r="BF28" s="2073"/>
      <c r="BG28" s="2073"/>
      <c r="BH28" s="2073"/>
      <c r="BI28" s="2073"/>
      <c r="BJ28" s="2073"/>
      <c r="BK28" s="2073"/>
      <c r="BL28" s="2073"/>
      <c r="BM28" s="2073"/>
      <c r="BN28" s="2073"/>
      <c r="BO28" s="2073"/>
      <c r="BP28" s="2073">
        <f>BP21+BP24+BP27</f>
        <v>118245.22</v>
      </c>
      <c r="BQ28" s="2073"/>
      <c r="BR28" s="2073"/>
      <c r="BS28" s="2073"/>
      <c r="BT28" s="2073"/>
      <c r="BU28" s="2073"/>
      <c r="BV28" s="2073"/>
      <c r="BW28" s="2073"/>
      <c r="BX28" s="2073"/>
      <c r="BY28" s="2073"/>
      <c r="BZ28" s="2073"/>
      <c r="CA28" s="2073"/>
      <c r="CB28" s="2073"/>
      <c r="CC28" s="139"/>
      <c r="CD28" s="139">
        <f>CD21+CD24+CD27</f>
        <v>56797.840000000004</v>
      </c>
      <c r="CE28" s="138"/>
      <c r="CF28" s="139"/>
      <c r="CG28" s="139"/>
      <c r="CH28" s="139">
        <f>CH21+CH24+CH27</f>
        <v>61447.38</v>
      </c>
      <c r="CI28" s="1056"/>
    </row>
    <row r="29" spans="1:98" s="140" customFormat="1" x14ac:dyDescent="0.2">
      <c r="A29" s="1830"/>
      <c r="B29" s="1830"/>
      <c r="C29" s="1830"/>
      <c r="D29" s="1830"/>
      <c r="E29" s="1837" t="s">
        <v>1620</v>
      </c>
      <c r="F29" s="1837"/>
      <c r="G29" s="1837"/>
      <c r="H29" s="1837"/>
      <c r="I29" s="1837"/>
      <c r="J29" s="1837"/>
      <c r="K29" s="1837"/>
      <c r="L29" s="1837"/>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2060"/>
      <c r="AK29" s="2061"/>
      <c r="AL29" s="2061"/>
      <c r="AM29" s="2061"/>
      <c r="AN29" s="2061"/>
      <c r="AO29" s="2061"/>
      <c r="AP29" s="2061"/>
      <c r="AQ29" s="2061"/>
      <c r="AR29" s="2061"/>
      <c r="AS29" s="2061"/>
      <c r="AT29" s="2062"/>
      <c r="AU29" s="2072"/>
      <c r="AV29" s="2072"/>
      <c r="AW29" s="2072"/>
      <c r="AX29" s="2072"/>
      <c r="AY29" s="2072"/>
      <c r="AZ29" s="2072"/>
      <c r="BA29" s="2072"/>
      <c r="BB29" s="2072"/>
      <c r="BC29" s="2072"/>
      <c r="BD29" s="2072"/>
      <c r="BE29" s="2072"/>
      <c r="BF29" s="2072"/>
      <c r="BG29" s="2072"/>
      <c r="BH29" s="2072"/>
      <c r="BI29" s="2072"/>
      <c r="BJ29" s="2072"/>
      <c r="BK29" s="2072"/>
      <c r="BL29" s="2072"/>
      <c r="BM29" s="2072"/>
      <c r="BN29" s="2072"/>
      <c r="BO29" s="2072"/>
      <c r="BP29" s="2073">
        <f>CD29+CH29</f>
        <v>362.74</v>
      </c>
      <c r="BQ29" s="2073"/>
      <c r="BR29" s="2073"/>
      <c r="BS29" s="2073"/>
      <c r="BT29" s="2073"/>
      <c r="BU29" s="2073"/>
      <c r="BV29" s="2073"/>
      <c r="BW29" s="2073"/>
      <c r="BX29" s="2073"/>
      <c r="BY29" s="2073"/>
      <c r="BZ29" s="2073"/>
      <c r="CA29" s="2073"/>
      <c r="CB29" s="2073"/>
      <c r="CC29" s="138"/>
      <c r="CD29" s="138">
        <v>362.74</v>
      </c>
      <c r="CE29" s="138"/>
      <c r="CF29" s="138"/>
      <c r="CG29" s="138"/>
      <c r="CH29" s="138"/>
      <c r="CI29" s="1056" t="s">
        <v>1578</v>
      </c>
    </row>
    <row r="30" spans="1:98" s="140" customFormat="1" x14ac:dyDescent="0.2">
      <c r="A30" s="2074"/>
      <c r="B30" s="2074"/>
      <c r="C30" s="2074"/>
      <c r="D30" s="2074"/>
      <c r="E30" s="2075" t="s">
        <v>1573</v>
      </c>
      <c r="F30" s="2075"/>
      <c r="G30" s="2075"/>
      <c r="H30" s="2075"/>
      <c r="I30" s="2075"/>
      <c r="J30" s="2075"/>
      <c r="K30" s="2075"/>
      <c r="L30" s="2075"/>
      <c r="M30" s="2075"/>
      <c r="N30" s="2075"/>
      <c r="O30" s="2075"/>
      <c r="P30" s="2075"/>
      <c r="Q30" s="2075"/>
      <c r="R30" s="2075"/>
      <c r="S30" s="2075"/>
      <c r="T30" s="2075"/>
      <c r="U30" s="2075"/>
      <c r="V30" s="2075"/>
      <c r="W30" s="2075"/>
      <c r="X30" s="2075"/>
      <c r="Y30" s="2075"/>
      <c r="Z30" s="2075"/>
      <c r="AA30" s="2075"/>
      <c r="AB30" s="2075"/>
      <c r="AC30" s="2075"/>
      <c r="AD30" s="2075"/>
      <c r="AE30" s="2075"/>
      <c r="AF30" s="2075"/>
      <c r="AG30" s="2075"/>
      <c r="AH30" s="2075"/>
      <c r="AI30" s="2075"/>
      <c r="AJ30" s="2073"/>
      <c r="AK30" s="2073"/>
      <c r="AL30" s="2073"/>
      <c r="AM30" s="2073"/>
      <c r="AN30" s="2073"/>
      <c r="AO30" s="2073"/>
      <c r="AP30" s="2073"/>
      <c r="AQ30" s="2073"/>
      <c r="AR30" s="2073"/>
      <c r="AS30" s="2073"/>
      <c r="AT30" s="2073"/>
      <c r="AU30" s="2073"/>
      <c r="AV30" s="2073"/>
      <c r="AW30" s="2073"/>
      <c r="AX30" s="2073"/>
      <c r="AY30" s="2073"/>
      <c r="AZ30" s="2073"/>
      <c r="BA30" s="2073"/>
      <c r="BB30" s="2073"/>
      <c r="BC30" s="2073"/>
      <c r="BD30" s="2073"/>
      <c r="BE30" s="2073"/>
      <c r="BF30" s="2073"/>
      <c r="BG30" s="2073"/>
      <c r="BH30" s="2073"/>
      <c r="BI30" s="2073"/>
      <c r="BJ30" s="2073"/>
      <c r="BK30" s="2073"/>
      <c r="BL30" s="2073"/>
      <c r="BM30" s="2073"/>
      <c r="BN30" s="2073"/>
      <c r="BO30" s="2073"/>
      <c r="BP30" s="2073">
        <f>CD30+CH30</f>
        <v>118607.95999999999</v>
      </c>
      <c r="BQ30" s="2073"/>
      <c r="BR30" s="2073"/>
      <c r="BS30" s="2073"/>
      <c r="BT30" s="2073"/>
      <c r="BU30" s="2073"/>
      <c r="BV30" s="2073"/>
      <c r="BW30" s="2073"/>
      <c r="BX30" s="2073"/>
      <c r="BY30" s="2073"/>
      <c r="BZ30" s="2073"/>
      <c r="CA30" s="2073"/>
      <c r="CB30" s="2073"/>
      <c r="CC30" s="139"/>
      <c r="CD30" s="139">
        <f>CD28+CD29</f>
        <v>57160.58</v>
      </c>
      <c r="CE30" s="138"/>
      <c r="CF30" s="139"/>
      <c r="CG30" s="139"/>
      <c r="CH30" s="139">
        <f>CH28+CH29</f>
        <v>61447.38</v>
      </c>
      <c r="CI30" s="1056" t="s">
        <v>1586</v>
      </c>
    </row>
    <row r="31" spans="1:98" x14ac:dyDescent="0.2">
      <c r="A31" s="1830"/>
      <c r="B31" s="1830"/>
      <c r="C31" s="1830"/>
      <c r="D31" s="1830"/>
      <c r="E31" s="1837" t="s">
        <v>634</v>
      </c>
      <c r="F31" s="1837"/>
      <c r="G31" s="1837"/>
      <c r="H31" s="1837"/>
      <c r="I31" s="1837"/>
      <c r="J31" s="1837"/>
      <c r="K31" s="1837"/>
      <c r="L31" s="1837"/>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2072"/>
      <c r="AK31" s="2072"/>
      <c r="AL31" s="2072"/>
      <c r="AM31" s="2072"/>
      <c r="AN31" s="2072"/>
      <c r="AO31" s="2072"/>
      <c r="AP31" s="2072"/>
      <c r="AQ31" s="2072"/>
      <c r="AR31" s="2072"/>
      <c r="AS31" s="2072"/>
      <c r="AT31" s="2072"/>
      <c r="AU31" s="2072"/>
      <c r="AV31" s="2072"/>
      <c r="AW31" s="2072"/>
      <c r="AX31" s="2072"/>
      <c r="AY31" s="2072"/>
      <c r="AZ31" s="2072"/>
      <c r="BA31" s="2072"/>
      <c r="BB31" s="2072"/>
      <c r="BC31" s="2072"/>
      <c r="BD31" s="2072"/>
      <c r="BE31" s="2072"/>
      <c r="BF31" s="2072"/>
      <c r="BG31" s="2072"/>
      <c r="BH31" s="2072"/>
      <c r="BI31" s="2072"/>
      <c r="BJ31" s="2072"/>
      <c r="BK31" s="2072"/>
      <c r="BL31" s="2072"/>
      <c r="BM31" s="2072"/>
      <c r="BN31" s="2072"/>
      <c r="BO31" s="2072"/>
      <c r="BP31" s="2072"/>
      <c r="BQ31" s="2072"/>
      <c r="BR31" s="2072"/>
      <c r="BS31" s="2072"/>
      <c r="BT31" s="2072"/>
      <c r="BU31" s="2072"/>
      <c r="BV31" s="2072"/>
      <c r="BW31" s="2072"/>
      <c r="BX31" s="2072"/>
      <c r="BY31" s="2072"/>
      <c r="BZ31" s="2072"/>
      <c r="CA31" s="2072"/>
      <c r="CB31" s="2072"/>
      <c r="CC31" s="138"/>
      <c r="CD31" s="138"/>
      <c r="CE31" s="138"/>
      <c r="CF31" s="138"/>
      <c r="CG31" s="138"/>
      <c r="CH31" s="138"/>
    </row>
    <row r="32" spans="1:98" x14ac:dyDescent="0.2">
      <c r="A32" s="1830"/>
      <c r="B32" s="1830"/>
      <c r="C32" s="1830"/>
      <c r="D32" s="1830"/>
      <c r="E32" s="1837" t="s">
        <v>607</v>
      </c>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2072">
        <v>17.62</v>
      </c>
      <c r="AK32" s="2072"/>
      <c r="AL32" s="2072"/>
      <c r="AM32" s="2072"/>
      <c r="AN32" s="2072"/>
      <c r="AO32" s="2072"/>
      <c r="AP32" s="2072"/>
      <c r="AQ32" s="2072"/>
      <c r="AR32" s="2072"/>
      <c r="AS32" s="2072"/>
      <c r="AT32" s="2072"/>
      <c r="AU32" s="2072">
        <v>1908.77</v>
      </c>
      <c r="AV32" s="2072"/>
      <c r="AW32" s="2072"/>
      <c r="AX32" s="2072"/>
      <c r="AY32" s="2072"/>
      <c r="AZ32" s="2072"/>
      <c r="BA32" s="2072"/>
      <c r="BB32" s="2072"/>
      <c r="BC32" s="2072"/>
      <c r="BD32" s="2072"/>
      <c r="BE32" s="2072"/>
      <c r="BF32" s="2072"/>
      <c r="BG32" s="2072"/>
      <c r="BH32" s="2072"/>
      <c r="BI32" s="2072"/>
      <c r="BJ32" s="2072"/>
      <c r="BK32" s="2072"/>
      <c r="BL32" s="2072"/>
      <c r="BM32" s="2072"/>
      <c r="BN32" s="2072"/>
      <c r="BO32" s="2072"/>
      <c r="BP32" s="2072">
        <f>CD32</f>
        <v>33631.26</v>
      </c>
      <c r="BQ32" s="2072"/>
      <c r="BR32" s="2072"/>
      <c r="BS32" s="2072"/>
      <c r="BT32" s="2072"/>
      <c r="BU32" s="2072"/>
      <c r="BV32" s="2072"/>
      <c r="BW32" s="2072"/>
      <c r="BX32" s="2072"/>
      <c r="BY32" s="2072"/>
      <c r="BZ32" s="2072"/>
      <c r="CA32" s="2072"/>
      <c r="CB32" s="2072"/>
      <c r="CC32" s="138"/>
      <c r="CD32" s="138">
        <v>33631.26</v>
      </c>
      <c r="CE32" s="138"/>
      <c r="CF32" s="138"/>
      <c r="CG32" s="138"/>
      <c r="CH32" s="138"/>
      <c r="CI32" s="988" t="s">
        <v>1577</v>
      </c>
    </row>
    <row r="33" spans="1:87" x14ac:dyDescent="0.2">
      <c r="A33" s="1830"/>
      <c r="B33" s="1830"/>
      <c r="C33" s="1830"/>
      <c r="D33" s="1830"/>
      <c r="E33" s="1837" t="s">
        <v>608</v>
      </c>
      <c r="F33" s="1837"/>
      <c r="G33" s="1837"/>
      <c r="H33" s="1837"/>
      <c r="I33" s="1837"/>
      <c r="J33" s="1837"/>
      <c r="K33" s="1837"/>
      <c r="L33" s="1837"/>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2083">
        <v>309.11399999999998</v>
      </c>
      <c r="AK33" s="2083"/>
      <c r="AL33" s="2083"/>
      <c r="AM33" s="2083"/>
      <c r="AN33" s="2083"/>
      <c r="AO33" s="2083"/>
      <c r="AP33" s="2083"/>
      <c r="AQ33" s="2083"/>
      <c r="AR33" s="2083"/>
      <c r="AS33" s="2083"/>
      <c r="AT33" s="2083"/>
      <c r="AU33" s="2072">
        <v>78.7</v>
      </c>
      <c r="AV33" s="2072"/>
      <c r="AW33" s="2072"/>
      <c r="AX33" s="2072"/>
      <c r="AY33" s="2072"/>
      <c r="AZ33" s="2072"/>
      <c r="BA33" s="2072"/>
      <c r="BB33" s="2072"/>
      <c r="BC33" s="2072"/>
      <c r="BD33" s="2072"/>
      <c r="BE33" s="2072"/>
      <c r="BF33" s="2072"/>
      <c r="BG33" s="2072"/>
      <c r="BH33" s="2072"/>
      <c r="BI33" s="2072"/>
      <c r="BJ33" s="2072"/>
      <c r="BK33" s="2072"/>
      <c r="BL33" s="2072"/>
      <c r="BM33" s="2072"/>
      <c r="BN33" s="2072"/>
      <c r="BO33" s="2072"/>
      <c r="BP33" s="2072">
        <f>CD33</f>
        <v>24327.27</v>
      </c>
      <c r="BQ33" s="2072"/>
      <c r="BR33" s="2072"/>
      <c r="BS33" s="2072"/>
      <c r="BT33" s="2072"/>
      <c r="BU33" s="2072"/>
      <c r="BV33" s="2072"/>
      <c r="BW33" s="2072"/>
      <c r="BX33" s="2072"/>
      <c r="BY33" s="2072"/>
      <c r="BZ33" s="2072"/>
      <c r="CA33" s="2072"/>
      <c r="CB33" s="2072"/>
      <c r="CC33" s="138"/>
      <c r="CD33" s="138">
        <v>24327.27</v>
      </c>
      <c r="CE33" s="138"/>
      <c r="CF33" s="138"/>
      <c r="CG33" s="138"/>
      <c r="CH33" s="138"/>
      <c r="CI33" s="988" t="s">
        <v>1580</v>
      </c>
    </row>
    <row r="34" spans="1:87" s="140" customFormat="1" x14ac:dyDescent="0.2">
      <c r="A34" s="2074">
        <v>2</v>
      </c>
      <c r="B34" s="2074"/>
      <c r="C34" s="2074"/>
      <c r="D34" s="2074"/>
      <c r="E34" s="2075" t="s">
        <v>609</v>
      </c>
      <c r="F34" s="2075"/>
      <c r="G34" s="2075"/>
      <c r="H34" s="2075"/>
      <c r="I34" s="2075"/>
      <c r="J34" s="2075"/>
      <c r="K34" s="2075"/>
      <c r="L34" s="2075"/>
      <c r="M34" s="2075"/>
      <c r="N34" s="2075"/>
      <c r="O34" s="2075"/>
      <c r="P34" s="2075"/>
      <c r="Q34" s="2075"/>
      <c r="R34" s="2075"/>
      <c r="S34" s="2075"/>
      <c r="T34" s="2075"/>
      <c r="U34" s="2075"/>
      <c r="V34" s="2075"/>
      <c r="W34" s="2075"/>
      <c r="X34" s="2075"/>
      <c r="Y34" s="2075"/>
      <c r="Z34" s="2075"/>
      <c r="AA34" s="2075"/>
      <c r="AB34" s="2075"/>
      <c r="AC34" s="2075"/>
      <c r="AD34" s="2075"/>
      <c r="AE34" s="2075"/>
      <c r="AF34" s="2075"/>
      <c r="AG34" s="2075"/>
      <c r="AH34" s="2075"/>
      <c r="AI34" s="2075"/>
      <c r="AJ34" s="2073"/>
      <c r="AK34" s="2073"/>
      <c r="AL34" s="2073"/>
      <c r="AM34" s="2073"/>
      <c r="AN34" s="2073"/>
      <c r="AO34" s="2073"/>
      <c r="AP34" s="2073"/>
      <c r="AQ34" s="2073"/>
      <c r="AR34" s="2073"/>
      <c r="AS34" s="2073"/>
      <c r="AT34" s="2073"/>
      <c r="AU34" s="2073"/>
      <c r="AV34" s="2073"/>
      <c r="AW34" s="2073"/>
      <c r="AX34" s="2073"/>
      <c r="AY34" s="2073"/>
      <c r="AZ34" s="2073"/>
      <c r="BA34" s="2073"/>
      <c r="BB34" s="2073"/>
      <c r="BC34" s="2073"/>
      <c r="BD34" s="2073"/>
      <c r="BE34" s="2073"/>
      <c r="BF34" s="2073"/>
      <c r="BG34" s="2073"/>
      <c r="BH34" s="2073"/>
      <c r="BI34" s="2073"/>
      <c r="BJ34" s="2073"/>
      <c r="BK34" s="2073"/>
      <c r="BL34" s="2073"/>
      <c r="BM34" s="2073"/>
      <c r="BN34" s="2073"/>
      <c r="BO34" s="2073"/>
      <c r="BP34" s="2073">
        <f>SUM(BP32:BP33)</f>
        <v>57958.53</v>
      </c>
      <c r="BQ34" s="2073"/>
      <c r="BR34" s="2073"/>
      <c r="BS34" s="2073"/>
      <c r="BT34" s="2073"/>
      <c r="BU34" s="2073"/>
      <c r="BV34" s="2073"/>
      <c r="BW34" s="2073"/>
      <c r="BX34" s="2073"/>
      <c r="BY34" s="2073"/>
      <c r="BZ34" s="2073"/>
      <c r="CA34" s="2073"/>
      <c r="CB34" s="2073"/>
      <c r="CC34" s="139"/>
      <c r="CD34" s="139">
        <f>SUM(CD32:CD33)</f>
        <v>57958.53</v>
      </c>
      <c r="CE34" s="138"/>
      <c r="CF34" s="139"/>
      <c r="CG34" s="139"/>
      <c r="CH34" s="139"/>
      <c r="CI34" s="1056"/>
    </row>
    <row r="35" spans="1:87" ht="12.75" hidden="1" customHeight="1" x14ac:dyDescent="0.2">
      <c r="A35" s="1830"/>
      <c r="B35" s="1830"/>
      <c r="C35" s="1830"/>
      <c r="D35" s="1830"/>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2072"/>
      <c r="AK35" s="2072"/>
      <c r="AL35" s="2072"/>
      <c r="AM35" s="2072"/>
      <c r="AN35" s="2072"/>
      <c r="AO35" s="2072"/>
      <c r="AP35" s="2072"/>
      <c r="AQ35" s="2072"/>
      <c r="AR35" s="2072"/>
      <c r="AS35" s="2072"/>
      <c r="AT35" s="2072"/>
      <c r="AU35" s="2072"/>
      <c r="AV35" s="2072"/>
      <c r="AW35" s="2072"/>
      <c r="AX35" s="2072"/>
      <c r="AY35" s="2072"/>
      <c r="AZ35" s="2072"/>
      <c r="BA35" s="2072"/>
      <c r="BB35" s="2072"/>
      <c r="BC35" s="2072"/>
      <c r="BD35" s="2072"/>
      <c r="BE35" s="2072"/>
      <c r="BF35" s="2072"/>
      <c r="BG35" s="2072"/>
      <c r="BH35" s="2072"/>
      <c r="BI35" s="2072"/>
      <c r="BJ35" s="2072"/>
      <c r="BK35" s="2072"/>
      <c r="BL35" s="2072"/>
      <c r="BM35" s="2072"/>
      <c r="BN35" s="2072"/>
      <c r="BO35" s="2072"/>
      <c r="BP35" s="2072"/>
      <c r="BQ35" s="2072"/>
      <c r="BR35" s="2072"/>
      <c r="BS35" s="2072"/>
      <c r="BT35" s="2072"/>
      <c r="BU35" s="2072"/>
      <c r="BV35" s="2072"/>
      <c r="BW35" s="2072"/>
      <c r="BX35" s="2072"/>
      <c r="BY35" s="2072"/>
      <c r="BZ35" s="2072"/>
      <c r="CA35" s="2072"/>
      <c r="CB35" s="2072"/>
      <c r="CC35" s="138"/>
      <c r="CD35" s="138"/>
      <c r="CE35" s="138">
        <f t="shared" ref="CE35:CE36" si="0">AJ35*AU35</f>
        <v>0</v>
      </c>
      <c r="CF35" s="138"/>
      <c r="CG35" s="138"/>
      <c r="CH35" s="138"/>
    </row>
    <row r="36" spans="1:87" ht="12.75" hidden="1" customHeight="1" x14ac:dyDescent="0.2">
      <c r="A36" s="1830"/>
      <c r="B36" s="1830"/>
      <c r="C36" s="1830"/>
      <c r="D36" s="1830"/>
      <c r="E36" s="1837"/>
      <c r="F36" s="1837"/>
      <c r="G36" s="1837"/>
      <c r="H36" s="1837"/>
      <c r="I36" s="1837"/>
      <c r="J36" s="1837"/>
      <c r="K36" s="1837"/>
      <c r="L36" s="1837"/>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2072"/>
      <c r="AK36" s="2072"/>
      <c r="AL36" s="2072"/>
      <c r="AM36" s="2072"/>
      <c r="AN36" s="2072"/>
      <c r="AO36" s="2072"/>
      <c r="AP36" s="2072"/>
      <c r="AQ36" s="2072"/>
      <c r="AR36" s="2072"/>
      <c r="AS36" s="2072"/>
      <c r="AT36" s="2072"/>
      <c r="AU36" s="2072"/>
      <c r="AV36" s="2072"/>
      <c r="AW36" s="2072"/>
      <c r="AX36" s="2072"/>
      <c r="AY36" s="2072"/>
      <c r="AZ36" s="2072"/>
      <c r="BA36" s="2072"/>
      <c r="BB36" s="2072"/>
      <c r="BC36" s="2072"/>
      <c r="BD36" s="2072"/>
      <c r="BE36" s="2072"/>
      <c r="BF36" s="2072"/>
      <c r="BG36" s="2072"/>
      <c r="BH36" s="2072"/>
      <c r="BI36" s="2072"/>
      <c r="BJ36" s="2072"/>
      <c r="BK36" s="2072"/>
      <c r="BL36" s="2072"/>
      <c r="BM36" s="2072"/>
      <c r="BN36" s="2072"/>
      <c r="BO36" s="2072"/>
      <c r="BP36" s="2072"/>
      <c r="BQ36" s="2072"/>
      <c r="BR36" s="2072"/>
      <c r="BS36" s="2072"/>
      <c r="BT36" s="2072"/>
      <c r="BU36" s="2072"/>
      <c r="BV36" s="2072"/>
      <c r="BW36" s="2072"/>
      <c r="BX36" s="2072"/>
      <c r="BY36" s="2072"/>
      <c r="BZ36" s="2072"/>
      <c r="CA36" s="2072"/>
      <c r="CB36" s="2072"/>
      <c r="CC36" s="138"/>
      <c r="CD36" s="138"/>
      <c r="CE36" s="138">
        <f t="shared" si="0"/>
        <v>0</v>
      </c>
      <c r="CF36" s="138"/>
      <c r="CG36" s="138"/>
      <c r="CH36" s="138"/>
    </row>
    <row r="37" spans="1:87" x14ac:dyDescent="0.2">
      <c r="A37" s="1830">
        <v>3</v>
      </c>
      <c r="B37" s="1830"/>
      <c r="C37" s="1830"/>
      <c r="D37" s="1830"/>
      <c r="E37" s="1837" t="s">
        <v>610</v>
      </c>
      <c r="F37" s="1837"/>
      <c r="G37" s="1837"/>
      <c r="H37" s="1837"/>
      <c r="I37" s="1837"/>
      <c r="J37" s="1837"/>
      <c r="K37" s="1837"/>
      <c r="L37" s="1837"/>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2072">
        <f>BP37/AU37</f>
        <v>87.656096531416992</v>
      </c>
      <c r="AK37" s="2072"/>
      <c r="AL37" s="2072"/>
      <c r="AM37" s="2072"/>
      <c r="AN37" s="2072"/>
      <c r="AO37" s="2072"/>
      <c r="AP37" s="2072"/>
      <c r="AQ37" s="2072"/>
      <c r="AR37" s="2072"/>
      <c r="AS37" s="2072"/>
      <c r="AT37" s="2072"/>
      <c r="AU37" s="2072">
        <v>971.29</v>
      </c>
      <c r="AV37" s="2072"/>
      <c r="AW37" s="2072"/>
      <c r="AX37" s="2072"/>
      <c r="AY37" s="2072"/>
      <c r="AZ37" s="2072"/>
      <c r="BA37" s="2072"/>
      <c r="BB37" s="2072"/>
      <c r="BC37" s="2072"/>
      <c r="BD37" s="2072"/>
      <c r="BE37" s="2072"/>
      <c r="BF37" s="2072"/>
      <c r="BG37" s="2072"/>
      <c r="BH37" s="2072"/>
      <c r="BI37" s="2072"/>
      <c r="BJ37" s="2072"/>
      <c r="BK37" s="2072"/>
      <c r="BL37" s="2072"/>
      <c r="BM37" s="2072"/>
      <c r="BN37" s="2072"/>
      <c r="BO37" s="2072"/>
      <c r="BP37" s="2073">
        <f>CD37</f>
        <v>85139.49</v>
      </c>
      <c r="BQ37" s="2073"/>
      <c r="BR37" s="2073"/>
      <c r="BS37" s="2073"/>
      <c r="BT37" s="2073"/>
      <c r="BU37" s="2073"/>
      <c r="BV37" s="2073"/>
      <c r="BW37" s="2073"/>
      <c r="BX37" s="2073"/>
      <c r="BY37" s="2073"/>
      <c r="BZ37" s="2073"/>
      <c r="CA37" s="2073"/>
      <c r="CB37" s="2073"/>
      <c r="CC37" s="138"/>
      <c r="CD37" s="138">
        <f>38000+13300+12000+4688.55+1655.96+15494.98</f>
        <v>85139.49</v>
      </c>
      <c r="CE37" s="987"/>
      <c r="CF37" s="138"/>
      <c r="CG37" s="138"/>
      <c r="CH37" s="138"/>
      <c r="CI37" s="1056" t="s">
        <v>1675</v>
      </c>
    </row>
    <row r="38" spans="1:87" s="140" customFormat="1" ht="15" customHeight="1" x14ac:dyDescent="0.2">
      <c r="A38" s="1774" t="s">
        <v>611</v>
      </c>
      <c r="B38" s="1775"/>
      <c r="C38" s="1775"/>
      <c r="D38" s="1775"/>
      <c r="E38" s="1775"/>
      <c r="F38" s="1775"/>
      <c r="G38" s="1775"/>
      <c r="H38" s="1775"/>
      <c r="I38" s="1775"/>
      <c r="J38" s="1775"/>
      <c r="K38" s="1775"/>
      <c r="L38" s="1775"/>
      <c r="M38" s="1775"/>
      <c r="N38" s="1775"/>
      <c r="O38" s="1775"/>
      <c r="P38" s="1775"/>
      <c r="Q38" s="1775"/>
      <c r="R38" s="1775"/>
      <c r="S38" s="1775"/>
      <c r="T38" s="1775"/>
      <c r="U38" s="1775"/>
      <c r="V38" s="1775"/>
      <c r="W38" s="1775"/>
      <c r="X38" s="1775"/>
      <c r="Y38" s="1775"/>
      <c r="Z38" s="1775"/>
      <c r="AA38" s="1775"/>
      <c r="AB38" s="1775"/>
      <c r="AC38" s="1775"/>
      <c r="AD38" s="1775"/>
      <c r="AE38" s="1775"/>
      <c r="AF38" s="1775"/>
      <c r="AG38" s="1775"/>
      <c r="AH38" s="1775"/>
      <c r="AI38" s="1776"/>
      <c r="AJ38" s="2084" t="s">
        <v>3</v>
      </c>
      <c r="AK38" s="2084"/>
      <c r="AL38" s="2084"/>
      <c r="AM38" s="2084"/>
      <c r="AN38" s="2084"/>
      <c r="AO38" s="2084"/>
      <c r="AP38" s="2084"/>
      <c r="AQ38" s="2084"/>
      <c r="AR38" s="2084"/>
      <c r="AS38" s="2084"/>
      <c r="AT38" s="2084"/>
      <c r="AU38" s="2073" t="s">
        <v>3</v>
      </c>
      <c r="AV38" s="2073"/>
      <c r="AW38" s="2073"/>
      <c r="AX38" s="2073"/>
      <c r="AY38" s="2073"/>
      <c r="AZ38" s="2073"/>
      <c r="BA38" s="2073"/>
      <c r="BB38" s="2073"/>
      <c r="BC38" s="2073"/>
      <c r="BD38" s="2073"/>
      <c r="BE38" s="2073" t="s">
        <v>3</v>
      </c>
      <c r="BF38" s="2073"/>
      <c r="BG38" s="2073"/>
      <c r="BH38" s="2073"/>
      <c r="BI38" s="2073"/>
      <c r="BJ38" s="2073"/>
      <c r="BK38" s="2073"/>
      <c r="BL38" s="2073"/>
      <c r="BM38" s="2073"/>
      <c r="BN38" s="2073"/>
      <c r="BO38" s="2073"/>
      <c r="BP38" s="2073">
        <f>BP30+BP34+BP37</f>
        <v>261705.97999999998</v>
      </c>
      <c r="BQ38" s="2073"/>
      <c r="BR38" s="2073"/>
      <c r="BS38" s="2073"/>
      <c r="BT38" s="2073"/>
      <c r="BU38" s="2073"/>
      <c r="BV38" s="2073"/>
      <c r="BW38" s="2073"/>
      <c r="BX38" s="2073"/>
      <c r="BY38" s="2073"/>
      <c r="BZ38" s="2073"/>
      <c r="CA38" s="2073"/>
      <c r="CB38" s="2073"/>
      <c r="CC38" s="139"/>
      <c r="CD38" s="139">
        <f>CD30+CD34+CD37</f>
        <v>200258.6</v>
      </c>
      <c r="CE38" s="1058"/>
      <c r="CF38" s="139"/>
      <c r="CG38" s="139"/>
      <c r="CH38" s="139">
        <f>CH28</f>
        <v>61447.38</v>
      </c>
      <c r="CI38" s="1110" t="s">
        <v>1700</v>
      </c>
    </row>
    <row r="39" spans="1:87" s="92" customFormat="1" ht="10.5" customHeight="1" x14ac:dyDescent="0.2"/>
    <row r="40" spans="1:87" ht="15.75" x14ac:dyDescent="0.2">
      <c r="A40" s="136" t="s">
        <v>612</v>
      </c>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93"/>
      <c r="CD40" s="93"/>
      <c r="CE40" s="93"/>
      <c r="CF40" s="93"/>
      <c r="CG40" s="93"/>
      <c r="CH40" s="93"/>
    </row>
    <row r="41" spans="1:87" ht="15.75" x14ac:dyDescent="0.2">
      <c r="A41" s="136" t="s">
        <v>613</v>
      </c>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93"/>
      <c r="CD41" s="93"/>
      <c r="CE41" s="93"/>
      <c r="CF41" s="93"/>
      <c r="CG41" s="93"/>
      <c r="CH41" s="93"/>
    </row>
    <row r="42" spans="1:87" x14ac:dyDescent="0.2">
      <c r="A42" s="1810" t="s">
        <v>38</v>
      </c>
      <c r="B42" s="1810"/>
      <c r="C42" s="1810"/>
      <c r="D42" s="1810"/>
      <c r="E42" s="1830" t="s">
        <v>114</v>
      </c>
      <c r="F42" s="1830"/>
      <c r="G42" s="1830"/>
      <c r="H42" s="1830"/>
      <c r="I42" s="1830"/>
      <c r="J42" s="1830"/>
      <c r="K42" s="1830"/>
      <c r="L42" s="1830"/>
      <c r="M42" s="1830"/>
      <c r="N42" s="1830"/>
      <c r="O42" s="1830"/>
      <c r="P42" s="1830"/>
      <c r="Q42" s="1830"/>
      <c r="R42" s="1830"/>
      <c r="S42" s="1830"/>
      <c r="T42" s="1830"/>
      <c r="U42" s="1830"/>
      <c r="V42" s="1830"/>
      <c r="W42" s="1830"/>
      <c r="X42" s="1830"/>
      <c r="Y42" s="1830"/>
      <c r="Z42" s="1830"/>
      <c r="AA42" s="1830"/>
      <c r="AB42" s="1830"/>
      <c r="AC42" s="1830"/>
      <c r="AD42" s="1830"/>
      <c r="AE42" s="1830"/>
      <c r="AF42" s="1830"/>
      <c r="AG42" s="1830"/>
      <c r="AH42" s="1830"/>
      <c r="AI42" s="1830"/>
      <c r="AJ42" s="1810" t="s">
        <v>602</v>
      </c>
      <c r="AK42" s="1810"/>
      <c r="AL42" s="1810"/>
      <c r="AM42" s="1810"/>
      <c r="AN42" s="1810"/>
      <c r="AO42" s="1810"/>
      <c r="AP42" s="1810"/>
      <c r="AQ42" s="1810"/>
      <c r="AR42" s="1810"/>
      <c r="AS42" s="1810"/>
      <c r="AT42" s="1810"/>
      <c r="AU42" s="1810" t="s">
        <v>603</v>
      </c>
      <c r="AV42" s="1810"/>
      <c r="AW42" s="1810"/>
      <c r="AX42" s="1810"/>
      <c r="AY42" s="1810"/>
      <c r="AZ42" s="1810"/>
      <c r="BA42" s="1810"/>
      <c r="BB42" s="1810"/>
      <c r="BC42" s="1810"/>
      <c r="BD42" s="1810"/>
      <c r="BE42" s="1810" t="s">
        <v>604</v>
      </c>
      <c r="BF42" s="1810"/>
      <c r="BG42" s="1810"/>
      <c r="BH42" s="1810"/>
      <c r="BI42" s="1810"/>
      <c r="BJ42" s="1810"/>
      <c r="BK42" s="1810"/>
      <c r="BL42" s="1810"/>
      <c r="BM42" s="1810"/>
      <c r="BN42" s="1810"/>
      <c r="BO42" s="1810"/>
      <c r="BP42" s="1830" t="s">
        <v>6</v>
      </c>
      <c r="BQ42" s="1830"/>
      <c r="BR42" s="1830"/>
      <c r="BS42" s="1830"/>
      <c r="BT42" s="1830"/>
      <c r="BU42" s="1830"/>
      <c r="BV42" s="1830"/>
      <c r="BW42" s="1830"/>
      <c r="BX42" s="1830"/>
      <c r="BY42" s="1830"/>
      <c r="BZ42" s="1830"/>
      <c r="CA42" s="1830"/>
      <c r="CB42" s="1830"/>
      <c r="CC42" s="1830" t="s">
        <v>52</v>
      </c>
      <c r="CD42" s="1830"/>
      <c r="CE42" s="1830"/>
      <c r="CF42" s="1830"/>
      <c r="CG42" s="1830"/>
      <c r="CH42" s="1830"/>
    </row>
    <row r="43" spans="1:87" x14ac:dyDescent="0.2">
      <c r="A43" s="1810"/>
      <c r="B43" s="1810"/>
      <c r="C43" s="1810"/>
      <c r="D43" s="1810"/>
      <c r="E43" s="1830"/>
      <c r="F43" s="1830"/>
      <c r="G43" s="1830"/>
      <c r="H43" s="1830"/>
      <c r="I43" s="1830"/>
      <c r="J43" s="1830"/>
      <c r="K43" s="1830"/>
      <c r="L43" s="1830"/>
      <c r="M43" s="1830"/>
      <c r="N43" s="1830"/>
      <c r="O43" s="1830"/>
      <c r="P43" s="1830"/>
      <c r="Q43" s="1830"/>
      <c r="R43" s="1830"/>
      <c r="S43" s="1830"/>
      <c r="T43" s="1830"/>
      <c r="U43" s="1830"/>
      <c r="V43" s="1830"/>
      <c r="W43" s="1830"/>
      <c r="X43" s="1830"/>
      <c r="Y43" s="1830"/>
      <c r="Z43" s="1830"/>
      <c r="AA43" s="1830"/>
      <c r="AB43" s="1830"/>
      <c r="AC43" s="1830"/>
      <c r="AD43" s="1830"/>
      <c r="AE43" s="1830"/>
      <c r="AF43" s="1830"/>
      <c r="AG43" s="1830"/>
      <c r="AH43" s="1830"/>
      <c r="AI43" s="1830"/>
      <c r="AJ43" s="1810"/>
      <c r="AK43" s="1810"/>
      <c r="AL43" s="1810"/>
      <c r="AM43" s="1810"/>
      <c r="AN43" s="1810"/>
      <c r="AO43" s="1810"/>
      <c r="AP43" s="1810"/>
      <c r="AQ43" s="1810"/>
      <c r="AR43" s="1810"/>
      <c r="AS43" s="1810"/>
      <c r="AT43" s="1810"/>
      <c r="AU43" s="1810"/>
      <c r="AV43" s="1810"/>
      <c r="AW43" s="1810"/>
      <c r="AX43" s="1810"/>
      <c r="AY43" s="1810"/>
      <c r="AZ43" s="1810"/>
      <c r="BA43" s="1810"/>
      <c r="BB43" s="1810"/>
      <c r="BC43" s="1810"/>
      <c r="BD43" s="1810"/>
      <c r="BE43" s="1810"/>
      <c r="BF43" s="1810"/>
      <c r="BG43" s="1810"/>
      <c r="BH43" s="1810"/>
      <c r="BI43" s="1810"/>
      <c r="BJ43" s="1810"/>
      <c r="BK43" s="1810"/>
      <c r="BL43" s="1810"/>
      <c r="BM43" s="1810"/>
      <c r="BN43" s="1810"/>
      <c r="BO43" s="1810"/>
      <c r="BP43" s="1830"/>
      <c r="BQ43" s="1830"/>
      <c r="BR43" s="1830"/>
      <c r="BS43" s="1830"/>
      <c r="BT43" s="1830"/>
      <c r="BU43" s="1830"/>
      <c r="BV43" s="1830"/>
      <c r="BW43" s="1830"/>
      <c r="BX43" s="1830"/>
      <c r="BY43" s="1830"/>
      <c r="BZ43" s="1830"/>
      <c r="CA43" s="1830"/>
      <c r="CB43" s="1830"/>
      <c r="CC43" s="1810" t="s">
        <v>35</v>
      </c>
      <c r="CD43" s="1810"/>
      <c r="CE43" s="1810" t="s">
        <v>45</v>
      </c>
      <c r="CF43" s="1810"/>
      <c r="CG43" s="1810"/>
      <c r="CH43" s="1810" t="s">
        <v>46</v>
      </c>
    </row>
    <row r="44" spans="1:87" x14ac:dyDescent="0.2">
      <c r="A44" s="1810"/>
      <c r="B44" s="1810"/>
      <c r="C44" s="1810"/>
      <c r="D44" s="1810"/>
      <c r="E44" s="1830"/>
      <c r="F44" s="1830"/>
      <c r="G44" s="1830"/>
      <c r="H44" s="1830"/>
      <c r="I44" s="1830"/>
      <c r="J44" s="1830"/>
      <c r="K44" s="1830"/>
      <c r="L44" s="1830"/>
      <c r="M44" s="1830"/>
      <c r="N44" s="1830"/>
      <c r="O44" s="1830"/>
      <c r="P44" s="1830"/>
      <c r="Q44" s="1830"/>
      <c r="R44" s="1830"/>
      <c r="S44" s="1830"/>
      <c r="T44" s="1830"/>
      <c r="U44" s="1830"/>
      <c r="V44" s="1830"/>
      <c r="W44" s="1830"/>
      <c r="X44" s="1830"/>
      <c r="Y44" s="1830"/>
      <c r="Z44" s="1830"/>
      <c r="AA44" s="1830"/>
      <c r="AB44" s="1830"/>
      <c r="AC44" s="1830"/>
      <c r="AD44" s="1830"/>
      <c r="AE44" s="1830"/>
      <c r="AF44" s="1830"/>
      <c r="AG44" s="1830"/>
      <c r="AH44" s="1830"/>
      <c r="AI44" s="1830"/>
      <c r="AJ44" s="1810"/>
      <c r="AK44" s="1810"/>
      <c r="AL44" s="1810"/>
      <c r="AM44" s="1810"/>
      <c r="AN44" s="1810"/>
      <c r="AO44" s="1810"/>
      <c r="AP44" s="1810"/>
      <c r="AQ44" s="1810"/>
      <c r="AR44" s="1810"/>
      <c r="AS44" s="1810"/>
      <c r="AT44" s="1810"/>
      <c r="AU44" s="1810"/>
      <c r="AV44" s="1810"/>
      <c r="AW44" s="1810"/>
      <c r="AX44" s="1810"/>
      <c r="AY44" s="1810"/>
      <c r="AZ44" s="1810"/>
      <c r="BA44" s="1810"/>
      <c r="BB44" s="1810"/>
      <c r="BC44" s="1810"/>
      <c r="BD44" s="1810"/>
      <c r="BE44" s="1810"/>
      <c r="BF44" s="1810"/>
      <c r="BG44" s="1810"/>
      <c r="BH44" s="1810"/>
      <c r="BI44" s="1810"/>
      <c r="BJ44" s="1810"/>
      <c r="BK44" s="1810"/>
      <c r="BL44" s="1810"/>
      <c r="BM44" s="1810"/>
      <c r="BN44" s="1810"/>
      <c r="BO44" s="1810"/>
      <c r="BP44" s="1830"/>
      <c r="BQ44" s="1830"/>
      <c r="BR44" s="1830"/>
      <c r="BS44" s="1830"/>
      <c r="BT44" s="1830"/>
      <c r="BU44" s="1830"/>
      <c r="BV44" s="1830"/>
      <c r="BW44" s="1830"/>
      <c r="BX44" s="1830"/>
      <c r="BY44" s="1830"/>
      <c r="BZ44" s="1830"/>
      <c r="CA44" s="1830"/>
      <c r="CB44" s="1830"/>
      <c r="CC44" s="1810" t="s">
        <v>43</v>
      </c>
      <c r="CD44" s="1810" t="s">
        <v>44</v>
      </c>
      <c r="CE44" s="1810" t="s">
        <v>55</v>
      </c>
      <c r="CF44" s="1810" t="s">
        <v>43</v>
      </c>
      <c r="CG44" s="1810" t="s">
        <v>44</v>
      </c>
      <c r="CH44" s="1810"/>
    </row>
    <row r="45" spans="1:87" ht="81.75" customHeight="1" x14ac:dyDescent="0.2">
      <c r="A45" s="1810"/>
      <c r="B45" s="1810"/>
      <c r="C45" s="1810"/>
      <c r="D45" s="1810"/>
      <c r="E45" s="1830"/>
      <c r="F45" s="1830"/>
      <c r="G45" s="1830"/>
      <c r="H45" s="1830"/>
      <c r="I45" s="1830"/>
      <c r="J45" s="1830"/>
      <c r="K45" s="1830"/>
      <c r="L45" s="1830"/>
      <c r="M45" s="1830"/>
      <c r="N45" s="1830"/>
      <c r="O45" s="1830"/>
      <c r="P45" s="1830"/>
      <c r="Q45" s="1830"/>
      <c r="R45" s="1830"/>
      <c r="S45" s="1830"/>
      <c r="T45" s="1830"/>
      <c r="U45" s="1830"/>
      <c r="V45" s="1830"/>
      <c r="W45" s="1830"/>
      <c r="X45" s="1830"/>
      <c r="Y45" s="1830"/>
      <c r="Z45" s="1830"/>
      <c r="AA45" s="1830"/>
      <c r="AB45" s="1830"/>
      <c r="AC45" s="1830"/>
      <c r="AD45" s="1830"/>
      <c r="AE45" s="1830"/>
      <c r="AF45" s="1830"/>
      <c r="AG45" s="1830"/>
      <c r="AH45" s="1830"/>
      <c r="AI45" s="1830"/>
      <c r="AJ45" s="1810"/>
      <c r="AK45" s="1810"/>
      <c r="AL45" s="1810"/>
      <c r="AM45" s="1810"/>
      <c r="AN45" s="1810"/>
      <c r="AO45" s="1810"/>
      <c r="AP45" s="1810"/>
      <c r="AQ45" s="1810"/>
      <c r="AR45" s="1810"/>
      <c r="AS45" s="1810"/>
      <c r="AT45" s="1810"/>
      <c r="AU45" s="1810"/>
      <c r="AV45" s="1810"/>
      <c r="AW45" s="1810"/>
      <c r="AX45" s="1810"/>
      <c r="AY45" s="1810"/>
      <c r="AZ45" s="1810"/>
      <c r="BA45" s="1810"/>
      <c r="BB45" s="1810"/>
      <c r="BC45" s="1810"/>
      <c r="BD45" s="1810"/>
      <c r="BE45" s="1810"/>
      <c r="BF45" s="1810"/>
      <c r="BG45" s="1810"/>
      <c r="BH45" s="1810"/>
      <c r="BI45" s="1810"/>
      <c r="BJ45" s="1810"/>
      <c r="BK45" s="1810"/>
      <c r="BL45" s="1810"/>
      <c r="BM45" s="1810"/>
      <c r="BN45" s="1810"/>
      <c r="BO45" s="1810"/>
      <c r="BP45" s="1830"/>
      <c r="BQ45" s="1830"/>
      <c r="BR45" s="1830"/>
      <c r="BS45" s="1830"/>
      <c r="BT45" s="1830"/>
      <c r="BU45" s="1830"/>
      <c r="BV45" s="1830"/>
      <c r="BW45" s="1830"/>
      <c r="BX45" s="1830"/>
      <c r="BY45" s="1830"/>
      <c r="BZ45" s="1830"/>
      <c r="CA45" s="1830"/>
      <c r="CB45" s="1830"/>
      <c r="CC45" s="1810"/>
      <c r="CD45" s="1810"/>
      <c r="CE45" s="1810"/>
      <c r="CF45" s="1810"/>
      <c r="CG45" s="1810"/>
      <c r="CH45" s="1810"/>
    </row>
    <row r="46" spans="1:87" x14ac:dyDescent="0.2">
      <c r="A46" s="1830">
        <v>1</v>
      </c>
      <c r="B46" s="1830"/>
      <c r="C46" s="1830"/>
      <c r="D46" s="1830"/>
      <c r="E46" s="1830">
        <v>2</v>
      </c>
      <c r="F46" s="1830"/>
      <c r="G46" s="1830"/>
      <c r="H46" s="1830"/>
      <c r="I46" s="1830"/>
      <c r="J46" s="1830"/>
      <c r="K46" s="1830"/>
      <c r="L46" s="1830"/>
      <c r="M46" s="1830"/>
      <c r="N46" s="1830"/>
      <c r="O46" s="1830"/>
      <c r="P46" s="1830"/>
      <c r="Q46" s="1830"/>
      <c r="R46" s="1830"/>
      <c r="S46" s="1830"/>
      <c r="T46" s="1830"/>
      <c r="U46" s="1830"/>
      <c r="V46" s="1830"/>
      <c r="W46" s="1830"/>
      <c r="X46" s="1830"/>
      <c r="Y46" s="1830"/>
      <c r="Z46" s="1830"/>
      <c r="AA46" s="1830"/>
      <c r="AB46" s="1830"/>
      <c r="AC46" s="1830"/>
      <c r="AD46" s="1830"/>
      <c r="AE46" s="1830"/>
      <c r="AF46" s="1830"/>
      <c r="AG46" s="1830"/>
      <c r="AH46" s="1830"/>
      <c r="AI46" s="1830"/>
      <c r="AJ46" s="1830">
        <v>3</v>
      </c>
      <c r="AK46" s="1830"/>
      <c r="AL46" s="1830"/>
      <c r="AM46" s="1830"/>
      <c r="AN46" s="1830"/>
      <c r="AO46" s="1830"/>
      <c r="AP46" s="1830"/>
      <c r="AQ46" s="1830"/>
      <c r="AR46" s="1830"/>
      <c r="AS46" s="1830"/>
      <c r="AT46" s="1830"/>
      <c r="AU46" s="1830">
        <v>4</v>
      </c>
      <c r="AV46" s="1830"/>
      <c r="AW46" s="1830"/>
      <c r="AX46" s="1830"/>
      <c r="AY46" s="1830"/>
      <c r="AZ46" s="1830"/>
      <c r="BA46" s="1830"/>
      <c r="BB46" s="1830"/>
      <c r="BC46" s="1830"/>
      <c r="BD46" s="1830"/>
      <c r="BE46" s="1830">
        <v>5</v>
      </c>
      <c r="BF46" s="1830"/>
      <c r="BG46" s="1830"/>
      <c r="BH46" s="1830"/>
      <c r="BI46" s="1830"/>
      <c r="BJ46" s="1830"/>
      <c r="BK46" s="1830"/>
      <c r="BL46" s="1830"/>
      <c r="BM46" s="1830"/>
      <c r="BN46" s="1830"/>
      <c r="BO46" s="1830"/>
      <c r="BP46" s="1830" t="s">
        <v>124</v>
      </c>
      <c r="BQ46" s="1830"/>
      <c r="BR46" s="1830"/>
      <c r="BS46" s="1830"/>
      <c r="BT46" s="1830"/>
      <c r="BU46" s="1830"/>
      <c r="BV46" s="1830"/>
      <c r="BW46" s="1830"/>
      <c r="BX46" s="1830"/>
      <c r="BY46" s="1830"/>
      <c r="BZ46" s="1830"/>
      <c r="CA46" s="1830"/>
      <c r="CB46" s="1830"/>
      <c r="CC46" s="16">
        <v>7</v>
      </c>
      <c r="CD46" s="16">
        <v>8</v>
      </c>
      <c r="CE46" s="16">
        <v>9</v>
      </c>
      <c r="CF46" s="16">
        <v>10</v>
      </c>
      <c r="CG46" s="16">
        <v>11</v>
      </c>
      <c r="CH46" s="16">
        <v>12</v>
      </c>
      <c r="CI46" s="590"/>
    </row>
    <row r="47" spans="1:87" x14ac:dyDescent="0.2">
      <c r="A47" s="1830"/>
      <c r="B47" s="1830"/>
      <c r="C47" s="1830"/>
      <c r="D47" s="1830"/>
      <c r="E47" s="1837" t="s">
        <v>630</v>
      </c>
      <c r="F47" s="1837"/>
      <c r="G47" s="1837"/>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2060">
        <f>457.98+147.19</f>
        <v>605.17000000000007</v>
      </c>
      <c r="AK47" s="2061"/>
      <c r="AL47" s="2061"/>
      <c r="AM47" s="2061"/>
      <c r="AN47" s="2061"/>
      <c r="AO47" s="2061"/>
      <c r="AP47" s="2061"/>
      <c r="AQ47" s="2061"/>
      <c r="AR47" s="2061"/>
      <c r="AS47" s="2061"/>
      <c r="AT47" s="2062"/>
      <c r="AU47" s="2072">
        <v>1908.77</v>
      </c>
      <c r="AV47" s="2072"/>
      <c r="AW47" s="2072"/>
      <c r="AX47" s="2072"/>
      <c r="AY47" s="2072"/>
      <c r="AZ47" s="2072"/>
      <c r="BA47" s="2072"/>
      <c r="BB47" s="2072"/>
      <c r="BC47" s="2072"/>
      <c r="BD47" s="2072"/>
      <c r="BE47" s="2072"/>
      <c r="BF47" s="2072"/>
      <c r="BG47" s="2072"/>
      <c r="BH47" s="2072"/>
      <c r="BI47" s="2072"/>
      <c r="BJ47" s="2072"/>
      <c r="BK47" s="2072"/>
      <c r="BL47" s="2072"/>
      <c r="BM47" s="2072"/>
      <c r="BN47" s="2072"/>
      <c r="BO47" s="2072"/>
      <c r="BP47" s="2072">
        <f t="shared" ref="BP47:BP58" si="1">CD47+CH47</f>
        <v>1155130.3400000001</v>
      </c>
      <c r="BQ47" s="2072"/>
      <c r="BR47" s="2072"/>
      <c r="BS47" s="2072"/>
      <c r="BT47" s="2072"/>
      <c r="BU47" s="2072"/>
      <c r="BV47" s="2072"/>
      <c r="BW47" s="2072"/>
      <c r="BX47" s="2072"/>
      <c r="BY47" s="2072"/>
      <c r="BZ47" s="2072"/>
      <c r="CA47" s="2072"/>
      <c r="CB47" s="2072"/>
      <c r="CC47" s="138"/>
      <c r="CD47" s="138">
        <f>1155130.34-CH47</f>
        <v>1153277.74</v>
      </c>
      <c r="CE47" s="138"/>
      <c r="CF47" s="138"/>
      <c r="CG47" s="138"/>
      <c r="CH47" s="138">
        <v>1852.6</v>
      </c>
      <c r="CI47" s="988"/>
    </row>
    <row r="48" spans="1:87" x14ac:dyDescent="0.2">
      <c r="A48" s="1830"/>
      <c r="B48" s="1830"/>
      <c r="C48" s="1830"/>
      <c r="D48" s="1830"/>
      <c r="E48" s="1837" t="s">
        <v>1554</v>
      </c>
      <c r="F48" s="1837"/>
      <c r="G48" s="1837"/>
      <c r="H48" s="1837"/>
      <c r="I48" s="1837"/>
      <c r="J48" s="1837"/>
      <c r="K48" s="1837"/>
      <c r="L48" s="1837"/>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2060">
        <v>264.75</v>
      </c>
      <c r="AK48" s="2061"/>
      <c r="AL48" s="2061"/>
      <c r="AM48" s="2061"/>
      <c r="AN48" s="2061"/>
      <c r="AO48" s="2061"/>
      <c r="AP48" s="2061"/>
      <c r="AQ48" s="2061"/>
      <c r="AR48" s="2061"/>
      <c r="AS48" s="2061"/>
      <c r="AT48" s="2062"/>
      <c r="AU48" s="2072">
        <v>2076.0700000000002</v>
      </c>
      <c r="AV48" s="2072"/>
      <c r="AW48" s="2072"/>
      <c r="AX48" s="2072"/>
      <c r="AY48" s="2072"/>
      <c r="AZ48" s="2072"/>
      <c r="BA48" s="2072"/>
      <c r="BB48" s="2072"/>
      <c r="BC48" s="2072"/>
      <c r="BD48" s="2072"/>
      <c r="BE48" s="2072"/>
      <c r="BF48" s="2072"/>
      <c r="BG48" s="2072"/>
      <c r="BH48" s="2072"/>
      <c r="BI48" s="2072"/>
      <c r="BJ48" s="2072"/>
      <c r="BK48" s="2072"/>
      <c r="BL48" s="2072"/>
      <c r="BM48" s="2072"/>
      <c r="BN48" s="2072"/>
      <c r="BO48" s="2072"/>
      <c r="BP48" s="2072">
        <f t="shared" ref="BP48" si="2">CD48+CH48</f>
        <v>549639.53</v>
      </c>
      <c r="BQ48" s="2072"/>
      <c r="BR48" s="2072"/>
      <c r="BS48" s="2072"/>
      <c r="BT48" s="2072"/>
      <c r="BU48" s="2072"/>
      <c r="BV48" s="2072"/>
      <c r="BW48" s="2072"/>
      <c r="BX48" s="2072"/>
      <c r="BY48" s="2072"/>
      <c r="BZ48" s="2072"/>
      <c r="CA48" s="2072"/>
      <c r="CB48" s="2072"/>
      <c r="CC48" s="138"/>
      <c r="CD48" s="138">
        <f>549639.53-CH48</f>
        <v>547871.28</v>
      </c>
      <c r="CE48" s="138"/>
      <c r="CF48" s="138"/>
      <c r="CG48" s="138"/>
      <c r="CH48" s="138">
        <v>1768.25</v>
      </c>
      <c r="CI48" s="988"/>
    </row>
    <row r="49" spans="1:98" ht="28.9" customHeight="1" x14ac:dyDescent="0.2">
      <c r="A49" s="1830"/>
      <c r="B49" s="1830"/>
      <c r="C49" s="1830"/>
      <c r="D49" s="1830"/>
      <c r="E49" s="1772" t="s">
        <v>1555</v>
      </c>
      <c r="F49" s="1882"/>
      <c r="G49" s="1882"/>
      <c r="H49" s="1882"/>
      <c r="I49" s="1882"/>
      <c r="J49" s="1882"/>
      <c r="K49" s="1882"/>
      <c r="L49" s="1882"/>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773"/>
      <c r="AJ49" s="2060">
        <f>100.8+78.75</f>
        <v>179.55</v>
      </c>
      <c r="AK49" s="2061"/>
      <c r="AL49" s="2061"/>
      <c r="AM49" s="2061"/>
      <c r="AN49" s="2061"/>
      <c r="AO49" s="2061"/>
      <c r="AP49" s="2061"/>
      <c r="AQ49" s="2061"/>
      <c r="AR49" s="2061"/>
      <c r="AS49" s="2061"/>
      <c r="AT49" s="2062"/>
      <c r="AU49" s="2072">
        <v>1908.77</v>
      </c>
      <c r="AV49" s="2072"/>
      <c r="AW49" s="2072"/>
      <c r="AX49" s="2072"/>
      <c r="AY49" s="2072"/>
      <c r="AZ49" s="2072"/>
      <c r="BA49" s="2072"/>
      <c r="BB49" s="2072"/>
      <c r="BC49" s="2072"/>
      <c r="BD49" s="2072"/>
      <c r="BE49" s="2072"/>
      <c r="BF49" s="2072"/>
      <c r="BG49" s="2072"/>
      <c r="BH49" s="2072"/>
      <c r="BI49" s="2072"/>
      <c r="BJ49" s="2072"/>
      <c r="BK49" s="2072"/>
      <c r="BL49" s="2072"/>
      <c r="BM49" s="2072"/>
      <c r="BN49" s="2072"/>
      <c r="BO49" s="2072"/>
      <c r="BP49" s="2072">
        <f t="shared" si="1"/>
        <v>342719.66000000003</v>
      </c>
      <c r="BQ49" s="2072"/>
      <c r="BR49" s="2072"/>
      <c r="BS49" s="2072"/>
      <c r="BT49" s="2072"/>
      <c r="BU49" s="2072"/>
      <c r="BV49" s="2072"/>
      <c r="BW49" s="2072"/>
      <c r="BX49" s="2072"/>
      <c r="BY49" s="2072"/>
      <c r="BZ49" s="2072"/>
      <c r="CA49" s="2072"/>
      <c r="CB49" s="2072"/>
      <c r="CC49" s="138"/>
      <c r="CD49" s="138"/>
      <c r="CE49" s="138"/>
      <c r="CF49" s="138"/>
      <c r="CG49" s="138"/>
      <c r="CH49" s="138">
        <f>192404.02+150315.64</f>
        <v>342719.66000000003</v>
      </c>
      <c r="CI49" s="988"/>
    </row>
    <row r="50" spans="1:98" ht="28.15" customHeight="1" x14ac:dyDescent="0.2">
      <c r="A50" s="1830"/>
      <c r="B50" s="1830"/>
      <c r="C50" s="1830"/>
      <c r="D50" s="1830"/>
      <c r="E50" s="1772" t="s">
        <v>1556</v>
      </c>
      <c r="F50" s="1882"/>
      <c r="G50" s="1882"/>
      <c r="H50" s="1882"/>
      <c r="I50" s="1882"/>
      <c r="J50" s="1882"/>
      <c r="K50" s="1882"/>
      <c r="L50" s="1882"/>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773"/>
      <c r="AJ50" s="2060">
        <f>47.25+88.2</f>
        <v>135.44999999999999</v>
      </c>
      <c r="AK50" s="2061"/>
      <c r="AL50" s="2061"/>
      <c r="AM50" s="2061"/>
      <c r="AN50" s="2061"/>
      <c r="AO50" s="2061"/>
      <c r="AP50" s="2061"/>
      <c r="AQ50" s="2061"/>
      <c r="AR50" s="2061"/>
      <c r="AS50" s="2061"/>
      <c r="AT50" s="2062"/>
      <c r="AU50" s="2072">
        <v>2076.0700000000002</v>
      </c>
      <c r="AV50" s="2072"/>
      <c r="AW50" s="2072"/>
      <c r="AX50" s="2072"/>
      <c r="AY50" s="2072"/>
      <c r="AZ50" s="2072"/>
      <c r="BA50" s="2072"/>
      <c r="BB50" s="2072"/>
      <c r="BC50" s="2072"/>
      <c r="BD50" s="2072"/>
      <c r="BE50" s="2072"/>
      <c r="BF50" s="2072"/>
      <c r="BG50" s="2072"/>
      <c r="BH50" s="2072"/>
      <c r="BI50" s="2072"/>
      <c r="BJ50" s="2072"/>
      <c r="BK50" s="2072"/>
      <c r="BL50" s="2072"/>
      <c r="BM50" s="2072"/>
      <c r="BN50" s="2072"/>
      <c r="BO50" s="2072"/>
      <c r="BP50" s="2072">
        <f t="shared" ref="BP50" si="3">CD50+CH50</f>
        <v>281203.68</v>
      </c>
      <c r="BQ50" s="2072"/>
      <c r="BR50" s="2072"/>
      <c r="BS50" s="2072"/>
      <c r="BT50" s="2072"/>
      <c r="BU50" s="2072"/>
      <c r="BV50" s="2072"/>
      <c r="BW50" s="2072"/>
      <c r="BX50" s="2072"/>
      <c r="BY50" s="2072"/>
      <c r="BZ50" s="2072"/>
      <c r="CA50" s="2072"/>
      <c r="CB50" s="2072"/>
      <c r="CC50" s="138"/>
      <c r="CD50" s="138"/>
      <c r="CE50" s="138"/>
      <c r="CF50" s="138"/>
      <c r="CG50" s="138"/>
      <c r="CH50" s="138">
        <f>98094.31+183109.37</f>
        <v>281203.68</v>
      </c>
      <c r="CI50" s="988"/>
    </row>
    <row r="51" spans="1:98" x14ac:dyDescent="0.2">
      <c r="A51" s="1830"/>
      <c r="B51" s="1830"/>
      <c r="C51" s="1830"/>
      <c r="D51" s="1830"/>
      <c r="E51" s="1837" t="s">
        <v>631</v>
      </c>
      <c r="F51" s="1837"/>
      <c r="G51" s="1837"/>
      <c r="H51" s="1837"/>
      <c r="I51" s="1837"/>
      <c r="J51" s="1837"/>
      <c r="K51" s="1837"/>
      <c r="L51" s="183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2060">
        <f>3.91+3.63</f>
        <v>7.54</v>
      </c>
      <c r="AK51" s="2061"/>
      <c r="AL51" s="2061"/>
      <c r="AM51" s="2061"/>
      <c r="AN51" s="2061"/>
      <c r="AO51" s="2061"/>
      <c r="AP51" s="2061"/>
      <c r="AQ51" s="2061"/>
      <c r="AR51" s="2061"/>
      <c r="AS51" s="2061"/>
      <c r="AT51" s="2062"/>
      <c r="AU51" s="2072">
        <v>1908.77</v>
      </c>
      <c r="AV51" s="2072"/>
      <c r="AW51" s="2072"/>
      <c r="AX51" s="2072"/>
      <c r="AY51" s="2072"/>
      <c r="AZ51" s="2072"/>
      <c r="BA51" s="2072"/>
      <c r="BB51" s="2072"/>
      <c r="BC51" s="2072"/>
      <c r="BD51" s="2072"/>
      <c r="BE51" s="2072"/>
      <c r="BF51" s="2072"/>
      <c r="BG51" s="2072"/>
      <c r="BH51" s="2072"/>
      <c r="BI51" s="2072"/>
      <c r="BJ51" s="2072"/>
      <c r="BK51" s="2072"/>
      <c r="BL51" s="2072"/>
      <c r="BM51" s="2072"/>
      <c r="BN51" s="2072"/>
      <c r="BO51" s="2072"/>
      <c r="BP51" s="2072">
        <f t="shared" si="1"/>
        <v>14392.13</v>
      </c>
      <c r="BQ51" s="2072"/>
      <c r="BR51" s="2072"/>
      <c r="BS51" s="2072"/>
      <c r="BT51" s="2072"/>
      <c r="BU51" s="2072"/>
      <c r="BV51" s="2072"/>
      <c r="BW51" s="2072"/>
      <c r="BX51" s="2072"/>
      <c r="BY51" s="2072"/>
      <c r="BZ51" s="2072"/>
      <c r="CA51" s="2072"/>
      <c r="CB51" s="2072"/>
      <c r="CC51" s="138"/>
      <c r="CD51" s="138">
        <v>14392.13</v>
      </c>
      <c r="CE51" s="138"/>
      <c r="CF51" s="138"/>
      <c r="CG51" s="138"/>
      <c r="CH51" s="138"/>
      <c r="CI51" s="988"/>
    </row>
    <row r="52" spans="1:98" x14ac:dyDescent="0.2">
      <c r="A52" s="1830"/>
      <c r="B52" s="1830"/>
      <c r="C52" s="1830"/>
      <c r="D52" s="1830"/>
      <c r="E52" s="1837" t="s">
        <v>632</v>
      </c>
      <c r="F52" s="1837"/>
      <c r="G52" s="1837"/>
      <c r="H52" s="1837"/>
      <c r="I52" s="1837"/>
      <c r="J52" s="1837"/>
      <c r="K52" s="1837"/>
      <c r="L52" s="1837"/>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2060">
        <f>1.13+4.5</f>
        <v>5.63</v>
      </c>
      <c r="AK52" s="2061"/>
      <c r="AL52" s="2061"/>
      <c r="AM52" s="2061"/>
      <c r="AN52" s="2061"/>
      <c r="AO52" s="2061"/>
      <c r="AP52" s="2061"/>
      <c r="AQ52" s="2061"/>
      <c r="AR52" s="2061"/>
      <c r="AS52" s="2061"/>
      <c r="AT52" s="2062"/>
      <c r="AU52" s="2072">
        <v>2076.0700000000002</v>
      </c>
      <c r="AV52" s="2072"/>
      <c r="AW52" s="2072"/>
      <c r="AX52" s="2072"/>
      <c r="AY52" s="2072"/>
      <c r="AZ52" s="2072"/>
      <c r="BA52" s="2072"/>
      <c r="BB52" s="2072"/>
      <c r="BC52" s="2072"/>
      <c r="BD52" s="2072"/>
      <c r="BE52" s="2072"/>
      <c r="BF52" s="2072"/>
      <c r="BG52" s="2072"/>
      <c r="BH52" s="2072"/>
      <c r="BI52" s="2072"/>
      <c r="BJ52" s="2072"/>
      <c r="BK52" s="2072"/>
      <c r="BL52" s="2072"/>
      <c r="BM52" s="2072"/>
      <c r="BN52" s="2072"/>
      <c r="BO52" s="2072"/>
      <c r="BP52" s="2072">
        <f t="shared" ref="BP52" si="4">CD52+CH52</f>
        <v>11688.27</v>
      </c>
      <c r="BQ52" s="2072"/>
      <c r="BR52" s="2072"/>
      <c r="BS52" s="2072"/>
      <c r="BT52" s="2072"/>
      <c r="BU52" s="2072"/>
      <c r="BV52" s="2072"/>
      <c r="BW52" s="2072"/>
      <c r="BX52" s="2072"/>
      <c r="BY52" s="2072"/>
      <c r="BZ52" s="2072"/>
      <c r="CA52" s="2072"/>
      <c r="CB52" s="2072"/>
      <c r="CC52" s="138"/>
      <c r="CD52" s="138">
        <v>11688.27</v>
      </c>
      <c r="CE52" s="138"/>
      <c r="CF52" s="138"/>
      <c r="CG52" s="138"/>
      <c r="CH52" s="138"/>
      <c r="CI52" s="988"/>
    </row>
    <row r="53" spans="1:98" ht="25.9" customHeight="1" x14ac:dyDescent="0.2">
      <c r="A53" s="1830"/>
      <c r="B53" s="1830"/>
      <c r="C53" s="1830"/>
      <c r="D53" s="1830"/>
      <c r="E53" s="1772" t="s">
        <v>1555</v>
      </c>
      <c r="F53" s="1882"/>
      <c r="G53" s="1882"/>
      <c r="H53" s="1882"/>
      <c r="I53" s="1882"/>
      <c r="J53" s="1882"/>
      <c r="K53" s="1882"/>
      <c r="L53" s="1882"/>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773"/>
      <c r="AJ53" s="2060">
        <f>3.2+2.5</f>
        <v>5.7</v>
      </c>
      <c r="AK53" s="2061"/>
      <c r="AL53" s="2061"/>
      <c r="AM53" s="2061"/>
      <c r="AN53" s="2061"/>
      <c r="AO53" s="2061"/>
      <c r="AP53" s="2061"/>
      <c r="AQ53" s="2061"/>
      <c r="AR53" s="2061"/>
      <c r="AS53" s="2061"/>
      <c r="AT53" s="2062"/>
      <c r="AU53" s="2072">
        <v>1908.77</v>
      </c>
      <c r="AV53" s="2072"/>
      <c r="AW53" s="2072"/>
      <c r="AX53" s="2072"/>
      <c r="AY53" s="2072"/>
      <c r="AZ53" s="2072"/>
      <c r="BA53" s="2072"/>
      <c r="BB53" s="2072"/>
      <c r="BC53" s="2072"/>
      <c r="BD53" s="2072"/>
      <c r="BE53" s="2072"/>
      <c r="BF53" s="2072"/>
      <c r="BG53" s="2072"/>
      <c r="BH53" s="2072"/>
      <c r="BI53" s="2072"/>
      <c r="BJ53" s="2072"/>
      <c r="BK53" s="2072"/>
      <c r="BL53" s="2072"/>
      <c r="BM53" s="2072"/>
      <c r="BN53" s="2072"/>
      <c r="BO53" s="2072"/>
      <c r="BP53" s="2072">
        <f t="shared" si="1"/>
        <v>10879.990000000002</v>
      </c>
      <c r="BQ53" s="2072"/>
      <c r="BR53" s="2072"/>
      <c r="BS53" s="2072"/>
      <c r="BT53" s="2072"/>
      <c r="BU53" s="2072"/>
      <c r="BV53" s="2072"/>
      <c r="BW53" s="2072"/>
      <c r="BX53" s="2072"/>
      <c r="BY53" s="2072"/>
      <c r="BZ53" s="2072"/>
      <c r="CA53" s="2072"/>
      <c r="CB53" s="2072"/>
      <c r="CC53" s="138"/>
      <c r="CD53" s="138"/>
      <c r="CE53" s="138"/>
      <c r="CF53" s="138"/>
      <c r="CG53" s="138"/>
      <c r="CH53" s="138">
        <f>6108.06+4771.93</f>
        <v>10879.990000000002</v>
      </c>
      <c r="CI53" s="988"/>
    </row>
    <row r="54" spans="1:98" ht="25.9" customHeight="1" x14ac:dyDescent="0.2">
      <c r="A54" s="1830"/>
      <c r="B54" s="1830"/>
      <c r="C54" s="1830"/>
      <c r="D54" s="1830"/>
      <c r="E54" s="1772" t="s">
        <v>1555</v>
      </c>
      <c r="F54" s="1882"/>
      <c r="G54" s="1882"/>
      <c r="H54" s="1882"/>
      <c r="I54" s="1882"/>
      <c r="J54" s="1882"/>
      <c r="K54" s="1882"/>
      <c r="L54" s="1882"/>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773"/>
      <c r="AJ54" s="2060">
        <f>1.5+2.8</f>
        <v>4.3</v>
      </c>
      <c r="AK54" s="2061"/>
      <c r="AL54" s="2061"/>
      <c r="AM54" s="2061"/>
      <c r="AN54" s="2061"/>
      <c r="AO54" s="2061"/>
      <c r="AP54" s="2061"/>
      <c r="AQ54" s="2061"/>
      <c r="AR54" s="2061"/>
      <c r="AS54" s="2061"/>
      <c r="AT54" s="2062"/>
      <c r="AU54" s="2072">
        <v>2076.0700000000002</v>
      </c>
      <c r="AV54" s="2072"/>
      <c r="AW54" s="2072"/>
      <c r="AX54" s="2072"/>
      <c r="AY54" s="2072"/>
      <c r="AZ54" s="2072"/>
      <c r="BA54" s="2072"/>
      <c r="BB54" s="2072"/>
      <c r="BC54" s="2072"/>
      <c r="BD54" s="2072"/>
      <c r="BE54" s="2072"/>
      <c r="BF54" s="2072"/>
      <c r="BG54" s="2072"/>
      <c r="BH54" s="2072"/>
      <c r="BI54" s="2072"/>
      <c r="BJ54" s="2072"/>
      <c r="BK54" s="2072"/>
      <c r="BL54" s="2072"/>
      <c r="BM54" s="2072"/>
      <c r="BN54" s="2072"/>
      <c r="BO54" s="2072"/>
      <c r="BP54" s="2072">
        <f t="shared" ref="BP54" si="5">CD54+CH54</f>
        <v>8927.11</v>
      </c>
      <c r="BQ54" s="2072"/>
      <c r="BR54" s="2072"/>
      <c r="BS54" s="2072"/>
      <c r="BT54" s="2072"/>
      <c r="BU54" s="2072"/>
      <c r="BV54" s="2072"/>
      <c r="BW54" s="2072"/>
      <c r="BX54" s="2072"/>
      <c r="BY54" s="2072"/>
      <c r="BZ54" s="2072"/>
      <c r="CA54" s="2072"/>
      <c r="CB54" s="2072"/>
      <c r="CC54" s="138"/>
      <c r="CD54" s="138"/>
      <c r="CE54" s="138"/>
      <c r="CF54" s="138"/>
      <c r="CG54" s="138"/>
      <c r="CH54" s="138">
        <f>3114.11+5813</f>
        <v>8927.11</v>
      </c>
      <c r="CI54" s="988"/>
    </row>
    <row r="55" spans="1:98" x14ac:dyDescent="0.2">
      <c r="A55" s="1830"/>
      <c r="B55" s="1830"/>
      <c r="C55" s="1830"/>
      <c r="D55" s="1830"/>
      <c r="E55" s="1837" t="s">
        <v>1558</v>
      </c>
      <c r="F55" s="1837"/>
      <c r="G55" s="1837"/>
      <c r="H55" s="1837"/>
      <c r="I55" s="1837"/>
      <c r="J55" s="1837"/>
      <c r="K55" s="1837"/>
      <c r="L55" s="1837"/>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2060">
        <f>65.02+60.24</f>
        <v>125.25999999999999</v>
      </c>
      <c r="AK55" s="2061"/>
      <c r="AL55" s="2061"/>
      <c r="AM55" s="2061"/>
      <c r="AN55" s="2061"/>
      <c r="AO55" s="2061"/>
      <c r="AP55" s="2061"/>
      <c r="AQ55" s="2061"/>
      <c r="AR55" s="2061"/>
      <c r="AS55" s="2061"/>
      <c r="AT55" s="2062"/>
      <c r="AU55" s="2072">
        <v>78.7</v>
      </c>
      <c r="AV55" s="2072"/>
      <c r="AW55" s="2072"/>
      <c r="AX55" s="2072"/>
      <c r="AY55" s="2072"/>
      <c r="AZ55" s="2072"/>
      <c r="BA55" s="2072"/>
      <c r="BB55" s="2072"/>
      <c r="BC55" s="2072"/>
      <c r="BD55" s="2072"/>
      <c r="BE55" s="2072"/>
      <c r="BF55" s="2072"/>
      <c r="BG55" s="2072"/>
      <c r="BH55" s="2072"/>
      <c r="BI55" s="2072"/>
      <c r="BJ55" s="2072"/>
      <c r="BK55" s="2072"/>
      <c r="BL55" s="2072"/>
      <c r="BM55" s="2072"/>
      <c r="BN55" s="2072"/>
      <c r="BO55" s="2072"/>
      <c r="BP55" s="2072">
        <f t="shared" si="1"/>
        <v>9857.9599999999991</v>
      </c>
      <c r="BQ55" s="2072"/>
      <c r="BR55" s="2072"/>
      <c r="BS55" s="2072"/>
      <c r="BT55" s="2072"/>
      <c r="BU55" s="2072"/>
      <c r="BV55" s="2072"/>
      <c r="BW55" s="2072"/>
      <c r="BX55" s="2072"/>
      <c r="BY55" s="2072"/>
      <c r="BZ55" s="2072"/>
      <c r="CA55" s="2072"/>
      <c r="CB55" s="2072"/>
      <c r="CC55" s="138"/>
      <c r="CD55" s="138">
        <v>9857.9599999999991</v>
      </c>
      <c r="CE55" s="138"/>
      <c r="CF55" s="138"/>
      <c r="CG55" s="138"/>
      <c r="CH55" s="138"/>
      <c r="CI55" s="988"/>
    </row>
    <row r="56" spans="1:98" x14ac:dyDescent="0.2">
      <c r="A56" s="1830"/>
      <c r="B56" s="1830"/>
      <c r="C56" s="1830"/>
      <c r="D56" s="1830"/>
      <c r="E56" s="1837" t="s">
        <v>1559</v>
      </c>
      <c r="F56" s="1837"/>
      <c r="G56" s="1837"/>
      <c r="H56" s="1837"/>
      <c r="I56" s="1837"/>
      <c r="J56" s="1837"/>
      <c r="K56" s="1837"/>
      <c r="L56" s="1837"/>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2060">
        <f>18.73+70</f>
        <v>88.73</v>
      </c>
      <c r="AK56" s="2061"/>
      <c r="AL56" s="2061"/>
      <c r="AM56" s="2061"/>
      <c r="AN56" s="2061"/>
      <c r="AO56" s="2061"/>
      <c r="AP56" s="2061"/>
      <c r="AQ56" s="2061"/>
      <c r="AR56" s="2061"/>
      <c r="AS56" s="2061"/>
      <c r="AT56" s="2062"/>
      <c r="AU56" s="2072">
        <v>104.93</v>
      </c>
      <c r="AV56" s="2072"/>
      <c r="AW56" s="2072"/>
      <c r="AX56" s="2072"/>
      <c r="AY56" s="2072"/>
      <c r="AZ56" s="2072"/>
      <c r="BA56" s="2072"/>
      <c r="BB56" s="2072"/>
      <c r="BC56" s="2072"/>
      <c r="BD56" s="2072"/>
      <c r="BE56" s="2072"/>
      <c r="BF56" s="2072"/>
      <c r="BG56" s="2072"/>
      <c r="BH56" s="2072"/>
      <c r="BI56" s="2072"/>
      <c r="BJ56" s="2072"/>
      <c r="BK56" s="2072"/>
      <c r="BL56" s="2072"/>
      <c r="BM56" s="2072"/>
      <c r="BN56" s="2072"/>
      <c r="BO56" s="2072"/>
      <c r="BP56" s="2072">
        <f t="shared" ref="BP56:BP57" si="6">CD56+CH56</f>
        <v>9310.44</v>
      </c>
      <c r="BQ56" s="2072"/>
      <c r="BR56" s="2072"/>
      <c r="BS56" s="2072"/>
      <c r="BT56" s="2072"/>
      <c r="BU56" s="2072"/>
      <c r="BV56" s="2072"/>
      <c r="BW56" s="2072"/>
      <c r="BX56" s="2072"/>
      <c r="BY56" s="2072"/>
      <c r="BZ56" s="2072"/>
      <c r="CA56" s="2072"/>
      <c r="CB56" s="2072"/>
      <c r="CC56" s="138"/>
      <c r="CD56" s="138">
        <v>9310.44</v>
      </c>
      <c r="CE56" s="138"/>
      <c r="CF56" s="138"/>
      <c r="CG56" s="138"/>
      <c r="CH56" s="138"/>
      <c r="CI56" s="988"/>
    </row>
    <row r="57" spans="1:98" x14ac:dyDescent="0.2">
      <c r="A57" s="1770"/>
      <c r="B57" s="1787"/>
      <c r="C57" s="1787"/>
      <c r="D57" s="1771"/>
      <c r="E57" s="1772" t="s">
        <v>1555</v>
      </c>
      <c r="F57" s="1882"/>
      <c r="G57" s="1882"/>
      <c r="H57" s="1882"/>
      <c r="I57" s="1882"/>
      <c r="J57" s="1882"/>
      <c r="K57" s="1882"/>
      <c r="L57" s="1882"/>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773"/>
      <c r="AJ57" s="2060">
        <f>53.44+41.75</f>
        <v>95.19</v>
      </c>
      <c r="AK57" s="2061"/>
      <c r="AL57" s="2061"/>
      <c r="AM57" s="2061"/>
      <c r="AN57" s="2061"/>
      <c r="AO57" s="2061"/>
      <c r="AP57" s="2061"/>
      <c r="AQ57" s="2061"/>
      <c r="AR57" s="2061"/>
      <c r="AS57" s="2061"/>
      <c r="AT57" s="2062"/>
      <c r="AU57" s="2072">
        <v>78.7</v>
      </c>
      <c r="AV57" s="2072"/>
      <c r="AW57" s="2072"/>
      <c r="AX57" s="2072"/>
      <c r="AY57" s="2072"/>
      <c r="AZ57" s="2072"/>
      <c r="BA57" s="2072"/>
      <c r="BB57" s="2072"/>
      <c r="BC57" s="2072"/>
      <c r="BD57" s="2072"/>
      <c r="BE57" s="2072"/>
      <c r="BF57" s="2072"/>
      <c r="BG57" s="2072"/>
      <c r="BH57" s="2072"/>
      <c r="BI57" s="2072"/>
      <c r="BJ57" s="2072"/>
      <c r="BK57" s="2072"/>
      <c r="BL57" s="2072"/>
      <c r="BM57" s="2072"/>
      <c r="BN57" s="2072"/>
      <c r="BO57" s="2072"/>
      <c r="BP57" s="2072">
        <f t="shared" si="6"/>
        <v>7491.4599999999991</v>
      </c>
      <c r="BQ57" s="2072"/>
      <c r="BR57" s="2072"/>
      <c r="BS57" s="2072"/>
      <c r="BT57" s="2072"/>
      <c r="BU57" s="2072"/>
      <c r="BV57" s="2072"/>
      <c r="BW57" s="2072"/>
      <c r="BX57" s="2072"/>
      <c r="BY57" s="2072"/>
      <c r="BZ57" s="2072"/>
      <c r="CA57" s="2072"/>
      <c r="CB57" s="2072"/>
      <c r="CC57" s="138"/>
      <c r="CD57" s="138"/>
      <c r="CE57" s="138"/>
      <c r="CF57" s="138"/>
      <c r="CG57" s="138"/>
      <c r="CH57" s="138">
        <f>4205.73+3285.73</f>
        <v>7491.4599999999991</v>
      </c>
      <c r="CI57" s="988"/>
    </row>
    <row r="58" spans="1:98" x14ac:dyDescent="0.2">
      <c r="A58" s="1830"/>
      <c r="B58" s="1830"/>
      <c r="C58" s="1830"/>
      <c r="D58" s="1830"/>
      <c r="E58" s="1772" t="s">
        <v>1556</v>
      </c>
      <c r="F58" s="1882"/>
      <c r="G58" s="1882"/>
      <c r="H58" s="1882"/>
      <c r="I58" s="1882"/>
      <c r="J58" s="1882"/>
      <c r="K58" s="1882"/>
      <c r="L58" s="1882"/>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773"/>
      <c r="AJ58" s="2060">
        <f>25.05+46.76</f>
        <v>71.81</v>
      </c>
      <c r="AK58" s="2061"/>
      <c r="AL58" s="2061"/>
      <c r="AM58" s="2061"/>
      <c r="AN58" s="2061"/>
      <c r="AO58" s="2061"/>
      <c r="AP58" s="2061"/>
      <c r="AQ58" s="2061"/>
      <c r="AR58" s="2061"/>
      <c r="AS58" s="2061"/>
      <c r="AT58" s="2062"/>
      <c r="AU58" s="2072">
        <v>104.93</v>
      </c>
      <c r="AV58" s="2072"/>
      <c r="AW58" s="2072"/>
      <c r="AX58" s="2072"/>
      <c r="AY58" s="2072"/>
      <c r="AZ58" s="2072"/>
      <c r="BA58" s="2072"/>
      <c r="BB58" s="2072"/>
      <c r="BC58" s="2072"/>
      <c r="BD58" s="2072"/>
      <c r="BE58" s="2072"/>
      <c r="BF58" s="2072"/>
      <c r="BG58" s="2072"/>
      <c r="BH58" s="2072"/>
      <c r="BI58" s="2072"/>
      <c r="BJ58" s="2072"/>
      <c r="BK58" s="2072"/>
      <c r="BL58" s="2072"/>
      <c r="BM58" s="2072"/>
      <c r="BN58" s="2072"/>
      <c r="BO58" s="2072"/>
      <c r="BP58" s="2072">
        <f t="shared" si="1"/>
        <v>7535.03</v>
      </c>
      <c r="BQ58" s="2072"/>
      <c r="BR58" s="2072"/>
      <c r="BS58" s="2072"/>
      <c r="BT58" s="2072"/>
      <c r="BU58" s="2072"/>
      <c r="BV58" s="2072"/>
      <c r="BW58" s="2072"/>
      <c r="BX58" s="2072"/>
      <c r="BY58" s="2072"/>
      <c r="BZ58" s="2072"/>
      <c r="CA58" s="2072"/>
      <c r="CB58" s="2072"/>
      <c r="CC58" s="138"/>
      <c r="CD58" s="138"/>
      <c r="CE58" s="138"/>
      <c r="CF58" s="138"/>
      <c r="CG58" s="138"/>
      <c r="CH58" s="138">
        <f>2628.5+4906.53</f>
        <v>7535.03</v>
      </c>
      <c r="CI58" s="988"/>
    </row>
    <row r="59" spans="1:98" x14ac:dyDescent="0.2">
      <c r="A59" s="2063"/>
      <c r="B59" s="2064"/>
      <c r="C59" s="2064"/>
      <c r="D59" s="2065"/>
      <c r="E59" s="2066" t="s">
        <v>614</v>
      </c>
      <c r="F59" s="2067"/>
      <c r="G59" s="2067"/>
      <c r="H59" s="2067"/>
      <c r="I59" s="2067"/>
      <c r="J59" s="2067"/>
      <c r="K59" s="2067"/>
      <c r="L59" s="2067"/>
      <c r="M59" s="2067"/>
      <c r="N59" s="2067"/>
      <c r="O59" s="2067"/>
      <c r="P59" s="2067"/>
      <c r="Q59" s="2067"/>
      <c r="R59" s="2067"/>
      <c r="S59" s="2067"/>
      <c r="T59" s="2067"/>
      <c r="U59" s="2067"/>
      <c r="V59" s="2067"/>
      <c r="W59" s="2067"/>
      <c r="X59" s="2067"/>
      <c r="Y59" s="2067"/>
      <c r="Z59" s="2067"/>
      <c r="AA59" s="2067"/>
      <c r="AB59" s="2067"/>
      <c r="AC59" s="2067"/>
      <c r="AD59" s="2067"/>
      <c r="AE59" s="2067"/>
      <c r="AF59" s="2067"/>
      <c r="AG59" s="2067"/>
      <c r="AH59" s="2067"/>
      <c r="AI59" s="2068"/>
      <c r="AJ59" s="2069"/>
      <c r="AK59" s="2070"/>
      <c r="AL59" s="2070"/>
      <c r="AM59" s="2070"/>
      <c r="AN59" s="2070"/>
      <c r="AO59" s="2070"/>
      <c r="AP59" s="2070"/>
      <c r="AQ59" s="2070"/>
      <c r="AR59" s="2070"/>
      <c r="AS59" s="2070"/>
      <c r="AT59" s="2071"/>
      <c r="AU59" s="2069"/>
      <c r="AV59" s="2070"/>
      <c r="AW59" s="2070"/>
      <c r="AX59" s="2070"/>
      <c r="AY59" s="2070"/>
      <c r="AZ59" s="2070"/>
      <c r="BA59" s="2070"/>
      <c r="BB59" s="2070"/>
      <c r="BC59" s="2070"/>
      <c r="BD59" s="2071"/>
      <c r="BE59" s="2069"/>
      <c r="BF59" s="2070"/>
      <c r="BG59" s="2070"/>
      <c r="BH59" s="2070"/>
      <c r="BI59" s="2070"/>
      <c r="BJ59" s="2070"/>
      <c r="BK59" s="2070"/>
      <c r="BL59" s="2070"/>
      <c r="BM59" s="2070"/>
      <c r="BN59" s="2070"/>
      <c r="BO59" s="2071"/>
      <c r="BP59" s="2069">
        <f>SUM(BP47:CB58)</f>
        <v>2408775.6</v>
      </c>
      <c r="BQ59" s="2070"/>
      <c r="BR59" s="2070"/>
      <c r="BS59" s="2070"/>
      <c r="BT59" s="2070"/>
      <c r="BU59" s="2070"/>
      <c r="BV59" s="2070"/>
      <c r="BW59" s="2070"/>
      <c r="BX59" s="2070"/>
      <c r="BY59" s="2070"/>
      <c r="BZ59" s="2070"/>
      <c r="CA59" s="2070"/>
      <c r="CB59" s="2071"/>
      <c r="CC59" s="139"/>
      <c r="CD59" s="139">
        <f>SUM(CD47:CD58)</f>
        <v>1746397.8199999998</v>
      </c>
      <c r="CE59" s="138"/>
      <c r="CF59" s="139"/>
      <c r="CG59" s="139"/>
      <c r="CH59" s="139">
        <f>SUM(CH47:CH58)</f>
        <v>662377.77999999991</v>
      </c>
      <c r="CI59" s="988"/>
      <c r="CT59" s="590"/>
    </row>
    <row r="60" spans="1:98" x14ac:dyDescent="0.2">
      <c r="A60" s="1830"/>
      <c r="B60" s="1830"/>
      <c r="C60" s="1830"/>
      <c r="D60" s="1830"/>
      <c r="E60" s="1837" t="s">
        <v>1268</v>
      </c>
      <c r="F60" s="1837"/>
      <c r="G60" s="1837"/>
      <c r="H60" s="1837"/>
      <c r="I60" s="1837"/>
      <c r="J60" s="1837"/>
      <c r="K60" s="1837"/>
      <c r="L60" s="1837"/>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2060"/>
      <c r="AK60" s="2061"/>
      <c r="AL60" s="2061"/>
      <c r="AM60" s="2061"/>
      <c r="AN60" s="2061"/>
      <c r="AO60" s="2061"/>
      <c r="AP60" s="2061"/>
      <c r="AQ60" s="2061"/>
      <c r="AR60" s="2061"/>
      <c r="AS60" s="2061"/>
      <c r="AT60" s="2062"/>
      <c r="AU60" s="2072"/>
      <c r="AV60" s="2072"/>
      <c r="AW60" s="2072"/>
      <c r="AX60" s="2072"/>
      <c r="AY60" s="2072"/>
      <c r="AZ60" s="2072"/>
      <c r="BA60" s="2072"/>
      <c r="BB60" s="2072"/>
      <c r="BC60" s="2072"/>
      <c r="BD60" s="2072"/>
      <c r="BE60" s="2072"/>
      <c r="BF60" s="2072"/>
      <c r="BG60" s="2072"/>
      <c r="BH60" s="2072"/>
      <c r="BI60" s="2072"/>
      <c r="BJ60" s="2072"/>
      <c r="BK60" s="2072"/>
      <c r="BL60" s="2072"/>
      <c r="BM60" s="2072"/>
      <c r="BN60" s="2072"/>
      <c r="BO60" s="2072"/>
      <c r="BP60" s="2072">
        <f t="shared" ref="BP60" si="7">CD60+CH60</f>
        <v>149284.57</v>
      </c>
      <c r="BQ60" s="2072"/>
      <c r="BR60" s="2072"/>
      <c r="BS60" s="2072"/>
      <c r="BT60" s="2072"/>
      <c r="BU60" s="2072"/>
      <c r="BV60" s="2072"/>
      <c r="BW60" s="2072"/>
      <c r="BX60" s="2072"/>
      <c r="BY60" s="2072"/>
      <c r="BZ60" s="2072"/>
      <c r="CA60" s="2072"/>
      <c r="CB60" s="2072"/>
      <c r="CC60" s="138"/>
      <c r="CD60" s="138">
        <v>149284.57</v>
      </c>
      <c r="CE60" s="138"/>
      <c r="CF60" s="138"/>
      <c r="CG60" s="138"/>
      <c r="CH60" s="138"/>
      <c r="CI60" s="988"/>
      <c r="CT60" s="590"/>
    </row>
    <row r="61" spans="1:98" x14ac:dyDescent="0.2">
      <c r="A61" s="2063"/>
      <c r="B61" s="2064"/>
      <c r="C61" s="2064"/>
      <c r="D61" s="2065"/>
      <c r="E61" s="2066" t="s">
        <v>1574</v>
      </c>
      <c r="F61" s="2067"/>
      <c r="G61" s="2067"/>
      <c r="H61" s="2067"/>
      <c r="I61" s="2067"/>
      <c r="J61" s="2067"/>
      <c r="K61" s="2067"/>
      <c r="L61" s="2067"/>
      <c r="M61" s="2067"/>
      <c r="N61" s="2067"/>
      <c r="O61" s="2067"/>
      <c r="P61" s="2067"/>
      <c r="Q61" s="2067"/>
      <c r="R61" s="2067"/>
      <c r="S61" s="2067"/>
      <c r="T61" s="2067"/>
      <c r="U61" s="2067"/>
      <c r="V61" s="2067"/>
      <c r="W61" s="2067"/>
      <c r="X61" s="2067"/>
      <c r="Y61" s="2067"/>
      <c r="Z61" s="2067"/>
      <c r="AA61" s="2067"/>
      <c r="AB61" s="2067"/>
      <c r="AC61" s="2067"/>
      <c r="AD61" s="2067"/>
      <c r="AE61" s="2067"/>
      <c r="AF61" s="2067"/>
      <c r="AG61" s="2067"/>
      <c r="AH61" s="2067"/>
      <c r="AI61" s="2068"/>
      <c r="AJ61" s="2069"/>
      <c r="AK61" s="2070"/>
      <c r="AL61" s="2070"/>
      <c r="AM61" s="2070"/>
      <c r="AN61" s="2070"/>
      <c r="AO61" s="2070"/>
      <c r="AP61" s="2070"/>
      <c r="AQ61" s="2070"/>
      <c r="AR61" s="2070"/>
      <c r="AS61" s="2070"/>
      <c r="AT61" s="2071"/>
      <c r="AU61" s="2069"/>
      <c r="AV61" s="2070"/>
      <c r="AW61" s="2070"/>
      <c r="AX61" s="2070"/>
      <c r="AY61" s="2070"/>
      <c r="AZ61" s="2070"/>
      <c r="BA61" s="2070"/>
      <c r="BB61" s="2070"/>
      <c r="BC61" s="2070"/>
      <c r="BD61" s="2071"/>
      <c r="BE61" s="2069"/>
      <c r="BF61" s="2070"/>
      <c r="BG61" s="2070"/>
      <c r="BH61" s="2070"/>
      <c r="BI61" s="2070"/>
      <c r="BJ61" s="2070"/>
      <c r="BK61" s="2070"/>
      <c r="BL61" s="2070"/>
      <c r="BM61" s="2070"/>
      <c r="BN61" s="2070"/>
      <c r="BO61" s="2071"/>
      <c r="BP61" s="2069">
        <f>SUM(BP59:BP60)</f>
        <v>2558060.17</v>
      </c>
      <c r="BQ61" s="2070"/>
      <c r="BR61" s="2070"/>
      <c r="BS61" s="2070"/>
      <c r="BT61" s="2070"/>
      <c r="BU61" s="2070"/>
      <c r="BV61" s="2070"/>
      <c r="BW61" s="2070"/>
      <c r="BX61" s="2070"/>
      <c r="BY61" s="2070"/>
      <c r="BZ61" s="2070"/>
      <c r="CA61" s="2070"/>
      <c r="CB61" s="2071"/>
      <c r="CC61" s="139"/>
      <c r="CD61" s="139">
        <f>CD59+CD60</f>
        <v>1895682.39</v>
      </c>
      <c r="CE61" s="138"/>
      <c r="CF61" s="139"/>
      <c r="CG61" s="139"/>
      <c r="CH61" s="139">
        <f>SUM(CH59:CH60)</f>
        <v>662377.77999999991</v>
      </c>
      <c r="CI61" s="988" t="s">
        <v>1575</v>
      </c>
      <c r="CT61" s="590"/>
    </row>
    <row r="62" spans="1:98" x14ac:dyDescent="0.2">
      <c r="A62" s="1830"/>
      <c r="B62" s="1830"/>
      <c r="C62" s="1830"/>
      <c r="D62" s="1830"/>
      <c r="E62" s="1837" t="s">
        <v>615</v>
      </c>
      <c r="F62" s="1837"/>
      <c r="G62" s="1837"/>
      <c r="H62" s="1837"/>
      <c r="I62" s="1837"/>
      <c r="J62" s="1837"/>
      <c r="K62" s="1837"/>
      <c r="L62" s="1837"/>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2079">
        <v>25292</v>
      </c>
      <c r="AK62" s="2080"/>
      <c r="AL62" s="2080"/>
      <c r="AM62" s="2080"/>
      <c r="AN62" s="2080"/>
      <c r="AO62" s="2080"/>
      <c r="AP62" s="2080"/>
      <c r="AQ62" s="2080"/>
      <c r="AR62" s="2080"/>
      <c r="AS62" s="2080"/>
      <c r="AT62" s="2081"/>
      <c r="AU62" s="2072">
        <v>13.13</v>
      </c>
      <c r="AV62" s="2072"/>
      <c r="AW62" s="2072"/>
      <c r="AX62" s="2072"/>
      <c r="AY62" s="2072"/>
      <c r="AZ62" s="2072"/>
      <c r="BA62" s="2072"/>
      <c r="BB62" s="2072"/>
      <c r="BC62" s="2072"/>
      <c r="BD62" s="2072"/>
      <c r="BE62" s="2072"/>
      <c r="BF62" s="2072"/>
      <c r="BG62" s="2072"/>
      <c r="BH62" s="2072"/>
      <c r="BI62" s="2072"/>
      <c r="BJ62" s="2072"/>
      <c r="BK62" s="2072"/>
      <c r="BL62" s="2072"/>
      <c r="BM62" s="2072"/>
      <c r="BN62" s="2072"/>
      <c r="BO62" s="2072"/>
      <c r="BP62" s="2072">
        <f>CD62+CH62</f>
        <v>332083.96000000002</v>
      </c>
      <c r="BQ62" s="2072"/>
      <c r="BR62" s="2072"/>
      <c r="BS62" s="2072"/>
      <c r="BT62" s="2072"/>
      <c r="BU62" s="2072"/>
      <c r="BV62" s="2072"/>
      <c r="BW62" s="2072"/>
      <c r="BX62" s="2072"/>
      <c r="BY62" s="2072"/>
      <c r="BZ62" s="2072"/>
      <c r="CA62" s="2072"/>
      <c r="CB62" s="2072"/>
      <c r="CC62" s="138"/>
      <c r="CD62" s="138">
        <f>332083.96-CH62</f>
        <v>322942.36000000004</v>
      </c>
      <c r="CE62" s="138"/>
      <c r="CF62" s="138"/>
      <c r="CG62" s="138"/>
      <c r="CH62" s="138">
        <f>4940+4201.6</f>
        <v>9141.6</v>
      </c>
      <c r="CI62" s="988"/>
    </row>
    <row r="63" spans="1:98" x14ac:dyDescent="0.2">
      <c r="A63" s="1830"/>
      <c r="B63" s="1830"/>
      <c r="C63" s="1830"/>
      <c r="D63" s="1830"/>
      <c r="E63" s="2076" t="s">
        <v>1553</v>
      </c>
      <c r="F63" s="2077"/>
      <c r="G63" s="2077"/>
      <c r="H63" s="2077"/>
      <c r="I63" s="2077"/>
      <c r="J63" s="2077"/>
      <c r="K63" s="2077"/>
      <c r="L63" s="2077"/>
      <c r="M63" s="2077"/>
      <c r="N63" s="2077"/>
      <c r="O63" s="2077"/>
      <c r="P63" s="2077"/>
      <c r="Q63" s="2077"/>
      <c r="R63" s="2077"/>
      <c r="S63" s="2077"/>
      <c r="T63" s="2077"/>
      <c r="U63" s="2077"/>
      <c r="V63" s="2077"/>
      <c r="W63" s="2077"/>
      <c r="X63" s="2077"/>
      <c r="Y63" s="2077"/>
      <c r="Z63" s="2077"/>
      <c r="AA63" s="2077"/>
      <c r="AB63" s="2077"/>
      <c r="AC63" s="2077"/>
      <c r="AD63" s="2077"/>
      <c r="AE63" s="2077"/>
      <c r="AF63" s="2077"/>
      <c r="AG63" s="2077"/>
      <c r="AH63" s="2077"/>
      <c r="AI63" s="2078"/>
      <c r="AJ63" s="2079">
        <v>37217</v>
      </c>
      <c r="AK63" s="2080"/>
      <c r="AL63" s="2080"/>
      <c r="AM63" s="2080"/>
      <c r="AN63" s="2080"/>
      <c r="AO63" s="2080"/>
      <c r="AP63" s="2080"/>
      <c r="AQ63" s="2080"/>
      <c r="AR63" s="2080"/>
      <c r="AS63" s="2080"/>
      <c r="AT63" s="2081"/>
      <c r="AU63" s="2072">
        <v>13.13</v>
      </c>
      <c r="AV63" s="2072"/>
      <c r="AW63" s="2072"/>
      <c r="AX63" s="2072"/>
      <c r="AY63" s="2072"/>
      <c r="AZ63" s="2072"/>
      <c r="BA63" s="2072"/>
      <c r="BB63" s="2072"/>
      <c r="BC63" s="2072"/>
      <c r="BD63" s="2072"/>
      <c r="BE63" s="2072"/>
      <c r="BF63" s="2072"/>
      <c r="BG63" s="2072"/>
      <c r="BH63" s="2072"/>
      <c r="BI63" s="2072"/>
      <c r="BJ63" s="2072"/>
      <c r="BK63" s="2072"/>
      <c r="BL63" s="2072"/>
      <c r="BM63" s="2072"/>
      <c r="BN63" s="2072"/>
      <c r="BO63" s="2072"/>
      <c r="BP63" s="2072">
        <f>CD63+CH63</f>
        <v>488659.21</v>
      </c>
      <c r="BQ63" s="2072"/>
      <c r="BR63" s="2072"/>
      <c r="BS63" s="2072"/>
      <c r="BT63" s="2072"/>
      <c r="BU63" s="2072"/>
      <c r="BV63" s="2072"/>
      <c r="BW63" s="2072"/>
      <c r="BX63" s="2072"/>
      <c r="BY63" s="2072"/>
      <c r="BZ63" s="2072"/>
      <c r="CA63" s="2072"/>
      <c r="CB63" s="2072"/>
      <c r="CC63" s="138"/>
      <c r="CD63" s="138"/>
      <c r="CE63" s="138"/>
      <c r="CF63" s="138"/>
      <c r="CG63" s="138"/>
      <c r="CH63" s="138">
        <f>488659.21</f>
        <v>488659.21</v>
      </c>
      <c r="CI63" s="988"/>
    </row>
    <row r="64" spans="1:98" x14ac:dyDescent="0.2">
      <c r="A64" s="1830"/>
      <c r="B64" s="1830"/>
      <c r="C64" s="1830"/>
      <c r="D64" s="1830"/>
      <c r="E64" s="1837" t="s">
        <v>1269</v>
      </c>
      <c r="F64" s="1837"/>
      <c r="G64" s="1837"/>
      <c r="H64" s="1837"/>
      <c r="I64" s="1837"/>
      <c r="J64" s="1837"/>
      <c r="K64" s="1837"/>
      <c r="L64" s="1837"/>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2060"/>
      <c r="AK64" s="2061"/>
      <c r="AL64" s="2061"/>
      <c r="AM64" s="2061"/>
      <c r="AN64" s="2061"/>
      <c r="AO64" s="2061"/>
      <c r="AP64" s="2061"/>
      <c r="AQ64" s="2061"/>
      <c r="AR64" s="2061"/>
      <c r="AS64" s="2061"/>
      <c r="AT64" s="2062"/>
      <c r="AU64" s="2072"/>
      <c r="AV64" s="2072"/>
      <c r="AW64" s="2072"/>
      <c r="AX64" s="2072"/>
      <c r="AY64" s="2072"/>
      <c r="AZ64" s="2072"/>
      <c r="BA64" s="2072"/>
      <c r="BB64" s="2072"/>
      <c r="BC64" s="2072"/>
      <c r="BD64" s="2072"/>
      <c r="BE64" s="2072"/>
      <c r="BF64" s="2072"/>
      <c r="BG64" s="2072"/>
      <c r="BH64" s="2072"/>
      <c r="BI64" s="2072"/>
      <c r="BJ64" s="2072"/>
      <c r="BK64" s="2072"/>
      <c r="BL64" s="2072"/>
      <c r="BM64" s="2072"/>
      <c r="BN64" s="2072"/>
      <c r="BO64" s="2072"/>
      <c r="BP64" s="2072">
        <f t="shared" ref="BP64" si="8">CD64+CH64</f>
        <v>-105588.85</v>
      </c>
      <c r="BQ64" s="2072"/>
      <c r="BR64" s="2072"/>
      <c r="BS64" s="2072"/>
      <c r="BT64" s="2072"/>
      <c r="BU64" s="2072"/>
      <c r="BV64" s="2072"/>
      <c r="BW64" s="2072"/>
      <c r="BX64" s="2072"/>
      <c r="BY64" s="2072"/>
      <c r="BZ64" s="2072"/>
      <c r="CA64" s="2072"/>
      <c r="CB64" s="2072"/>
      <c r="CC64" s="138"/>
      <c r="CD64" s="138">
        <v>-105588.85</v>
      </c>
      <c r="CE64" s="138"/>
      <c r="CF64" s="138"/>
      <c r="CG64" s="138"/>
      <c r="CH64" s="138"/>
      <c r="CI64" s="988"/>
    </row>
    <row r="65" spans="1:98" x14ac:dyDescent="0.2">
      <c r="A65" s="2063"/>
      <c r="B65" s="2064"/>
      <c r="C65" s="2064"/>
      <c r="D65" s="2065"/>
      <c r="E65" s="2066" t="s">
        <v>1576</v>
      </c>
      <c r="F65" s="2067"/>
      <c r="G65" s="2067"/>
      <c r="H65" s="2067"/>
      <c r="I65" s="2067"/>
      <c r="J65" s="2067"/>
      <c r="K65" s="2067"/>
      <c r="L65" s="2067"/>
      <c r="M65" s="2067"/>
      <c r="N65" s="2067"/>
      <c r="O65" s="2067"/>
      <c r="P65" s="2067"/>
      <c r="Q65" s="2067"/>
      <c r="R65" s="2067"/>
      <c r="S65" s="2067"/>
      <c r="T65" s="2067"/>
      <c r="U65" s="2067"/>
      <c r="V65" s="2067"/>
      <c r="W65" s="2067"/>
      <c r="X65" s="2067"/>
      <c r="Y65" s="2067"/>
      <c r="Z65" s="2067"/>
      <c r="AA65" s="2067"/>
      <c r="AB65" s="2067"/>
      <c r="AC65" s="2067"/>
      <c r="AD65" s="2067"/>
      <c r="AE65" s="2067"/>
      <c r="AF65" s="2067"/>
      <c r="AG65" s="2067"/>
      <c r="AH65" s="2067"/>
      <c r="AI65" s="2068"/>
      <c r="AJ65" s="2069"/>
      <c r="AK65" s="2070"/>
      <c r="AL65" s="2070"/>
      <c r="AM65" s="2070"/>
      <c r="AN65" s="2070"/>
      <c r="AO65" s="2070"/>
      <c r="AP65" s="2070"/>
      <c r="AQ65" s="2070"/>
      <c r="AR65" s="2070"/>
      <c r="AS65" s="2070"/>
      <c r="AT65" s="2071"/>
      <c r="AU65" s="2069"/>
      <c r="AV65" s="2070"/>
      <c r="AW65" s="2070"/>
      <c r="AX65" s="2070"/>
      <c r="AY65" s="2070"/>
      <c r="AZ65" s="2070"/>
      <c r="BA65" s="2070"/>
      <c r="BB65" s="2070"/>
      <c r="BC65" s="2070"/>
      <c r="BD65" s="2071"/>
      <c r="BE65" s="2069"/>
      <c r="BF65" s="2070"/>
      <c r="BG65" s="2070"/>
      <c r="BH65" s="2070"/>
      <c r="BI65" s="2070"/>
      <c r="BJ65" s="2070"/>
      <c r="BK65" s="2070"/>
      <c r="BL65" s="2070"/>
      <c r="BM65" s="2070"/>
      <c r="BN65" s="2070"/>
      <c r="BO65" s="2071"/>
      <c r="BP65" s="2069">
        <f>SUM(BP62:BQ64)</f>
        <v>715154.32000000007</v>
      </c>
      <c r="BQ65" s="2070"/>
      <c r="BR65" s="2070"/>
      <c r="BS65" s="2070"/>
      <c r="BT65" s="2070"/>
      <c r="BU65" s="2070"/>
      <c r="BV65" s="2070"/>
      <c r="BW65" s="2070"/>
      <c r="BX65" s="2070"/>
      <c r="BY65" s="2070"/>
      <c r="BZ65" s="2070"/>
      <c r="CA65" s="2070"/>
      <c r="CB65" s="2071"/>
      <c r="CC65" s="139"/>
      <c r="CD65" s="139">
        <f>SUM(CD62:CD64)</f>
        <v>217353.51000000004</v>
      </c>
      <c r="CE65" s="138"/>
      <c r="CF65" s="139"/>
      <c r="CG65" s="139"/>
      <c r="CH65" s="139">
        <f>SUM(CH62:CH63)</f>
        <v>497800.81</v>
      </c>
      <c r="CI65" s="988" t="s">
        <v>1588</v>
      </c>
    </row>
    <row r="66" spans="1:98" x14ac:dyDescent="0.2">
      <c r="A66" s="1774" t="s">
        <v>611</v>
      </c>
      <c r="B66" s="1775"/>
      <c r="C66" s="1775"/>
      <c r="D66" s="1775"/>
      <c r="E66" s="1775"/>
      <c r="F66" s="1775"/>
      <c r="G66" s="1775"/>
      <c r="H66" s="1775"/>
      <c r="I66" s="1775"/>
      <c r="J66" s="1775"/>
      <c r="K66" s="1775"/>
      <c r="L66" s="1775"/>
      <c r="M66" s="1775"/>
      <c r="N66" s="1775"/>
      <c r="O66" s="1775"/>
      <c r="P66" s="1775"/>
      <c r="Q66" s="1775"/>
      <c r="R66" s="1775"/>
      <c r="S66" s="1775"/>
      <c r="T66" s="1775"/>
      <c r="U66" s="1775"/>
      <c r="V66" s="1775"/>
      <c r="W66" s="1775"/>
      <c r="X66" s="1775"/>
      <c r="Y66" s="1775"/>
      <c r="Z66" s="1775"/>
      <c r="AA66" s="1775"/>
      <c r="AB66" s="1775"/>
      <c r="AC66" s="1775"/>
      <c r="AD66" s="1775"/>
      <c r="AE66" s="1775"/>
      <c r="AF66" s="1775"/>
      <c r="AG66" s="1775"/>
      <c r="AH66" s="1775"/>
      <c r="AI66" s="1776"/>
      <c r="AJ66" s="2073" t="s">
        <v>3</v>
      </c>
      <c r="AK66" s="2073"/>
      <c r="AL66" s="2073"/>
      <c r="AM66" s="2073"/>
      <c r="AN66" s="2073"/>
      <c r="AO66" s="2073"/>
      <c r="AP66" s="2073"/>
      <c r="AQ66" s="2073"/>
      <c r="AR66" s="2073"/>
      <c r="AS66" s="2073"/>
      <c r="AT66" s="2073"/>
      <c r="AU66" s="2073" t="s">
        <v>3</v>
      </c>
      <c r="AV66" s="2073"/>
      <c r="AW66" s="2073"/>
      <c r="AX66" s="2073"/>
      <c r="AY66" s="2073"/>
      <c r="AZ66" s="2073"/>
      <c r="BA66" s="2073"/>
      <c r="BB66" s="2073"/>
      <c r="BC66" s="2073"/>
      <c r="BD66" s="2073"/>
      <c r="BE66" s="2073" t="s">
        <v>3</v>
      </c>
      <c r="BF66" s="2073"/>
      <c r="BG66" s="2073"/>
      <c r="BH66" s="2073"/>
      <c r="BI66" s="2073"/>
      <c r="BJ66" s="2073"/>
      <c r="BK66" s="2073"/>
      <c r="BL66" s="2073"/>
      <c r="BM66" s="2073"/>
      <c r="BN66" s="2073"/>
      <c r="BO66" s="2073"/>
      <c r="BP66" s="2073">
        <f>BP61+BP65</f>
        <v>3273214.49</v>
      </c>
      <c r="BQ66" s="2073"/>
      <c r="BR66" s="2073"/>
      <c r="BS66" s="2073"/>
      <c r="BT66" s="2073"/>
      <c r="BU66" s="2073"/>
      <c r="BV66" s="2073"/>
      <c r="BW66" s="2073"/>
      <c r="BX66" s="2073"/>
      <c r="BY66" s="2073"/>
      <c r="BZ66" s="2073"/>
      <c r="CA66" s="2073"/>
      <c r="CB66" s="2073"/>
      <c r="CC66" s="139"/>
      <c r="CD66" s="139">
        <f>CD61+CD65</f>
        <v>2113035.9</v>
      </c>
      <c r="CE66" s="138"/>
      <c r="CF66" s="139"/>
      <c r="CG66" s="139"/>
      <c r="CH66" s="139">
        <f>CH59+CH65</f>
        <v>1160178.5899999999</v>
      </c>
      <c r="CI66" s="1111" t="s">
        <v>1581</v>
      </c>
      <c r="CT66" s="590"/>
    </row>
    <row r="67" spans="1:98" x14ac:dyDescent="0.2">
      <c r="A67" s="589"/>
      <c r="B67" s="589"/>
      <c r="C67" s="589"/>
      <c r="D67" s="589"/>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2059">
        <f>BP66+BP38+BP11</f>
        <v>3597441.4000000004</v>
      </c>
      <c r="BQ67" s="1819"/>
      <c r="BR67" s="1819"/>
      <c r="BS67" s="1819"/>
      <c r="BT67" s="1819"/>
      <c r="BU67" s="1819"/>
      <c r="BV67" s="1819"/>
      <c r="BW67" s="1819"/>
      <c r="BX67" s="1819"/>
      <c r="BY67" s="1819"/>
      <c r="BZ67" s="1819"/>
      <c r="CA67" s="33"/>
      <c r="CB67" s="33"/>
      <c r="CD67" s="590"/>
      <c r="CH67" s="591">
        <f>CH66+CH38</f>
        <v>1221625.9699999997</v>
      </c>
    </row>
    <row r="68" spans="1:98" ht="15.75" x14ac:dyDescent="0.2">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592">
        <f>CD28+CD66+CD34</f>
        <v>2227792.2699999996</v>
      </c>
      <c r="CE68" s="92"/>
      <c r="CF68" s="592"/>
      <c r="CG68" s="92"/>
      <c r="CH68" s="592"/>
    </row>
    <row r="69" spans="1:98" x14ac:dyDescent="0.2">
      <c r="CD69" s="590">
        <v>2323689.37</v>
      </c>
      <c r="CG69" s="1093"/>
      <c r="CH69" s="1094"/>
      <c r="CI69" s="1095"/>
    </row>
    <row r="70" spans="1:98" x14ac:dyDescent="0.2">
      <c r="CD70" s="590">
        <f>CD69-CD68</f>
        <v>95897.100000000559</v>
      </c>
      <c r="CG70" s="1096"/>
      <c r="CI70" s="1097">
        <f>BP66+BP38</f>
        <v>3534920.47</v>
      </c>
    </row>
    <row r="71" spans="1:98" x14ac:dyDescent="0.2">
      <c r="CG71" s="1096"/>
      <c r="CH71" s="137" t="s">
        <v>1562</v>
      </c>
      <c r="CI71" s="1098">
        <f>246211+3362404.34</f>
        <v>3608615.34</v>
      </c>
    </row>
    <row r="72" spans="1:98" x14ac:dyDescent="0.2">
      <c r="CG72" s="1096"/>
      <c r="CH72" s="137" t="s">
        <v>1563</v>
      </c>
      <c r="CI72" s="1097">
        <f>CI70-CI71</f>
        <v>-73694.869999999646</v>
      </c>
      <c r="CJ72" s="988" t="s">
        <v>1689</v>
      </c>
    </row>
    <row r="73" spans="1:98" x14ac:dyDescent="0.2">
      <c r="CG73" s="2085" t="s">
        <v>1565</v>
      </c>
      <c r="CH73" s="2086"/>
      <c r="CI73" s="1099">
        <v>149284.57</v>
      </c>
      <c r="CJ73" s="137" t="s">
        <v>1690</v>
      </c>
    </row>
    <row r="74" spans="1:98" x14ac:dyDescent="0.2">
      <c r="CG74" s="1096"/>
      <c r="CH74" s="988" t="s">
        <v>1568</v>
      </c>
      <c r="CI74" s="1099">
        <v>-105588.85</v>
      </c>
      <c r="CJ74" s="137" t="s">
        <v>1691</v>
      </c>
    </row>
    <row r="75" spans="1:98" x14ac:dyDescent="0.2">
      <c r="CG75" s="1100"/>
      <c r="CH75" s="1101"/>
      <c r="CI75" s="1102"/>
    </row>
  </sheetData>
  <mergeCells count="328">
    <mergeCell ref="E23:AI23"/>
    <mergeCell ref="AJ23:AP23"/>
    <mergeCell ref="AU23:BD23"/>
    <mergeCell ref="BE23:BO23"/>
    <mergeCell ref="BP23:CB23"/>
    <mergeCell ref="BP65:CB65"/>
    <mergeCell ref="BP59:CB59"/>
    <mergeCell ref="A58:D58"/>
    <mergeCell ref="E58:AI58"/>
    <mergeCell ref="BE29:BO29"/>
    <mergeCell ref="BP29:CB29"/>
    <mergeCell ref="A65:D65"/>
    <mergeCell ref="E65:AI65"/>
    <mergeCell ref="AJ65:AT65"/>
    <mergeCell ref="AU65:BD65"/>
    <mergeCell ref="BE65:BO65"/>
    <mergeCell ref="BP52:CB52"/>
    <mergeCell ref="E54:AI54"/>
    <mergeCell ref="AJ54:AT54"/>
    <mergeCell ref="AU54:BD54"/>
    <mergeCell ref="BP54:CB54"/>
    <mergeCell ref="E51:AI51"/>
    <mergeCell ref="AJ51:AT51"/>
    <mergeCell ref="AU51:BD51"/>
    <mergeCell ref="CG73:CH73"/>
    <mergeCell ref="BP25:CB25"/>
    <mergeCell ref="A24:D24"/>
    <mergeCell ref="E24:AI24"/>
    <mergeCell ref="AJ24:AP24"/>
    <mergeCell ref="AU24:BD24"/>
    <mergeCell ref="BE24:BO24"/>
    <mergeCell ref="BP24:CB24"/>
    <mergeCell ref="BP58:CB58"/>
    <mergeCell ref="A66:AI66"/>
    <mergeCell ref="AJ66:AT66"/>
    <mergeCell ref="A29:D29"/>
    <mergeCell ref="E29:AI29"/>
    <mergeCell ref="AU29:BD29"/>
    <mergeCell ref="AU66:BD66"/>
    <mergeCell ref="BE66:BO66"/>
    <mergeCell ref="BP66:CB66"/>
    <mergeCell ref="A62:D62"/>
    <mergeCell ref="E62:AI62"/>
    <mergeCell ref="AJ62:AT62"/>
    <mergeCell ref="AU62:BD62"/>
    <mergeCell ref="BE62:BO62"/>
    <mergeCell ref="BP62:CB62"/>
    <mergeCell ref="BP63:CB63"/>
    <mergeCell ref="BP20:CB20"/>
    <mergeCell ref="BE20:BO20"/>
    <mergeCell ref="AU20:BD20"/>
    <mergeCell ref="AJ20:AP20"/>
    <mergeCell ref="E20:AI20"/>
    <mergeCell ref="A20:D20"/>
    <mergeCell ref="A25:D25"/>
    <mergeCell ref="E25:AI25"/>
    <mergeCell ref="AJ25:AT25"/>
    <mergeCell ref="AU25:BD25"/>
    <mergeCell ref="BE25:BO25"/>
    <mergeCell ref="A22:D22"/>
    <mergeCell ref="E22:AI22"/>
    <mergeCell ref="AJ22:AP22"/>
    <mergeCell ref="AU22:BD22"/>
    <mergeCell ref="BE22:BO22"/>
    <mergeCell ref="BP22:CB22"/>
    <mergeCell ref="A21:D21"/>
    <mergeCell ref="E21:AI21"/>
    <mergeCell ref="AJ21:AP21"/>
    <mergeCell ref="AU21:BD21"/>
    <mergeCell ref="BE21:BO21"/>
    <mergeCell ref="BP21:CB21"/>
    <mergeCell ref="A23:D23"/>
    <mergeCell ref="BE51:BO51"/>
    <mergeCell ref="BP51:CB51"/>
    <mergeCell ref="A55:D55"/>
    <mergeCell ref="E55:AI55"/>
    <mergeCell ref="AJ55:AT55"/>
    <mergeCell ref="AU55:BD55"/>
    <mergeCell ref="BE55:BO55"/>
    <mergeCell ref="BP55:CB55"/>
    <mergeCell ref="A53:D53"/>
    <mergeCell ref="E53:AI53"/>
    <mergeCell ref="AJ53:AT53"/>
    <mergeCell ref="AU53:BD53"/>
    <mergeCell ref="BE53:BO53"/>
    <mergeCell ref="BP53:CB53"/>
    <mergeCell ref="A47:D47"/>
    <mergeCell ref="E47:AI47"/>
    <mergeCell ref="AJ47:AT47"/>
    <mergeCell ref="AU47:BD47"/>
    <mergeCell ref="BE47:BO47"/>
    <mergeCell ref="BP47:CB47"/>
    <mergeCell ref="A46:D46"/>
    <mergeCell ref="E46:AI46"/>
    <mergeCell ref="AJ46:AT46"/>
    <mergeCell ref="AU46:BD46"/>
    <mergeCell ref="BE46:BO46"/>
    <mergeCell ref="BP46:CB46"/>
    <mergeCell ref="CC42:CH42"/>
    <mergeCell ref="CC43:CD43"/>
    <mergeCell ref="CE43:CG43"/>
    <mergeCell ref="CH43:CH45"/>
    <mergeCell ref="CC44:CC45"/>
    <mergeCell ref="CD44:CD45"/>
    <mergeCell ref="CE44:CE45"/>
    <mergeCell ref="CF44:CF45"/>
    <mergeCell ref="CG44:CG45"/>
    <mergeCell ref="A38:AI38"/>
    <mergeCell ref="AJ38:AT38"/>
    <mergeCell ref="AU38:BD38"/>
    <mergeCell ref="BE38:BO38"/>
    <mergeCell ref="BP38:CB38"/>
    <mergeCell ref="A42:D45"/>
    <mergeCell ref="E42:AI45"/>
    <mergeCell ref="AJ42:AT45"/>
    <mergeCell ref="AU42:BD45"/>
    <mergeCell ref="BE42:BO45"/>
    <mergeCell ref="BP42:CB45"/>
    <mergeCell ref="A37:D37"/>
    <mergeCell ref="E37:AI37"/>
    <mergeCell ref="AJ37:AT37"/>
    <mergeCell ref="AU37:BD37"/>
    <mergeCell ref="BE37:BO37"/>
    <mergeCell ref="BP37:CB37"/>
    <mergeCell ref="A36:D36"/>
    <mergeCell ref="E36:AI36"/>
    <mergeCell ref="AJ36:AT36"/>
    <mergeCell ref="AU36:BD36"/>
    <mergeCell ref="BE36:BO36"/>
    <mergeCell ref="BP36:CB36"/>
    <mergeCell ref="A35:D35"/>
    <mergeCell ref="E35:AI35"/>
    <mergeCell ref="AJ35:AT35"/>
    <mergeCell ref="AU35:BD35"/>
    <mergeCell ref="BE35:BO35"/>
    <mergeCell ref="BP35:CB35"/>
    <mergeCell ref="A34:D34"/>
    <mergeCell ref="E34:AI34"/>
    <mergeCell ref="AJ34:AT34"/>
    <mergeCell ref="AU34:BD34"/>
    <mergeCell ref="BE34:BO34"/>
    <mergeCell ref="BP34:CB34"/>
    <mergeCell ref="A33:D33"/>
    <mergeCell ref="E33:AI33"/>
    <mergeCell ref="AJ33:AT33"/>
    <mergeCell ref="AU33:BD33"/>
    <mergeCell ref="BE33:BO33"/>
    <mergeCell ref="BP33:CB33"/>
    <mergeCell ref="A32:D32"/>
    <mergeCell ref="E32:AI32"/>
    <mergeCell ref="AJ32:AT32"/>
    <mergeCell ref="AU32:BD32"/>
    <mergeCell ref="BE32:BO32"/>
    <mergeCell ref="BP32:CB32"/>
    <mergeCell ref="A31:D31"/>
    <mergeCell ref="E31:AI31"/>
    <mergeCell ref="AJ31:AT31"/>
    <mergeCell ref="AU31:BD31"/>
    <mergeCell ref="BE31:BO31"/>
    <mergeCell ref="BP31:CB31"/>
    <mergeCell ref="A26:D26"/>
    <mergeCell ref="E26:AI26"/>
    <mergeCell ref="AJ26:AT26"/>
    <mergeCell ref="AU26:BD26"/>
    <mergeCell ref="BE26:BO26"/>
    <mergeCell ref="BP26:CB26"/>
    <mergeCell ref="A28:D28"/>
    <mergeCell ref="E28:AI28"/>
    <mergeCell ref="AJ28:AT28"/>
    <mergeCell ref="AU28:BD28"/>
    <mergeCell ref="BE28:BO28"/>
    <mergeCell ref="BP28:CB28"/>
    <mergeCell ref="A27:D27"/>
    <mergeCell ref="E27:AI27"/>
    <mergeCell ref="AJ27:AT27"/>
    <mergeCell ref="AU27:BD27"/>
    <mergeCell ref="BE27:BO27"/>
    <mergeCell ref="BP27:CB27"/>
    <mergeCell ref="BE19:BO19"/>
    <mergeCell ref="BP19:CB19"/>
    <mergeCell ref="CF16:CF17"/>
    <mergeCell ref="CG16:CG17"/>
    <mergeCell ref="A18:D18"/>
    <mergeCell ref="E18:AI18"/>
    <mergeCell ref="AJ18:AT18"/>
    <mergeCell ref="AU18:BD18"/>
    <mergeCell ref="BE18:BO18"/>
    <mergeCell ref="BP18:CB18"/>
    <mergeCell ref="AU14:BD17"/>
    <mergeCell ref="BE14:BO17"/>
    <mergeCell ref="BP14:CB17"/>
    <mergeCell ref="CC14:CH14"/>
    <mergeCell ref="CC15:CD15"/>
    <mergeCell ref="CE15:CG15"/>
    <mergeCell ref="CH15:CH17"/>
    <mergeCell ref="CC16:CC17"/>
    <mergeCell ref="CD16:CD17"/>
    <mergeCell ref="CE16:CE17"/>
    <mergeCell ref="A14:D17"/>
    <mergeCell ref="E14:AI17"/>
    <mergeCell ref="AJ14:AR17"/>
    <mergeCell ref="AS14:AS17"/>
    <mergeCell ref="AU7:BD7"/>
    <mergeCell ref="BE7:BO7"/>
    <mergeCell ref="BP7:CB7"/>
    <mergeCell ref="BE9:BO9"/>
    <mergeCell ref="BP9:CB9"/>
    <mergeCell ref="BE10:BO10"/>
    <mergeCell ref="BP10:CB10"/>
    <mergeCell ref="AT14:AT17"/>
    <mergeCell ref="A19:D19"/>
    <mergeCell ref="E19:AI19"/>
    <mergeCell ref="AJ19:AP19"/>
    <mergeCell ref="AU19:BD19"/>
    <mergeCell ref="A8:D8"/>
    <mergeCell ref="E8:AI8"/>
    <mergeCell ref="AJ8:AT8"/>
    <mergeCell ref="AU8:BD8"/>
    <mergeCell ref="A9:D9"/>
    <mergeCell ref="E9:AI9"/>
    <mergeCell ref="AJ9:AT9"/>
    <mergeCell ref="AU9:BD9"/>
    <mergeCell ref="A10:D10"/>
    <mergeCell ref="E10:AI10"/>
    <mergeCell ref="AJ10:AT10"/>
    <mergeCell ref="AU10:BD10"/>
    <mergeCell ref="CC3:CH3"/>
    <mergeCell ref="CC4:CD4"/>
    <mergeCell ref="CE4:CG4"/>
    <mergeCell ref="CH4:CH6"/>
    <mergeCell ref="CC5:CC6"/>
    <mergeCell ref="CD5:CD6"/>
    <mergeCell ref="CE5:CE6"/>
    <mergeCell ref="CF5:CF6"/>
    <mergeCell ref="CG5:CG6"/>
    <mergeCell ref="AJ50:AT50"/>
    <mergeCell ref="AU50:BD50"/>
    <mergeCell ref="BE50:BO50"/>
    <mergeCell ref="BP50:CB50"/>
    <mergeCell ref="E49:AI49"/>
    <mergeCell ref="AJ49:AT49"/>
    <mergeCell ref="AU49:BD49"/>
    <mergeCell ref="BP49:CB49"/>
    <mergeCell ref="A3:D6"/>
    <mergeCell ref="E3:AI6"/>
    <mergeCell ref="AJ3:AT6"/>
    <mergeCell ref="AU3:BD6"/>
    <mergeCell ref="BE3:BO6"/>
    <mergeCell ref="BP3:CB6"/>
    <mergeCell ref="BE8:BO8"/>
    <mergeCell ref="BP8:CB8"/>
    <mergeCell ref="A11:AI11"/>
    <mergeCell ref="AJ11:AT11"/>
    <mergeCell ref="AU11:BD11"/>
    <mergeCell ref="BE11:BO11"/>
    <mergeCell ref="BP11:CB11"/>
    <mergeCell ref="A7:D7"/>
    <mergeCell ref="E7:AI7"/>
    <mergeCell ref="AJ7:AT7"/>
    <mergeCell ref="A63:D63"/>
    <mergeCell ref="E63:AI63"/>
    <mergeCell ref="AJ63:AT63"/>
    <mergeCell ref="AU63:BD63"/>
    <mergeCell ref="BE63:BO63"/>
    <mergeCell ref="E52:AI52"/>
    <mergeCell ref="AJ52:AT52"/>
    <mergeCell ref="AU52:BD52"/>
    <mergeCell ref="BE52:BO52"/>
    <mergeCell ref="A59:D59"/>
    <mergeCell ref="E59:AI59"/>
    <mergeCell ref="AJ59:AT59"/>
    <mergeCell ref="AU59:BD59"/>
    <mergeCell ref="BE59:BO59"/>
    <mergeCell ref="A56:D56"/>
    <mergeCell ref="E56:AI56"/>
    <mergeCell ref="AJ56:AT56"/>
    <mergeCell ref="BE54:BO54"/>
    <mergeCell ref="AJ58:AT58"/>
    <mergeCell ref="AU58:BD58"/>
    <mergeCell ref="BE58:BO58"/>
    <mergeCell ref="AU30:BD30"/>
    <mergeCell ref="BE30:BO30"/>
    <mergeCell ref="AU56:BD56"/>
    <mergeCell ref="BE56:BO56"/>
    <mergeCell ref="BP56:CB56"/>
    <mergeCell ref="A57:D57"/>
    <mergeCell ref="E57:AI57"/>
    <mergeCell ref="AJ57:AT57"/>
    <mergeCell ref="AU57:BD57"/>
    <mergeCell ref="BE57:BO57"/>
    <mergeCell ref="BP57:CB57"/>
    <mergeCell ref="A48:D48"/>
    <mergeCell ref="A50:D50"/>
    <mergeCell ref="A52:D52"/>
    <mergeCell ref="A54:D54"/>
    <mergeCell ref="A51:D51"/>
    <mergeCell ref="A49:D49"/>
    <mergeCell ref="BE49:BO49"/>
    <mergeCell ref="E48:AI48"/>
    <mergeCell ref="AJ48:AT48"/>
    <mergeCell ref="AU48:BD48"/>
    <mergeCell ref="BE48:BO48"/>
    <mergeCell ref="BP48:CB48"/>
    <mergeCell ref="E50:AI50"/>
    <mergeCell ref="BP67:BZ67"/>
    <mergeCell ref="AJ29:AT29"/>
    <mergeCell ref="A61:D61"/>
    <mergeCell ref="E61:AI61"/>
    <mergeCell ref="AJ61:AT61"/>
    <mergeCell ref="AU61:BD61"/>
    <mergeCell ref="BE61:BO61"/>
    <mergeCell ref="BP61:CB61"/>
    <mergeCell ref="A64:D64"/>
    <mergeCell ref="E64:AI64"/>
    <mergeCell ref="AJ64:AT64"/>
    <mergeCell ref="AU64:BD64"/>
    <mergeCell ref="BE64:BO64"/>
    <mergeCell ref="BP64:CB64"/>
    <mergeCell ref="A60:D60"/>
    <mergeCell ref="E60:AI60"/>
    <mergeCell ref="AJ60:AT60"/>
    <mergeCell ref="AU60:BD60"/>
    <mergeCell ref="BE60:BO60"/>
    <mergeCell ref="BP60:CB60"/>
    <mergeCell ref="BP30:CB30"/>
    <mergeCell ref="A30:D30"/>
    <mergeCell ref="E30:AI30"/>
    <mergeCell ref="AJ30:AT30"/>
  </mergeCells>
  <pageMargins left="0.25" right="0.25" top="0.75" bottom="0.75" header="0.3" footer="0.3"/>
  <pageSetup paperSize="9" scale="74" fitToHeight="0" orientation="landscape" r:id="rId1"/>
  <headerFooter alignWithMargins="0"/>
  <rowBreaks count="1" manualBreakCount="1">
    <brk id="3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DE138"/>
  <sheetViews>
    <sheetView view="pageBreakPreview" topLeftCell="A73" zoomScale="77" zoomScaleNormal="100" zoomScaleSheetLayoutView="77" workbookViewId="0">
      <selection activeCell="CD27" sqref="CD27"/>
    </sheetView>
  </sheetViews>
  <sheetFormatPr defaultColWidth="1.140625" defaultRowHeight="12.75" x14ac:dyDescent="0.2"/>
  <cols>
    <col min="1" max="3" width="1.140625" style="8"/>
    <col min="4" max="4" width="3.28515625" style="8" customWidth="1"/>
    <col min="5" max="38" width="1.140625" style="8"/>
    <col min="39" max="39" width="9.5703125" style="8" customWidth="1"/>
    <col min="40" max="43" width="1.140625" style="8"/>
    <col min="44" max="44" width="4.42578125" style="8" customWidth="1"/>
    <col min="45" max="45" width="1.140625" style="8" customWidth="1"/>
    <col min="46" max="46" width="1.28515625" style="8" customWidth="1"/>
    <col min="47" max="49" width="1.140625" style="8"/>
    <col min="50" max="51" width="1.140625" style="8" customWidth="1"/>
    <col min="52" max="52" width="4.28515625" style="8" customWidth="1"/>
    <col min="53" max="54" width="1.140625" style="8" hidden="1" customWidth="1"/>
    <col min="55" max="55" width="0.7109375" style="8" customWidth="1"/>
    <col min="56" max="64" width="1.140625" style="8"/>
    <col min="65" max="65" width="1.85546875" style="8" customWidth="1"/>
    <col min="66" max="80" width="1.140625" style="8"/>
    <col min="81" max="81" width="15" style="8" customWidth="1"/>
    <col min="82" max="82" width="16.28515625" style="8" customWidth="1"/>
    <col min="83" max="83" width="14.28515625" style="8" customWidth="1"/>
    <col min="84" max="84" width="12" style="8" customWidth="1"/>
    <col min="85" max="85" width="15.7109375" style="8" customWidth="1"/>
    <col min="86" max="86" width="17.28515625" style="8" customWidth="1"/>
    <col min="87" max="87" width="34.28515625" style="8" customWidth="1"/>
    <col min="88" max="88" width="15.140625" style="8" customWidth="1"/>
    <col min="89" max="90" width="1.140625" style="8"/>
    <col min="91" max="91" width="12.42578125" style="8" customWidth="1"/>
    <col min="92" max="92" width="1.140625" style="8" hidden="1" customWidth="1"/>
    <col min="93" max="93" width="14.28515625" style="8" customWidth="1"/>
    <col min="94" max="16384" width="1.140625" style="8"/>
  </cols>
  <sheetData>
    <row r="1" spans="1:86" s="93" customFormat="1" ht="15.75" x14ac:dyDescent="0.2">
      <c r="A1" s="136" t="s">
        <v>1310</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row>
    <row r="2" spans="1:86" s="4" customFormat="1" ht="15.75" x14ac:dyDescent="0.25">
      <c r="A2" s="19" t="s">
        <v>629</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row>
    <row r="3" spans="1:86" s="7" customFormat="1" ht="6" customHeight="1" x14ac:dyDescent="0.2">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row>
    <row r="4" spans="1:86" ht="12.75" customHeight="1" x14ac:dyDescent="0.2">
      <c r="A4" s="1781" t="s">
        <v>38</v>
      </c>
      <c r="B4" s="1925"/>
      <c r="C4" s="1925"/>
      <c r="D4" s="1782"/>
      <c r="E4" s="1818" t="s">
        <v>4</v>
      </c>
      <c r="F4" s="1819"/>
      <c r="G4" s="1819"/>
      <c r="H4" s="1819"/>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c r="AI4" s="1819"/>
      <c r="AJ4" s="1819"/>
      <c r="AK4" s="1819"/>
      <c r="AL4" s="1819"/>
      <c r="AM4" s="1820"/>
      <c r="AN4" s="1781" t="s">
        <v>139</v>
      </c>
      <c r="AO4" s="1925"/>
      <c r="AP4" s="1925"/>
      <c r="AQ4" s="1925"/>
      <c r="AR4" s="1925"/>
      <c r="AS4" s="1925"/>
      <c r="AT4" s="1925"/>
      <c r="AU4" s="1925"/>
      <c r="AV4" s="1925"/>
      <c r="AW4" s="1925"/>
      <c r="AX4" s="1925"/>
      <c r="AY4" s="1925"/>
      <c r="AZ4" s="1925"/>
      <c r="BA4" s="1925"/>
      <c r="BB4" s="1925"/>
      <c r="BC4" s="1782"/>
      <c r="BD4" s="1781" t="s">
        <v>140</v>
      </c>
      <c r="BE4" s="1925"/>
      <c r="BF4" s="1925"/>
      <c r="BG4" s="1925"/>
      <c r="BH4" s="1925"/>
      <c r="BI4" s="1925"/>
      <c r="BJ4" s="1925"/>
      <c r="BK4" s="1925"/>
      <c r="BL4" s="1925"/>
      <c r="BM4" s="1782"/>
      <c r="BN4" s="1781" t="s">
        <v>624</v>
      </c>
      <c r="BO4" s="1925"/>
      <c r="BP4" s="1925"/>
      <c r="BQ4" s="1925"/>
      <c r="BR4" s="1925"/>
      <c r="BS4" s="1925"/>
      <c r="BT4" s="1925"/>
      <c r="BU4" s="1925"/>
      <c r="BV4" s="1925"/>
      <c r="BW4" s="1925"/>
      <c r="BX4" s="1925"/>
      <c r="BY4" s="1925"/>
      <c r="BZ4" s="1925"/>
      <c r="CA4" s="1925"/>
      <c r="CB4" s="1782"/>
      <c r="CC4" s="1806" t="s">
        <v>52</v>
      </c>
      <c r="CD4" s="1806"/>
      <c r="CE4" s="1806"/>
      <c r="CF4" s="1806"/>
      <c r="CG4" s="1806"/>
      <c r="CH4" s="1806"/>
    </row>
    <row r="5" spans="1:86" ht="33" customHeight="1" x14ac:dyDescent="0.2">
      <c r="A5" s="1783"/>
      <c r="B5" s="1926"/>
      <c r="C5" s="1926"/>
      <c r="D5" s="1784"/>
      <c r="E5" s="1807"/>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8"/>
      <c r="AJ5" s="1808"/>
      <c r="AK5" s="1808"/>
      <c r="AL5" s="1808"/>
      <c r="AM5" s="1809"/>
      <c r="AN5" s="1783"/>
      <c r="AO5" s="1926"/>
      <c r="AP5" s="1926"/>
      <c r="AQ5" s="1926"/>
      <c r="AR5" s="1926"/>
      <c r="AS5" s="1926"/>
      <c r="AT5" s="1926"/>
      <c r="AU5" s="1926"/>
      <c r="AV5" s="1926"/>
      <c r="AW5" s="1926"/>
      <c r="AX5" s="1926"/>
      <c r="AY5" s="1926"/>
      <c r="AZ5" s="1926"/>
      <c r="BA5" s="1926"/>
      <c r="BB5" s="1926"/>
      <c r="BC5" s="1784"/>
      <c r="BD5" s="1783"/>
      <c r="BE5" s="1926"/>
      <c r="BF5" s="1926"/>
      <c r="BG5" s="1926"/>
      <c r="BH5" s="1926"/>
      <c r="BI5" s="1926"/>
      <c r="BJ5" s="1926"/>
      <c r="BK5" s="1926"/>
      <c r="BL5" s="1926"/>
      <c r="BM5" s="1784"/>
      <c r="BN5" s="1783"/>
      <c r="BO5" s="1926"/>
      <c r="BP5" s="1926"/>
      <c r="BQ5" s="1926"/>
      <c r="BR5" s="1926"/>
      <c r="BS5" s="1926"/>
      <c r="BT5" s="1926"/>
      <c r="BU5" s="1926"/>
      <c r="BV5" s="1926"/>
      <c r="BW5" s="1926"/>
      <c r="BX5" s="1926"/>
      <c r="BY5" s="1926"/>
      <c r="BZ5" s="1926"/>
      <c r="CA5" s="1926"/>
      <c r="CB5" s="1784"/>
      <c r="CC5" s="1810" t="s">
        <v>35</v>
      </c>
      <c r="CD5" s="1810"/>
      <c r="CE5" s="1788" t="s">
        <v>45</v>
      </c>
      <c r="CF5" s="1790"/>
      <c r="CG5" s="1789"/>
      <c r="CH5" s="1778" t="s">
        <v>46</v>
      </c>
    </row>
    <row r="6" spans="1:86" ht="12.75" customHeight="1" x14ac:dyDescent="0.2">
      <c r="A6" s="1783"/>
      <c r="B6" s="1926"/>
      <c r="C6" s="1926"/>
      <c r="D6" s="1784"/>
      <c r="E6" s="1807"/>
      <c r="F6" s="1808"/>
      <c r="G6" s="1808"/>
      <c r="H6" s="1808"/>
      <c r="I6" s="1808"/>
      <c r="J6" s="1808"/>
      <c r="K6" s="1808"/>
      <c r="L6" s="1808"/>
      <c r="M6" s="1808"/>
      <c r="N6" s="1808"/>
      <c r="O6" s="1808"/>
      <c r="P6" s="1808"/>
      <c r="Q6" s="1808"/>
      <c r="R6" s="1808"/>
      <c r="S6" s="1808"/>
      <c r="T6" s="1808"/>
      <c r="U6" s="1808"/>
      <c r="V6" s="1808"/>
      <c r="W6" s="1808"/>
      <c r="X6" s="1808"/>
      <c r="Y6" s="1808"/>
      <c r="Z6" s="1808"/>
      <c r="AA6" s="1808"/>
      <c r="AB6" s="1808"/>
      <c r="AC6" s="1808"/>
      <c r="AD6" s="1808"/>
      <c r="AE6" s="1808"/>
      <c r="AF6" s="1808"/>
      <c r="AG6" s="1808"/>
      <c r="AH6" s="1808"/>
      <c r="AI6" s="1808"/>
      <c r="AJ6" s="1808"/>
      <c r="AK6" s="1808"/>
      <c r="AL6" s="1808"/>
      <c r="AM6" s="1809"/>
      <c r="AN6" s="1783"/>
      <c r="AO6" s="1926"/>
      <c r="AP6" s="1926"/>
      <c r="AQ6" s="1926"/>
      <c r="AR6" s="1926"/>
      <c r="AS6" s="1926"/>
      <c r="AT6" s="1926"/>
      <c r="AU6" s="1926"/>
      <c r="AV6" s="1926"/>
      <c r="AW6" s="1926"/>
      <c r="AX6" s="1926"/>
      <c r="AY6" s="1926"/>
      <c r="AZ6" s="1926"/>
      <c r="BA6" s="1926"/>
      <c r="BB6" s="1926"/>
      <c r="BC6" s="1784"/>
      <c r="BD6" s="1783"/>
      <c r="BE6" s="1926"/>
      <c r="BF6" s="1926"/>
      <c r="BG6" s="1926"/>
      <c r="BH6" s="1926"/>
      <c r="BI6" s="1926"/>
      <c r="BJ6" s="1926"/>
      <c r="BK6" s="1926"/>
      <c r="BL6" s="1926"/>
      <c r="BM6" s="1784"/>
      <c r="BN6" s="1783"/>
      <c r="BO6" s="1926"/>
      <c r="BP6" s="1926"/>
      <c r="BQ6" s="1926"/>
      <c r="BR6" s="1926"/>
      <c r="BS6" s="1926"/>
      <c r="BT6" s="1926"/>
      <c r="BU6" s="1926"/>
      <c r="BV6" s="1926"/>
      <c r="BW6" s="1926"/>
      <c r="BX6" s="1926"/>
      <c r="BY6" s="1926"/>
      <c r="BZ6" s="1926"/>
      <c r="CA6" s="1926"/>
      <c r="CB6" s="1784"/>
      <c r="CC6" s="1811" t="s">
        <v>43</v>
      </c>
      <c r="CD6" s="1811" t="s">
        <v>44</v>
      </c>
      <c r="CE6" s="1812" t="s">
        <v>55</v>
      </c>
      <c r="CF6" s="1811" t="s">
        <v>43</v>
      </c>
      <c r="CG6" s="1811" t="s">
        <v>44</v>
      </c>
      <c r="CH6" s="1779"/>
    </row>
    <row r="7" spans="1:86" ht="32.450000000000003" customHeight="1" x14ac:dyDescent="0.2">
      <c r="A7" s="1785"/>
      <c r="B7" s="1927"/>
      <c r="C7" s="1927"/>
      <c r="D7" s="1786"/>
      <c r="E7" s="1814"/>
      <c r="F7" s="1815"/>
      <c r="G7" s="1815"/>
      <c r="H7" s="1815"/>
      <c r="I7" s="1815"/>
      <c r="J7" s="1815"/>
      <c r="K7" s="1815"/>
      <c r="L7" s="1815"/>
      <c r="M7" s="1815"/>
      <c r="N7" s="1815"/>
      <c r="O7" s="1815"/>
      <c r="P7" s="1815"/>
      <c r="Q7" s="1815"/>
      <c r="R7" s="1815"/>
      <c r="S7" s="1815"/>
      <c r="T7" s="1815"/>
      <c r="U7" s="1815"/>
      <c r="V7" s="1815"/>
      <c r="W7" s="1815"/>
      <c r="X7" s="1815"/>
      <c r="Y7" s="1815"/>
      <c r="Z7" s="1815"/>
      <c r="AA7" s="1815"/>
      <c r="AB7" s="1815"/>
      <c r="AC7" s="1815"/>
      <c r="AD7" s="1815"/>
      <c r="AE7" s="1815"/>
      <c r="AF7" s="1815"/>
      <c r="AG7" s="1815"/>
      <c r="AH7" s="1815"/>
      <c r="AI7" s="1815"/>
      <c r="AJ7" s="1815"/>
      <c r="AK7" s="1815"/>
      <c r="AL7" s="1815"/>
      <c r="AM7" s="1816"/>
      <c r="AN7" s="1785"/>
      <c r="AO7" s="1927"/>
      <c r="AP7" s="1927"/>
      <c r="AQ7" s="1927"/>
      <c r="AR7" s="1927"/>
      <c r="AS7" s="1927"/>
      <c r="AT7" s="1927"/>
      <c r="AU7" s="1927"/>
      <c r="AV7" s="1927"/>
      <c r="AW7" s="1927"/>
      <c r="AX7" s="1927"/>
      <c r="AY7" s="1927"/>
      <c r="AZ7" s="1927"/>
      <c r="BA7" s="1927"/>
      <c r="BB7" s="1927"/>
      <c r="BC7" s="1786"/>
      <c r="BD7" s="1785"/>
      <c r="BE7" s="1927"/>
      <c r="BF7" s="1927"/>
      <c r="BG7" s="1927"/>
      <c r="BH7" s="1927"/>
      <c r="BI7" s="1927"/>
      <c r="BJ7" s="1927"/>
      <c r="BK7" s="1927"/>
      <c r="BL7" s="1927"/>
      <c r="BM7" s="1786"/>
      <c r="BN7" s="1785"/>
      <c r="BO7" s="1927"/>
      <c r="BP7" s="1927"/>
      <c r="BQ7" s="1927"/>
      <c r="BR7" s="1927"/>
      <c r="BS7" s="1927"/>
      <c r="BT7" s="1927"/>
      <c r="BU7" s="1927"/>
      <c r="BV7" s="1927"/>
      <c r="BW7" s="1927"/>
      <c r="BX7" s="1927"/>
      <c r="BY7" s="1927"/>
      <c r="BZ7" s="1927"/>
      <c r="CA7" s="1927"/>
      <c r="CB7" s="1786"/>
      <c r="CC7" s="1811"/>
      <c r="CD7" s="1811"/>
      <c r="CE7" s="1813"/>
      <c r="CF7" s="1811"/>
      <c r="CG7" s="1811"/>
      <c r="CH7" s="1780"/>
    </row>
    <row r="8" spans="1:86" x14ac:dyDescent="0.2">
      <c r="A8" s="1830">
        <v>1</v>
      </c>
      <c r="B8" s="1830"/>
      <c r="C8" s="1830"/>
      <c r="D8" s="1830"/>
      <c r="E8" s="1830">
        <v>2</v>
      </c>
      <c r="F8" s="183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1830"/>
      <c r="AM8" s="1830"/>
      <c r="AN8" s="1830">
        <v>3</v>
      </c>
      <c r="AO8" s="1830"/>
      <c r="AP8" s="1830"/>
      <c r="AQ8" s="1830"/>
      <c r="AR8" s="1830"/>
      <c r="AS8" s="1830"/>
      <c r="AT8" s="1830"/>
      <c r="AU8" s="1830"/>
      <c r="AV8" s="1830"/>
      <c r="AW8" s="1830"/>
      <c r="AX8" s="1830"/>
      <c r="AY8" s="1830"/>
      <c r="AZ8" s="1830"/>
      <c r="BA8" s="1830"/>
      <c r="BB8" s="1830"/>
      <c r="BC8" s="1830"/>
      <c r="BD8" s="1830">
        <v>4</v>
      </c>
      <c r="BE8" s="1830"/>
      <c r="BF8" s="1830"/>
      <c r="BG8" s="1830"/>
      <c r="BH8" s="1830"/>
      <c r="BI8" s="1830"/>
      <c r="BJ8" s="1830"/>
      <c r="BK8" s="1830"/>
      <c r="BL8" s="1830"/>
      <c r="BM8" s="1830"/>
      <c r="BN8" s="1830" t="s">
        <v>49</v>
      </c>
      <c r="BO8" s="1830"/>
      <c r="BP8" s="1830"/>
      <c r="BQ8" s="1830"/>
      <c r="BR8" s="1830"/>
      <c r="BS8" s="1830"/>
      <c r="BT8" s="1830"/>
      <c r="BU8" s="1830"/>
      <c r="BV8" s="1830"/>
      <c r="BW8" s="1830"/>
      <c r="BX8" s="1830"/>
      <c r="BY8" s="1830"/>
      <c r="BZ8" s="1830"/>
      <c r="CA8" s="1830"/>
      <c r="CB8" s="1830"/>
      <c r="CC8" s="15">
        <v>6</v>
      </c>
      <c r="CD8" s="15">
        <v>7</v>
      </c>
      <c r="CE8" s="15">
        <v>8</v>
      </c>
      <c r="CF8" s="15">
        <v>9</v>
      </c>
      <c r="CG8" s="15">
        <v>10</v>
      </c>
      <c r="CH8" s="15">
        <v>11</v>
      </c>
    </row>
    <row r="9" spans="1:86" ht="17.25" customHeight="1" x14ac:dyDescent="0.2">
      <c r="A9" s="1824">
        <v>1</v>
      </c>
      <c r="B9" s="1825"/>
      <c r="C9" s="1825"/>
      <c r="D9" s="1826"/>
      <c r="E9" s="1904" t="s">
        <v>1230</v>
      </c>
      <c r="F9" s="1905"/>
      <c r="G9" s="1905"/>
      <c r="H9" s="1905"/>
      <c r="I9" s="1905"/>
      <c r="J9" s="1905"/>
      <c r="K9" s="1905"/>
      <c r="L9" s="1905"/>
      <c r="M9" s="1905"/>
      <c r="N9" s="1905"/>
      <c r="O9" s="1905"/>
      <c r="P9" s="1905"/>
      <c r="Q9" s="1905"/>
      <c r="R9" s="1905"/>
      <c r="S9" s="1905"/>
      <c r="T9" s="1905"/>
      <c r="U9" s="1905"/>
      <c r="V9" s="1905"/>
      <c r="W9" s="1905"/>
      <c r="X9" s="1905"/>
      <c r="Y9" s="1905"/>
      <c r="Z9" s="1905"/>
      <c r="AA9" s="1905"/>
      <c r="AB9" s="1905"/>
      <c r="AC9" s="1905"/>
      <c r="AD9" s="1905"/>
      <c r="AE9" s="1905"/>
      <c r="AF9" s="1905"/>
      <c r="AG9" s="1905"/>
      <c r="AH9" s="1905"/>
      <c r="AI9" s="1905"/>
      <c r="AJ9" s="1905"/>
      <c r="AK9" s="1905"/>
      <c r="AL9" s="1905"/>
      <c r="AM9" s="1906"/>
      <c r="AN9" s="2105">
        <v>0</v>
      </c>
      <c r="AO9" s="2106"/>
      <c r="AP9" s="2106"/>
      <c r="AQ9" s="2106"/>
      <c r="AR9" s="2106"/>
      <c r="AS9" s="2106"/>
      <c r="AT9" s="2106"/>
      <c r="AU9" s="2106"/>
      <c r="AV9" s="2106"/>
      <c r="AW9" s="2106"/>
      <c r="AX9" s="2106"/>
      <c r="AY9" s="2106"/>
      <c r="AZ9" s="2106"/>
      <c r="BA9" s="2106"/>
      <c r="BB9" s="2106"/>
      <c r="BC9" s="2107"/>
      <c r="BD9" s="2129">
        <v>0</v>
      </c>
      <c r="BE9" s="2130"/>
      <c r="BF9" s="2130"/>
      <c r="BG9" s="2130"/>
      <c r="BH9" s="2130"/>
      <c r="BI9" s="2130"/>
      <c r="BJ9" s="2130"/>
      <c r="BK9" s="2130"/>
      <c r="BL9" s="2130"/>
      <c r="BM9" s="2131"/>
      <c r="BN9" s="2105">
        <v>0</v>
      </c>
      <c r="BO9" s="2106"/>
      <c r="BP9" s="2106"/>
      <c r="BQ9" s="2106"/>
      <c r="BR9" s="2106"/>
      <c r="BS9" s="2106"/>
      <c r="BT9" s="2106"/>
      <c r="BU9" s="2106"/>
      <c r="BV9" s="2106"/>
      <c r="BW9" s="2106"/>
      <c r="BX9" s="2106"/>
      <c r="BY9" s="2106"/>
      <c r="BZ9" s="2106"/>
      <c r="CA9" s="2106"/>
      <c r="CB9" s="2107"/>
      <c r="CC9" s="283"/>
      <c r="CD9" s="283"/>
      <c r="CE9" s="16">
        <v>963324061</v>
      </c>
      <c r="CF9" s="17"/>
      <c r="CG9" s="242">
        <v>0</v>
      </c>
      <c r="CH9" s="17"/>
    </row>
    <row r="10" spans="1:86" s="29" customFormat="1" x14ac:dyDescent="0.2">
      <c r="A10" s="1831" t="s">
        <v>151</v>
      </c>
      <c r="B10" s="1832"/>
      <c r="C10" s="1832"/>
      <c r="D10" s="1832"/>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3"/>
      <c r="AN10" s="1913" t="s">
        <v>3</v>
      </c>
      <c r="AO10" s="1913"/>
      <c r="AP10" s="1913"/>
      <c r="AQ10" s="1913"/>
      <c r="AR10" s="1913"/>
      <c r="AS10" s="1913"/>
      <c r="AT10" s="1913"/>
      <c r="AU10" s="1913"/>
      <c r="AV10" s="1913"/>
      <c r="AW10" s="1913"/>
      <c r="AX10" s="1913"/>
      <c r="AY10" s="1913"/>
      <c r="AZ10" s="1913"/>
      <c r="BA10" s="1913"/>
      <c r="BB10" s="1913"/>
      <c r="BC10" s="1913"/>
      <c r="BD10" s="1913" t="s">
        <v>3</v>
      </c>
      <c r="BE10" s="1913"/>
      <c r="BF10" s="1913"/>
      <c r="BG10" s="1913"/>
      <c r="BH10" s="1913"/>
      <c r="BI10" s="1913"/>
      <c r="BJ10" s="1913"/>
      <c r="BK10" s="1913"/>
      <c r="BL10" s="1913"/>
      <c r="BM10" s="1913"/>
      <c r="BN10" s="1971">
        <f>SUM(BN9:CB9)</f>
        <v>0</v>
      </c>
      <c r="BO10" s="1971"/>
      <c r="BP10" s="1971"/>
      <c r="BQ10" s="1971"/>
      <c r="BR10" s="1971"/>
      <c r="BS10" s="1971"/>
      <c r="BT10" s="1971"/>
      <c r="BU10" s="1971"/>
      <c r="BV10" s="1971"/>
      <c r="BW10" s="1971"/>
      <c r="BX10" s="1971"/>
      <c r="BY10" s="1971"/>
      <c r="BZ10" s="1971"/>
      <c r="CA10" s="1971"/>
      <c r="CB10" s="1971"/>
      <c r="CC10" s="239"/>
      <c r="CD10" s="239"/>
      <c r="CE10" s="239"/>
      <c r="CF10" s="239"/>
      <c r="CG10" s="239">
        <f>CG9</f>
        <v>0</v>
      </c>
      <c r="CH10" s="239"/>
    </row>
    <row r="11" spans="1:86" s="4" customFormat="1" ht="17.25" customHeight="1" x14ac:dyDescent="0.25">
      <c r="A11" s="19" t="s">
        <v>103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row>
    <row r="12" spans="1:86" s="4" customFormat="1" ht="15.75" x14ac:dyDescent="0.25">
      <c r="A12" s="19" t="s">
        <v>629</v>
      </c>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row>
    <row r="13" spans="1:86" s="7" customFormat="1" ht="6" customHeight="1" x14ac:dyDescent="0.2">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row>
    <row r="14" spans="1:86" ht="12.75" customHeight="1" x14ac:dyDescent="0.2">
      <c r="A14" s="1781" t="s">
        <v>38</v>
      </c>
      <c r="B14" s="1925"/>
      <c r="C14" s="1925"/>
      <c r="D14" s="1782"/>
      <c r="E14" s="1818" t="s">
        <v>4</v>
      </c>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1819"/>
      <c r="AM14" s="1820"/>
      <c r="AN14" s="1781" t="s">
        <v>139</v>
      </c>
      <c r="AO14" s="1925"/>
      <c r="AP14" s="1925"/>
      <c r="AQ14" s="1925"/>
      <c r="AR14" s="1925"/>
      <c r="AS14" s="1925"/>
      <c r="AT14" s="1925"/>
      <c r="AU14" s="1925"/>
      <c r="AV14" s="1925"/>
      <c r="AW14" s="1925"/>
      <c r="AX14" s="1925"/>
      <c r="AY14" s="1925"/>
      <c r="AZ14" s="1925"/>
      <c r="BA14" s="1925"/>
      <c r="BB14" s="1925"/>
      <c r="BC14" s="1782"/>
      <c r="BD14" s="1781" t="s">
        <v>140</v>
      </c>
      <c r="BE14" s="1925"/>
      <c r="BF14" s="1925"/>
      <c r="BG14" s="1925"/>
      <c r="BH14" s="1925"/>
      <c r="BI14" s="1925"/>
      <c r="BJ14" s="1925"/>
      <c r="BK14" s="1925"/>
      <c r="BL14" s="1925"/>
      <c r="BM14" s="1782"/>
      <c r="BN14" s="1781" t="s">
        <v>624</v>
      </c>
      <c r="BO14" s="1925"/>
      <c r="BP14" s="1925"/>
      <c r="BQ14" s="1925"/>
      <c r="BR14" s="1925"/>
      <c r="BS14" s="1925"/>
      <c r="BT14" s="1925"/>
      <c r="BU14" s="1925"/>
      <c r="BV14" s="1925"/>
      <c r="BW14" s="1925"/>
      <c r="BX14" s="1925"/>
      <c r="BY14" s="1925"/>
      <c r="BZ14" s="1925"/>
      <c r="CA14" s="1925"/>
      <c r="CB14" s="1782"/>
      <c r="CC14" s="1806" t="s">
        <v>52</v>
      </c>
      <c r="CD14" s="1806"/>
      <c r="CE14" s="1806"/>
      <c r="CF14" s="1806"/>
      <c r="CG14" s="1806"/>
      <c r="CH14" s="1806"/>
    </row>
    <row r="15" spans="1:86" ht="31.5" customHeight="1" x14ac:dyDescent="0.2">
      <c r="A15" s="1783"/>
      <c r="B15" s="1926"/>
      <c r="C15" s="1926"/>
      <c r="D15" s="1784"/>
      <c r="E15" s="1807"/>
      <c r="F15" s="1808"/>
      <c r="G15" s="1808"/>
      <c r="H15" s="1808"/>
      <c r="I15" s="1808"/>
      <c r="J15" s="1808"/>
      <c r="K15" s="1808"/>
      <c r="L15" s="1808"/>
      <c r="M15" s="1808"/>
      <c r="N15" s="1808"/>
      <c r="O15" s="1808"/>
      <c r="P15" s="1808"/>
      <c r="Q15" s="1808"/>
      <c r="R15" s="1808"/>
      <c r="S15" s="1808"/>
      <c r="T15" s="1808"/>
      <c r="U15" s="1808"/>
      <c r="V15" s="1808"/>
      <c r="W15" s="1808"/>
      <c r="X15" s="1808"/>
      <c r="Y15" s="1808"/>
      <c r="Z15" s="1808"/>
      <c r="AA15" s="1808"/>
      <c r="AB15" s="1808"/>
      <c r="AC15" s="1808"/>
      <c r="AD15" s="1808"/>
      <c r="AE15" s="1808"/>
      <c r="AF15" s="1808"/>
      <c r="AG15" s="1808"/>
      <c r="AH15" s="1808"/>
      <c r="AI15" s="1808"/>
      <c r="AJ15" s="1808"/>
      <c r="AK15" s="1808"/>
      <c r="AL15" s="1808"/>
      <c r="AM15" s="1809"/>
      <c r="AN15" s="1783"/>
      <c r="AO15" s="1926"/>
      <c r="AP15" s="1926"/>
      <c r="AQ15" s="1926"/>
      <c r="AR15" s="1926"/>
      <c r="AS15" s="1926"/>
      <c r="AT15" s="1926"/>
      <c r="AU15" s="1926"/>
      <c r="AV15" s="1926"/>
      <c r="AW15" s="1926"/>
      <c r="AX15" s="1926"/>
      <c r="AY15" s="1926"/>
      <c r="AZ15" s="1926"/>
      <c r="BA15" s="1926"/>
      <c r="BB15" s="1926"/>
      <c r="BC15" s="1784"/>
      <c r="BD15" s="1783"/>
      <c r="BE15" s="1926"/>
      <c r="BF15" s="1926"/>
      <c r="BG15" s="1926"/>
      <c r="BH15" s="1926"/>
      <c r="BI15" s="1926"/>
      <c r="BJ15" s="1926"/>
      <c r="BK15" s="1926"/>
      <c r="BL15" s="1926"/>
      <c r="BM15" s="1784"/>
      <c r="BN15" s="1783"/>
      <c r="BO15" s="1926"/>
      <c r="BP15" s="1926"/>
      <c r="BQ15" s="1926"/>
      <c r="BR15" s="1926"/>
      <c r="BS15" s="1926"/>
      <c r="BT15" s="1926"/>
      <c r="BU15" s="1926"/>
      <c r="BV15" s="1926"/>
      <c r="BW15" s="1926"/>
      <c r="BX15" s="1926"/>
      <c r="BY15" s="1926"/>
      <c r="BZ15" s="1926"/>
      <c r="CA15" s="1926"/>
      <c r="CB15" s="1784"/>
      <c r="CC15" s="1810" t="s">
        <v>35</v>
      </c>
      <c r="CD15" s="1810"/>
      <c r="CE15" s="1788" t="s">
        <v>45</v>
      </c>
      <c r="CF15" s="1790"/>
      <c r="CG15" s="1789"/>
      <c r="CH15" s="1778" t="s">
        <v>46</v>
      </c>
    </row>
    <row r="16" spans="1:86" ht="12.75" customHeight="1" x14ac:dyDescent="0.2">
      <c r="A16" s="1783"/>
      <c r="B16" s="1926"/>
      <c r="C16" s="1926"/>
      <c r="D16" s="1784"/>
      <c r="E16" s="1807"/>
      <c r="F16" s="1808"/>
      <c r="G16" s="1808"/>
      <c r="H16" s="1808"/>
      <c r="I16" s="1808"/>
      <c r="J16" s="1808"/>
      <c r="K16" s="1808"/>
      <c r="L16" s="1808"/>
      <c r="M16" s="1808"/>
      <c r="N16" s="1808"/>
      <c r="O16" s="1808"/>
      <c r="P16" s="1808"/>
      <c r="Q16" s="1808"/>
      <c r="R16" s="1808"/>
      <c r="S16" s="1808"/>
      <c r="T16" s="1808"/>
      <c r="U16" s="1808"/>
      <c r="V16" s="1808"/>
      <c r="W16" s="1808"/>
      <c r="X16" s="1808"/>
      <c r="Y16" s="1808"/>
      <c r="Z16" s="1808"/>
      <c r="AA16" s="1808"/>
      <c r="AB16" s="1808"/>
      <c r="AC16" s="1808"/>
      <c r="AD16" s="1808"/>
      <c r="AE16" s="1808"/>
      <c r="AF16" s="1808"/>
      <c r="AG16" s="1808"/>
      <c r="AH16" s="1808"/>
      <c r="AI16" s="1808"/>
      <c r="AJ16" s="1808"/>
      <c r="AK16" s="1808"/>
      <c r="AL16" s="1808"/>
      <c r="AM16" s="1809"/>
      <c r="AN16" s="1783"/>
      <c r="AO16" s="1926"/>
      <c r="AP16" s="1926"/>
      <c r="AQ16" s="1926"/>
      <c r="AR16" s="1926"/>
      <c r="AS16" s="1926"/>
      <c r="AT16" s="1926"/>
      <c r="AU16" s="1926"/>
      <c r="AV16" s="1926"/>
      <c r="AW16" s="1926"/>
      <c r="AX16" s="1926"/>
      <c r="AY16" s="1926"/>
      <c r="AZ16" s="1926"/>
      <c r="BA16" s="1926"/>
      <c r="BB16" s="1926"/>
      <c r="BC16" s="1784"/>
      <c r="BD16" s="1783"/>
      <c r="BE16" s="1926"/>
      <c r="BF16" s="1926"/>
      <c r="BG16" s="1926"/>
      <c r="BH16" s="1926"/>
      <c r="BI16" s="1926"/>
      <c r="BJ16" s="1926"/>
      <c r="BK16" s="1926"/>
      <c r="BL16" s="1926"/>
      <c r="BM16" s="1784"/>
      <c r="BN16" s="1783"/>
      <c r="BO16" s="1926"/>
      <c r="BP16" s="1926"/>
      <c r="BQ16" s="1926"/>
      <c r="BR16" s="1926"/>
      <c r="BS16" s="1926"/>
      <c r="BT16" s="1926"/>
      <c r="BU16" s="1926"/>
      <c r="BV16" s="1926"/>
      <c r="BW16" s="1926"/>
      <c r="BX16" s="1926"/>
      <c r="BY16" s="1926"/>
      <c r="BZ16" s="1926"/>
      <c r="CA16" s="1926"/>
      <c r="CB16" s="1784"/>
      <c r="CC16" s="1811" t="s">
        <v>43</v>
      </c>
      <c r="CD16" s="1811" t="s">
        <v>44</v>
      </c>
      <c r="CE16" s="1812" t="s">
        <v>55</v>
      </c>
      <c r="CF16" s="1811" t="s">
        <v>43</v>
      </c>
      <c r="CG16" s="1811" t="s">
        <v>44</v>
      </c>
      <c r="CH16" s="1779"/>
    </row>
    <row r="17" spans="1:93" ht="34.9" customHeight="1" x14ac:dyDescent="0.2">
      <c r="A17" s="1785"/>
      <c r="B17" s="1927"/>
      <c r="C17" s="1927"/>
      <c r="D17" s="1786"/>
      <c r="E17" s="1814"/>
      <c r="F17" s="1815"/>
      <c r="G17" s="1815"/>
      <c r="H17" s="1815"/>
      <c r="I17" s="1815"/>
      <c r="J17" s="1815"/>
      <c r="K17" s="1815"/>
      <c r="L17" s="1815"/>
      <c r="M17" s="1815"/>
      <c r="N17" s="1815"/>
      <c r="O17" s="1815"/>
      <c r="P17" s="1815"/>
      <c r="Q17" s="1815"/>
      <c r="R17" s="1815"/>
      <c r="S17" s="1815"/>
      <c r="T17" s="1815"/>
      <c r="U17" s="1815"/>
      <c r="V17" s="1815"/>
      <c r="W17" s="1815"/>
      <c r="X17" s="1815"/>
      <c r="Y17" s="1815"/>
      <c r="Z17" s="1815"/>
      <c r="AA17" s="1815"/>
      <c r="AB17" s="1815"/>
      <c r="AC17" s="1815"/>
      <c r="AD17" s="1815"/>
      <c r="AE17" s="1815"/>
      <c r="AF17" s="1815"/>
      <c r="AG17" s="1815"/>
      <c r="AH17" s="1815"/>
      <c r="AI17" s="1815"/>
      <c r="AJ17" s="1815"/>
      <c r="AK17" s="1815"/>
      <c r="AL17" s="1815"/>
      <c r="AM17" s="1816"/>
      <c r="AN17" s="1785"/>
      <c r="AO17" s="1927"/>
      <c r="AP17" s="1927"/>
      <c r="AQ17" s="1927"/>
      <c r="AR17" s="1927"/>
      <c r="AS17" s="1927"/>
      <c r="AT17" s="1927"/>
      <c r="AU17" s="1927"/>
      <c r="AV17" s="1927"/>
      <c r="AW17" s="1927"/>
      <c r="AX17" s="1927"/>
      <c r="AY17" s="1927"/>
      <c r="AZ17" s="1927"/>
      <c r="BA17" s="1927"/>
      <c r="BB17" s="1927"/>
      <c r="BC17" s="1786"/>
      <c r="BD17" s="1785"/>
      <c r="BE17" s="1927"/>
      <c r="BF17" s="1927"/>
      <c r="BG17" s="1927"/>
      <c r="BH17" s="1927"/>
      <c r="BI17" s="1927"/>
      <c r="BJ17" s="1927"/>
      <c r="BK17" s="1927"/>
      <c r="BL17" s="1927"/>
      <c r="BM17" s="1786"/>
      <c r="BN17" s="1785"/>
      <c r="BO17" s="1927"/>
      <c r="BP17" s="1927"/>
      <c r="BQ17" s="1927"/>
      <c r="BR17" s="1927"/>
      <c r="BS17" s="1927"/>
      <c r="BT17" s="1927"/>
      <c r="BU17" s="1927"/>
      <c r="BV17" s="1927"/>
      <c r="BW17" s="1927"/>
      <c r="BX17" s="1927"/>
      <c r="BY17" s="1927"/>
      <c r="BZ17" s="1927"/>
      <c r="CA17" s="1927"/>
      <c r="CB17" s="1786"/>
      <c r="CC17" s="1811"/>
      <c r="CD17" s="1811"/>
      <c r="CE17" s="1813"/>
      <c r="CF17" s="1811"/>
      <c r="CG17" s="1811"/>
      <c r="CH17" s="1780"/>
    </row>
    <row r="18" spans="1:93" x14ac:dyDescent="0.2">
      <c r="A18" s="1830">
        <v>1</v>
      </c>
      <c r="B18" s="1830"/>
      <c r="C18" s="1830"/>
      <c r="D18" s="1830"/>
      <c r="E18" s="1830">
        <v>2</v>
      </c>
      <c r="F18" s="1830"/>
      <c r="G18" s="1830"/>
      <c r="H18" s="1830"/>
      <c r="I18" s="1830"/>
      <c r="J18" s="1830"/>
      <c r="K18" s="1830"/>
      <c r="L18" s="1830"/>
      <c r="M18" s="1830"/>
      <c r="N18" s="1830"/>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v>3</v>
      </c>
      <c r="AO18" s="1830"/>
      <c r="AP18" s="1830"/>
      <c r="AQ18" s="1830"/>
      <c r="AR18" s="1830"/>
      <c r="AS18" s="1830"/>
      <c r="AT18" s="1830"/>
      <c r="AU18" s="1830"/>
      <c r="AV18" s="1830"/>
      <c r="AW18" s="1830"/>
      <c r="AX18" s="1830"/>
      <c r="AY18" s="1830"/>
      <c r="AZ18" s="1830"/>
      <c r="BA18" s="1830"/>
      <c r="BB18" s="1830"/>
      <c r="BC18" s="1830"/>
      <c r="BD18" s="1830">
        <v>4</v>
      </c>
      <c r="BE18" s="1830"/>
      <c r="BF18" s="1830"/>
      <c r="BG18" s="1830"/>
      <c r="BH18" s="1830"/>
      <c r="BI18" s="1830"/>
      <c r="BJ18" s="1830"/>
      <c r="BK18" s="1830"/>
      <c r="BL18" s="1830"/>
      <c r="BM18" s="1830"/>
      <c r="BN18" s="1830" t="s">
        <v>49</v>
      </c>
      <c r="BO18" s="1830"/>
      <c r="BP18" s="1830"/>
      <c r="BQ18" s="1830"/>
      <c r="BR18" s="1830"/>
      <c r="BS18" s="1830"/>
      <c r="BT18" s="1830"/>
      <c r="BU18" s="1830"/>
      <c r="BV18" s="1830"/>
      <c r="BW18" s="1830"/>
      <c r="BX18" s="1830"/>
      <c r="BY18" s="1830"/>
      <c r="BZ18" s="1830"/>
      <c r="CA18" s="1830"/>
      <c r="CB18" s="1830"/>
      <c r="CC18" s="15">
        <v>6</v>
      </c>
      <c r="CD18" s="15">
        <v>7</v>
      </c>
      <c r="CE18" s="15">
        <v>8</v>
      </c>
      <c r="CF18" s="15">
        <v>9</v>
      </c>
      <c r="CG18" s="15">
        <v>10</v>
      </c>
      <c r="CH18" s="15">
        <v>11</v>
      </c>
    </row>
    <row r="19" spans="1:93" ht="39" customHeight="1" x14ac:dyDescent="0.2">
      <c r="A19" s="1824">
        <v>1</v>
      </c>
      <c r="B19" s="1825"/>
      <c r="C19" s="1825"/>
      <c r="D19" s="1826"/>
      <c r="E19" s="1904" t="s">
        <v>1483</v>
      </c>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6"/>
      <c r="AN19" s="2105">
        <v>4200</v>
      </c>
      <c r="AO19" s="2106"/>
      <c r="AP19" s="2106"/>
      <c r="AQ19" s="2106"/>
      <c r="AR19" s="2106"/>
      <c r="AS19" s="2106"/>
      <c r="AT19" s="2106"/>
      <c r="AU19" s="2106"/>
      <c r="AV19" s="2106"/>
      <c r="AW19" s="2106"/>
      <c r="AX19" s="2106"/>
      <c r="AY19" s="2106"/>
      <c r="AZ19" s="2106"/>
      <c r="BA19" s="2106"/>
      <c r="BB19" s="2106"/>
      <c r="BC19" s="2107"/>
      <c r="BD19" s="2129">
        <v>12</v>
      </c>
      <c r="BE19" s="2130"/>
      <c r="BF19" s="2130"/>
      <c r="BG19" s="2130"/>
      <c r="BH19" s="2130"/>
      <c r="BI19" s="2130"/>
      <c r="BJ19" s="2130"/>
      <c r="BK19" s="2130"/>
      <c r="BL19" s="2130"/>
      <c r="BM19" s="2131"/>
      <c r="BN19" s="2105">
        <f>AN19*BD19</f>
        <v>50400</v>
      </c>
      <c r="BO19" s="2106"/>
      <c r="BP19" s="2106"/>
      <c r="BQ19" s="2106"/>
      <c r="BR19" s="2106"/>
      <c r="BS19" s="2106"/>
      <c r="BT19" s="2106"/>
      <c r="BU19" s="2106"/>
      <c r="BV19" s="2106"/>
      <c r="BW19" s="2106"/>
      <c r="BX19" s="2106"/>
      <c r="BY19" s="2106"/>
      <c r="BZ19" s="2106"/>
      <c r="CA19" s="2106"/>
      <c r="CB19" s="2107"/>
      <c r="CC19" s="283"/>
      <c r="CD19" s="1143">
        <f t="shared" ref="CD19:CD24" si="0">BN19</f>
        <v>50400</v>
      </c>
      <c r="CE19" s="1144"/>
      <c r="CF19" s="17"/>
      <c r="CG19" s="17"/>
      <c r="CH19" s="17"/>
    </row>
    <row r="20" spans="1:93" ht="15.75" customHeight="1" x14ac:dyDescent="0.2">
      <c r="A20" s="1824">
        <v>2</v>
      </c>
      <c r="B20" s="1825"/>
      <c r="C20" s="1825"/>
      <c r="D20" s="1826"/>
      <c r="E20" s="1904" t="s">
        <v>1191</v>
      </c>
      <c r="F20" s="1905"/>
      <c r="G20" s="1905"/>
      <c r="H20" s="1905"/>
      <c r="I20" s="1905"/>
      <c r="J20" s="1905"/>
      <c r="K20" s="1905"/>
      <c r="L20" s="1905"/>
      <c r="M20" s="1905"/>
      <c r="N20" s="1905"/>
      <c r="O20" s="1905"/>
      <c r="P20" s="1905"/>
      <c r="Q20" s="1905"/>
      <c r="R20" s="1905"/>
      <c r="S20" s="1905"/>
      <c r="T20" s="1905"/>
      <c r="U20" s="1905"/>
      <c r="V20" s="1905"/>
      <c r="W20" s="1905"/>
      <c r="X20" s="1905"/>
      <c r="Y20" s="1905"/>
      <c r="Z20" s="1905"/>
      <c r="AA20" s="1905"/>
      <c r="AB20" s="1905"/>
      <c r="AC20" s="1905"/>
      <c r="AD20" s="1905"/>
      <c r="AE20" s="1905"/>
      <c r="AF20" s="1905"/>
      <c r="AG20" s="1905"/>
      <c r="AH20" s="1905"/>
      <c r="AI20" s="1905"/>
      <c r="AJ20" s="1905"/>
      <c r="AK20" s="1905"/>
      <c r="AL20" s="1905"/>
      <c r="AM20" s="1906"/>
      <c r="AN20" s="2105">
        <v>6096</v>
      </c>
      <c r="AO20" s="2106"/>
      <c r="AP20" s="2106"/>
      <c r="AQ20" s="2106"/>
      <c r="AR20" s="2106"/>
      <c r="AS20" s="2106"/>
      <c r="AT20" s="2106"/>
      <c r="AU20" s="2106"/>
      <c r="AV20" s="2106"/>
      <c r="AW20" s="2106"/>
      <c r="AX20" s="2106"/>
      <c r="AY20" s="2106"/>
      <c r="AZ20" s="2106"/>
      <c r="BA20" s="2106"/>
      <c r="BB20" s="2106"/>
      <c r="BC20" s="2107"/>
      <c r="BD20" s="2129">
        <v>12</v>
      </c>
      <c r="BE20" s="2130"/>
      <c r="BF20" s="2130"/>
      <c r="BG20" s="2130"/>
      <c r="BH20" s="2130"/>
      <c r="BI20" s="2130"/>
      <c r="BJ20" s="2130"/>
      <c r="BK20" s="2130"/>
      <c r="BL20" s="2130"/>
      <c r="BM20" s="2131"/>
      <c r="BN20" s="2105">
        <f>AN20*BD20</f>
        <v>73152</v>
      </c>
      <c r="BO20" s="2106"/>
      <c r="BP20" s="2106"/>
      <c r="BQ20" s="2106"/>
      <c r="BR20" s="2106"/>
      <c r="BS20" s="2106"/>
      <c r="BT20" s="2106"/>
      <c r="BU20" s="2106"/>
      <c r="BV20" s="2106"/>
      <c r="BW20" s="2106"/>
      <c r="BX20" s="2106"/>
      <c r="BY20" s="2106"/>
      <c r="BZ20" s="2106"/>
      <c r="CA20" s="2106"/>
      <c r="CB20" s="2107"/>
      <c r="CC20" s="283"/>
      <c r="CD20" s="1143">
        <f t="shared" si="0"/>
        <v>73152</v>
      </c>
      <c r="CE20" s="1144"/>
      <c r="CF20" s="17"/>
      <c r="CG20" s="17"/>
      <c r="CH20" s="17"/>
      <c r="CI20" s="142"/>
    </row>
    <row r="21" spans="1:93" ht="15.75" customHeight="1" x14ac:dyDescent="0.2">
      <c r="A21" s="1797">
        <v>3</v>
      </c>
      <c r="B21" s="1798"/>
      <c r="C21" s="1798"/>
      <c r="D21" s="1799"/>
      <c r="E21" s="1904" t="s">
        <v>1192</v>
      </c>
      <c r="F21" s="1905"/>
      <c r="G21" s="1905"/>
      <c r="H21" s="1905"/>
      <c r="I21" s="1905"/>
      <c r="J21" s="1905"/>
      <c r="K21" s="1905"/>
      <c r="L21" s="1905"/>
      <c r="M21" s="1905"/>
      <c r="N21" s="1905"/>
      <c r="O21" s="1905"/>
      <c r="P21" s="1905"/>
      <c r="Q21" s="1905"/>
      <c r="R21" s="1905"/>
      <c r="S21" s="1905"/>
      <c r="T21" s="1905"/>
      <c r="U21" s="1905"/>
      <c r="V21" s="1905"/>
      <c r="W21" s="1905"/>
      <c r="X21" s="1905"/>
      <c r="Y21" s="1905"/>
      <c r="Z21" s="1905"/>
      <c r="AA21" s="1905"/>
      <c r="AB21" s="1905"/>
      <c r="AC21" s="1905"/>
      <c r="AD21" s="1905"/>
      <c r="AE21" s="1905"/>
      <c r="AF21" s="1905"/>
      <c r="AG21" s="1905"/>
      <c r="AH21" s="1905"/>
      <c r="AI21" s="1905"/>
      <c r="AJ21" s="1905"/>
      <c r="AK21" s="1905"/>
      <c r="AL21" s="1905"/>
      <c r="AM21" s="1906"/>
      <c r="AN21" s="2105">
        <f>CD21</f>
        <v>3859</v>
      </c>
      <c r="AO21" s="2106"/>
      <c r="AP21" s="2106"/>
      <c r="AQ21" s="2106"/>
      <c r="AR21" s="2106"/>
      <c r="AS21" s="2106"/>
      <c r="AT21" s="2106"/>
      <c r="AU21" s="2106"/>
      <c r="AV21" s="2106"/>
      <c r="AW21" s="2106"/>
      <c r="AX21" s="2106"/>
      <c r="AY21" s="2106"/>
      <c r="AZ21" s="2106"/>
      <c r="BA21" s="2106"/>
      <c r="BB21" s="2106"/>
      <c r="BC21" s="2107"/>
      <c r="BD21" s="2129">
        <v>1</v>
      </c>
      <c r="BE21" s="2130"/>
      <c r="BF21" s="2130"/>
      <c r="BG21" s="2130"/>
      <c r="BH21" s="2130"/>
      <c r="BI21" s="2130"/>
      <c r="BJ21" s="2130"/>
      <c r="BK21" s="2130"/>
      <c r="BL21" s="2130"/>
      <c r="BM21" s="2131"/>
      <c r="BN21" s="2105">
        <f>CD21</f>
        <v>3859</v>
      </c>
      <c r="BO21" s="2106"/>
      <c r="BP21" s="2106"/>
      <c r="BQ21" s="2106"/>
      <c r="BR21" s="2106"/>
      <c r="BS21" s="2106"/>
      <c r="BT21" s="2106"/>
      <c r="BU21" s="2106"/>
      <c r="BV21" s="2106"/>
      <c r="BW21" s="2106"/>
      <c r="BX21" s="2106"/>
      <c r="BY21" s="2106"/>
      <c r="BZ21" s="2106"/>
      <c r="CA21" s="2106"/>
      <c r="CB21" s="2107"/>
      <c r="CC21" s="283"/>
      <c r="CD21" s="1143">
        <f>2844+1015</f>
        <v>3859</v>
      </c>
      <c r="CE21" s="1066"/>
      <c r="CF21" s="15"/>
      <c r="CG21" s="15"/>
      <c r="CH21" s="15"/>
      <c r="CI21" s="51"/>
    </row>
    <row r="22" spans="1:93" s="234" customFormat="1" ht="15.75" customHeight="1" x14ac:dyDescent="0.2">
      <c r="A22" s="1810">
        <v>4</v>
      </c>
      <c r="B22" s="1810"/>
      <c r="C22" s="1810"/>
      <c r="D22" s="1810"/>
      <c r="E22" s="2082" t="s">
        <v>1186</v>
      </c>
      <c r="F22" s="2082"/>
      <c r="G22" s="2082"/>
      <c r="H22" s="2082"/>
      <c r="I22" s="2082"/>
      <c r="J22" s="2082"/>
      <c r="K22" s="2082"/>
      <c r="L22" s="2082"/>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c r="AK22" s="2082"/>
      <c r="AL22" s="2082"/>
      <c r="AM22" s="2082"/>
      <c r="AN22" s="2105">
        <v>1954.78</v>
      </c>
      <c r="AO22" s="2106"/>
      <c r="AP22" s="2106"/>
      <c r="AQ22" s="2106"/>
      <c r="AR22" s="2106"/>
      <c r="AS22" s="2106"/>
      <c r="AT22" s="2106"/>
      <c r="AU22" s="2106"/>
      <c r="AV22" s="2106"/>
      <c r="AW22" s="2106"/>
      <c r="AX22" s="2106"/>
      <c r="AY22" s="2106"/>
      <c r="AZ22" s="2106"/>
      <c r="BA22" s="2106"/>
      <c r="BB22" s="2106"/>
      <c r="BC22" s="2107"/>
      <c r="BD22" s="2129">
        <v>12</v>
      </c>
      <c r="BE22" s="2130"/>
      <c r="BF22" s="2130"/>
      <c r="BG22" s="2130"/>
      <c r="BH22" s="2130"/>
      <c r="BI22" s="2130"/>
      <c r="BJ22" s="2130"/>
      <c r="BK22" s="2130"/>
      <c r="BL22" s="2130"/>
      <c r="BM22" s="2131"/>
      <c r="BN22" s="2135">
        <f>AN22*BD22</f>
        <v>23457.360000000001</v>
      </c>
      <c r="BO22" s="2135"/>
      <c r="BP22" s="2135"/>
      <c r="BQ22" s="2135"/>
      <c r="BR22" s="2135"/>
      <c r="BS22" s="2135"/>
      <c r="BT22" s="2135"/>
      <c r="BU22" s="2135"/>
      <c r="BV22" s="2135"/>
      <c r="BW22" s="2135"/>
      <c r="BX22" s="2135"/>
      <c r="BY22" s="2135"/>
      <c r="BZ22" s="2135"/>
      <c r="CA22" s="2135"/>
      <c r="CB22" s="2135"/>
      <c r="CC22" s="282"/>
      <c r="CD22" s="1145">
        <f t="shared" si="0"/>
        <v>23457.360000000001</v>
      </c>
      <c r="CE22" s="1066"/>
      <c r="CF22" s="233"/>
      <c r="CG22" s="233"/>
      <c r="CH22" s="233"/>
    </row>
    <row r="23" spans="1:93" s="234" customFormat="1" ht="24.75" customHeight="1" x14ac:dyDescent="0.2">
      <c r="A23" s="1810">
        <f>A22+1</f>
        <v>5</v>
      </c>
      <c r="B23" s="1810"/>
      <c r="C23" s="1810"/>
      <c r="D23" s="1810"/>
      <c r="E23" s="2082" t="s">
        <v>628</v>
      </c>
      <c r="F23" s="2082"/>
      <c r="G23" s="2082"/>
      <c r="H23" s="2082"/>
      <c r="I23" s="2082"/>
      <c r="J23" s="2082"/>
      <c r="K23" s="2082"/>
      <c r="L23" s="2082"/>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2082"/>
      <c r="AL23" s="2082"/>
      <c r="AM23" s="2082"/>
      <c r="AN23" s="2105">
        <v>2000</v>
      </c>
      <c r="AO23" s="2106"/>
      <c r="AP23" s="2106"/>
      <c r="AQ23" s="2106"/>
      <c r="AR23" s="2106"/>
      <c r="AS23" s="2106"/>
      <c r="AT23" s="2106"/>
      <c r="AU23" s="2106"/>
      <c r="AV23" s="2106"/>
      <c r="AW23" s="2106"/>
      <c r="AX23" s="2106"/>
      <c r="AY23" s="2106"/>
      <c r="AZ23" s="2106"/>
      <c r="BA23" s="2106"/>
      <c r="BB23" s="2106"/>
      <c r="BC23" s="2107"/>
      <c r="BD23" s="2129">
        <v>2</v>
      </c>
      <c r="BE23" s="2130"/>
      <c r="BF23" s="2130"/>
      <c r="BG23" s="2130"/>
      <c r="BH23" s="2130"/>
      <c r="BI23" s="2130"/>
      <c r="BJ23" s="2130"/>
      <c r="BK23" s="2130"/>
      <c r="BL23" s="2130"/>
      <c r="BM23" s="2131"/>
      <c r="BN23" s="2135">
        <v>4000</v>
      </c>
      <c r="BO23" s="2135"/>
      <c r="BP23" s="2135"/>
      <c r="BQ23" s="2135"/>
      <c r="BR23" s="2135"/>
      <c r="BS23" s="2135"/>
      <c r="BT23" s="2135"/>
      <c r="BU23" s="2135"/>
      <c r="BV23" s="2135"/>
      <c r="BW23" s="2135"/>
      <c r="BX23" s="2135"/>
      <c r="BY23" s="2135"/>
      <c r="BZ23" s="2135"/>
      <c r="CA23" s="2135"/>
      <c r="CB23" s="2135"/>
      <c r="CC23" s="282"/>
      <c r="CD23" s="1145">
        <f t="shared" si="0"/>
        <v>4000</v>
      </c>
      <c r="CE23" s="1066"/>
      <c r="CF23" s="233"/>
      <c r="CG23" s="233"/>
      <c r="CH23" s="233"/>
    </row>
    <row r="24" spans="1:93" s="234" customFormat="1" ht="16.5" customHeight="1" x14ac:dyDescent="0.2">
      <c r="A24" s="1810">
        <f>A23+1</f>
        <v>6</v>
      </c>
      <c r="B24" s="1810"/>
      <c r="C24" s="1810"/>
      <c r="D24" s="1810"/>
      <c r="E24" s="2082" t="s">
        <v>627</v>
      </c>
      <c r="F24" s="2082"/>
      <c r="G24" s="2082"/>
      <c r="H24" s="2082"/>
      <c r="I24" s="2082"/>
      <c r="J24" s="2082"/>
      <c r="K24" s="2082"/>
      <c r="L24" s="2082"/>
      <c r="M24" s="2082"/>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105">
        <v>10507.68</v>
      </c>
      <c r="AO24" s="2106"/>
      <c r="AP24" s="2106"/>
      <c r="AQ24" s="2106"/>
      <c r="AR24" s="2106"/>
      <c r="AS24" s="2106"/>
      <c r="AT24" s="2106"/>
      <c r="AU24" s="2106"/>
      <c r="AV24" s="2106"/>
      <c r="AW24" s="2106"/>
      <c r="AX24" s="2106"/>
      <c r="AY24" s="2106"/>
      <c r="AZ24" s="2106"/>
      <c r="BA24" s="2106"/>
      <c r="BB24" s="2106"/>
      <c r="BC24" s="2107"/>
      <c r="BD24" s="2129">
        <v>12</v>
      </c>
      <c r="BE24" s="2130"/>
      <c r="BF24" s="2130"/>
      <c r="BG24" s="2130"/>
      <c r="BH24" s="2130"/>
      <c r="BI24" s="2130"/>
      <c r="BJ24" s="2130"/>
      <c r="BK24" s="2130"/>
      <c r="BL24" s="2130"/>
      <c r="BM24" s="2131"/>
      <c r="BN24" s="2135">
        <f>AN24*BD24</f>
        <v>126092.16</v>
      </c>
      <c r="BO24" s="2135"/>
      <c r="BP24" s="2135"/>
      <c r="BQ24" s="2135"/>
      <c r="BR24" s="2135"/>
      <c r="BS24" s="2135"/>
      <c r="BT24" s="2135"/>
      <c r="BU24" s="2135"/>
      <c r="BV24" s="2135"/>
      <c r="BW24" s="2135"/>
      <c r="BX24" s="2135"/>
      <c r="BY24" s="2135"/>
      <c r="BZ24" s="2135"/>
      <c r="CA24" s="2135"/>
      <c r="CB24" s="2135"/>
      <c r="CC24" s="282"/>
      <c r="CD24" s="1145">
        <f t="shared" si="0"/>
        <v>126092.16</v>
      </c>
      <c r="CE24" s="1066"/>
      <c r="CF24" s="233"/>
      <c r="CG24" s="233"/>
      <c r="CH24" s="233"/>
      <c r="CM24" s="1062"/>
    </row>
    <row r="25" spans="1:93" s="234" customFormat="1" ht="15" customHeight="1" x14ac:dyDescent="0.2">
      <c r="A25" s="1810">
        <v>7</v>
      </c>
      <c r="B25" s="1810"/>
      <c r="C25" s="1810"/>
      <c r="D25" s="1810"/>
      <c r="E25" s="2082" t="s">
        <v>759</v>
      </c>
      <c r="F25" s="2082"/>
      <c r="G25" s="2082"/>
      <c r="H25" s="2082"/>
      <c r="I25" s="2082"/>
      <c r="J25" s="2082"/>
      <c r="K25" s="2082"/>
      <c r="L25" s="2082"/>
      <c r="M25" s="2082"/>
      <c r="N25" s="2082"/>
      <c r="O25" s="2082"/>
      <c r="P25" s="2082"/>
      <c r="Q25" s="2082"/>
      <c r="R25" s="2082"/>
      <c r="S25" s="2082"/>
      <c r="T25" s="2082"/>
      <c r="U25" s="2082"/>
      <c r="V25" s="2082"/>
      <c r="W25" s="2082"/>
      <c r="X25" s="2082"/>
      <c r="Y25" s="2082"/>
      <c r="Z25" s="2082"/>
      <c r="AA25" s="2082"/>
      <c r="AB25" s="2082"/>
      <c r="AC25" s="2082"/>
      <c r="AD25" s="2082"/>
      <c r="AE25" s="2082"/>
      <c r="AF25" s="2082"/>
      <c r="AG25" s="2082"/>
      <c r="AH25" s="2082"/>
      <c r="AI25" s="2082"/>
      <c r="AJ25" s="2082"/>
      <c r="AK25" s="2082"/>
      <c r="AL25" s="2082"/>
      <c r="AM25" s="2082"/>
      <c r="AN25" s="2105">
        <v>0</v>
      </c>
      <c r="AO25" s="2106"/>
      <c r="AP25" s="2106"/>
      <c r="AQ25" s="2106"/>
      <c r="AR25" s="2106"/>
      <c r="AS25" s="2106"/>
      <c r="AT25" s="2106"/>
      <c r="AU25" s="2106"/>
      <c r="AV25" s="2106"/>
      <c r="AW25" s="2106"/>
      <c r="AX25" s="2106"/>
      <c r="AY25" s="2106"/>
      <c r="AZ25" s="2106"/>
      <c r="BA25" s="2106"/>
      <c r="BB25" s="2106"/>
      <c r="BC25" s="2107"/>
      <c r="BD25" s="2129"/>
      <c r="BE25" s="2130"/>
      <c r="BF25" s="2130"/>
      <c r="BG25" s="2130"/>
      <c r="BH25" s="2130"/>
      <c r="BI25" s="2130"/>
      <c r="BJ25" s="2130"/>
      <c r="BK25" s="2130"/>
      <c r="BL25" s="2130"/>
      <c r="BM25" s="2131"/>
      <c r="BN25" s="2135">
        <v>0</v>
      </c>
      <c r="BO25" s="2135"/>
      <c r="BP25" s="2135"/>
      <c r="BQ25" s="2135"/>
      <c r="BR25" s="2135"/>
      <c r="BS25" s="2135"/>
      <c r="BT25" s="2135"/>
      <c r="BU25" s="2135"/>
      <c r="BV25" s="2135"/>
      <c r="BW25" s="2135"/>
      <c r="BX25" s="2135"/>
      <c r="BY25" s="2135"/>
      <c r="BZ25" s="2135"/>
      <c r="CA25" s="2135"/>
      <c r="CB25" s="2135"/>
      <c r="CC25" s="282"/>
      <c r="CD25" s="1145">
        <v>0</v>
      </c>
      <c r="CE25" s="826"/>
      <c r="CF25" s="233"/>
      <c r="CG25" s="233"/>
      <c r="CH25" s="233"/>
      <c r="CM25" s="1062"/>
      <c r="CO25" s="1062"/>
    </row>
    <row r="26" spans="1:93" s="234" customFormat="1" x14ac:dyDescent="0.2">
      <c r="A26" s="1810">
        <v>8</v>
      </c>
      <c r="B26" s="1810"/>
      <c r="C26" s="1810"/>
      <c r="D26" s="1810"/>
      <c r="E26" s="2082" t="s">
        <v>626</v>
      </c>
      <c r="F26" s="2082"/>
      <c r="G26" s="2082"/>
      <c r="H26" s="2082"/>
      <c r="I26" s="2082"/>
      <c r="J26" s="2082"/>
      <c r="K26" s="2082"/>
      <c r="L26" s="2082"/>
      <c r="M26" s="2082"/>
      <c r="N26" s="2082"/>
      <c r="O26" s="2082"/>
      <c r="P26" s="2082"/>
      <c r="Q26" s="2082"/>
      <c r="R26" s="2082"/>
      <c r="S26" s="2082"/>
      <c r="T26" s="2082"/>
      <c r="U26" s="2082"/>
      <c r="V26" s="2082"/>
      <c r="W26" s="2082"/>
      <c r="X26" s="2082"/>
      <c r="Y26" s="2082"/>
      <c r="Z26" s="2082"/>
      <c r="AA26" s="2082"/>
      <c r="AB26" s="2082"/>
      <c r="AC26" s="2082"/>
      <c r="AD26" s="2082"/>
      <c r="AE26" s="2082"/>
      <c r="AF26" s="2082"/>
      <c r="AG26" s="2082"/>
      <c r="AH26" s="2082"/>
      <c r="AI26" s="2082"/>
      <c r="AJ26" s="2082"/>
      <c r="AK26" s="2082"/>
      <c r="AL26" s="2082"/>
      <c r="AM26" s="2082"/>
      <c r="AN26" s="2105">
        <v>43576.47</v>
      </c>
      <c r="AO26" s="2106"/>
      <c r="AP26" s="2106"/>
      <c r="AQ26" s="2106"/>
      <c r="AR26" s="2106"/>
      <c r="AS26" s="2106"/>
      <c r="AT26" s="2106"/>
      <c r="AU26" s="2106"/>
      <c r="AV26" s="2106"/>
      <c r="AW26" s="2106"/>
      <c r="AX26" s="2106"/>
      <c r="AY26" s="2106"/>
      <c r="AZ26" s="2106"/>
      <c r="BA26" s="2106"/>
      <c r="BB26" s="2106"/>
      <c r="BC26" s="2107"/>
      <c r="BD26" s="2129">
        <v>1</v>
      </c>
      <c r="BE26" s="2130"/>
      <c r="BF26" s="2130"/>
      <c r="BG26" s="2130"/>
      <c r="BH26" s="2130"/>
      <c r="BI26" s="2130"/>
      <c r="BJ26" s="2130"/>
      <c r="BK26" s="2130"/>
      <c r="BL26" s="2130"/>
      <c r="BM26" s="2131"/>
      <c r="BN26" s="2135">
        <f>AN26</f>
        <v>43576.47</v>
      </c>
      <c r="BO26" s="2135"/>
      <c r="BP26" s="2135"/>
      <c r="BQ26" s="2135"/>
      <c r="BR26" s="2135"/>
      <c r="BS26" s="2135"/>
      <c r="BT26" s="2135"/>
      <c r="BU26" s="2135"/>
      <c r="BV26" s="2135"/>
      <c r="BW26" s="2135"/>
      <c r="BX26" s="2135"/>
      <c r="BY26" s="2135"/>
      <c r="BZ26" s="2135"/>
      <c r="CA26" s="2135"/>
      <c r="CB26" s="2135"/>
      <c r="CC26" s="282"/>
      <c r="CD26" s="1145">
        <f>36219.36+7357.11</f>
        <v>43576.47</v>
      </c>
      <c r="CE26" s="1066"/>
      <c r="CF26" s="233"/>
      <c r="CG26" s="233"/>
      <c r="CH26" s="233"/>
      <c r="CO26" s="1062"/>
    </row>
    <row r="27" spans="1:93" s="234" customFormat="1" ht="24.75" customHeight="1" x14ac:dyDescent="0.2">
      <c r="A27" s="1810">
        <v>9</v>
      </c>
      <c r="B27" s="1810"/>
      <c r="C27" s="1810"/>
      <c r="D27" s="1810"/>
      <c r="E27" s="2082" t="s">
        <v>1205</v>
      </c>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082"/>
      <c r="AB27" s="2082"/>
      <c r="AC27" s="2082"/>
      <c r="AD27" s="2082"/>
      <c r="AE27" s="2082"/>
      <c r="AF27" s="2082"/>
      <c r="AG27" s="2082"/>
      <c r="AH27" s="2082"/>
      <c r="AI27" s="2082"/>
      <c r="AJ27" s="2082"/>
      <c r="AK27" s="2082"/>
      <c r="AL27" s="2082"/>
      <c r="AM27" s="2082"/>
      <c r="AN27" s="2105">
        <f>70000+1500+5000+751.4</f>
        <v>77251.399999999994</v>
      </c>
      <c r="AO27" s="2106"/>
      <c r="AP27" s="2106"/>
      <c r="AQ27" s="2106"/>
      <c r="AR27" s="2106"/>
      <c r="AS27" s="2106"/>
      <c r="AT27" s="2106"/>
      <c r="AU27" s="2106"/>
      <c r="AV27" s="2106"/>
      <c r="AW27" s="2106"/>
      <c r="AX27" s="2106"/>
      <c r="AY27" s="2106"/>
      <c r="AZ27" s="2106"/>
      <c r="BA27" s="2106"/>
      <c r="BB27" s="2106"/>
      <c r="BC27" s="2107"/>
      <c r="BD27" s="2129">
        <v>1</v>
      </c>
      <c r="BE27" s="2130"/>
      <c r="BF27" s="2130"/>
      <c r="BG27" s="2130"/>
      <c r="BH27" s="2130"/>
      <c r="BI27" s="2130"/>
      <c r="BJ27" s="2130"/>
      <c r="BK27" s="2130"/>
      <c r="BL27" s="2130"/>
      <c r="BM27" s="2131"/>
      <c r="BN27" s="2135">
        <f>AN27</f>
        <v>77251.399999999994</v>
      </c>
      <c r="BO27" s="2135"/>
      <c r="BP27" s="2135"/>
      <c r="BQ27" s="2135"/>
      <c r="BR27" s="2135"/>
      <c r="BS27" s="2135"/>
      <c r="BT27" s="2135"/>
      <c r="BU27" s="2135"/>
      <c r="BV27" s="2135"/>
      <c r="BW27" s="2135"/>
      <c r="BX27" s="2135"/>
      <c r="BY27" s="2135"/>
      <c r="BZ27" s="2135"/>
      <c r="CA27" s="2135"/>
      <c r="CB27" s="2135"/>
      <c r="CC27" s="282"/>
      <c r="CD27" s="1145">
        <f>BN27</f>
        <v>77251.399999999994</v>
      </c>
      <c r="CE27" s="1066"/>
      <c r="CF27" s="233"/>
      <c r="CG27" s="233"/>
      <c r="CH27" s="233"/>
      <c r="CI27" s="1072"/>
      <c r="CJ27" s="1065"/>
      <c r="CM27" s="1062"/>
    </row>
    <row r="28" spans="1:93" s="234" customFormat="1" ht="19.899999999999999" customHeight="1" x14ac:dyDescent="0.2">
      <c r="A28" s="1810">
        <v>10</v>
      </c>
      <c r="B28" s="1810"/>
      <c r="C28" s="1810"/>
      <c r="D28" s="1810"/>
      <c r="E28" s="2082" t="s">
        <v>951</v>
      </c>
      <c r="F28" s="2082"/>
      <c r="G28" s="2082"/>
      <c r="H28" s="2082"/>
      <c r="I28" s="2082"/>
      <c r="J28" s="2082"/>
      <c r="K28" s="2082"/>
      <c r="L28" s="2082"/>
      <c r="M28" s="2082"/>
      <c r="N28" s="2082"/>
      <c r="O28" s="2082"/>
      <c r="P28" s="2082"/>
      <c r="Q28" s="2082"/>
      <c r="R28" s="2082"/>
      <c r="S28" s="2082"/>
      <c r="T28" s="2082"/>
      <c r="U28" s="2082"/>
      <c r="V28" s="2082"/>
      <c r="W28" s="2082"/>
      <c r="X28" s="2082"/>
      <c r="Y28" s="2082"/>
      <c r="Z28" s="2082"/>
      <c r="AA28" s="2082"/>
      <c r="AB28" s="2082"/>
      <c r="AC28" s="2082"/>
      <c r="AD28" s="2082"/>
      <c r="AE28" s="2082"/>
      <c r="AF28" s="2082"/>
      <c r="AG28" s="2082"/>
      <c r="AH28" s="2082"/>
      <c r="AI28" s="2082"/>
      <c r="AJ28" s="2082"/>
      <c r="AK28" s="2082"/>
      <c r="AL28" s="2082"/>
      <c r="AM28" s="2082"/>
      <c r="AN28" s="2105">
        <f>BN28</f>
        <v>37000</v>
      </c>
      <c r="AO28" s="2106"/>
      <c r="AP28" s="2106"/>
      <c r="AQ28" s="2106"/>
      <c r="AR28" s="2106"/>
      <c r="AS28" s="2106"/>
      <c r="AT28" s="2106"/>
      <c r="AU28" s="2106"/>
      <c r="AV28" s="2106"/>
      <c r="AW28" s="2106"/>
      <c r="AX28" s="2106"/>
      <c r="AY28" s="2106"/>
      <c r="AZ28" s="2106"/>
      <c r="BA28" s="2106"/>
      <c r="BB28" s="2106"/>
      <c r="BC28" s="2107"/>
      <c r="BD28" s="2129">
        <v>1</v>
      </c>
      <c r="BE28" s="2130"/>
      <c r="BF28" s="2130"/>
      <c r="BG28" s="2130"/>
      <c r="BH28" s="2130"/>
      <c r="BI28" s="2130"/>
      <c r="BJ28" s="2130"/>
      <c r="BK28" s="2130"/>
      <c r="BL28" s="2130"/>
      <c r="BM28" s="2131"/>
      <c r="BN28" s="2135">
        <f>CC28+CD28+CF28+CG28+CH28</f>
        <v>37000</v>
      </c>
      <c r="BO28" s="2135"/>
      <c r="BP28" s="2135"/>
      <c r="BQ28" s="2135"/>
      <c r="BR28" s="2135"/>
      <c r="BS28" s="2135"/>
      <c r="BT28" s="2135"/>
      <c r="BU28" s="2135"/>
      <c r="BV28" s="2135"/>
      <c r="BW28" s="2135"/>
      <c r="BX28" s="2135"/>
      <c r="BY28" s="2135"/>
      <c r="BZ28" s="2135"/>
      <c r="CA28" s="2135"/>
      <c r="CB28" s="2135"/>
      <c r="CC28" s="1067"/>
      <c r="CD28" s="1146">
        <f>22000+2062.89+33500-20562.89</f>
        <v>37000</v>
      </c>
      <c r="CE28" s="1147"/>
      <c r="CF28" s="233"/>
      <c r="CG28" s="233"/>
      <c r="CH28" s="233"/>
      <c r="CI28" s="1133" t="s">
        <v>1664</v>
      </c>
      <c r="CJ28" s="1065"/>
      <c r="CM28" s="1077">
        <f>CD28-CE28+CH28</f>
        <v>37000</v>
      </c>
    </row>
    <row r="29" spans="1:93" s="234" customFormat="1" ht="12" customHeight="1" x14ac:dyDescent="0.2">
      <c r="A29" s="1810">
        <v>11</v>
      </c>
      <c r="B29" s="1810"/>
      <c r="C29" s="1810"/>
      <c r="D29" s="1810"/>
      <c r="E29" s="2082" t="s">
        <v>150</v>
      </c>
      <c r="F29" s="2082"/>
      <c r="G29" s="2082"/>
      <c r="H29" s="2082"/>
      <c r="I29" s="2082"/>
      <c r="J29" s="2082"/>
      <c r="K29" s="2082"/>
      <c r="L29" s="2082"/>
      <c r="M29" s="2082"/>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c r="AI29" s="2082"/>
      <c r="AJ29" s="2082"/>
      <c r="AK29" s="2082"/>
      <c r="AL29" s="2082"/>
      <c r="AM29" s="2082"/>
      <c r="AN29" s="2105">
        <v>0</v>
      </c>
      <c r="AO29" s="2106"/>
      <c r="AP29" s="2106"/>
      <c r="AQ29" s="2106"/>
      <c r="AR29" s="2106"/>
      <c r="AS29" s="2106"/>
      <c r="AT29" s="2106"/>
      <c r="AU29" s="2106"/>
      <c r="AV29" s="2106"/>
      <c r="AW29" s="2106"/>
      <c r="AX29" s="2106"/>
      <c r="AY29" s="2106"/>
      <c r="AZ29" s="2106"/>
      <c r="BA29" s="2106"/>
      <c r="BB29" s="2106"/>
      <c r="BC29" s="2107"/>
      <c r="BD29" s="2129"/>
      <c r="BE29" s="2130"/>
      <c r="BF29" s="2130"/>
      <c r="BG29" s="2130"/>
      <c r="BH29" s="2130"/>
      <c r="BI29" s="2130"/>
      <c r="BJ29" s="2130"/>
      <c r="BK29" s="2130"/>
      <c r="BL29" s="2130"/>
      <c r="BM29" s="2131"/>
      <c r="BN29" s="2105">
        <v>0</v>
      </c>
      <c r="BO29" s="2106"/>
      <c r="BP29" s="2106"/>
      <c r="BQ29" s="2106"/>
      <c r="BR29" s="2106"/>
      <c r="BS29" s="2106"/>
      <c r="BT29" s="2106"/>
      <c r="BU29" s="2106"/>
      <c r="BV29" s="2106"/>
      <c r="BW29" s="2106"/>
      <c r="BX29" s="2106"/>
      <c r="BY29" s="2106"/>
      <c r="BZ29" s="2106"/>
      <c r="CA29" s="2106"/>
      <c r="CB29" s="2107"/>
      <c r="CC29" s="282"/>
      <c r="CD29" s="1143">
        <v>0</v>
      </c>
      <c r="CE29" s="826"/>
      <c r="CF29" s="233"/>
      <c r="CG29" s="233"/>
      <c r="CH29" s="233"/>
      <c r="CI29" s="1065"/>
      <c r="CJ29" s="1065"/>
      <c r="CM29" s="1062"/>
    </row>
    <row r="30" spans="1:93" s="234" customFormat="1" ht="11.25" customHeight="1" x14ac:dyDescent="0.2">
      <c r="A30" s="1810">
        <v>12</v>
      </c>
      <c r="B30" s="1810"/>
      <c r="C30" s="1810"/>
      <c r="D30" s="1810"/>
      <c r="E30" s="2082" t="s">
        <v>641</v>
      </c>
      <c r="F30" s="2082"/>
      <c r="G30" s="2082"/>
      <c r="H30" s="2082"/>
      <c r="I30" s="2082"/>
      <c r="J30" s="2082"/>
      <c r="K30" s="2082"/>
      <c r="L30" s="2082"/>
      <c r="M30" s="2082"/>
      <c r="N30" s="2082"/>
      <c r="O30" s="2082"/>
      <c r="P30" s="2082"/>
      <c r="Q30" s="2082"/>
      <c r="R30" s="2082"/>
      <c r="S30" s="2082"/>
      <c r="T30" s="2082"/>
      <c r="U30" s="2082"/>
      <c r="V30" s="2082"/>
      <c r="W30" s="2082"/>
      <c r="X30" s="2082"/>
      <c r="Y30" s="2082"/>
      <c r="Z30" s="2082"/>
      <c r="AA30" s="2082"/>
      <c r="AB30" s="2082"/>
      <c r="AC30" s="2082"/>
      <c r="AD30" s="2082"/>
      <c r="AE30" s="2082"/>
      <c r="AF30" s="2082"/>
      <c r="AG30" s="2082"/>
      <c r="AH30" s="2082"/>
      <c r="AI30" s="2082"/>
      <c r="AJ30" s="2082"/>
      <c r="AK30" s="2082"/>
      <c r="AL30" s="2082"/>
      <c r="AM30" s="2082"/>
      <c r="AN30" s="2105">
        <v>21188</v>
      </c>
      <c r="AO30" s="2106"/>
      <c r="AP30" s="2106"/>
      <c r="AQ30" s="2106"/>
      <c r="AR30" s="2106"/>
      <c r="AS30" s="2106"/>
      <c r="AT30" s="2106"/>
      <c r="AU30" s="2106"/>
      <c r="AV30" s="2106"/>
      <c r="AW30" s="2106"/>
      <c r="AX30" s="2106"/>
      <c r="AY30" s="2106"/>
      <c r="AZ30" s="2106"/>
      <c r="BA30" s="2106"/>
      <c r="BB30" s="2106"/>
      <c r="BC30" s="2107"/>
      <c r="BD30" s="2129">
        <v>1</v>
      </c>
      <c r="BE30" s="2130"/>
      <c r="BF30" s="2130"/>
      <c r="BG30" s="2130"/>
      <c r="BH30" s="2130"/>
      <c r="BI30" s="2130"/>
      <c r="BJ30" s="2130"/>
      <c r="BK30" s="2130"/>
      <c r="BL30" s="2130"/>
      <c r="BM30" s="2131"/>
      <c r="BN30" s="2105">
        <f>AN30*BD30</f>
        <v>21188</v>
      </c>
      <c r="BO30" s="2106"/>
      <c r="BP30" s="2106"/>
      <c r="BQ30" s="2106"/>
      <c r="BR30" s="2106"/>
      <c r="BS30" s="2106"/>
      <c r="BT30" s="2106"/>
      <c r="BU30" s="2106"/>
      <c r="BV30" s="2106"/>
      <c r="BW30" s="2106"/>
      <c r="BX30" s="2106"/>
      <c r="BY30" s="2106"/>
      <c r="BZ30" s="2106"/>
      <c r="CA30" s="2106"/>
      <c r="CB30" s="2107"/>
      <c r="CC30" s="282"/>
      <c r="CD30" s="1143">
        <v>21188</v>
      </c>
      <c r="CE30" s="1066"/>
      <c r="CF30" s="233"/>
      <c r="CG30" s="233"/>
      <c r="CH30" s="233"/>
      <c r="CI30" s="1065"/>
      <c r="CJ30" s="1065"/>
    </row>
    <row r="31" spans="1:93" ht="28.9" customHeight="1" x14ac:dyDescent="0.2">
      <c r="A31" s="1824">
        <v>13</v>
      </c>
      <c r="B31" s="1825"/>
      <c r="C31" s="1825"/>
      <c r="D31" s="1826"/>
      <c r="E31" s="1904" t="s">
        <v>149</v>
      </c>
      <c r="F31" s="1905"/>
      <c r="G31" s="1905"/>
      <c r="H31" s="1905"/>
      <c r="I31" s="1905"/>
      <c r="J31" s="1905"/>
      <c r="K31" s="1905"/>
      <c r="L31" s="1905"/>
      <c r="M31" s="1905"/>
      <c r="N31" s="1905"/>
      <c r="O31" s="1905"/>
      <c r="P31" s="1905"/>
      <c r="Q31" s="1905"/>
      <c r="R31" s="1905"/>
      <c r="S31" s="1905"/>
      <c r="T31" s="1905"/>
      <c r="U31" s="1905"/>
      <c r="V31" s="1905"/>
      <c r="W31" s="1905"/>
      <c r="X31" s="1905"/>
      <c r="Y31" s="1905"/>
      <c r="Z31" s="1905"/>
      <c r="AA31" s="1905"/>
      <c r="AB31" s="1905"/>
      <c r="AC31" s="1905"/>
      <c r="AD31" s="1905"/>
      <c r="AE31" s="1905"/>
      <c r="AF31" s="1905"/>
      <c r="AG31" s="1905"/>
      <c r="AH31" s="1905"/>
      <c r="AI31" s="1905"/>
      <c r="AJ31" s="1905"/>
      <c r="AK31" s="1905"/>
      <c r="AL31" s="1905"/>
      <c r="AM31" s="1906"/>
      <c r="AN31" s="2105">
        <v>470</v>
      </c>
      <c r="AO31" s="2106"/>
      <c r="AP31" s="2106"/>
      <c r="AQ31" s="2106"/>
      <c r="AR31" s="2106"/>
      <c r="AS31" s="2106"/>
      <c r="AT31" s="2106"/>
      <c r="AU31" s="2106"/>
      <c r="AV31" s="2106"/>
      <c r="AW31" s="2106"/>
      <c r="AX31" s="2106"/>
      <c r="AY31" s="2106"/>
      <c r="AZ31" s="2106"/>
      <c r="BA31" s="2106"/>
      <c r="BB31" s="2106"/>
      <c r="BC31" s="2107"/>
      <c r="BD31" s="2129">
        <v>4</v>
      </c>
      <c r="BE31" s="2130"/>
      <c r="BF31" s="2130"/>
      <c r="BG31" s="2130"/>
      <c r="BH31" s="2130"/>
      <c r="BI31" s="2130"/>
      <c r="BJ31" s="2130"/>
      <c r="BK31" s="2130"/>
      <c r="BL31" s="2130"/>
      <c r="BM31" s="2131"/>
      <c r="BN31" s="2105">
        <f>CC31+CD31+CF31+CG31+CH31</f>
        <v>1880</v>
      </c>
      <c r="BO31" s="2106"/>
      <c r="BP31" s="2106"/>
      <c r="BQ31" s="2106"/>
      <c r="BR31" s="2106"/>
      <c r="BS31" s="2106"/>
      <c r="BT31" s="2106"/>
      <c r="BU31" s="2106"/>
      <c r="BV31" s="2106"/>
      <c r="BW31" s="2106"/>
      <c r="BX31" s="2106"/>
      <c r="BY31" s="2106"/>
      <c r="BZ31" s="2106"/>
      <c r="CA31" s="2106"/>
      <c r="CB31" s="2107"/>
      <c r="CC31" s="283"/>
      <c r="CD31" s="1143">
        <f>1768+442+442-751.4-20.6</f>
        <v>1880</v>
      </c>
      <c r="CE31" s="1144"/>
      <c r="CF31" s="17"/>
      <c r="CG31" s="17"/>
      <c r="CH31" s="17"/>
      <c r="CI31" s="1070"/>
      <c r="CJ31" s="51"/>
      <c r="CM31" s="1070"/>
    </row>
    <row r="32" spans="1:93" s="234" customFormat="1" ht="19.149999999999999" customHeight="1" x14ac:dyDescent="0.25">
      <c r="A32" s="1810">
        <v>14</v>
      </c>
      <c r="B32" s="1810"/>
      <c r="C32" s="1810"/>
      <c r="D32" s="1810"/>
      <c r="E32" s="2082" t="s">
        <v>644</v>
      </c>
      <c r="F32" s="2082"/>
      <c r="G32" s="2082"/>
      <c r="H32" s="2082"/>
      <c r="I32" s="2082"/>
      <c r="J32" s="2082"/>
      <c r="K32" s="2082"/>
      <c r="L32" s="2082"/>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c r="AK32" s="2082"/>
      <c r="AL32" s="2082"/>
      <c r="AM32" s="2082"/>
      <c r="AN32" s="2105">
        <v>41282.94</v>
      </c>
      <c r="AO32" s="2106"/>
      <c r="AP32" s="2106"/>
      <c r="AQ32" s="2106"/>
      <c r="AR32" s="2106"/>
      <c r="AS32" s="2106"/>
      <c r="AT32" s="2106"/>
      <c r="AU32" s="2106"/>
      <c r="AV32" s="2106"/>
      <c r="AW32" s="2106"/>
      <c r="AX32" s="2106"/>
      <c r="AY32" s="2106"/>
      <c r="AZ32" s="2106"/>
      <c r="BA32" s="2106"/>
      <c r="BB32" s="2106"/>
      <c r="BC32" s="2107"/>
      <c r="BD32" s="2129">
        <v>1</v>
      </c>
      <c r="BE32" s="2130"/>
      <c r="BF32" s="2130"/>
      <c r="BG32" s="2130"/>
      <c r="BH32" s="2130"/>
      <c r="BI32" s="2130"/>
      <c r="BJ32" s="2130"/>
      <c r="BK32" s="2130"/>
      <c r="BL32" s="2130"/>
      <c r="BM32" s="2131"/>
      <c r="BN32" s="2105">
        <f>CC32+CD32+CF32+CG32+CH32</f>
        <v>41282.94</v>
      </c>
      <c r="BO32" s="2106"/>
      <c r="BP32" s="2106"/>
      <c r="BQ32" s="2106"/>
      <c r="BR32" s="2106"/>
      <c r="BS32" s="2106"/>
      <c r="BT32" s="2106"/>
      <c r="BU32" s="2106"/>
      <c r="BV32" s="2106"/>
      <c r="BW32" s="2106"/>
      <c r="BX32" s="2106"/>
      <c r="BY32" s="2106"/>
      <c r="BZ32" s="2106"/>
      <c r="CA32" s="2106"/>
      <c r="CB32" s="2107"/>
      <c r="CC32" s="282"/>
      <c r="CD32" s="1148">
        <f>15000+20.6+9846.04+1906.23+11986.07+2524</f>
        <v>41282.94</v>
      </c>
      <c r="CE32" s="1066"/>
      <c r="CF32" s="1117"/>
      <c r="CG32" s="1117"/>
      <c r="CH32" s="1116"/>
      <c r="CI32" s="1088" t="s">
        <v>1702</v>
      </c>
      <c r="CJ32" s="1065"/>
    </row>
    <row r="33" spans="1:91" ht="14.25" customHeight="1" x14ac:dyDescent="0.2">
      <c r="A33" s="2155">
        <v>15</v>
      </c>
      <c r="B33" s="2156"/>
      <c r="C33" s="2156"/>
      <c r="D33" s="2157"/>
      <c r="E33" s="2154" t="s">
        <v>587</v>
      </c>
      <c r="F33" s="2154"/>
      <c r="G33" s="2154"/>
      <c r="H33" s="2154"/>
      <c r="I33" s="2154"/>
      <c r="J33" s="2154"/>
      <c r="K33" s="2154"/>
      <c r="L33" s="2154"/>
      <c r="M33" s="2154"/>
      <c r="N33" s="2154"/>
      <c r="O33" s="2154"/>
      <c r="P33" s="2154"/>
      <c r="Q33" s="2154"/>
      <c r="R33" s="2154"/>
      <c r="S33" s="2154"/>
      <c r="T33" s="2154"/>
      <c r="U33" s="2154"/>
      <c r="V33" s="2154"/>
      <c r="W33" s="2154"/>
      <c r="X33" s="2154"/>
      <c r="Y33" s="2154"/>
      <c r="Z33" s="2154"/>
      <c r="AA33" s="2154"/>
      <c r="AB33" s="2154"/>
      <c r="AC33" s="2154"/>
      <c r="AD33" s="2154"/>
      <c r="AE33" s="2154"/>
      <c r="AF33" s="2154"/>
      <c r="AG33" s="2154"/>
      <c r="AH33" s="2154"/>
      <c r="AI33" s="2154"/>
      <c r="AJ33" s="2154"/>
      <c r="AK33" s="2154"/>
      <c r="AL33" s="2154"/>
      <c r="AM33" s="2154"/>
      <c r="AN33" s="2105">
        <v>1302</v>
      </c>
      <c r="AO33" s="2106"/>
      <c r="AP33" s="2106"/>
      <c r="AQ33" s="2106"/>
      <c r="AR33" s="2106"/>
      <c r="AS33" s="2106"/>
      <c r="AT33" s="2106"/>
      <c r="AU33" s="2106"/>
      <c r="AV33" s="2106"/>
      <c r="AW33" s="2106"/>
      <c r="AX33" s="2106"/>
      <c r="AY33" s="2106"/>
      <c r="AZ33" s="2106"/>
      <c r="BA33" s="2106"/>
      <c r="BB33" s="2106"/>
      <c r="BC33" s="2107"/>
      <c r="BD33" s="2129">
        <v>12</v>
      </c>
      <c r="BE33" s="2130"/>
      <c r="BF33" s="2130"/>
      <c r="BG33" s="2130"/>
      <c r="BH33" s="2130"/>
      <c r="BI33" s="2130"/>
      <c r="BJ33" s="2130"/>
      <c r="BK33" s="2130"/>
      <c r="BL33" s="2130"/>
      <c r="BM33" s="2131"/>
      <c r="BN33" s="2105">
        <f>AN33*BD33</f>
        <v>15624</v>
      </c>
      <c r="BO33" s="2106"/>
      <c r="BP33" s="2106"/>
      <c r="BQ33" s="2106"/>
      <c r="BR33" s="2106"/>
      <c r="BS33" s="2106"/>
      <c r="BT33" s="2106"/>
      <c r="BU33" s="2106"/>
      <c r="BV33" s="2106"/>
      <c r="BW33" s="2106"/>
      <c r="BX33" s="2106"/>
      <c r="BY33" s="2106"/>
      <c r="BZ33" s="2106"/>
      <c r="CA33" s="2106"/>
      <c r="CB33" s="2107"/>
      <c r="CC33" s="262"/>
      <c r="CD33" s="1143">
        <f>BN33</f>
        <v>15624</v>
      </c>
      <c r="CE33" s="1149"/>
      <c r="CF33" s="16"/>
      <c r="CG33" s="450"/>
      <c r="CH33" s="16"/>
      <c r="CI33" s="1037"/>
    </row>
    <row r="34" spans="1:91" s="234" customFormat="1" ht="18" customHeight="1" x14ac:dyDescent="0.2">
      <c r="A34" s="1810">
        <v>16</v>
      </c>
      <c r="B34" s="1810"/>
      <c r="C34" s="1810"/>
      <c r="D34" s="1810"/>
      <c r="E34" s="2082" t="s">
        <v>1208</v>
      </c>
      <c r="F34" s="2082"/>
      <c r="G34" s="2082"/>
      <c r="H34" s="2082"/>
      <c r="I34" s="2082"/>
      <c r="J34" s="2082"/>
      <c r="K34" s="2082"/>
      <c r="L34" s="2082"/>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82"/>
      <c r="AM34" s="2082"/>
      <c r="AN34" s="2105">
        <v>0</v>
      </c>
      <c r="AO34" s="2106"/>
      <c r="AP34" s="2106"/>
      <c r="AQ34" s="2106"/>
      <c r="AR34" s="2106"/>
      <c r="AS34" s="2106"/>
      <c r="AT34" s="2106"/>
      <c r="AU34" s="2106"/>
      <c r="AV34" s="2106"/>
      <c r="AW34" s="2106"/>
      <c r="AX34" s="2106"/>
      <c r="AY34" s="2106"/>
      <c r="AZ34" s="2106"/>
      <c r="BA34" s="2106"/>
      <c r="BB34" s="2106"/>
      <c r="BC34" s="2107"/>
      <c r="BD34" s="2129">
        <v>0</v>
      </c>
      <c r="BE34" s="2130"/>
      <c r="BF34" s="2130"/>
      <c r="BG34" s="2130"/>
      <c r="BH34" s="2130"/>
      <c r="BI34" s="2130"/>
      <c r="BJ34" s="2130"/>
      <c r="BK34" s="2130"/>
      <c r="BL34" s="2130"/>
      <c r="BM34" s="2131"/>
      <c r="BN34" s="2105">
        <v>0</v>
      </c>
      <c r="BO34" s="2106"/>
      <c r="BP34" s="2106"/>
      <c r="BQ34" s="2106"/>
      <c r="BR34" s="2106"/>
      <c r="BS34" s="2106"/>
      <c r="BT34" s="2106"/>
      <c r="BU34" s="2106"/>
      <c r="BV34" s="2106"/>
      <c r="BW34" s="2106"/>
      <c r="BX34" s="2106"/>
      <c r="BY34" s="2106"/>
      <c r="BZ34" s="2106"/>
      <c r="CA34" s="2106"/>
      <c r="CB34" s="2107"/>
      <c r="CC34" s="282"/>
      <c r="CD34" s="1143">
        <v>0</v>
      </c>
      <c r="CE34" s="826"/>
      <c r="CF34" s="233"/>
      <c r="CG34" s="233"/>
      <c r="CH34" s="233"/>
      <c r="CI34" s="1041"/>
    </row>
    <row r="35" spans="1:91" s="137" customFormat="1" ht="16.5" customHeight="1" x14ac:dyDescent="0.2">
      <c r="A35" s="2108">
        <v>17</v>
      </c>
      <c r="B35" s="2108"/>
      <c r="C35" s="2108"/>
      <c r="D35" s="2108"/>
      <c r="E35" s="2082" t="s">
        <v>157</v>
      </c>
      <c r="F35" s="2082"/>
      <c r="G35" s="2082"/>
      <c r="H35" s="2082"/>
      <c r="I35" s="2082"/>
      <c r="J35" s="2082"/>
      <c r="K35" s="2082"/>
      <c r="L35" s="2082"/>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2"/>
      <c r="AK35" s="2082"/>
      <c r="AL35" s="2082"/>
      <c r="AM35" s="2082"/>
      <c r="AN35" s="2105">
        <v>8500</v>
      </c>
      <c r="AO35" s="2106"/>
      <c r="AP35" s="2106"/>
      <c r="AQ35" s="2106"/>
      <c r="AR35" s="2106"/>
      <c r="AS35" s="2106"/>
      <c r="AT35" s="2106"/>
      <c r="AU35" s="2106"/>
      <c r="AV35" s="2106"/>
      <c r="AW35" s="2106"/>
      <c r="AX35" s="2106"/>
      <c r="AY35" s="2106"/>
      <c r="AZ35" s="2106"/>
      <c r="BA35" s="2106"/>
      <c r="BB35" s="2106"/>
      <c r="BC35" s="2107"/>
      <c r="BD35" s="2129">
        <v>1</v>
      </c>
      <c r="BE35" s="2130"/>
      <c r="BF35" s="2130"/>
      <c r="BG35" s="2130"/>
      <c r="BH35" s="2130"/>
      <c r="BI35" s="2130"/>
      <c r="BJ35" s="2130"/>
      <c r="BK35" s="2130"/>
      <c r="BL35" s="2130"/>
      <c r="BM35" s="2131"/>
      <c r="BN35" s="2105">
        <f t="shared" ref="BN35" si="1">AN35</f>
        <v>8500</v>
      </c>
      <c r="BO35" s="2106"/>
      <c r="BP35" s="2106"/>
      <c r="BQ35" s="2106"/>
      <c r="BR35" s="2106"/>
      <c r="BS35" s="2106"/>
      <c r="BT35" s="2106"/>
      <c r="BU35" s="2106"/>
      <c r="BV35" s="2106"/>
      <c r="BW35" s="2106"/>
      <c r="BX35" s="2106"/>
      <c r="BY35" s="2106"/>
      <c r="BZ35" s="2106"/>
      <c r="CA35" s="2106"/>
      <c r="CB35" s="2107"/>
      <c r="CC35" s="581"/>
      <c r="CD35" s="1143">
        <f>10000-1500</f>
        <v>8500</v>
      </c>
      <c r="CE35" s="1066"/>
      <c r="CF35" s="138"/>
      <c r="CG35" s="138"/>
      <c r="CH35" s="138"/>
      <c r="CI35" s="1039"/>
    </row>
    <row r="36" spans="1:91" s="137" customFormat="1" ht="16.5" customHeight="1" x14ac:dyDescent="0.2">
      <c r="A36" s="2108">
        <v>18</v>
      </c>
      <c r="B36" s="2108"/>
      <c r="C36" s="2108"/>
      <c r="D36" s="2108"/>
      <c r="E36" s="2082" t="s">
        <v>583</v>
      </c>
      <c r="F36" s="2082"/>
      <c r="G36" s="2082"/>
      <c r="H36" s="2082"/>
      <c r="I36" s="2082"/>
      <c r="J36" s="2082"/>
      <c r="K36" s="2082"/>
      <c r="L36" s="2082"/>
      <c r="M36" s="2082"/>
      <c r="N36" s="2082"/>
      <c r="O36" s="2082"/>
      <c r="P36" s="2082"/>
      <c r="Q36" s="2082"/>
      <c r="R36" s="2082"/>
      <c r="S36" s="2082"/>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105">
        <v>1031</v>
      </c>
      <c r="AO36" s="2106"/>
      <c r="AP36" s="2106"/>
      <c r="AQ36" s="2106"/>
      <c r="AR36" s="2106"/>
      <c r="AS36" s="2106"/>
      <c r="AT36" s="2106"/>
      <c r="AU36" s="2106"/>
      <c r="AV36" s="2106"/>
      <c r="AW36" s="2106"/>
      <c r="AX36" s="2106"/>
      <c r="AY36" s="2106"/>
      <c r="AZ36" s="2106"/>
      <c r="BA36" s="2106"/>
      <c r="BB36" s="2106"/>
      <c r="BC36" s="2107"/>
      <c r="BD36" s="2129">
        <v>10</v>
      </c>
      <c r="BE36" s="2130"/>
      <c r="BF36" s="2130"/>
      <c r="BG36" s="2130"/>
      <c r="BH36" s="2130"/>
      <c r="BI36" s="2130"/>
      <c r="BJ36" s="2130"/>
      <c r="BK36" s="2130"/>
      <c r="BL36" s="2130"/>
      <c r="BM36" s="2131"/>
      <c r="BN36" s="2105">
        <f>CC36+CD36+CF36+CG36+CH36</f>
        <v>10310</v>
      </c>
      <c r="BO36" s="2106"/>
      <c r="BP36" s="2106"/>
      <c r="BQ36" s="2106"/>
      <c r="BR36" s="2106"/>
      <c r="BS36" s="2106"/>
      <c r="BT36" s="2106"/>
      <c r="BU36" s="2106"/>
      <c r="BV36" s="2106"/>
      <c r="BW36" s="2106"/>
      <c r="BX36" s="2106"/>
      <c r="BY36" s="2106"/>
      <c r="BZ36" s="2106"/>
      <c r="CA36" s="2106"/>
      <c r="CB36" s="2107"/>
      <c r="CC36" s="581"/>
      <c r="CD36" s="1143">
        <v>10310</v>
      </c>
      <c r="CE36" s="1150"/>
      <c r="CF36" s="138"/>
      <c r="CG36" s="138"/>
      <c r="CH36" s="138"/>
    </row>
    <row r="37" spans="1:91" s="137" customFormat="1" ht="15.75" customHeight="1" x14ac:dyDescent="0.25">
      <c r="A37" s="2108">
        <v>19</v>
      </c>
      <c r="B37" s="2108"/>
      <c r="C37" s="2108"/>
      <c r="D37" s="2108"/>
      <c r="E37" s="2082" t="s">
        <v>1204</v>
      </c>
      <c r="F37" s="2082"/>
      <c r="G37" s="2082"/>
      <c r="H37" s="2082"/>
      <c r="I37" s="2082"/>
      <c r="J37" s="2082"/>
      <c r="K37" s="2082"/>
      <c r="L37" s="2082"/>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c r="AI37" s="2082"/>
      <c r="AJ37" s="2082"/>
      <c r="AK37" s="2082"/>
      <c r="AL37" s="2082"/>
      <c r="AM37" s="2082"/>
      <c r="AN37" s="2151">
        <f>BN37/BD37</f>
        <v>33534</v>
      </c>
      <c r="AO37" s="2152"/>
      <c r="AP37" s="2152"/>
      <c r="AQ37" s="2152"/>
      <c r="AR37" s="2152"/>
      <c r="AS37" s="2152"/>
      <c r="AT37" s="2152"/>
      <c r="AU37" s="2152"/>
      <c r="AV37" s="2152"/>
      <c r="AW37" s="2152"/>
      <c r="AX37" s="2152"/>
      <c r="AY37" s="2152"/>
      <c r="AZ37" s="2152"/>
      <c r="BA37" s="2152"/>
      <c r="BB37" s="2152"/>
      <c r="BC37" s="2153"/>
      <c r="BD37" s="2129">
        <v>1</v>
      </c>
      <c r="BE37" s="2130"/>
      <c r="BF37" s="2130"/>
      <c r="BG37" s="2130"/>
      <c r="BH37" s="2130"/>
      <c r="BI37" s="2130"/>
      <c r="BJ37" s="2130"/>
      <c r="BK37" s="2130"/>
      <c r="BL37" s="2130"/>
      <c r="BM37" s="2131"/>
      <c r="BN37" s="2151">
        <f>CC37+CD37+CF37+CG37+CH37</f>
        <v>33534</v>
      </c>
      <c r="BO37" s="2152"/>
      <c r="BP37" s="2152"/>
      <c r="BQ37" s="2152"/>
      <c r="BR37" s="2152"/>
      <c r="BS37" s="2152"/>
      <c r="BT37" s="2152"/>
      <c r="BU37" s="2152"/>
      <c r="BV37" s="2152"/>
      <c r="BW37" s="2152"/>
      <c r="BX37" s="2152"/>
      <c r="BY37" s="2152"/>
      <c r="BZ37" s="2152"/>
      <c r="CA37" s="2152"/>
      <c r="CB37" s="2153"/>
      <c r="CC37" s="581"/>
      <c r="CD37" s="1148">
        <f>44690-8512-120-2524</f>
        <v>33534</v>
      </c>
      <c r="CE37" s="1151"/>
      <c r="CF37" s="138"/>
      <c r="CG37" s="138"/>
      <c r="CH37" s="138"/>
      <c r="CI37" s="988" t="s">
        <v>1688</v>
      </c>
    </row>
    <row r="38" spans="1:91" s="137" customFormat="1" ht="25.5" customHeight="1" x14ac:dyDescent="0.2">
      <c r="A38" s="2108">
        <v>20</v>
      </c>
      <c r="B38" s="2108"/>
      <c r="C38" s="2108"/>
      <c r="D38" s="2108"/>
      <c r="E38" s="2082" t="s">
        <v>1327</v>
      </c>
      <c r="F38" s="2082"/>
      <c r="G38" s="2082"/>
      <c r="H38" s="2082"/>
      <c r="I38" s="2082"/>
      <c r="J38" s="2082"/>
      <c r="K38" s="2082"/>
      <c r="L38" s="2082"/>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148">
        <v>0</v>
      </c>
      <c r="AO38" s="2149"/>
      <c r="AP38" s="2149"/>
      <c r="AQ38" s="2149"/>
      <c r="AR38" s="2149"/>
      <c r="AS38" s="2149"/>
      <c r="AT38" s="2149"/>
      <c r="AU38" s="2149"/>
      <c r="AV38" s="2149"/>
      <c r="AW38" s="2149"/>
      <c r="AX38" s="2149"/>
      <c r="AY38" s="2149"/>
      <c r="AZ38" s="2149"/>
      <c r="BA38" s="2149"/>
      <c r="BB38" s="2149"/>
      <c r="BC38" s="2150"/>
      <c r="BD38" s="2129"/>
      <c r="BE38" s="2130"/>
      <c r="BF38" s="2130"/>
      <c r="BG38" s="2130"/>
      <c r="BH38" s="2130"/>
      <c r="BI38" s="2130"/>
      <c r="BJ38" s="2130"/>
      <c r="BK38" s="2130"/>
      <c r="BL38" s="2130"/>
      <c r="BM38" s="2131"/>
      <c r="BN38" s="2151">
        <v>0</v>
      </c>
      <c r="BO38" s="2152"/>
      <c r="BP38" s="2152"/>
      <c r="BQ38" s="2152"/>
      <c r="BR38" s="2152"/>
      <c r="BS38" s="2152"/>
      <c r="BT38" s="2152"/>
      <c r="BU38" s="2152"/>
      <c r="BV38" s="2152"/>
      <c r="BW38" s="2152"/>
      <c r="BX38" s="2152"/>
      <c r="BY38" s="2152"/>
      <c r="BZ38" s="2152"/>
      <c r="CA38" s="2152"/>
      <c r="CB38" s="2153"/>
      <c r="CC38" s="581"/>
      <c r="CD38" s="1143"/>
      <c r="CE38" s="1152" t="s">
        <v>1314</v>
      </c>
      <c r="CF38" s="223"/>
      <c r="CG38" s="223">
        <v>0</v>
      </c>
      <c r="CH38" s="138"/>
    </row>
    <row r="39" spans="1:91" s="137" customFormat="1" ht="15" customHeight="1" x14ac:dyDescent="0.2">
      <c r="A39" s="2108">
        <v>21</v>
      </c>
      <c r="B39" s="2108"/>
      <c r="C39" s="2108"/>
      <c r="D39" s="2108"/>
      <c r="E39" s="2082" t="s">
        <v>1234</v>
      </c>
      <c r="F39" s="2082"/>
      <c r="G39" s="2082"/>
      <c r="H39" s="2082"/>
      <c r="I39" s="2082"/>
      <c r="J39" s="2082"/>
      <c r="K39" s="2082"/>
      <c r="L39" s="2082"/>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c r="AI39" s="2082"/>
      <c r="AJ39" s="2082"/>
      <c r="AK39" s="2082"/>
      <c r="AL39" s="2082"/>
      <c r="AM39" s="2082"/>
      <c r="AN39" s="2148">
        <v>0</v>
      </c>
      <c r="AO39" s="2149"/>
      <c r="AP39" s="2149"/>
      <c r="AQ39" s="2149"/>
      <c r="AR39" s="2149"/>
      <c r="AS39" s="2149"/>
      <c r="AT39" s="2149"/>
      <c r="AU39" s="2149"/>
      <c r="AV39" s="2149"/>
      <c r="AW39" s="2149"/>
      <c r="AX39" s="2149"/>
      <c r="AY39" s="2149"/>
      <c r="AZ39" s="2149"/>
      <c r="BA39" s="2149"/>
      <c r="BB39" s="2149"/>
      <c r="BC39" s="2150"/>
      <c r="BD39" s="2129"/>
      <c r="BE39" s="2130"/>
      <c r="BF39" s="2130"/>
      <c r="BG39" s="2130"/>
      <c r="BH39" s="2130"/>
      <c r="BI39" s="2130"/>
      <c r="BJ39" s="2130"/>
      <c r="BK39" s="2130"/>
      <c r="BL39" s="2130"/>
      <c r="BM39" s="2131"/>
      <c r="BN39" s="2158">
        <v>0</v>
      </c>
      <c r="BO39" s="2159"/>
      <c r="BP39" s="2159"/>
      <c r="BQ39" s="2159"/>
      <c r="BR39" s="2159"/>
      <c r="BS39" s="2159"/>
      <c r="BT39" s="2159"/>
      <c r="BU39" s="2159"/>
      <c r="BV39" s="2159"/>
      <c r="BW39" s="2159"/>
      <c r="BX39" s="2159"/>
      <c r="BY39" s="2159"/>
      <c r="BZ39" s="2159"/>
      <c r="CA39" s="2159"/>
      <c r="CB39" s="2160"/>
      <c r="CC39" s="581"/>
      <c r="CD39" s="1143"/>
      <c r="CE39" s="1152"/>
      <c r="CF39" s="223"/>
      <c r="CG39" s="223">
        <f>BN39</f>
        <v>0</v>
      </c>
      <c r="CH39" s="138"/>
    </row>
    <row r="40" spans="1:91" s="137" customFormat="1" ht="15.75" customHeight="1" x14ac:dyDescent="0.2">
      <c r="A40" s="2108">
        <v>22</v>
      </c>
      <c r="B40" s="2108"/>
      <c r="C40" s="2108"/>
      <c r="D40" s="2108"/>
      <c r="E40" s="2082" t="s">
        <v>1446</v>
      </c>
      <c r="F40" s="2082"/>
      <c r="G40" s="2082"/>
      <c r="H40" s="2082"/>
      <c r="I40" s="2082"/>
      <c r="J40" s="2082"/>
      <c r="K40" s="2082"/>
      <c r="L40" s="2082"/>
      <c r="M40" s="2082"/>
      <c r="N40" s="2082"/>
      <c r="O40" s="2082"/>
      <c r="P40" s="2082"/>
      <c r="Q40" s="2082"/>
      <c r="R40" s="2082"/>
      <c r="S40" s="2082"/>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151">
        <v>249291.8</v>
      </c>
      <c r="AO40" s="2152"/>
      <c r="AP40" s="2152"/>
      <c r="AQ40" s="2152"/>
      <c r="AR40" s="2152"/>
      <c r="AS40" s="2152"/>
      <c r="AT40" s="2152"/>
      <c r="AU40" s="2152"/>
      <c r="AV40" s="2152"/>
      <c r="AW40" s="2152"/>
      <c r="AX40" s="2152"/>
      <c r="AY40" s="2152"/>
      <c r="AZ40" s="2152"/>
      <c r="BA40" s="2152"/>
      <c r="BB40" s="2152"/>
      <c r="BC40" s="2153"/>
      <c r="BD40" s="2129">
        <v>1</v>
      </c>
      <c r="BE40" s="2130"/>
      <c r="BF40" s="2130"/>
      <c r="BG40" s="2130"/>
      <c r="BH40" s="2130"/>
      <c r="BI40" s="2130"/>
      <c r="BJ40" s="2130"/>
      <c r="BK40" s="2130"/>
      <c r="BL40" s="2130"/>
      <c r="BM40" s="2131"/>
      <c r="BN40" s="2116">
        <f>CC40+CD40+CF40+CG40+CH40</f>
        <v>249291.8</v>
      </c>
      <c r="BO40" s="2117"/>
      <c r="BP40" s="2117"/>
      <c r="BQ40" s="2117"/>
      <c r="BR40" s="2117"/>
      <c r="BS40" s="2117"/>
      <c r="BT40" s="2117"/>
      <c r="BU40" s="2117"/>
      <c r="BV40" s="2117"/>
      <c r="BW40" s="2117"/>
      <c r="BX40" s="2117"/>
      <c r="BY40" s="2117"/>
      <c r="BZ40" s="2117"/>
      <c r="CA40" s="2117"/>
      <c r="CB40" s="2118"/>
      <c r="CC40" s="581"/>
      <c r="CD40" s="1143"/>
      <c r="CE40" s="1152" t="s">
        <v>1314</v>
      </c>
      <c r="CF40" s="223"/>
      <c r="CG40" s="223">
        <v>249291.8</v>
      </c>
      <c r="CH40" s="138"/>
    </row>
    <row r="41" spans="1:91" s="137" customFormat="1" ht="15" customHeight="1" x14ac:dyDescent="0.2">
      <c r="A41" s="2108">
        <v>23</v>
      </c>
      <c r="B41" s="2108"/>
      <c r="C41" s="2108"/>
      <c r="D41" s="2108"/>
      <c r="E41" s="2082" t="s">
        <v>1447</v>
      </c>
      <c r="F41" s="2082"/>
      <c r="G41" s="2082"/>
      <c r="H41" s="2082"/>
      <c r="I41" s="2082"/>
      <c r="J41" s="2082"/>
      <c r="K41" s="2082"/>
      <c r="L41" s="2082"/>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c r="AI41" s="2082"/>
      <c r="AJ41" s="2082"/>
      <c r="AK41" s="2082"/>
      <c r="AL41" s="2082"/>
      <c r="AM41" s="2082"/>
      <c r="AN41" s="2151">
        <v>268872.65999999997</v>
      </c>
      <c r="AO41" s="2152"/>
      <c r="AP41" s="2152"/>
      <c r="AQ41" s="2152"/>
      <c r="AR41" s="2152"/>
      <c r="AS41" s="2152"/>
      <c r="AT41" s="2152"/>
      <c r="AU41" s="2152"/>
      <c r="AV41" s="2152"/>
      <c r="AW41" s="2152"/>
      <c r="AX41" s="2152"/>
      <c r="AY41" s="2152"/>
      <c r="AZ41" s="2152"/>
      <c r="BA41" s="2152"/>
      <c r="BB41" s="2152"/>
      <c r="BC41" s="2153"/>
      <c r="BD41" s="2129">
        <v>1</v>
      </c>
      <c r="BE41" s="2130"/>
      <c r="BF41" s="2130"/>
      <c r="BG41" s="2130"/>
      <c r="BH41" s="2130"/>
      <c r="BI41" s="2130"/>
      <c r="BJ41" s="2130"/>
      <c r="BK41" s="2130"/>
      <c r="BL41" s="2130"/>
      <c r="BM41" s="2131"/>
      <c r="BN41" s="2116">
        <f>CC41+CD41+CF41+CG41+CH41</f>
        <v>268872.65999999997</v>
      </c>
      <c r="BO41" s="2117"/>
      <c r="BP41" s="2117"/>
      <c r="BQ41" s="2117"/>
      <c r="BR41" s="2117"/>
      <c r="BS41" s="2117"/>
      <c r="BT41" s="2117"/>
      <c r="BU41" s="2117"/>
      <c r="BV41" s="2117"/>
      <c r="BW41" s="2117"/>
      <c r="BX41" s="2117"/>
      <c r="BY41" s="2117"/>
      <c r="BZ41" s="2117"/>
      <c r="CA41" s="2117"/>
      <c r="CB41" s="2118"/>
      <c r="CC41" s="581"/>
      <c r="CD41" s="1143"/>
      <c r="CE41" s="1152" t="s">
        <v>1314</v>
      </c>
      <c r="CF41" s="223"/>
      <c r="CG41" s="223">
        <v>268872.65999999997</v>
      </c>
      <c r="CH41" s="138"/>
    </row>
    <row r="42" spans="1:91" s="137" customFormat="1" ht="16.5" customHeight="1" x14ac:dyDescent="0.2">
      <c r="A42" s="2108">
        <v>24</v>
      </c>
      <c r="B42" s="2108"/>
      <c r="C42" s="2108"/>
      <c r="D42" s="2108"/>
      <c r="E42" s="2082" t="s">
        <v>1460</v>
      </c>
      <c r="F42" s="2082"/>
      <c r="G42" s="2082"/>
      <c r="H42" s="2082"/>
      <c r="I42" s="2082"/>
      <c r="J42" s="2082"/>
      <c r="K42" s="2082"/>
      <c r="L42" s="2082"/>
      <c r="M42" s="2082"/>
      <c r="N42" s="2082"/>
      <c r="O42" s="2082"/>
      <c r="P42" s="2082"/>
      <c r="Q42" s="2082"/>
      <c r="R42" s="2082"/>
      <c r="S42" s="2082"/>
      <c r="T42" s="2082"/>
      <c r="U42" s="2082"/>
      <c r="V42" s="2082"/>
      <c r="W42" s="2082"/>
      <c r="X42" s="2082"/>
      <c r="Y42" s="2082"/>
      <c r="Z42" s="2082"/>
      <c r="AA42" s="2082"/>
      <c r="AB42" s="2082"/>
      <c r="AC42" s="2082"/>
      <c r="AD42" s="2082"/>
      <c r="AE42" s="2082"/>
      <c r="AF42" s="2082"/>
      <c r="AG42" s="2082"/>
      <c r="AH42" s="2082"/>
      <c r="AI42" s="2082"/>
      <c r="AJ42" s="2082"/>
      <c r="AK42" s="2082"/>
      <c r="AL42" s="2082"/>
      <c r="AM42" s="2082"/>
      <c r="AN42" s="1919">
        <v>18000</v>
      </c>
      <c r="AO42" s="2127"/>
      <c r="AP42" s="2127"/>
      <c r="AQ42" s="2127"/>
      <c r="AR42" s="2127"/>
      <c r="AS42" s="2127"/>
      <c r="AT42" s="2127"/>
      <c r="AU42" s="2127"/>
      <c r="AV42" s="2127"/>
      <c r="AW42" s="2127"/>
      <c r="AX42" s="2127"/>
      <c r="AY42" s="2127"/>
      <c r="AZ42" s="2127"/>
      <c r="BA42" s="2127"/>
      <c r="BB42" s="2127"/>
      <c r="BC42" s="2128"/>
      <c r="BD42" s="2129">
        <v>1</v>
      </c>
      <c r="BE42" s="2130"/>
      <c r="BF42" s="2130"/>
      <c r="BG42" s="2130"/>
      <c r="BH42" s="2130"/>
      <c r="BI42" s="2130"/>
      <c r="BJ42" s="2130"/>
      <c r="BK42" s="2130"/>
      <c r="BL42" s="2130"/>
      <c r="BM42" s="2131"/>
      <c r="BN42" s="2116">
        <v>18000</v>
      </c>
      <c r="BO42" s="2117"/>
      <c r="BP42" s="2117"/>
      <c r="BQ42" s="2117"/>
      <c r="BR42" s="2117"/>
      <c r="BS42" s="2117"/>
      <c r="BT42" s="2117"/>
      <c r="BU42" s="2117"/>
      <c r="BV42" s="2117"/>
      <c r="BW42" s="2117"/>
      <c r="BX42" s="2117"/>
      <c r="BY42" s="2117"/>
      <c r="BZ42" s="2117"/>
      <c r="CA42" s="2117"/>
      <c r="CB42" s="2118"/>
      <c r="CC42" s="581"/>
      <c r="CD42" s="1143">
        <v>18000</v>
      </c>
      <c r="CE42" s="1153"/>
      <c r="CF42" s="223"/>
      <c r="CG42" s="223"/>
      <c r="CH42" s="138"/>
    </row>
    <row r="43" spans="1:91" s="137" customFormat="1" ht="15" customHeight="1" x14ac:dyDescent="0.2">
      <c r="A43" s="2108">
        <v>25</v>
      </c>
      <c r="B43" s="2108"/>
      <c r="C43" s="2108"/>
      <c r="D43" s="2108"/>
      <c r="E43" s="2082" t="s">
        <v>1474</v>
      </c>
      <c r="F43" s="2082"/>
      <c r="G43" s="2082"/>
      <c r="H43" s="2082"/>
      <c r="I43" s="2082"/>
      <c r="J43" s="2082"/>
      <c r="K43" s="2082"/>
      <c r="L43" s="2082"/>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1919">
        <v>491120.73</v>
      </c>
      <c r="AO43" s="2127"/>
      <c r="AP43" s="2127"/>
      <c r="AQ43" s="2127"/>
      <c r="AR43" s="2127"/>
      <c r="AS43" s="2127"/>
      <c r="AT43" s="2127"/>
      <c r="AU43" s="2127"/>
      <c r="AV43" s="2127"/>
      <c r="AW43" s="2127"/>
      <c r="AX43" s="2127"/>
      <c r="AY43" s="2127"/>
      <c r="AZ43" s="2127"/>
      <c r="BA43" s="2127"/>
      <c r="BB43" s="2127"/>
      <c r="BC43" s="2128"/>
      <c r="BD43" s="2129">
        <v>1</v>
      </c>
      <c r="BE43" s="2130"/>
      <c r="BF43" s="2130"/>
      <c r="BG43" s="2130"/>
      <c r="BH43" s="2130"/>
      <c r="BI43" s="2130"/>
      <c r="BJ43" s="2130"/>
      <c r="BK43" s="2130"/>
      <c r="BL43" s="2130"/>
      <c r="BM43" s="2131"/>
      <c r="BN43" s="2116">
        <f>CC43+CD43+CF43+CG43+CH43</f>
        <v>491120.73</v>
      </c>
      <c r="BO43" s="2117"/>
      <c r="BP43" s="2117"/>
      <c r="BQ43" s="2117"/>
      <c r="BR43" s="2117"/>
      <c r="BS43" s="2117"/>
      <c r="BT43" s="2117"/>
      <c r="BU43" s="2117"/>
      <c r="BV43" s="2117"/>
      <c r="BW43" s="2117"/>
      <c r="BX43" s="2117"/>
      <c r="BY43" s="2117"/>
      <c r="BZ43" s="2117"/>
      <c r="CA43" s="2117"/>
      <c r="CB43" s="2118"/>
      <c r="CC43" s="581"/>
      <c r="CD43" s="1143"/>
      <c r="CE43" s="1152" t="s">
        <v>1314</v>
      </c>
      <c r="CF43" s="223"/>
      <c r="CG43" s="223">
        <v>491120.73</v>
      </c>
      <c r="CH43" s="138"/>
    </row>
    <row r="44" spans="1:91" s="137" customFormat="1" ht="26.45" customHeight="1" x14ac:dyDescent="0.2">
      <c r="A44" s="2108">
        <v>26</v>
      </c>
      <c r="B44" s="2108"/>
      <c r="C44" s="2108"/>
      <c r="D44" s="2108"/>
      <c r="E44" s="2082" t="s">
        <v>1475</v>
      </c>
      <c r="F44" s="2082"/>
      <c r="G44" s="2082"/>
      <c r="H44" s="2082"/>
      <c r="I44" s="2082"/>
      <c r="J44" s="2082"/>
      <c r="K44" s="2082"/>
      <c r="L44" s="2082"/>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c r="AI44" s="2082"/>
      <c r="AJ44" s="2082"/>
      <c r="AK44" s="2082"/>
      <c r="AL44" s="2082"/>
      <c r="AM44" s="2082"/>
      <c r="AN44" s="1919">
        <v>183401.27</v>
      </c>
      <c r="AO44" s="2127"/>
      <c r="AP44" s="2127"/>
      <c r="AQ44" s="2127"/>
      <c r="AR44" s="2127"/>
      <c r="AS44" s="2127"/>
      <c r="AT44" s="2127"/>
      <c r="AU44" s="2127"/>
      <c r="AV44" s="2127"/>
      <c r="AW44" s="2127"/>
      <c r="AX44" s="2127"/>
      <c r="AY44" s="2127"/>
      <c r="AZ44" s="2127"/>
      <c r="BA44" s="2127"/>
      <c r="BB44" s="2127"/>
      <c r="BC44" s="2128"/>
      <c r="BD44" s="2129">
        <v>1</v>
      </c>
      <c r="BE44" s="2130"/>
      <c r="BF44" s="2130"/>
      <c r="BG44" s="2130"/>
      <c r="BH44" s="2130"/>
      <c r="BI44" s="2130"/>
      <c r="BJ44" s="2130"/>
      <c r="BK44" s="2130"/>
      <c r="BL44" s="2130"/>
      <c r="BM44" s="2131"/>
      <c r="BN44" s="2116">
        <f>CC44+CD44+CF44+CG44+CH44</f>
        <v>306789.82999999996</v>
      </c>
      <c r="BO44" s="2117"/>
      <c r="BP44" s="2117"/>
      <c r="BQ44" s="2117"/>
      <c r="BR44" s="2117"/>
      <c r="BS44" s="2117"/>
      <c r="BT44" s="2117"/>
      <c r="BU44" s="2117"/>
      <c r="BV44" s="2117"/>
      <c r="BW44" s="2117"/>
      <c r="BX44" s="2117"/>
      <c r="BY44" s="2117"/>
      <c r="BZ44" s="2117"/>
      <c r="CA44" s="2117"/>
      <c r="CB44" s="2118"/>
      <c r="CC44" s="581"/>
      <c r="CD44" s="283"/>
      <c r="CE44" s="1023"/>
      <c r="CF44" s="223"/>
      <c r="CG44" s="223">
        <f>183401.27+123388.56</f>
        <v>306789.82999999996</v>
      </c>
      <c r="CH44" s="138"/>
      <c r="CM44" s="590"/>
    </row>
    <row r="45" spans="1:91" s="137" customFormat="1" ht="13.5" customHeight="1" thickBot="1" x14ac:dyDescent="0.25">
      <c r="A45" s="2119">
        <v>27</v>
      </c>
      <c r="B45" s="2120"/>
      <c r="C45" s="2120"/>
      <c r="D45" s="2164"/>
      <c r="E45" s="1772" t="s">
        <v>1185</v>
      </c>
      <c r="F45" s="1882"/>
      <c r="G45" s="1882"/>
      <c r="H45" s="1882"/>
      <c r="I45" s="1882"/>
      <c r="J45" s="1882"/>
      <c r="K45" s="1882"/>
      <c r="L45" s="1882"/>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773"/>
      <c r="AN45" s="2161">
        <v>800</v>
      </c>
      <c r="AO45" s="2162"/>
      <c r="AP45" s="2162"/>
      <c r="AQ45" s="2162"/>
      <c r="AR45" s="2162"/>
      <c r="AS45" s="2162"/>
      <c r="AT45" s="2162"/>
      <c r="AU45" s="2162"/>
      <c r="AV45" s="2162"/>
      <c r="AW45" s="2162"/>
      <c r="AX45" s="2162"/>
      <c r="AY45" s="2162"/>
      <c r="AZ45" s="2162"/>
      <c r="BA45" s="2162"/>
      <c r="BB45" s="2162"/>
      <c r="BC45" s="2163"/>
      <c r="BD45" s="2167">
        <v>12</v>
      </c>
      <c r="BE45" s="2167"/>
      <c r="BF45" s="2167"/>
      <c r="BG45" s="2167"/>
      <c r="BH45" s="2167"/>
      <c r="BI45" s="2167"/>
      <c r="BJ45" s="2167"/>
      <c r="BK45" s="2167"/>
      <c r="BL45" s="2167"/>
      <c r="BM45" s="2167"/>
      <c r="BN45" s="2167">
        <f>AN45*BD45</f>
        <v>9600</v>
      </c>
      <c r="BO45" s="2167"/>
      <c r="BP45" s="2167"/>
      <c r="BQ45" s="2167"/>
      <c r="BR45" s="2167"/>
      <c r="BS45" s="2167"/>
      <c r="BT45" s="2167"/>
      <c r="BU45" s="2167"/>
      <c r="BV45" s="2167"/>
      <c r="BW45" s="2167"/>
      <c r="BX45" s="2167"/>
      <c r="BY45" s="2167"/>
      <c r="BZ45" s="2167"/>
      <c r="CA45" s="2167"/>
      <c r="CB45" s="2167"/>
      <c r="CC45" s="581"/>
      <c r="CD45" s="1036">
        <f t="shared" ref="CD45" si="2">BN45</f>
        <v>9600</v>
      </c>
      <c r="CE45" s="1154"/>
      <c r="CF45" s="1036"/>
      <c r="CG45" s="1036"/>
      <c r="CH45" s="138"/>
      <c r="CI45" s="1039"/>
      <c r="CJ45" s="1039"/>
      <c r="CK45" s="1039"/>
      <c r="CL45" s="1039"/>
      <c r="CM45" s="1063"/>
    </row>
    <row r="46" spans="1:91" s="137" customFormat="1" ht="14.25" customHeight="1" x14ac:dyDescent="0.2">
      <c r="A46" s="2108">
        <v>28</v>
      </c>
      <c r="B46" s="2108"/>
      <c r="C46" s="2108"/>
      <c r="D46" s="2108"/>
      <c r="E46" s="2169" t="s">
        <v>1393</v>
      </c>
      <c r="F46" s="2170"/>
      <c r="G46" s="2170"/>
      <c r="H46" s="2170"/>
      <c r="I46" s="2170"/>
      <c r="J46" s="2170"/>
      <c r="K46" s="2170"/>
      <c r="L46" s="2170"/>
      <c r="M46" s="2170"/>
      <c r="N46" s="2170"/>
      <c r="O46" s="2170"/>
      <c r="P46" s="2170"/>
      <c r="Q46" s="2170"/>
      <c r="R46" s="2170"/>
      <c r="S46" s="2170"/>
      <c r="T46" s="2170"/>
      <c r="U46" s="2170"/>
      <c r="V46" s="2170"/>
      <c r="W46" s="2170"/>
      <c r="X46" s="2170"/>
      <c r="Y46" s="2170"/>
      <c r="Z46" s="2170"/>
      <c r="AA46" s="2170"/>
      <c r="AB46" s="2170"/>
      <c r="AC46" s="2170"/>
      <c r="AD46" s="2170"/>
      <c r="AE46" s="2170"/>
      <c r="AF46" s="2170"/>
      <c r="AG46" s="2170"/>
      <c r="AH46" s="2170"/>
      <c r="AI46" s="2170"/>
      <c r="AJ46" s="2170"/>
      <c r="AK46" s="2170"/>
      <c r="AL46" s="2170"/>
      <c r="AM46" s="2170"/>
      <c r="AN46" s="1977">
        <v>35920</v>
      </c>
      <c r="AO46" s="1977"/>
      <c r="AP46" s="1977"/>
      <c r="AQ46" s="1977"/>
      <c r="AR46" s="1977"/>
      <c r="AS46" s="1977"/>
      <c r="AT46" s="1977"/>
      <c r="AU46" s="1977"/>
      <c r="AV46" s="1977"/>
      <c r="AW46" s="1977"/>
      <c r="AX46" s="1977"/>
      <c r="AY46" s="1977"/>
      <c r="AZ46" s="1977"/>
      <c r="BA46" s="1977"/>
      <c r="BB46" s="1977"/>
      <c r="BC46" s="1977"/>
      <c r="BD46" s="2121">
        <v>1</v>
      </c>
      <c r="BE46" s="2122"/>
      <c r="BF46" s="2122"/>
      <c r="BG46" s="2122"/>
      <c r="BH46" s="2122"/>
      <c r="BI46" s="2122"/>
      <c r="BJ46" s="2122"/>
      <c r="BK46" s="2122"/>
      <c r="BL46" s="2122"/>
      <c r="BM46" s="2123"/>
      <c r="BN46" s="2124">
        <f>CC46+CD46+CF46+CG46+CH46</f>
        <v>37040</v>
      </c>
      <c r="BO46" s="2125"/>
      <c r="BP46" s="2125"/>
      <c r="BQ46" s="2125"/>
      <c r="BR46" s="2125"/>
      <c r="BS46" s="2125"/>
      <c r="BT46" s="2125"/>
      <c r="BU46" s="2125"/>
      <c r="BV46" s="2125"/>
      <c r="BW46" s="2125"/>
      <c r="BX46" s="2125"/>
      <c r="BY46" s="2125"/>
      <c r="BZ46" s="2125"/>
      <c r="CA46" s="2125"/>
      <c r="CB46" s="2126"/>
      <c r="CC46" s="223"/>
      <c r="CD46" s="223">
        <f>35920+1000+120</f>
        <v>37040</v>
      </c>
      <c r="CE46" s="1153"/>
      <c r="CF46" s="17"/>
      <c r="CG46" s="15"/>
      <c r="CH46" s="138"/>
      <c r="CI46" s="1076"/>
      <c r="CJ46" s="1039"/>
      <c r="CK46" s="1039"/>
      <c r="CL46" s="1039"/>
      <c r="CM46" s="1039"/>
    </row>
    <row r="47" spans="1:91" s="29" customFormat="1" ht="18" customHeight="1" x14ac:dyDescent="0.2">
      <c r="A47" s="1831" t="s">
        <v>151</v>
      </c>
      <c r="B47" s="1832"/>
      <c r="C47" s="1832"/>
      <c r="D47" s="1832"/>
      <c r="E47" s="1832"/>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c r="AM47" s="1833"/>
      <c r="AN47" s="1913" t="s">
        <v>3</v>
      </c>
      <c r="AO47" s="1913"/>
      <c r="AP47" s="1913"/>
      <c r="AQ47" s="1913"/>
      <c r="AR47" s="1913"/>
      <c r="AS47" s="1913"/>
      <c r="AT47" s="1913"/>
      <c r="AU47" s="1913"/>
      <c r="AV47" s="1913"/>
      <c r="AW47" s="1913"/>
      <c r="AX47" s="1913"/>
      <c r="AY47" s="1913"/>
      <c r="AZ47" s="1913"/>
      <c r="BA47" s="1913"/>
      <c r="BB47" s="1913"/>
      <c r="BC47" s="1913"/>
      <c r="BD47" s="1913" t="s">
        <v>3</v>
      </c>
      <c r="BE47" s="1913"/>
      <c r="BF47" s="1913"/>
      <c r="BG47" s="1913"/>
      <c r="BH47" s="1913"/>
      <c r="BI47" s="1913"/>
      <c r="BJ47" s="1913"/>
      <c r="BK47" s="1913"/>
      <c r="BL47" s="1913"/>
      <c r="BM47" s="1913"/>
      <c r="BN47" s="1971">
        <f>SUM(BN19:CB46)</f>
        <v>1951822.35</v>
      </c>
      <c r="BO47" s="1971"/>
      <c r="BP47" s="1971"/>
      <c r="BQ47" s="1971"/>
      <c r="BR47" s="1971"/>
      <c r="BS47" s="1971"/>
      <c r="BT47" s="1971"/>
      <c r="BU47" s="1971"/>
      <c r="BV47" s="1971"/>
      <c r="BW47" s="1971"/>
      <c r="BX47" s="1971"/>
      <c r="BY47" s="1971"/>
      <c r="BZ47" s="1971"/>
      <c r="CA47" s="1971"/>
      <c r="CB47" s="1971"/>
      <c r="CC47" s="239">
        <f>SUM(CC22:CC32)</f>
        <v>0</v>
      </c>
      <c r="CD47" s="239">
        <f>SUM(CD19:CD46)</f>
        <v>635747.33000000007</v>
      </c>
      <c r="CE47" s="239"/>
      <c r="CF47" s="239">
        <v>0</v>
      </c>
      <c r="CG47" s="239">
        <f>SUM(CG19:CG45)</f>
        <v>1316075.02</v>
      </c>
      <c r="CH47" s="239">
        <f>SUM(CH22:CH32)</f>
        <v>0</v>
      </c>
      <c r="CI47" s="1124" t="s">
        <v>1692</v>
      </c>
    </row>
    <row r="48" spans="1:91" s="1" customFormat="1" ht="15.75" x14ac:dyDescent="0.25">
      <c r="CD48" s="284"/>
    </row>
    <row r="49" spans="1:98" s="4" customFormat="1" ht="14.25" customHeight="1" x14ac:dyDescent="0.25">
      <c r="A49" s="19" t="s">
        <v>625</v>
      </c>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row>
    <row r="50" spans="1:98" s="7" customFormat="1" ht="9.75" x14ac:dyDescent="0.2">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row>
    <row r="51" spans="1:98" x14ac:dyDescent="0.2">
      <c r="A51" s="1810" t="s">
        <v>38</v>
      </c>
      <c r="B51" s="1810"/>
      <c r="C51" s="1810"/>
      <c r="D51" s="1810"/>
      <c r="E51" s="1830" t="s">
        <v>4</v>
      </c>
      <c r="F51" s="1830"/>
      <c r="G51" s="1830"/>
      <c r="H51" s="1830"/>
      <c r="I51" s="1830"/>
      <c r="J51" s="1830"/>
      <c r="K51" s="1830"/>
      <c r="L51" s="1830"/>
      <c r="M51" s="1830"/>
      <c r="N51" s="1830"/>
      <c r="O51" s="1830"/>
      <c r="P51" s="1830"/>
      <c r="Q51" s="1830"/>
      <c r="R51" s="1830"/>
      <c r="S51" s="1830"/>
      <c r="T51" s="1830"/>
      <c r="U51" s="1830"/>
      <c r="V51" s="1830"/>
      <c r="W51" s="1830"/>
      <c r="X51" s="1830"/>
      <c r="Y51" s="1830"/>
      <c r="Z51" s="1830"/>
      <c r="AA51" s="1830"/>
      <c r="AB51" s="1830"/>
      <c r="AC51" s="1830"/>
      <c r="AD51" s="1830"/>
      <c r="AE51" s="1830"/>
      <c r="AF51" s="1830"/>
      <c r="AG51" s="1830"/>
      <c r="AH51" s="1830"/>
      <c r="AI51" s="1830"/>
      <c r="AJ51" s="1830"/>
      <c r="AK51" s="1830"/>
      <c r="AL51" s="1830"/>
      <c r="AM51" s="1830"/>
      <c r="AN51" s="1830"/>
      <c r="AO51" s="1781" t="s">
        <v>139</v>
      </c>
      <c r="AP51" s="1925"/>
      <c r="AQ51" s="1925"/>
      <c r="AR51" s="1925"/>
      <c r="AS51" s="1925"/>
      <c r="AT51" s="1925"/>
      <c r="AU51" s="1925"/>
      <c r="AV51" s="1925"/>
      <c r="AW51" s="1925"/>
      <c r="AX51" s="1925"/>
      <c r="AY51" s="1925"/>
      <c r="AZ51" s="1925"/>
      <c r="BA51" s="1925"/>
      <c r="BB51" s="1925"/>
      <c r="BC51" s="1782"/>
      <c r="BD51" s="1781" t="s">
        <v>140</v>
      </c>
      <c r="BE51" s="1925"/>
      <c r="BF51" s="1925"/>
      <c r="BG51" s="1925"/>
      <c r="BH51" s="1925"/>
      <c r="BI51" s="1925"/>
      <c r="BJ51" s="1925"/>
      <c r="BK51" s="1925"/>
      <c r="BL51" s="1925"/>
      <c r="BM51" s="1782"/>
      <c r="BN51" s="1781" t="s">
        <v>624</v>
      </c>
      <c r="BO51" s="1925"/>
      <c r="BP51" s="1925"/>
      <c r="BQ51" s="1925"/>
      <c r="BR51" s="1925"/>
      <c r="BS51" s="1925"/>
      <c r="BT51" s="1925"/>
      <c r="BU51" s="1925"/>
      <c r="BV51" s="1925"/>
      <c r="BW51" s="1925"/>
      <c r="BX51" s="1925"/>
      <c r="BY51" s="1925"/>
      <c r="BZ51" s="1925"/>
      <c r="CA51" s="1925"/>
      <c r="CB51" s="1782"/>
      <c r="CC51" s="1806" t="s">
        <v>52</v>
      </c>
      <c r="CD51" s="1806"/>
      <c r="CE51" s="1806"/>
      <c r="CF51" s="1806"/>
      <c r="CG51" s="1806"/>
      <c r="CH51" s="1806"/>
    </row>
    <row r="52" spans="1:98" ht="50.25" customHeight="1" x14ac:dyDescent="0.2">
      <c r="A52" s="1810"/>
      <c r="B52" s="1810"/>
      <c r="C52" s="1810"/>
      <c r="D52" s="1810"/>
      <c r="E52" s="1830"/>
      <c r="F52" s="1830"/>
      <c r="G52" s="1830"/>
      <c r="H52" s="1830"/>
      <c r="I52" s="1830"/>
      <c r="J52" s="1830"/>
      <c r="K52" s="1830"/>
      <c r="L52" s="1830"/>
      <c r="M52" s="1830"/>
      <c r="N52" s="1830"/>
      <c r="O52" s="1830"/>
      <c r="P52" s="1830"/>
      <c r="Q52" s="1830"/>
      <c r="R52" s="1830"/>
      <c r="S52" s="1830"/>
      <c r="T52" s="1830"/>
      <c r="U52" s="1830"/>
      <c r="V52" s="1830"/>
      <c r="W52" s="1830"/>
      <c r="X52" s="1830"/>
      <c r="Y52" s="1830"/>
      <c r="Z52" s="1830"/>
      <c r="AA52" s="1830"/>
      <c r="AB52" s="1830"/>
      <c r="AC52" s="1830"/>
      <c r="AD52" s="1830"/>
      <c r="AE52" s="1830"/>
      <c r="AF52" s="1830"/>
      <c r="AG52" s="1830"/>
      <c r="AH52" s="1830"/>
      <c r="AI52" s="1830"/>
      <c r="AJ52" s="1830"/>
      <c r="AK52" s="1830"/>
      <c r="AL52" s="1830"/>
      <c r="AM52" s="1830"/>
      <c r="AN52" s="1830"/>
      <c r="AO52" s="1783"/>
      <c r="AP52" s="1926"/>
      <c r="AQ52" s="1926"/>
      <c r="AR52" s="1926"/>
      <c r="AS52" s="1926"/>
      <c r="AT52" s="1926"/>
      <c r="AU52" s="1926"/>
      <c r="AV52" s="1926"/>
      <c r="AW52" s="1926"/>
      <c r="AX52" s="1926"/>
      <c r="AY52" s="1926"/>
      <c r="AZ52" s="1926"/>
      <c r="BA52" s="1926"/>
      <c r="BB52" s="1926"/>
      <c r="BC52" s="1784"/>
      <c r="BD52" s="1783"/>
      <c r="BE52" s="1926"/>
      <c r="BF52" s="1926"/>
      <c r="BG52" s="1926"/>
      <c r="BH52" s="1926"/>
      <c r="BI52" s="1926"/>
      <c r="BJ52" s="1926"/>
      <c r="BK52" s="1926"/>
      <c r="BL52" s="1926"/>
      <c r="BM52" s="1784"/>
      <c r="BN52" s="1783"/>
      <c r="BO52" s="1926"/>
      <c r="BP52" s="1926"/>
      <c r="BQ52" s="1926"/>
      <c r="BR52" s="1926"/>
      <c r="BS52" s="1926"/>
      <c r="BT52" s="1926"/>
      <c r="BU52" s="1926"/>
      <c r="BV52" s="1926"/>
      <c r="BW52" s="1926"/>
      <c r="BX52" s="1926"/>
      <c r="BY52" s="1926"/>
      <c r="BZ52" s="1926"/>
      <c r="CA52" s="1926"/>
      <c r="CB52" s="1784"/>
      <c r="CC52" s="1810" t="s">
        <v>35</v>
      </c>
      <c r="CD52" s="1810"/>
      <c r="CE52" s="1788" t="s">
        <v>45</v>
      </c>
      <c r="CF52" s="1790"/>
      <c r="CG52" s="1789"/>
      <c r="CH52" s="1778" t="s">
        <v>46</v>
      </c>
    </row>
    <row r="53" spans="1:98" ht="12.75" customHeight="1" x14ac:dyDescent="0.2">
      <c r="A53" s="1810"/>
      <c r="B53" s="1810"/>
      <c r="C53" s="1810"/>
      <c r="D53" s="1810"/>
      <c r="E53" s="1830"/>
      <c r="F53" s="1830"/>
      <c r="G53" s="1830"/>
      <c r="H53" s="1830"/>
      <c r="I53" s="1830"/>
      <c r="J53" s="1830"/>
      <c r="K53" s="1830"/>
      <c r="L53" s="1830"/>
      <c r="M53" s="1830"/>
      <c r="N53" s="1830"/>
      <c r="O53" s="1830"/>
      <c r="P53" s="1830"/>
      <c r="Q53" s="1830"/>
      <c r="R53" s="1830"/>
      <c r="S53" s="1830"/>
      <c r="T53" s="1830"/>
      <c r="U53" s="1830"/>
      <c r="V53" s="1830"/>
      <c r="W53" s="1830"/>
      <c r="X53" s="1830"/>
      <c r="Y53" s="1830"/>
      <c r="Z53" s="1830"/>
      <c r="AA53" s="1830"/>
      <c r="AB53" s="1830"/>
      <c r="AC53" s="1830"/>
      <c r="AD53" s="1830"/>
      <c r="AE53" s="1830"/>
      <c r="AF53" s="1830"/>
      <c r="AG53" s="1830"/>
      <c r="AH53" s="1830"/>
      <c r="AI53" s="1830"/>
      <c r="AJ53" s="1830"/>
      <c r="AK53" s="1830"/>
      <c r="AL53" s="1830"/>
      <c r="AM53" s="1830"/>
      <c r="AN53" s="1830"/>
      <c r="AO53" s="1783"/>
      <c r="AP53" s="1926"/>
      <c r="AQ53" s="1926"/>
      <c r="AR53" s="1926"/>
      <c r="AS53" s="1926"/>
      <c r="AT53" s="1926"/>
      <c r="AU53" s="1926"/>
      <c r="AV53" s="1926"/>
      <c r="AW53" s="1926"/>
      <c r="AX53" s="1926"/>
      <c r="AY53" s="1926"/>
      <c r="AZ53" s="1926"/>
      <c r="BA53" s="1926"/>
      <c r="BB53" s="1926"/>
      <c r="BC53" s="1784"/>
      <c r="BD53" s="1783"/>
      <c r="BE53" s="1926"/>
      <c r="BF53" s="1926"/>
      <c r="BG53" s="1926"/>
      <c r="BH53" s="1926"/>
      <c r="BI53" s="1926"/>
      <c r="BJ53" s="1926"/>
      <c r="BK53" s="1926"/>
      <c r="BL53" s="1926"/>
      <c r="BM53" s="1784"/>
      <c r="BN53" s="1783"/>
      <c r="BO53" s="1926"/>
      <c r="BP53" s="1926"/>
      <c r="BQ53" s="1926"/>
      <c r="BR53" s="1926"/>
      <c r="BS53" s="1926"/>
      <c r="BT53" s="1926"/>
      <c r="BU53" s="1926"/>
      <c r="BV53" s="1926"/>
      <c r="BW53" s="1926"/>
      <c r="BX53" s="1926"/>
      <c r="BY53" s="1926"/>
      <c r="BZ53" s="1926"/>
      <c r="CA53" s="1926"/>
      <c r="CB53" s="1784"/>
      <c r="CC53" s="1811" t="s">
        <v>43</v>
      </c>
      <c r="CD53" s="1811" t="s">
        <v>44</v>
      </c>
      <c r="CE53" s="1812" t="s">
        <v>55</v>
      </c>
      <c r="CF53" s="1811" t="s">
        <v>43</v>
      </c>
      <c r="CG53" s="1811" t="s">
        <v>44</v>
      </c>
      <c r="CH53" s="1779"/>
    </row>
    <row r="54" spans="1:98" x14ac:dyDescent="0.2">
      <c r="A54" s="1810"/>
      <c r="B54" s="1810"/>
      <c r="C54" s="1810"/>
      <c r="D54" s="1810"/>
      <c r="E54" s="1830"/>
      <c r="F54" s="1830"/>
      <c r="G54" s="1830"/>
      <c r="H54" s="1830"/>
      <c r="I54" s="1830"/>
      <c r="J54" s="1830"/>
      <c r="K54" s="1830"/>
      <c r="L54" s="1830"/>
      <c r="M54" s="1830"/>
      <c r="N54" s="1830"/>
      <c r="O54" s="1830"/>
      <c r="P54" s="1830"/>
      <c r="Q54" s="1830"/>
      <c r="R54" s="1830"/>
      <c r="S54" s="1830"/>
      <c r="T54" s="1830"/>
      <c r="U54" s="1830"/>
      <c r="V54" s="1830"/>
      <c r="W54" s="1830"/>
      <c r="X54" s="1830"/>
      <c r="Y54" s="1830"/>
      <c r="Z54" s="1830"/>
      <c r="AA54" s="1830"/>
      <c r="AB54" s="1830"/>
      <c r="AC54" s="1830"/>
      <c r="AD54" s="1830"/>
      <c r="AE54" s="1830"/>
      <c r="AF54" s="1830"/>
      <c r="AG54" s="1830"/>
      <c r="AH54" s="1830"/>
      <c r="AI54" s="1830"/>
      <c r="AJ54" s="1830"/>
      <c r="AK54" s="1830"/>
      <c r="AL54" s="1830"/>
      <c r="AM54" s="1830"/>
      <c r="AN54" s="1830"/>
      <c r="AO54" s="1785"/>
      <c r="AP54" s="1927"/>
      <c r="AQ54" s="1927"/>
      <c r="AR54" s="1927"/>
      <c r="AS54" s="1927"/>
      <c r="AT54" s="1927"/>
      <c r="AU54" s="1927"/>
      <c r="AV54" s="1927"/>
      <c r="AW54" s="1927"/>
      <c r="AX54" s="1927"/>
      <c r="AY54" s="1927"/>
      <c r="AZ54" s="1927"/>
      <c r="BA54" s="1927"/>
      <c r="BB54" s="1927"/>
      <c r="BC54" s="1786"/>
      <c r="BD54" s="1785"/>
      <c r="BE54" s="1927"/>
      <c r="BF54" s="1927"/>
      <c r="BG54" s="1927"/>
      <c r="BH54" s="1927"/>
      <c r="BI54" s="1927"/>
      <c r="BJ54" s="1927"/>
      <c r="BK54" s="1927"/>
      <c r="BL54" s="1927"/>
      <c r="BM54" s="1786"/>
      <c r="BN54" s="1785"/>
      <c r="BO54" s="1927"/>
      <c r="BP54" s="1927"/>
      <c r="BQ54" s="1927"/>
      <c r="BR54" s="1927"/>
      <c r="BS54" s="1927"/>
      <c r="BT54" s="1927"/>
      <c r="BU54" s="1927"/>
      <c r="BV54" s="1927"/>
      <c r="BW54" s="1927"/>
      <c r="BX54" s="1927"/>
      <c r="BY54" s="1927"/>
      <c r="BZ54" s="1927"/>
      <c r="CA54" s="1927"/>
      <c r="CB54" s="1786"/>
      <c r="CC54" s="1811"/>
      <c r="CD54" s="1811"/>
      <c r="CE54" s="1813"/>
      <c r="CF54" s="1811"/>
      <c r="CG54" s="1811"/>
      <c r="CH54" s="1780"/>
    </row>
    <row r="55" spans="1:98" x14ac:dyDescent="0.2">
      <c r="A55" s="1830">
        <v>1</v>
      </c>
      <c r="B55" s="1830"/>
      <c r="C55" s="1830"/>
      <c r="D55" s="1830"/>
      <c r="E55" s="1830">
        <v>2</v>
      </c>
      <c r="F55" s="1830"/>
      <c r="G55" s="1830"/>
      <c r="H55" s="1830"/>
      <c r="I55" s="1830"/>
      <c r="J55" s="1830"/>
      <c r="K55" s="1830"/>
      <c r="L55" s="1830"/>
      <c r="M55" s="1830"/>
      <c r="N55" s="1830"/>
      <c r="O55" s="1830"/>
      <c r="P55" s="1830"/>
      <c r="Q55" s="1830"/>
      <c r="R55" s="1830"/>
      <c r="S55" s="1830"/>
      <c r="T55" s="1830"/>
      <c r="U55" s="1830"/>
      <c r="V55" s="1830"/>
      <c r="W55" s="1830"/>
      <c r="X55" s="1830"/>
      <c r="Y55" s="1830"/>
      <c r="Z55" s="1830"/>
      <c r="AA55" s="1830"/>
      <c r="AB55" s="1830"/>
      <c r="AC55" s="1830"/>
      <c r="AD55" s="1830"/>
      <c r="AE55" s="1830"/>
      <c r="AF55" s="1830"/>
      <c r="AG55" s="1830"/>
      <c r="AH55" s="1830"/>
      <c r="AI55" s="1830"/>
      <c r="AJ55" s="1830"/>
      <c r="AK55" s="1830"/>
      <c r="AL55" s="1830"/>
      <c r="AM55" s="1830"/>
      <c r="AN55" s="1830"/>
      <c r="AO55" s="1830">
        <v>3</v>
      </c>
      <c r="AP55" s="1830"/>
      <c r="AQ55" s="1830"/>
      <c r="AR55" s="1830"/>
      <c r="AS55" s="1830"/>
      <c r="AT55" s="1830"/>
      <c r="AU55" s="1830"/>
      <c r="AV55" s="1830"/>
      <c r="AW55" s="1830"/>
      <c r="AX55" s="1830"/>
      <c r="AY55" s="1830"/>
      <c r="AZ55" s="1830"/>
      <c r="BA55" s="1830"/>
      <c r="BB55" s="1830"/>
      <c r="BC55" s="1830"/>
      <c r="BD55" s="1830">
        <v>4</v>
      </c>
      <c r="BE55" s="1830"/>
      <c r="BF55" s="1830"/>
      <c r="BG55" s="1830"/>
      <c r="BH55" s="1830"/>
      <c r="BI55" s="1830"/>
      <c r="BJ55" s="1830"/>
      <c r="BK55" s="1830"/>
      <c r="BL55" s="1830"/>
      <c r="BM55" s="1830"/>
      <c r="BN55" s="1830" t="s">
        <v>49</v>
      </c>
      <c r="BO55" s="1830"/>
      <c r="BP55" s="1830"/>
      <c r="BQ55" s="1830"/>
      <c r="BR55" s="1830"/>
      <c r="BS55" s="1830"/>
      <c r="BT55" s="1830"/>
      <c r="BU55" s="1830"/>
      <c r="BV55" s="1830"/>
      <c r="BW55" s="1830"/>
      <c r="BX55" s="1830"/>
      <c r="BY55" s="1830"/>
      <c r="BZ55" s="1830"/>
      <c r="CA55" s="1830"/>
      <c r="CB55" s="1830"/>
      <c r="CC55" s="15">
        <v>6</v>
      </c>
      <c r="CD55" s="15">
        <v>7</v>
      </c>
      <c r="CE55" s="15">
        <v>8</v>
      </c>
      <c r="CF55" s="15">
        <v>9</v>
      </c>
      <c r="CG55" s="15">
        <v>10</v>
      </c>
      <c r="CH55" s="15">
        <v>11</v>
      </c>
    </row>
    <row r="56" spans="1:98" ht="24.75" customHeight="1" x14ac:dyDescent="0.2">
      <c r="A56" s="2155">
        <v>1</v>
      </c>
      <c r="B56" s="2156"/>
      <c r="C56" s="2156"/>
      <c r="D56" s="2157"/>
      <c r="E56" s="1904" t="s">
        <v>1189</v>
      </c>
      <c r="F56" s="1905"/>
      <c r="G56" s="1905"/>
      <c r="H56" s="1905"/>
      <c r="I56" s="1905"/>
      <c r="J56" s="1905"/>
      <c r="K56" s="1905"/>
      <c r="L56" s="1905"/>
      <c r="M56" s="1905"/>
      <c r="N56" s="1905"/>
      <c r="O56" s="1905"/>
      <c r="P56" s="1905"/>
      <c r="Q56" s="1905"/>
      <c r="R56" s="1905"/>
      <c r="S56" s="1905"/>
      <c r="T56" s="1905"/>
      <c r="U56" s="1905"/>
      <c r="V56" s="1905"/>
      <c r="W56" s="1905"/>
      <c r="X56" s="1905"/>
      <c r="Y56" s="1905"/>
      <c r="Z56" s="1905"/>
      <c r="AA56" s="1905"/>
      <c r="AB56" s="1905"/>
      <c r="AC56" s="1905"/>
      <c r="AD56" s="1905"/>
      <c r="AE56" s="1905"/>
      <c r="AF56" s="1905"/>
      <c r="AG56" s="1905"/>
      <c r="AH56" s="1905"/>
      <c r="AI56" s="1905"/>
      <c r="AJ56" s="1905"/>
      <c r="AK56" s="1905"/>
      <c r="AL56" s="1905"/>
      <c r="AM56" s="1905"/>
      <c r="AN56" s="1905"/>
      <c r="AO56" s="1977">
        <v>4487.16</v>
      </c>
      <c r="AP56" s="1977"/>
      <c r="AQ56" s="1977"/>
      <c r="AR56" s="1977"/>
      <c r="AS56" s="1977"/>
      <c r="AT56" s="1977"/>
      <c r="AU56" s="1977"/>
      <c r="AV56" s="1977"/>
      <c r="AW56" s="1977"/>
      <c r="AX56" s="1977"/>
      <c r="AY56" s="1977"/>
      <c r="AZ56" s="1977"/>
      <c r="BA56" s="1977"/>
      <c r="BB56" s="1977"/>
      <c r="BC56" s="1977"/>
      <c r="BD56" s="1797">
        <v>12</v>
      </c>
      <c r="BE56" s="1942"/>
      <c r="BF56" s="1942"/>
      <c r="BG56" s="1942"/>
      <c r="BH56" s="1942"/>
      <c r="BI56" s="1942"/>
      <c r="BJ56" s="1942"/>
      <c r="BK56" s="1942"/>
      <c r="BL56" s="1942"/>
      <c r="BM56" s="1943"/>
      <c r="BN56" s="2132">
        <f>AO56*BD56</f>
        <v>53845.919999999998</v>
      </c>
      <c r="BO56" s="2133"/>
      <c r="BP56" s="2133"/>
      <c r="BQ56" s="2133"/>
      <c r="BR56" s="2133"/>
      <c r="BS56" s="2133"/>
      <c r="BT56" s="2133"/>
      <c r="BU56" s="2133"/>
      <c r="BV56" s="2133"/>
      <c r="BW56" s="2133"/>
      <c r="BX56" s="2133"/>
      <c r="BY56" s="2133"/>
      <c r="BZ56" s="2133"/>
      <c r="CA56" s="2133"/>
      <c r="CB56" s="2134"/>
      <c r="CC56" s="1135"/>
      <c r="CD56" s="1136">
        <f>BN56</f>
        <v>53845.919999999998</v>
      </c>
      <c r="CE56" s="1030"/>
      <c r="CF56" s="15"/>
      <c r="CG56" s="15"/>
      <c r="CH56" s="16"/>
    </row>
    <row r="57" spans="1:98" s="137" customFormat="1" ht="18" customHeight="1" x14ac:dyDescent="0.2">
      <c r="A57" s="2108">
        <v>2</v>
      </c>
      <c r="B57" s="2108"/>
      <c r="C57" s="2108"/>
      <c r="D57" s="2108"/>
      <c r="E57" s="2082" t="s">
        <v>643</v>
      </c>
      <c r="F57" s="2082"/>
      <c r="G57" s="2082"/>
      <c r="H57" s="2082"/>
      <c r="I57" s="2082"/>
      <c r="J57" s="2082"/>
      <c r="K57" s="2082"/>
      <c r="L57" s="2082"/>
      <c r="M57" s="2082"/>
      <c r="N57" s="2082"/>
      <c r="O57" s="2082"/>
      <c r="P57" s="2082"/>
      <c r="Q57" s="2082"/>
      <c r="R57" s="2082"/>
      <c r="S57" s="2082"/>
      <c r="T57" s="2082"/>
      <c r="U57" s="2082"/>
      <c r="V57" s="2082"/>
      <c r="W57" s="2082"/>
      <c r="X57" s="2082"/>
      <c r="Y57" s="2082"/>
      <c r="Z57" s="2082"/>
      <c r="AA57" s="2082"/>
      <c r="AB57" s="2082"/>
      <c r="AC57" s="2082"/>
      <c r="AD57" s="2082"/>
      <c r="AE57" s="2082"/>
      <c r="AF57" s="2082"/>
      <c r="AG57" s="2082"/>
      <c r="AH57" s="2082"/>
      <c r="AI57" s="2082"/>
      <c r="AJ57" s="2082"/>
      <c r="AK57" s="2082"/>
      <c r="AL57" s="2082"/>
      <c r="AM57" s="2082"/>
      <c r="AN57" s="2082"/>
      <c r="AO57" s="1977">
        <v>5060</v>
      </c>
      <c r="AP57" s="1977"/>
      <c r="AQ57" s="1977"/>
      <c r="AR57" s="1977"/>
      <c r="AS57" s="1977"/>
      <c r="AT57" s="1977"/>
      <c r="AU57" s="1977"/>
      <c r="AV57" s="1977"/>
      <c r="AW57" s="1977"/>
      <c r="AX57" s="1977"/>
      <c r="AY57" s="1977"/>
      <c r="AZ57" s="1977"/>
      <c r="BA57" s="1977"/>
      <c r="BB57" s="1977"/>
      <c r="BC57" s="1977"/>
      <c r="BD57" s="2147">
        <v>12</v>
      </c>
      <c r="BE57" s="2147"/>
      <c r="BF57" s="2147"/>
      <c r="BG57" s="2147"/>
      <c r="BH57" s="2147"/>
      <c r="BI57" s="2147"/>
      <c r="BJ57" s="2147"/>
      <c r="BK57" s="2147"/>
      <c r="BL57" s="2147"/>
      <c r="BM57" s="2147"/>
      <c r="BN57" s="1977">
        <f>AO57*BD57</f>
        <v>60720</v>
      </c>
      <c r="BO57" s="1977"/>
      <c r="BP57" s="1977"/>
      <c r="BQ57" s="1977"/>
      <c r="BR57" s="1977"/>
      <c r="BS57" s="1977"/>
      <c r="BT57" s="1977"/>
      <c r="BU57" s="1977"/>
      <c r="BV57" s="1977"/>
      <c r="BW57" s="1977"/>
      <c r="BX57" s="1977"/>
      <c r="BY57" s="1977"/>
      <c r="BZ57" s="1977"/>
      <c r="CA57" s="1977"/>
      <c r="CB57" s="1977"/>
      <c r="CC57" s="839"/>
      <c r="CD57" s="839">
        <f>BN57</f>
        <v>60720</v>
      </c>
      <c r="CE57" s="1024"/>
      <c r="CF57" s="223"/>
      <c r="CG57" s="223"/>
      <c r="CH57" s="138"/>
    </row>
    <row r="58" spans="1:98" s="137" customFormat="1" ht="29.25" customHeight="1" x14ac:dyDescent="0.2">
      <c r="A58" s="2108">
        <v>3</v>
      </c>
      <c r="B58" s="2108"/>
      <c r="C58" s="2108"/>
      <c r="D58" s="2108"/>
      <c r="E58" s="2082" t="s">
        <v>1225</v>
      </c>
      <c r="F58" s="2082"/>
      <c r="G58" s="2082"/>
      <c r="H58" s="2082"/>
      <c r="I58" s="2082"/>
      <c r="J58" s="2082"/>
      <c r="K58" s="2082"/>
      <c r="L58" s="2082"/>
      <c r="M58" s="2082"/>
      <c r="N58" s="2082"/>
      <c r="O58" s="2082"/>
      <c r="P58" s="2082"/>
      <c r="Q58" s="2082"/>
      <c r="R58" s="2082"/>
      <c r="S58" s="2082"/>
      <c r="T58" s="2082"/>
      <c r="U58" s="2082"/>
      <c r="V58" s="2082"/>
      <c r="W58" s="2082"/>
      <c r="X58" s="2082"/>
      <c r="Y58" s="2082"/>
      <c r="Z58" s="2082"/>
      <c r="AA58" s="2082"/>
      <c r="AB58" s="2082"/>
      <c r="AC58" s="2082"/>
      <c r="AD58" s="2082"/>
      <c r="AE58" s="2082"/>
      <c r="AF58" s="2082"/>
      <c r="AG58" s="2082"/>
      <c r="AH58" s="2082"/>
      <c r="AI58" s="2082"/>
      <c r="AJ58" s="2082"/>
      <c r="AK58" s="2082"/>
      <c r="AL58" s="2082"/>
      <c r="AM58" s="2082"/>
      <c r="AN58" s="2082"/>
      <c r="AO58" s="1977">
        <f>50000-11320-1015-5000-2500-1867.03-18</f>
        <v>28279.97</v>
      </c>
      <c r="AP58" s="1977"/>
      <c r="AQ58" s="1977"/>
      <c r="AR58" s="1977"/>
      <c r="AS58" s="1977"/>
      <c r="AT58" s="1977"/>
      <c r="AU58" s="1977"/>
      <c r="AV58" s="1977"/>
      <c r="AW58" s="1977"/>
      <c r="AX58" s="1977"/>
      <c r="AY58" s="1977"/>
      <c r="AZ58" s="1977"/>
      <c r="BA58" s="1977"/>
      <c r="BB58" s="1977"/>
      <c r="BC58" s="1977"/>
      <c r="BD58" s="2147">
        <v>1</v>
      </c>
      <c r="BE58" s="2147"/>
      <c r="BF58" s="2147"/>
      <c r="BG58" s="2147"/>
      <c r="BH58" s="2147"/>
      <c r="BI58" s="2147"/>
      <c r="BJ58" s="2147"/>
      <c r="BK58" s="2147"/>
      <c r="BL58" s="2147"/>
      <c r="BM58" s="2147"/>
      <c r="BN58" s="1977">
        <f>AO58</f>
        <v>28279.97</v>
      </c>
      <c r="BO58" s="1977"/>
      <c r="BP58" s="1977"/>
      <c r="BQ58" s="1977"/>
      <c r="BR58" s="1977"/>
      <c r="BS58" s="1977"/>
      <c r="BT58" s="1977"/>
      <c r="BU58" s="1977"/>
      <c r="BV58" s="1977"/>
      <c r="BW58" s="1977"/>
      <c r="BX58" s="1977"/>
      <c r="BY58" s="1977"/>
      <c r="BZ58" s="1977"/>
      <c r="CA58" s="1977"/>
      <c r="CB58" s="1977"/>
      <c r="CC58" s="839"/>
      <c r="CD58" s="839">
        <f>AO58</f>
        <v>28279.97</v>
      </c>
      <c r="CE58" s="1031"/>
      <c r="CF58" s="223"/>
      <c r="CG58" s="223"/>
      <c r="CH58" s="138"/>
      <c r="CI58" s="988" t="s">
        <v>1693</v>
      </c>
      <c r="CJ58" s="1039"/>
      <c r="CK58" s="1039"/>
      <c r="CL58" s="1039"/>
      <c r="CM58" s="1039"/>
      <c r="CN58" s="1039"/>
      <c r="CO58" s="1039"/>
      <c r="CP58" s="1039"/>
      <c r="CQ58" s="1039"/>
      <c r="CR58" s="1039"/>
      <c r="CS58" s="1039"/>
      <c r="CT58" s="1039"/>
    </row>
    <row r="59" spans="1:98" s="137" customFormat="1" ht="20.25" customHeight="1" x14ac:dyDescent="0.2">
      <c r="A59" s="2108">
        <v>4</v>
      </c>
      <c r="B59" s="2108"/>
      <c r="C59" s="2108"/>
      <c r="D59" s="2108"/>
      <c r="E59" s="2082" t="s">
        <v>623</v>
      </c>
      <c r="F59" s="2082"/>
      <c r="G59" s="2082"/>
      <c r="H59" s="2082"/>
      <c r="I59" s="2082"/>
      <c r="J59" s="2082"/>
      <c r="K59" s="2082"/>
      <c r="L59" s="2082"/>
      <c r="M59" s="2082"/>
      <c r="N59" s="2082"/>
      <c r="O59" s="2082"/>
      <c r="P59" s="2082"/>
      <c r="Q59" s="2082"/>
      <c r="R59" s="2082"/>
      <c r="S59" s="2082"/>
      <c r="T59" s="2082"/>
      <c r="U59" s="2082"/>
      <c r="V59" s="2082"/>
      <c r="W59" s="2082"/>
      <c r="X59" s="2082"/>
      <c r="Y59" s="2082"/>
      <c r="Z59" s="2082"/>
      <c r="AA59" s="2082"/>
      <c r="AB59" s="2082"/>
      <c r="AC59" s="2082"/>
      <c r="AD59" s="2082"/>
      <c r="AE59" s="2082"/>
      <c r="AF59" s="2082"/>
      <c r="AG59" s="2082"/>
      <c r="AH59" s="2082"/>
      <c r="AI59" s="2082"/>
      <c r="AJ59" s="2082"/>
      <c r="AK59" s="2082"/>
      <c r="AL59" s="2082"/>
      <c r="AM59" s="2082"/>
      <c r="AN59" s="2082"/>
      <c r="AO59" s="1977">
        <v>151500</v>
      </c>
      <c r="AP59" s="1977"/>
      <c r="AQ59" s="1977"/>
      <c r="AR59" s="1977"/>
      <c r="AS59" s="1977"/>
      <c r="AT59" s="1977"/>
      <c r="AU59" s="1977"/>
      <c r="AV59" s="1977"/>
      <c r="AW59" s="1977"/>
      <c r="AX59" s="1977"/>
      <c r="AY59" s="1977"/>
      <c r="AZ59" s="1977"/>
      <c r="BA59" s="1977"/>
      <c r="BB59" s="1977"/>
      <c r="BC59" s="1977"/>
      <c r="BD59" s="2147">
        <v>1</v>
      </c>
      <c r="BE59" s="2147"/>
      <c r="BF59" s="2147"/>
      <c r="BG59" s="2147"/>
      <c r="BH59" s="2147"/>
      <c r="BI59" s="2147"/>
      <c r="BJ59" s="2147"/>
      <c r="BK59" s="2147"/>
      <c r="BL59" s="2147"/>
      <c r="BM59" s="2147"/>
      <c r="BN59" s="1977">
        <f>CC59+CD59+CF59+CG59+CH59</f>
        <v>151500</v>
      </c>
      <c r="BO59" s="1977"/>
      <c r="BP59" s="1977"/>
      <c r="BQ59" s="1977"/>
      <c r="BR59" s="1977"/>
      <c r="BS59" s="1977"/>
      <c r="BT59" s="1977"/>
      <c r="BU59" s="1977"/>
      <c r="BV59" s="1977"/>
      <c r="BW59" s="1977"/>
      <c r="BX59" s="1977"/>
      <c r="BY59" s="1977"/>
      <c r="BZ59" s="1977"/>
      <c r="CA59" s="1977"/>
      <c r="CB59" s="1977"/>
      <c r="CC59" s="839"/>
      <c r="CD59" s="839">
        <f>150000+1500</f>
        <v>151500</v>
      </c>
      <c r="CE59" s="1024"/>
      <c r="CF59" s="223"/>
      <c r="CG59" s="223"/>
      <c r="CH59" s="138"/>
    </row>
    <row r="60" spans="1:98" s="137" customFormat="1" ht="18" customHeight="1" x14ac:dyDescent="0.2">
      <c r="A60" s="2108">
        <v>5</v>
      </c>
      <c r="B60" s="2108"/>
      <c r="C60" s="2108"/>
      <c r="D60" s="2108"/>
      <c r="E60" s="2082" t="s">
        <v>593</v>
      </c>
      <c r="F60" s="2082"/>
      <c r="G60" s="2082"/>
      <c r="H60" s="2082"/>
      <c r="I60" s="2082"/>
      <c r="J60" s="2082"/>
      <c r="K60" s="2082"/>
      <c r="L60" s="2082"/>
      <c r="M60" s="2082"/>
      <c r="N60" s="2082"/>
      <c r="O60" s="2082"/>
      <c r="P60" s="2082"/>
      <c r="Q60" s="2082"/>
      <c r="R60" s="2082"/>
      <c r="S60" s="2082"/>
      <c r="T60" s="2082"/>
      <c r="U60" s="2082"/>
      <c r="V60" s="2082"/>
      <c r="W60" s="2082"/>
      <c r="X60" s="2082"/>
      <c r="Y60" s="2082"/>
      <c r="Z60" s="2082"/>
      <c r="AA60" s="2082"/>
      <c r="AB60" s="2082"/>
      <c r="AC60" s="2082"/>
      <c r="AD60" s="2082"/>
      <c r="AE60" s="2082"/>
      <c r="AF60" s="2082"/>
      <c r="AG60" s="2082"/>
      <c r="AH60" s="2082"/>
      <c r="AI60" s="2082"/>
      <c r="AJ60" s="2082"/>
      <c r="AK60" s="2082"/>
      <c r="AL60" s="2082"/>
      <c r="AM60" s="2082"/>
      <c r="AN60" s="2082"/>
      <c r="AO60" s="1977">
        <f>BN60</f>
        <v>2373.9599999999991</v>
      </c>
      <c r="AP60" s="1977"/>
      <c r="AQ60" s="1977"/>
      <c r="AR60" s="1977"/>
      <c r="AS60" s="1977"/>
      <c r="AT60" s="1977"/>
      <c r="AU60" s="1977"/>
      <c r="AV60" s="1977"/>
      <c r="AW60" s="1977"/>
      <c r="AX60" s="1977"/>
      <c r="AY60" s="1977"/>
      <c r="AZ60" s="1977"/>
      <c r="BA60" s="1977"/>
      <c r="BB60" s="1977"/>
      <c r="BC60" s="1977"/>
      <c r="BD60" s="2147">
        <v>1</v>
      </c>
      <c r="BE60" s="2147"/>
      <c r="BF60" s="2147"/>
      <c r="BG60" s="2147"/>
      <c r="BH60" s="2147"/>
      <c r="BI60" s="2147"/>
      <c r="BJ60" s="2147"/>
      <c r="BK60" s="2147"/>
      <c r="BL60" s="2147"/>
      <c r="BM60" s="2147"/>
      <c r="BN60" s="1977">
        <f>CC60+CD60+CF60+CG60+CH60</f>
        <v>2373.9599999999991</v>
      </c>
      <c r="BO60" s="1977"/>
      <c r="BP60" s="1977"/>
      <c r="BQ60" s="1977"/>
      <c r="BR60" s="1977"/>
      <c r="BS60" s="1977"/>
      <c r="BT60" s="1977"/>
      <c r="BU60" s="1977"/>
      <c r="BV60" s="1977"/>
      <c r="BW60" s="1977"/>
      <c r="BX60" s="1977"/>
      <c r="BY60" s="1977"/>
      <c r="BZ60" s="1977"/>
      <c r="CA60" s="1977"/>
      <c r="CB60" s="1977"/>
      <c r="CC60" s="839"/>
      <c r="CD60" s="839">
        <f>30000-3280-1000-12000-1500-9846.04</f>
        <v>2373.9599999999991</v>
      </c>
      <c r="CE60" s="1024"/>
      <c r="CF60" s="223"/>
      <c r="CG60" s="223"/>
      <c r="CH60" s="138"/>
      <c r="CI60" s="1073"/>
      <c r="CM60" s="1061"/>
    </row>
    <row r="61" spans="1:98" s="137" customFormat="1" ht="17.25" customHeight="1" x14ac:dyDescent="0.2">
      <c r="A61" s="2108">
        <v>6</v>
      </c>
      <c r="B61" s="2108"/>
      <c r="C61" s="2108"/>
      <c r="D61" s="2108"/>
      <c r="E61" s="2082" t="s">
        <v>914</v>
      </c>
      <c r="F61" s="2082"/>
      <c r="G61" s="2082"/>
      <c r="H61" s="2082"/>
      <c r="I61" s="2082"/>
      <c r="J61" s="2082"/>
      <c r="K61" s="2082"/>
      <c r="L61" s="2082"/>
      <c r="M61" s="2082"/>
      <c r="N61" s="2082"/>
      <c r="O61" s="2082"/>
      <c r="P61" s="2082"/>
      <c r="Q61" s="2082"/>
      <c r="R61" s="2082"/>
      <c r="S61" s="2082"/>
      <c r="T61" s="2082"/>
      <c r="U61" s="2082"/>
      <c r="V61" s="2082"/>
      <c r="W61" s="2082"/>
      <c r="X61" s="2082"/>
      <c r="Y61" s="2082"/>
      <c r="Z61" s="2082"/>
      <c r="AA61" s="2082"/>
      <c r="AB61" s="2082"/>
      <c r="AC61" s="2082"/>
      <c r="AD61" s="2082"/>
      <c r="AE61" s="2082"/>
      <c r="AF61" s="2082"/>
      <c r="AG61" s="2082"/>
      <c r="AH61" s="2082"/>
      <c r="AI61" s="2082"/>
      <c r="AJ61" s="2082"/>
      <c r="AK61" s="2082"/>
      <c r="AL61" s="2082"/>
      <c r="AM61" s="2082"/>
      <c r="AN61" s="2082"/>
      <c r="AO61" s="1977">
        <v>5480</v>
      </c>
      <c r="AP61" s="1977"/>
      <c r="AQ61" s="1977"/>
      <c r="AR61" s="1977"/>
      <c r="AS61" s="1977"/>
      <c r="AT61" s="1977"/>
      <c r="AU61" s="1977"/>
      <c r="AV61" s="1977"/>
      <c r="AW61" s="1977"/>
      <c r="AX61" s="1977"/>
      <c r="AY61" s="1977"/>
      <c r="AZ61" s="1977"/>
      <c r="BA61" s="1977"/>
      <c r="BB61" s="1977"/>
      <c r="BC61" s="1977"/>
      <c r="BD61" s="2147">
        <f>6+4</f>
        <v>10</v>
      </c>
      <c r="BE61" s="2147"/>
      <c r="BF61" s="2147"/>
      <c r="BG61" s="2147"/>
      <c r="BH61" s="2147"/>
      <c r="BI61" s="2147"/>
      <c r="BJ61" s="2147"/>
      <c r="BK61" s="2147"/>
      <c r="BL61" s="2147"/>
      <c r="BM61" s="2147"/>
      <c r="BN61" s="1977">
        <f>AO61*BD61</f>
        <v>54800</v>
      </c>
      <c r="BO61" s="1977"/>
      <c r="BP61" s="1977"/>
      <c r="BQ61" s="1977"/>
      <c r="BR61" s="1977"/>
      <c r="BS61" s="1977"/>
      <c r="BT61" s="1977"/>
      <c r="BU61" s="1977"/>
      <c r="BV61" s="1977"/>
      <c r="BW61" s="1977"/>
      <c r="BX61" s="1977"/>
      <c r="BY61" s="1977"/>
      <c r="BZ61" s="1977"/>
      <c r="CA61" s="1977"/>
      <c r="CB61" s="1977"/>
      <c r="CC61" s="839"/>
      <c r="CD61" s="839">
        <f t="shared" ref="CD61:CD63" si="3">BN61</f>
        <v>54800</v>
      </c>
      <c r="CE61" s="1024"/>
      <c r="CF61" s="223"/>
      <c r="CG61" s="223"/>
      <c r="CH61" s="138"/>
      <c r="CM61" s="590"/>
    </row>
    <row r="62" spans="1:98" s="137" customFormat="1" ht="18" customHeight="1" x14ac:dyDescent="0.2">
      <c r="A62" s="2108">
        <v>7</v>
      </c>
      <c r="B62" s="2108"/>
      <c r="C62" s="2108"/>
      <c r="D62" s="2108"/>
      <c r="E62" s="2082" t="s">
        <v>915</v>
      </c>
      <c r="F62" s="2082"/>
      <c r="G62" s="2082"/>
      <c r="H62" s="2082"/>
      <c r="I62" s="2082"/>
      <c r="J62" s="2082"/>
      <c r="K62" s="2082"/>
      <c r="L62" s="2082"/>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2"/>
      <c r="AK62" s="2082"/>
      <c r="AL62" s="2082"/>
      <c r="AM62" s="2082"/>
      <c r="AN62" s="2082"/>
      <c r="AO62" s="1977">
        <v>600</v>
      </c>
      <c r="AP62" s="1977"/>
      <c r="AQ62" s="1977"/>
      <c r="AR62" s="1977"/>
      <c r="AS62" s="1977"/>
      <c r="AT62" s="1977"/>
      <c r="AU62" s="1977"/>
      <c r="AV62" s="1977"/>
      <c r="AW62" s="1977"/>
      <c r="AX62" s="1977"/>
      <c r="AY62" s="1977"/>
      <c r="AZ62" s="1977"/>
      <c r="BA62" s="1977"/>
      <c r="BB62" s="1977"/>
      <c r="BC62" s="1977"/>
      <c r="BD62" s="2147">
        <v>12</v>
      </c>
      <c r="BE62" s="2147"/>
      <c r="BF62" s="2147"/>
      <c r="BG62" s="2147"/>
      <c r="BH62" s="2147"/>
      <c r="BI62" s="2147"/>
      <c r="BJ62" s="2147"/>
      <c r="BK62" s="2147"/>
      <c r="BL62" s="2147"/>
      <c r="BM62" s="2147"/>
      <c r="BN62" s="1977">
        <f>AO62*BD62</f>
        <v>7200</v>
      </c>
      <c r="BO62" s="1977"/>
      <c r="BP62" s="1977"/>
      <c r="BQ62" s="1977"/>
      <c r="BR62" s="1977"/>
      <c r="BS62" s="1977"/>
      <c r="BT62" s="1977"/>
      <c r="BU62" s="1977"/>
      <c r="BV62" s="1977"/>
      <c r="BW62" s="1977"/>
      <c r="BX62" s="1977"/>
      <c r="BY62" s="1977"/>
      <c r="BZ62" s="1977"/>
      <c r="CA62" s="1977"/>
      <c r="CB62" s="1977"/>
      <c r="CC62" s="839"/>
      <c r="CD62" s="839">
        <f t="shared" si="3"/>
        <v>7200</v>
      </c>
      <c r="CE62" s="1024"/>
      <c r="CF62" s="223"/>
      <c r="CG62" s="223"/>
      <c r="CH62" s="138"/>
    </row>
    <row r="63" spans="1:98" s="137" customFormat="1" ht="17.25" customHeight="1" x14ac:dyDescent="0.2">
      <c r="A63" s="2108">
        <v>8</v>
      </c>
      <c r="B63" s="2108"/>
      <c r="C63" s="2108"/>
      <c r="D63" s="2108"/>
      <c r="E63" s="2082" t="s">
        <v>1185</v>
      </c>
      <c r="F63" s="2082"/>
      <c r="G63" s="2082"/>
      <c r="H63" s="2082"/>
      <c r="I63" s="2082"/>
      <c r="J63" s="2082"/>
      <c r="K63" s="2082"/>
      <c r="L63" s="2082"/>
      <c r="M63" s="2082"/>
      <c r="N63" s="2082"/>
      <c r="O63" s="2082"/>
      <c r="P63" s="2082"/>
      <c r="Q63" s="2082"/>
      <c r="R63" s="2082"/>
      <c r="S63" s="2082"/>
      <c r="T63" s="2082"/>
      <c r="U63" s="2082"/>
      <c r="V63" s="2082"/>
      <c r="W63" s="2082"/>
      <c r="X63" s="2082"/>
      <c r="Y63" s="2082"/>
      <c r="Z63" s="2082"/>
      <c r="AA63" s="2082"/>
      <c r="AB63" s="2082"/>
      <c r="AC63" s="2082"/>
      <c r="AD63" s="2082"/>
      <c r="AE63" s="2082"/>
      <c r="AF63" s="2082"/>
      <c r="AG63" s="2082"/>
      <c r="AH63" s="2082"/>
      <c r="AI63" s="2082"/>
      <c r="AJ63" s="2082"/>
      <c r="AK63" s="2082"/>
      <c r="AL63" s="2082"/>
      <c r="AM63" s="2082"/>
      <c r="AN63" s="2082"/>
      <c r="AO63" s="1977">
        <v>0</v>
      </c>
      <c r="AP63" s="1977"/>
      <c r="AQ63" s="1977"/>
      <c r="AR63" s="1977"/>
      <c r="AS63" s="1977"/>
      <c r="AT63" s="1977"/>
      <c r="AU63" s="1977"/>
      <c r="AV63" s="1977"/>
      <c r="AW63" s="1977"/>
      <c r="AX63" s="1977"/>
      <c r="AY63" s="1977"/>
      <c r="AZ63" s="1977"/>
      <c r="BA63" s="1977"/>
      <c r="BB63" s="1977"/>
      <c r="BC63" s="1977"/>
      <c r="BD63" s="2147">
        <v>12</v>
      </c>
      <c r="BE63" s="2147"/>
      <c r="BF63" s="2147"/>
      <c r="BG63" s="2147"/>
      <c r="BH63" s="2147"/>
      <c r="BI63" s="2147"/>
      <c r="BJ63" s="2147"/>
      <c r="BK63" s="2147"/>
      <c r="BL63" s="2147"/>
      <c r="BM63" s="2147"/>
      <c r="BN63" s="1977">
        <f>AO63*BD63</f>
        <v>0</v>
      </c>
      <c r="BO63" s="1977"/>
      <c r="BP63" s="1977"/>
      <c r="BQ63" s="1977"/>
      <c r="BR63" s="1977"/>
      <c r="BS63" s="1977"/>
      <c r="BT63" s="1977"/>
      <c r="BU63" s="1977"/>
      <c r="BV63" s="1977"/>
      <c r="BW63" s="1977"/>
      <c r="BX63" s="1977"/>
      <c r="BY63" s="1977"/>
      <c r="BZ63" s="1977"/>
      <c r="CA63" s="1977"/>
      <c r="CB63" s="1977"/>
      <c r="CC63" s="839"/>
      <c r="CD63" s="839">
        <f t="shared" si="3"/>
        <v>0</v>
      </c>
      <c r="CE63" s="1029"/>
      <c r="CF63" s="223"/>
      <c r="CG63" s="223"/>
      <c r="CH63" s="138"/>
      <c r="CI63" s="1038"/>
      <c r="CJ63" s="1039"/>
      <c r="CK63" s="1039"/>
      <c r="CL63" s="1039"/>
      <c r="CM63" s="1039"/>
      <c r="CN63" s="1039"/>
      <c r="CO63" s="1039"/>
      <c r="CP63" s="1039"/>
    </row>
    <row r="64" spans="1:98" s="137" customFormat="1" ht="18" customHeight="1" x14ac:dyDescent="0.2">
      <c r="A64" s="2119">
        <v>9</v>
      </c>
      <c r="B64" s="2120"/>
      <c r="C64" s="2120"/>
      <c r="D64" s="2164"/>
      <c r="E64" s="1772" t="s">
        <v>1194</v>
      </c>
      <c r="F64" s="1882"/>
      <c r="G64" s="1882"/>
      <c r="H64" s="1882"/>
      <c r="I64" s="1882"/>
      <c r="J64" s="1882"/>
      <c r="K64" s="1882"/>
      <c r="L64" s="1882"/>
      <c r="M64" s="1882"/>
      <c r="N64" s="1882"/>
      <c r="O64" s="1882"/>
      <c r="P64" s="1882"/>
      <c r="Q64" s="1882"/>
      <c r="R64" s="1882"/>
      <c r="S64" s="1882"/>
      <c r="T64" s="1882"/>
      <c r="U64" s="1882"/>
      <c r="V64" s="1882"/>
      <c r="W64" s="1882"/>
      <c r="X64" s="1882"/>
      <c r="Y64" s="1882"/>
      <c r="Z64" s="1882"/>
      <c r="AA64" s="1882"/>
      <c r="AB64" s="1882"/>
      <c r="AC64" s="1882"/>
      <c r="AD64" s="1882"/>
      <c r="AE64" s="1882"/>
      <c r="AF64" s="1882"/>
      <c r="AG64" s="1882"/>
      <c r="AH64" s="1882"/>
      <c r="AI64" s="1882"/>
      <c r="AJ64" s="1882"/>
      <c r="AK64" s="1882"/>
      <c r="AL64" s="1882"/>
      <c r="AM64" s="1882"/>
      <c r="AN64" s="1773"/>
      <c r="AO64" s="2124">
        <v>16000</v>
      </c>
      <c r="AP64" s="2125"/>
      <c r="AQ64" s="2125"/>
      <c r="AR64" s="2125"/>
      <c r="AS64" s="2125"/>
      <c r="AT64" s="2125"/>
      <c r="AU64" s="2125"/>
      <c r="AV64" s="2125"/>
      <c r="AW64" s="2125"/>
      <c r="AX64" s="2125"/>
      <c r="AY64" s="2125"/>
      <c r="AZ64" s="2125"/>
      <c r="BA64" s="2125"/>
      <c r="BB64" s="2125"/>
      <c r="BC64" s="2126"/>
      <c r="BD64" s="2121">
        <v>1</v>
      </c>
      <c r="BE64" s="2122"/>
      <c r="BF64" s="2122"/>
      <c r="BG64" s="2122"/>
      <c r="BH64" s="2122"/>
      <c r="BI64" s="2122"/>
      <c r="BJ64" s="2122"/>
      <c r="BK64" s="2122"/>
      <c r="BL64" s="2122"/>
      <c r="BM64" s="2123"/>
      <c r="BN64" s="2124">
        <f>AO64*BD64</f>
        <v>16000</v>
      </c>
      <c r="BO64" s="2125"/>
      <c r="BP64" s="2125"/>
      <c r="BQ64" s="2125"/>
      <c r="BR64" s="2125"/>
      <c r="BS64" s="2125"/>
      <c r="BT64" s="2125"/>
      <c r="BU64" s="2125"/>
      <c r="BV64" s="2125"/>
      <c r="BW64" s="2125"/>
      <c r="BX64" s="2125"/>
      <c r="BY64" s="2125"/>
      <c r="BZ64" s="2125"/>
      <c r="CA64" s="2125"/>
      <c r="CB64" s="2126"/>
      <c r="CC64" s="839"/>
      <c r="CD64" s="839">
        <f>13500+2500</f>
        <v>16000</v>
      </c>
      <c r="CE64" s="1029"/>
      <c r="CF64" s="223"/>
      <c r="CG64" s="223"/>
      <c r="CH64" s="138"/>
      <c r="CI64" s="988" t="s">
        <v>1590</v>
      </c>
    </row>
    <row r="65" spans="1:88" s="137" customFormat="1" ht="27.6" customHeight="1" x14ac:dyDescent="0.2">
      <c r="A65" s="2108">
        <v>10</v>
      </c>
      <c r="B65" s="2108"/>
      <c r="C65" s="2108"/>
      <c r="D65" s="2108"/>
      <c r="E65" s="2082" t="s">
        <v>1223</v>
      </c>
      <c r="F65" s="2082"/>
      <c r="G65" s="2082"/>
      <c r="H65" s="2082"/>
      <c r="I65" s="2082"/>
      <c r="J65" s="2082"/>
      <c r="K65" s="2082"/>
      <c r="L65" s="2082"/>
      <c r="M65" s="2082"/>
      <c r="N65" s="2082"/>
      <c r="O65" s="2082"/>
      <c r="P65" s="2082"/>
      <c r="Q65" s="2082"/>
      <c r="R65" s="2082"/>
      <c r="S65" s="2082"/>
      <c r="T65" s="2082"/>
      <c r="U65" s="2082"/>
      <c r="V65" s="2082"/>
      <c r="W65" s="2082"/>
      <c r="X65" s="2082"/>
      <c r="Y65" s="2082"/>
      <c r="Z65" s="2082"/>
      <c r="AA65" s="2082"/>
      <c r="AB65" s="2082"/>
      <c r="AC65" s="2082"/>
      <c r="AD65" s="2082"/>
      <c r="AE65" s="2082"/>
      <c r="AF65" s="2082"/>
      <c r="AG65" s="2082"/>
      <c r="AH65" s="2082"/>
      <c r="AI65" s="2082"/>
      <c r="AJ65" s="2082"/>
      <c r="AK65" s="2082"/>
      <c r="AL65" s="2082"/>
      <c r="AM65" s="2082"/>
      <c r="AN65" s="2082"/>
      <c r="AO65" s="1977">
        <v>14900</v>
      </c>
      <c r="AP65" s="1977"/>
      <c r="AQ65" s="1977"/>
      <c r="AR65" s="1977"/>
      <c r="AS65" s="1977"/>
      <c r="AT65" s="1977"/>
      <c r="AU65" s="1977"/>
      <c r="AV65" s="1977"/>
      <c r="AW65" s="1977"/>
      <c r="AX65" s="1977"/>
      <c r="AY65" s="1977"/>
      <c r="AZ65" s="1977"/>
      <c r="BA65" s="1977"/>
      <c r="BB65" s="1977"/>
      <c r="BC65" s="1977"/>
      <c r="BD65" s="2147">
        <v>1</v>
      </c>
      <c r="BE65" s="2147"/>
      <c r="BF65" s="2147"/>
      <c r="BG65" s="2147"/>
      <c r="BH65" s="2147"/>
      <c r="BI65" s="2147"/>
      <c r="BJ65" s="2147"/>
      <c r="BK65" s="2147"/>
      <c r="BL65" s="2147"/>
      <c r="BM65" s="2147"/>
      <c r="BN65" s="1977">
        <f>AO65*BD65</f>
        <v>14900</v>
      </c>
      <c r="BO65" s="1977"/>
      <c r="BP65" s="1977"/>
      <c r="BQ65" s="1977"/>
      <c r="BR65" s="1977"/>
      <c r="BS65" s="1977"/>
      <c r="BT65" s="1977"/>
      <c r="BU65" s="1977"/>
      <c r="BV65" s="1977"/>
      <c r="BW65" s="1977"/>
      <c r="BX65" s="1977"/>
      <c r="BY65" s="1977"/>
      <c r="BZ65" s="1977"/>
      <c r="CA65" s="1977"/>
      <c r="CB65" s="1977"/>
      <c r="CC65" s="839"/>
      <c r="CD65" s="839">
        <f t="shared" ref="CD65" si="4">BN65</f>
        <v>14900</v>
      </c>
      <c r="CE65" s="1029"/>
      <c r="CF65" s="223"/>
      <c r="CG65" s="223"/>
      <c r="CH65" s="138"/>
    </row>
    <row r="66" spans="1:88" s="137" customFormat="1" ht="27.75" customHeight="1" x14ac:dyDescent="0.2">
      <c r="A66" s="2108">
        <v>11</v>
      </c>
      <c r="B66" s="2108"/>
      <c r="C66" s="2108"/>
      <c r="D66" s="2108"/>
      <c r="E66" s="2082" t="s">
        <v>1289</v>
      </c>
      <c r="F66" s="2082"/>
      <c r="G66" s="2082"/>
      <c r="H66" s="2082"/>
      <c r="I66" s="2082"/>
      <c r="J66" s="2082"/>
      <c r="K66" s="2082"/>
      <c r="L66" s="2082"/>
      <c r="M66" s="2082"/>
      <c r="N66" s="2082"/>
      <c r="O66" s="2082"/>
      <c r="P66" s="2082"/>
      <c r="Q66" s="2082"/>
      <c r="R66" s="2082"/>
      <c r="S66" s="2082"/>
      <c r="T66" s="2082"/>
      <c r="U66" s="2082"/>
      <c r="V66" s="2082"/>
      <c r="W66" s="2082"/>
      <c r="X66" s="2082"/>
      <c r="Y66" s="2082"/>
      <c r="Z66" s="2082"/>
      <c r="AA66" s="2082"/>
      <c r="AB66" s="2082"/>
      <c r="AC66" s="2082"/>
      <c r="AD66" s="2082"/>
      <c r="AE66" s="2082"/>
      <c r="AF66" s="2082"/>
      <c r="AG66" s="2082"/>
      <c r="AH66" s="2082"/>
      <c r="AI66" s="2082"/>
      <c r="AJ66" s="2082"/>
      <c r="AK66" s="2082"/>
      <c r="AL66" s="2082"/>
      <c r="AM66" s="2082"/>
      <c r="AN66" s="2082"/>
      <c r="AO66" s="1977">
        <f>BN66</f>
        <v>11320</v>
      </c>
      <c r="AP66" s="1977"/>
      <c r="AQ66" s="1977"/>
      <c r="AR66" s="1977"/>
      <c r="AS66" s="1977"/>
      <c r="AT66" s="1977"/>
      <c r="AU66" s="1977"/>
      <c r="AV66" s="1977"/>
      <c r="AW66" s="1977"/>
      <c r="AX66" s="1977"/>
      <c r="AY66" s="1977"/>
      <c r="AZ66" s="1977"/>
      <c r="BA66" s="1977"/>
      <c r="BB66" s="1977"/>
      <c r="BC66" s="1977"/>
      <c r="BD66" s="2147">
        <v>1</v>
      </c>
      <c r="BE66" s="2147"/>
      <c r="BF66" s="2147"/>
      <c r="BG66" s="2147"/>
      <c r="BH66" s="2147"/>
      <c r="BI66" s="2147"/>
      <c r="BJ66" s="2147"/>
      <c r="BK66" s="2147"/>
      <c r="BL66" s="2147"/>
      <c r="BM66" s="2147"/>
      <c r="BN66" s="1977">
        <f>CD66</f>
        <v>11320</v>
      </c>
      <c r="BO66" s="1977"/>
      <c r="BP66" s="1977"/>
      <c r="BQ66" s="1977"/>
      <c r="BR66" s="1977"/>
      <c r="BS66" s="1977"/>
      <c r="BT66" s="1977"/>
      <c r="BU66" s="1977"/>
      <c r="BV66" s="1977"/>
      <c r="BW66" s="1977"/>
      <c r="BX66" s="1977"/>
      <c r="BY66" s="1977"/>
      <c r="BZ66" s="1977"/>
      <c r="CA66" s="1977"/>
      <c r="CB66" s="1977"/>
      <c r="CC66" s="839"/>
      <c r="CD66" s="839">
        <v>11320</v>
      </c>
      <c r="CE66" s="1025"/>
      <c r="CF66" s="223"/>
      <c r="CG66" s="223"/>
      <c r="CH66" s="138"/>
    </row>
    <row r="67" spans="1:88" s="137" customFormat="1" ht="15" customHeight="1" x14ac:dyDescent="0.2">
      <c r="A67" s="2108">
        <v>11</v>
      </c>
      <c r="B67" s="2108"/>
      <c r="C67" s="2108"/>
      <c r="D67" s="2108"/>
      <c r="E67" s="1772" t="s">
        <v>1313</v>
      </c>
      <c r="F67" s="1882"/>
      <c r="G67" s="1882"/>
      <c r="H67" s="1882"/>
      <c r="I67" s="1882"/>
      <c r="J67" s="1882"/>
      <c r="K67" s="1882"/>
      <c r="L67" s="1882"/>
      <c r="M67" s="1882"/>
      <c r="N67" s="1882"/>
      <c r="O67" s="1882"/>
      <c r="P67" s="1882"/>
      <c r="Q67" s="1882"/>
      <c r="R67" s="1882"/>
      <c r="S67" s="1882"/>
      <c r="T67" s="1882"/>
      <c r="U67" s="1882"/>
      <c r="V67" s="1882"/>
      <c r="W67" s="1882"/>
      <c r="X67" s="1882"/>
      <c r="Y67" s="1882"/>
      <c r="Z67" s="1882"/>
      <c r="AA67" s="1882"/>
      <c r="AB67" s="1882"/>
      <c r="AC67" s="1882"/>
      <c r="AD67" s="1882"/>
      <c r="AE67" s="1882"/>
      <c r="AF67" s="1882"/>
      <c r="AG67" s="1882"/>
      <c r="AH67" s="1882"/>
      <c r="AI67" s="1882"/>
      <c r="AJ67" s="1882"/>
      <c r="AK67" s="1882"/>
      <c r="AL67" s="1882"/>
      <c r="AM67" s="1882"/>
      <c r="AN67" s="1773"/>
      <c r="AO67" s="2124">
        <v>163101.6</v>
      </c>
      <c r="AP67" s="2125"/>
      <c r="AQ67" s="2125"/>
      <c r="AR67" s="2125"/>
      <c r="AS67" s="2125"/>
      <c r="AT67" s="2125"/>
      <c r="AU67" s="2125"/>
      <c r="AV67" s="2125"/>
      <c r="AW67" s="2125"/>
      <c r="AX67" s="2125"/>
      <c r="AY67" s="2125"/>
      <c r="AZ67" s="2125"/>
      <c r="BA67" s="2125"/>
      <c r="BB67" s="2125"/>
      <c r="BC67" s="2126"/>
      <c r="BD67" s="2121">
        <v>1</v>
      </c>
      <c r="BE67" s="2122"/>
      <c r="BF67" s="2122"/>
      <c r="BG67" s="2122"/>
      <c r="BH67" s="2122"/>
      <c r="BI67" s="2122"/>
      <c r="BJ67" s="2122"/>
      <c r="BK67" s="2122"/>
      <c r="BL67" s="2122"/>
      <c r="BM67" s="2123"/>
      <c r="BN67" s="2124">
        <v>163101.6</v>
      </c>
      <c r="BO67" s="2125"/>
      <c r="BP67" s="2125"/>
      <c r="BQ67" s="2125"/>
      <c r="BR67" s="2125"/>
      <c r="BS67" s="2125"/>
      <c r="BT67" s="2125"/>
      <c r="BU67" s="2125"/>
      <c r="BV67" s="2125"/>
      <c r="BW67" s="2125"/>
      <c r="BX67" s="2125"/>
      <c r="BY67" s="2125"/>
      <c r="BZ67" s="2125"/>
      <c r="CA67" s="2125"/>
      <c r="CB67" s="2126"/>
      <c r="CC67" s="839"/>
      <c r="CD67" s="839"/>
      <c r="CE67" s="1023" t="s">
        <v>1314</v>
      </c>
      <c r="CF67" s="223"/>
      <c r="CG67" s="223">
        <v>163101.6</v>
      </c>
      <c r="CH67" s="138"/>
    </row>
    <row r="68" spans="1:88" s="137" customFormat="1" ht="15.75" customHeight="1" x14ac:dyDescent="0.2">
      <c r="A68" s="2108">
        <v>12</v>
      </c>
      <c r="B68" s="2108"/>
      <c r="C68" s="2108"/>
      <c r="D68" s="2108"/>
      <c r="E68" s="1772" t="s">
        <v>1318</v>
      </c>
      <c r="F68" s="1882"/>
      <c r="G68" s="1882"/>
      <c r="H68" s="1882"/>
      <c r="I68" s="1882"/>
      <c r="J68" s="1882"/>
      <c r="K68" s="1882"/>
      <c r="L68" s="1882"/>
      <c r="M68" s="1882"/>
      <c r="N68" s="1882"/>
      <c r="O68" s="1882"/>
      <c r="P68" s="1882"/>
      <c r="Q68" s="1882"/>
      <c r="R68" s="1882"/>
      <c r="S68" s="1882"/>
      <c r="T68" s="1882"/>
      <c r="U68" s="1882"/>
      <c r="V68" s="1882"/>
      <c r="W68" s="1882"/>
      <c r="X68" s="1882"/>
      <c r="Y68" s="1882"/>
      <c r="Z68" s="1882"/>
      <c r="AA68" s="1882"/>
      <c r="AB68" s="1882"/>
      <c r="AC68" s="1882"/>
      <c r="AD68" s="1882"/>
      <c r="AE68" s="1882"/>
      <c r="AF68" s="1882"/>
      <c r="AG68" s="1882"/>
      <c r="AH68" s="1882"/>
      <c r="AI68" s="1882"/>
      <c r="AJ68" s="1882"/>
      <c r="AK68" s="1882"/>
      <c r="AL68" s="1882"/>
      <c r="AM68" s="1882"/>
      <c r="AN68" s="1773"/>
      <c r="AO68" s="2124">
        <v>0</v>
      </c>
      <c r="AP68" s="2125"/>
      <c r="AQ68" s="2125"/>
      <c r="AR68" s="2125"/>
      <c r="AS68" s="2125"/>
      <c r="AT68" s="2125"/>
      <c r="AU68" s="2125"/>
      <c r="AV68" s="2125"/>
      <c r="AW68" s="2125"/>
      <c r="AX68" s="2125"/>
      <c r="AY68" s="2125"/>
      <c r="AZ68" s="2125"/>
      <c r="BA68" s="2125"/>
      <c r="BB68" s="2125"/>
      <c r="BC68" s="2126"/>
      <c r="BD68" s="2121">
        <v>1</v>
      </c>
      <c r="BE68" s="2122"/>
      <c r="BF68" s="2122"/>
      <c r="BG68" s="2122"/>
      <c r="BH68" s="2122"/>
      <c r="BI68" s="2122"/>
      <c r="BJ68" s="2122"/>
      <c r="BK68" s="2122"/>
      <c r="BL68" s="2122"/>
      <c r="BM68" s="2123"/>
      <c r="BN68" s="2124">
        <v>0</v>
      </c>
      <c r="BO68" s="2125"/>
      <c r="BP68" s="2125"/>
      <c r="BQ68" s="2125"/>
      <c r="BR68" s="2125"/>
      <c r="BS68" s="2125"/>
      <c r="BT68" s="2125"/>
      <c r="BU68" s="2125"/>
      <c r="BV68" s="2125"/>
      <c r="BW68" s="2125"/>
      <c r="BX68" s="2125"/>
      <c r="BY68" s="2125"/>
      <c r="BZ68" s="2125"/>
      <c r="CA68" s="2125"/>
      <c r="CB68" s="2126"/>
      <c r="CC68" s="839"/>
      <c r="CD68" s="839"/>
      <c r="CE68" s="1023" t="s">
        <v>1314</v>
      </c>
      <c r="CF68" s="17"/>
      <c r="CG68" s="812">
        <v>0</v>
      </c>
      <c r="CH68" s="138"/>
    </row>
    <row r="69" spans="1:88" s="137" customFormat="1" ht="27" customHeight="1" x14ac:dyDescent="0.2">
      <c r="A69" s="2108">
        <v>13</v>
      </c>
      <c r="B69" s="2108"/>
      <c r="C69" s="2108"/>
      <c r="D69" s="2108"/>
      <c r="E69" s="1772" t="s">
        <v>1424</v>
      </c>
      <c r="F69" s="1882"/>
      <c r="G69" s="1882"/>
      <c r="H69" s="1882"/>
      <c r="I69" s="1882"/>
      <c r="J69" s="1882"/>
      <c r="K69" s="1882"/>
      <c r="L69" s="1882"/>
      <c r="M69" s="1882"/>
      <c r="N69" s="1882"/>
      <c r="O69" s="1882"/>
      <c r="P69" s="1882"/>
      <c r="Q69" s="1882"/>
      <c r="R69" s="1882"/>
      <c r="S69" s="1882"/>
      <c r="T69" s="1882"/>
      <c r="U69" s="1882"/>
      <c r="V69" s="1882"/>
      <c r="W69" s="1882"/>
      <c r="X69" s="1882"/>
      <c r="Y69" s="1882"/>
      <c r="Z69" s="1882"/>
      <c r="AA69" s="1882"/>
      <c r="AB69" s="1882"/>
      <c r="AC69" s="1882"/>
      <c r="AD69" s="1882"/>
      <c r="AE69" s="1882"/>
      <c r="AF69" s="1882"/>
      <c r="AG69" s="1882"/>
      <c r="AH69" s="1882"/>
      <c r="AI69" s="1882"/>
      <c r="AJ69" s="1882"/>
      <c r="AK69" s="1882"/>
      <c r="AL69" s="1882"/>
      <c r="AM69" s="1882"/>
      <c r="AN69" s="1773"/>
      <c r="AO69" s="2124">
        <v>46822.35</v>
      </c>
      <c r="AP69" s="2125"/>
      <c r="AQ69" s="2125"/>
      <c r="AR69" s="2125"/>
      <c r="AS69" s="2125"/>
      <c r="AT69" s="2125"/>
      <c r="AU69" s="2125"/>
      <c r="AV69" s="2125"/>
      <c r="AW69" s="2125"/>
      <c r="AX69" s="2125"/>
      <c r="AY69" s="2125"/>
      <c r="AZ69" s="2125"/>
      <c r="BA69" s="2125"/>
      <c r="BB69" s="2125"/>
      <c r="BC69" s="2126"/>
      <c r="BD69" s="2121">
        <v>1</v>
      </c>
      <c r="BE69" s="2122"/>
      <c r="BF69" s="2122"/>
      <c r="BG69" s="2122"/>
      <c r="BH69" s="2122"/>
      <c r="BI69" s="2122"/>
      <c r="BJ69" s="2122"/>
      <c r="BK69" s="2122"/>
      <c r="BL69" s="2122"/>
      <c r="BM69" s="2123"/>
      <c r="BN69" s="2124">
        <f>CC69+CD69+CF69+CG69+CH69</f>
        <v>43822.35</v>
      </c>
      <c r="BO69" s="2125"/>
      <c r="BP69" s="2125"/>
      <c r="BQ69" s="2125"/>
      <c r="BR69" s="2125"/>
      <c r="BS69" s="2125"/>
      <c r="BT69" s="2125"/>
      <c r="BU69" s="2125"/>
      <c r="BV69" s="2125"/>
      <c r="BW69" s="2125"/>
      <c r="BX69" s="2125"/>
      <c r="BY69" s="2125"/>
      <c r="BZ69" s="2125"/>
      <c r="CA69" s="2125"/>
      <c r="CB69" s="2126"/>
      <c r="CC69" s="839">
        <v>43822.35</v>
      </c>
      <c r="CD69" s="839"/>
      <c r="CE69" s="1029"/>
      <c r="CF69" s="17"/>
      <c r="CG69" s="15"/>
      <c r="CH69" s="138"/>
    </row>
    <row r="70" spans="1:88" s="137" customFormat="1" ht="18" customHeight="1" x14ac:dyDescent="0.2">
      <c r="A70" s="2108">
        <v>14</v>
      </c>
      <c r="B70" s="2108"/>
      <c r="C70" s="2108"/>
      <c r="D70" s="2108"/>
      <c r="E70" s="1772" t="s">
        <v>1393</v>
      </c>
      <c r="F70" s="1882"/>
      <c r="G70" s="1882"/>
      <c r="H70" s="1882"/>
      <c r="I70" s="1882"/>
      <c r="J70" s="1882"/>
      <c r="K70" s="1882"/>
      <c r="L70" s="1882"/>
      <c r="M70" s="1882"/>
      <c r="N70" s="1882"/>
      <c r="O70" s="1882"/>
      <c r="P70" s="1882"/>
      <c r="Q70" s="1882"/>
      <c r="R70" s="1882"/>
      <c r="S70" s="1882"/>
      <c r="T70" s="1882"/>
      <c r="U70" s="1882"/>
      <c r="V70" s="1882"/>
      <c r="W70" s="1882"/>
      <c r="X70" s="1882"/>
      <c r="Y70" s="1882"/>
      <c r="Z70" s="1882"/>
      <c r="AA70" s="1882"/>
      <c r="AB70" s="1882"/>
      <c r="AC70" s="1882"/>
      <c r="AD70" s="1882"/>
      <c r="AE70" s="1882"/>
      <c r="AF70" s="1882"/>
      <c r="AG70" s="1882"/>
      <c r="AH70" s="1882"/>
      <c r="AI70" s="1882"/>
      <c r="AJ70" s="1882"/>
      <c r="AK70" s="1882"/>
      <c r="AL70" s="1882"/>
      <c r="AM70" s="1882"/>
      <c r="AN70" s="1773"/>
      <c r="AO70" s="2124">
        <v>0</v>
      </c>
      <c r="AP70" s="2125"/>
      <c r="AQ70" s="2125"/>
      <c r="AR70" s="2125"/>
      <c r="AS70" s="2125"/>
      <c r="AT70" s="2125"/>
      <c r="AU70" s="2125"/>
      <c r="AV70" s="2125"/>
      <c r="AW70" s="2125"/>
      <c r="AX70" s="2125"/>
      <c r="AY70" s="2125"/>
      <c r="AZ70" s="2125"/>
      <c r="BA70" s="2125"/>
      <c r="BB70" s="2125"/>
      <c r="BC70" s="2126"/>
      <c r="BD70" s="2121">
        <v>1</v>
      </c>
      <c r="BE70" s="2122"/>
      <c r="BF70" s="2122"/>
      <c r="BG70" s="2122"/>
      <c r="BH70" s="2122"/>
      <c r="BI70" s="2122"/>
      <c r="BJ70" s="2122"/>
      <c r="BK70" s="2122"/>
      <c r="BL70" s="2122"/>
      <c r="BM70" s="2123"/>
      <c r="BN70" s="2124">
        <f>CC70+CD70+CF70+CG70+CH70</f>
        <v>0</v>
      </c>
      <c r="BO70" s="2125"/>
      <c r="BP70" s="2125"/>
      <c r="BQ70" s="2125"/>
      <c r="BR70" s="2125"/>
      <c r="BS70" s="2125"/>
      <c r="BT70" s="2125"/>
      <c r="BU70" s="2125"/>
      <c r="BV70" s="2125"/>
      <c r="BW70" s="2125"/>
      <c r="BX70" s="2125"/>
      <c r="BY70" s="2125"/>
      <c r="BZ70" s="2125"/>
      <c r="CA70" s="2125"/>
      <c r="CB70" s="2126"/>
      <c r="CC70" s="223"/>
      <c r="CD70" s="223">
        <v>0</v>
      </c>
      <c r="CE70" s="1029"/>
      <c r="CF70" s="17"/>
      <c r="CG70" s="15"/>
      <c r="CH70" s="138"/>
    </row>
    <row r="71" spans="1:88" s="137" customFormat="1" ht="29.25" customHeight="1" x14ac:dyDescent="0.2">
      <c r="A71" s="2119">
        <v>15</v>
      </c>
      <c r="B71" s="2120"/>
      <c r="C71" s="2120"/>
      <c r="D71" s="2120"/>
      <c r="E71" s="2082" t="s">
        <v>1327</v>
      </c>
      <c r="F71" s="2082"/>
      <c r="G71" s="2082"/>
      <c r="H71" s="2082"/>
      <c r="I71" s="2082"/>
      <c r="J71" s="2082"/>
      <c r="K71" s="2082"/>
      <c r="L71" s="2082"/>
      <c r="M71" s="2082"/>
      <c r="N71" s="2082"/>
      <c r="O71" s="2082"/>
      <c r="P71" s="2082"/>
      <c r="Q71" s="2082"/>
      <c r="R71" s="2082"/>
      <c r="S71" s="2082"/>
      <c r="T71" s="2082"/>
      <c r="U71" s="2082"/>
      <c r="V71" s="2082"/>
      <c r="W71" s="2082"/>
      <c r="X71" s="2082"/>
      <c r="Y71" s="2082"/>
      <c r="Z71" s="2082"/>
      <c r="AA71" s="2082"/>
      <c r="AB71" s="2082"/>
      <c r="AC71" s="2082"/>
      <c r="AD71" s="2082"/>
      <c r="AE71" s="2082"/>
      <c r="AF71" s="2082"/>
      <c r="AG71" s="2082"/>
      <c r="AH71" s="2082"/>
      <c r="AI71" s="2082"/>
      <c r="AJ71" s="2082"/>
      <c r="AK71" s="2082"/>
      <c r="AL71" s="2082"/>
      <c r="AM71" s="2082"/>
      <c r="AN71" s="2082"/>
      <c r="AO71" s="2124">
        <v>4898492.1900000004</v>
      </c>
      <c r="AP71" s="2125"/>
      <c r="AQ71" s="2125"/>
      <c r="AR71" s="2125"/>
      <c r="AS71" s="2125"/>
      <c r="AT71" s="2125"/>
      <c r="AU71" s="2125"/>
      <c r="AV71" s="2125"/>
      <c r="AW71" s="2125"/>
      <c r="AX71" s="2125"/>
      <c r="AY71" s="2125"/>
      <c r="AZ71" s="2125"/>
      <c r="BA71" s="2125"/>
      <c r="BB71" s="2125"/>
      <c r="BC71" s="2126"/>
      <c r="BD71" s="2121">
        <v>1</v>
      </c>
      <c r="BE71" s="2122"/>
      <c r="BF71" s="2122"/>
      <c r="BG71" s="2122"/>
      <c r="BH71" s="2122"/>
      <c r="BI71" s="2122"/>
      <c r="BJ71" s="2122"/>
      <c r="BK71" s="2122"/>
      <c r="BL71" s="2122"/>
      <c r="BM71" s="2123"/>
      <c r="BN71" s="2124">
        <f>CC71+CD71+CF71+CG71+CH71</f>
        <v>4898492.1900000004</v>
      </c>
      <c r="BO71" s="2125"/>
      <c r="BP71" s="2125"/>
      <c r="BQ71" s="2125"/>
      <c r="BR71" s="2125"/>
      <c r="BS71" s="2125"/>
      <c r="BT71" s="2125"/>
      <c r="BU71" s="2125"/>
      <c r="BV71" s="2125"/>
      <c r="BW71" s="2125"/>
      <c r="BX71" s="2125"/>
      <c r="BY71" s="2125"/>
      <c r="BZ71" s="2125"/>
      <c r="CA71" s="2125"/>
      <c r="CB71" s="2126"/>
      <c r="CC71" s="223"/>
      <c r="CD71" s="223"/>
      <c r="CE71" s="1023" t="s">
        <v>1314</v>
      </c>
      <c r="CF71" s="17"/>
      <c r="CG71" s="812">
        <v>4898492.1900000004</v>
      </c>
      <c r="CH71" s="138"/>
    </row>
    <row r="72" spans="1:88" s="140" customFormat="1" x14ac:dyDescent="0.2">
      <c r="A72" s="1774" t="s">
        <v>159</v>
      </c>
      <c r="B72" s="1775"/>
      <c r="C72" s="1775"/>
      <c r="D72" s="1775"/>
      <c r="E72" s="1775"/>
      <c r="F72" s="1775"/>
      <c r="G72" s="1775"/>
      <c r="H72" s="1775"/>
      <c r="I72" s="1775"/>
      <c r="J72" s="1775"/>
      <c r="K72" s="1775"/>
      <c r="L72" s="1775"/>
      <c r="M72" s="1775"/>
      <c r="N72" s="1775"/>
      <c r="O72" s="1775"/>
      <c r="P72" s="1775"/>
      <c r="Q72" s="1775"/>
      <c r="R72" s="1775"/>
      <c r="S72" s="1775"/>
      <c r="T72" s="1775"/>
      <c r="U72" s="1775"/>
      <c r="V72" s="1775"/>
      <c r="W72" s="1775"/>
      <c r="X72" s="1775"/>
      <c r="Y72" s="1775"/>
      <c r="Z72" s="1775"/>
      <c r="AA72" s="1775"/>
      <c r="AB72" s="1775"/>
      <c r="AC72" s="1775"/>
      <c r="AD72" s="1775"/>
      <c r="AE72" s="1775"/>
      <c r="AF72" s="1775"/>
      <c r="AG72" s="1775"/>
      <c r="AH72" s="1775"/>
      <c r="AI72" s="1775"/>
      <c r="AJ72" s="1775"/>
      <c r="AK72" s="1775"/>
      <c r="AL72" s="1775"/>
      <c r="AM72" s="1775"/>
      <c r="AN72" s="1776"/>
      <c r="AO72" s="2069"/>
      <c r="AP72" s="2070"/>
      <c r="AQ72" s="2070"/>
      <c r="AR72" s="2070"/>
      <c r="AS72" s="2070"/>
      <c r="AT72" s="2070"/>
      <c r="AU72" s="2070"/>
      <c r="AV72" s="2070"/>
      <c r="AW72" s="2070"/>
      <c r="AX72" s="2070"/>
      <c r="AY72" s="2070"/>
      <c r="AZ72" s="2070"/>
      <c r="BA72" s="2070"/>
      <c r="BB72" s="2070"/>
      <c r="BC72" s="2071"/>
      <c r="BD72" s="2069" t="s">
        <v>3</v>
      </c>
      <c r="BE72" s="2070"/>
      <c r="BF72" s="2070"/>
      <c r="BG72" s="2070"/>
      <c r="BH72" s="2070"/>
      <c r="BI72" s="2070"/>
      <c r="BJ72" s="2070"/>
      <c r="BK72" s="2070"/>
      <c r="BL72" s="2070"/>
      <c r="BM72" s="2071"/>
      <c r="BN72" s="2069">
        <f>SUM(BN56:CB71)</f>
        <v>5506355.9900000002</v>
      </c>
      <c r="BO72" s="2070"/>
      <c r="BP72" s="2070"/>
      <c r="BQ72" s="2070"/>
      <c r="BR72" s="2070"/>
      <c r="BS72" s="2070"/>
      <c r="BT72" s="2070"/>
      <c r="BU72" s="2070"/>
      <c r="BV72" s="2070"/>
      <c r="BW72" s="2070"/>
      <c r="BX72" s="2070"/>
      <c r="BY72" s="2070"/>
      <c r="BZ72" s="2070"/>
      <c r="CA72" s="2070"/>
      <c r="CB72" s="2071"/>
      <c r="CC72" s="139">
        <f>SUM(CC56:CC70)</f>
        <v>43822.35</v>
      </c>
      <c r="CD72" s="139">
        <f>SUM(CD56:CD70)</f>
        <v>400939.85000000003</v>
      </c>
      <c r="CE72" s="139"/>
      <c r="CF72" s="139"/>
      <c r="CG72" s="139">
        <f>SUM(CG56:CG71)</f>
        <v>5061593.79</v>
      </c>
      <c r="CH72" s="139"/>
      <c r="CI72" s="1056" t="s">
        <v>1645</v>
      </c>
      <c r="CJ72" s="824">
        <f>CD72-402824.88</f>
        <v>-1885.0299999999697</v>
      </c>
    </row>
    <row r="73" spans="1:88" s="1" customFormat="1" ht="6.75" customHeight="1" x14ac:dyDescent="0.25"/>
    <row r="74" spans="1:88" s="287" customFormat="1" ht="15" x14ac:dyDescent="0.25">
      <c r="A74" s="286" t="s">
        <v>636</v>
      </c>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c r="CG74" s="286"/>
      <c r="CH74" s="286"/>
    </row>
    <row r="75" spans="1:88" s="287" customFormat="1" ht="5.25" customHeight="1" x14ac:dyDescent="0.25">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9"/>
      <c r="CD75" s="289"/>
      <c r="CE75" s="289"/>
      <c r="CF75" s="289"/>
      <c r="CG75" s="289"/>
      <c r="CH75" s="289"/>
    </row>
    <row r="76" spans="1:88" s="287" customFormat="1" ht="15" x14ac:dyDescent="0.25">
      <c r="A76" s="2137" t="s">
        <v>38</v>
      </c>
      <c r="B76" s="2137"/>
      <c r="C76" s="2137"/>
      <c r="D76" s="2137"/>
      <c r="E76" s="2168" t="s">
        <v>4</v>
      </c>
      <c r="F76" s="2168"/>
      <c r="G76" s="2168"/>
      <c r="H76" s="2168"/>
      <c r="I76" s="2168"/>
      <c r="J76" s="2168"/>
      <c r="K76" s="2168"/>
      <c r="L76" s="2168"/>
      <c r="M76" s="2168"/>
      <c r="N76" s="2168"/>
      <c r="O76" s="2168"/>
      <c r="P76" s="2168"/>
      <c r="Q76" s="2168"/>
      <c r="R76" s="2168"/>
      <c r="S76" s="2168"/>
      <c r="T76" s="2168"/>
      <c r="U76" s="2168"/>
      <c r="V76" s="2168"/>
      <c r="W76" s="2168"/>
      <c r="X76" s="2168"/>
      <c r="Y76" s="2168"/>
      <c r="Z76" s="2168"/>
      <c r="AA76" s="2168"/>
      <c r="AB76" s="2168"/>
      <c r="AC76" s="2168"/>
      <c r="AD76" s="2168"/>
      <c r="AE76" s="2168"/>
      <c r="AF76" s="2168"/>
      <c r="AG76" s="2168"/>
      <c r="AH76" s="2168"/>
      <c r="AI76" s="2168"/>
      <c r="AJ76" s="2168"/>
      <c r="AK76" s="2168"/>
      <c r="AL76" s="2168"/>
      <c r="AM76" s="2168"/>
      <c r="AN76" s="2168"/>
      <c r="AO76" s="2171" t="s">
        <v>139</v>
      </c>
      <c r="AP76" s="2172"/>
      <c r="AQ76" s="2172"/>
      <c r="AR76" s="2172"/>
      <c r="AS76" s="2172"/>
      <c r="AT76" s="2172"/>
      <c r="AU76" s="2172"/>
      <c r="AV76" s="2172"/>
      <c r="AW76" s="2172"/>
      <c r="AX76" s="2172"/>
      <c r="AY76" s="2172"/>
      <c r="AZ76" s="2172"/>
      <c r="BA76" s="2172"/>
      <c r="BB76" s="2172"/>
      <c r="BC76" s="2173"/>
      <c r="BD76" s="2171" t="s">
        <v>140</v>
      </c>
      <c r="BE76" s="2172"/>
      <c r="BF76" s="2172"/>
      <c r="BG76" s="2172"/>
      <c r="BH76" s="2172"/>
      <c r="BI76" s="2172"/>
      <c r="BJ76" s="2172"/>
      <c r="BK76" s="2172"/>
      <c r="BL76" s="2172"/>
      <c r="BM76" s="2173"/>
      <c r="BN76" s="2171" t="s">
        <v>624</v>
      </c>
      <c r="BO76" s="2172"/>
      <c r="BP76" s="2172"/>
      <c r="BQ76" s="2172"/>
      <c r="BR76" s="2172"/>
      <c r="BS76" s="2172"/>
      <c r="BT76" s="2172"/>
      <c r="BU76" s="2172"/>
      <c r="BV76" s="2172"/>
      <c r="BW76" s="2172"/>
      <c r="BX76" s="2172"/>
      <c r="BY76" s="2172"/>
      <c r="BZ76" s="2172"/>
      <c r="CA76" s="2172"/>
      <c r="CB76" s="2173"/>
      <c r="CC76" s="2136" t="s">
        <v>52</v>
      </c>
      <c r="CD76" s="2136"/>
      <c r="CE76" s="2136"/>
      <c r="CF76" s="2136"/>
      <c r="CG76" s="2136"/>
      <c r="CH76" s="2136"/>
    </row>
    <row r="77" spans="1:88" s="287" customFormat="1" ht="15" x14ac:dyDescent="0.25">
      <c r="A77" s="2137"/>
      <c r="B77" s="2137"/>
      <c r="C77" s="2137"/>
      <c r="D77" s="2137"/>
      <c r="E77" s="2168"/>
      <c r="F77" s="2168"/>
      <c r="G77" s="2168"/>
      <c r="H77" s="2168"/>
      <c r="I77" s="2168"/>
      <c r="J77" s="2168"/>
      <c r="K77" s="2168"/>
      <c r="L77" s="2168"/>
      <c r="M77" s="2168"/>
      <c r="N77" s="2168"/>
      <c r="O77" s="2168"/>
      <c r="P77" s="2168"/>
      <c r="Q77" s="2168"/>
      <c r="R77" s="2168"/>
      <c r="S77" s="2168"/>
      <c r="T77" s="2168"/>
      <c r="U77" s="2168"/>
      <c r="V77" s="2168"/>
      <c r="W77" s="2168"/>
      <c r="X77" s="2168"/>
      <c r="Y77" s="2168"/>
      <c r="Z77" s="2168"/>
      <c r="AA77" s="2168"/>
      <c r="AB77" s="2168"/>
      <c r="AC77" s="2168"/>
      <c r="AD77" s="2168"/>
      <c r="AE77" s="2168"/>
      <c r="AF77" s="2168"/>
      <c r="AG77" s="2168"/>
      <c r="AH77" s="2168"/>
      <c r="AI77" s="2168"/>
      <c r="AJ77" s="2168"/>
      <c r="AK77" s="2168"/>
      <c r="AL77" s="2168"/>
      <c r="AM77" s="2168"/>
      <c r="AN77" s="2168"/>
      <c r="AO77" s="2174"/>
      <c r="AP77" s="2175"/>
      <c r="AQ77" s="2175"/>
      <c r="AR77" s="2175"/>
      <c r="AS77" s="2175"/>
      <c r="AT77" s="2175"/>
      <c r="AU77" s="2175"/>
      <c r="AV77" s="2175"/>
      <c r="AW77" s="2175"/>
      <c r="AX77" s="2175"/>
      <c r="AY77" s="2175"/>
      <c r="AZ77" s="2175"/>
      <c r="BA77" s="2175"/>
      <c r="BB77" s="2175"/>
      <c r="BC77" s="2176"/>
      <c r="BD77" s="2174"/>
      <c r="BE77" s="2175"/>
      <c r="BF77" s="2175"/>
      <c r="BG77" s="2175"/>
      <c r="BH77" s="2175"/>
      <c r="BI77" s="2175"/>
      <c r="BJ77" s="2175"/>
      <c r="BK77" s="2175"/>
      <c r="BL77" s="2175"/>
      <c r="BM77" s="2176"/>
      <c r="BN77" s="2174"/>
      <c r="BO77" s="2175"/>
      <c r="BP77" s="2175"/>
      <c r="BQ77" s="2175"/>
      <c r="BR77" s="2175"/>
      <c r="BS77" s="2175"/>
      <c r="BT77" s="2175"/>
      <c r="BU77" s="2175"/>
      <c r="BV77" s="2175"/>
      <c r="BW77" s="2175"/>
      <c r="BX77" s="2175"/>
      <c r="BY77" s="2175"/>
      <c r="BZ77" s="2175"/>
      <c r="CA77" s="2175"/>
      <c r="CB77" s="2176"/>
      <c r="CC77" s="2137" t="s">
        <v>35</v>
      </c>
      <c r="CD77" s="2137"/>
      <c r="CE77" s="2138" t="s">
        <v>45</v>
      </c>
      <c r="CF77" s="2139"/>
      <c r="CG77" s="2140"/>
      <c r="CH77" s="2141" t="s">
        <v>46</v>
      </c>
    </row>
    <row r="78" spans="1:88" s="287" customFormat="1" ht="15" x14ac:dyDescent="0.25">
      <c r="A78" s="2137"/>
      <c r="B78" s="2137"/>
      <c r="C78" s="2137"/>
      <c r="D78" s="2137"/>
      <c r="E78" s="2168"/>
      <c r="F78" s="2168"/>
      <c r="G78" s="2168"/>
      <c r="H78" s="2168"/>
      <c r="I78" s="2168"/>
      <c r="J78" s="2168"/>
      <c r="K78" s="2168"/>
      <c r="L78" s="2168"/>
      <c r="M78" s="2168"/>
      <c r="N78" s="2168"/>
      <c r="O78" s="2168"/>
      <c r="P78" s="2168"/>
      <c r="Q78" s="2168"/>
      <c r="R78" s="2168"/>
      <c r="S78" s="2168"/>
      <c r="T78" s="2168"/>
      <c r="U78" s="2168"/>
      <c r="V78" s="2168"/>
      <c r="W78" s="2168"/>
      <c r="X78" s="2168"/>
      <c r="Y78" s="2168"/>
      <c r="Z78" s="2168"/>
      <c r="AA78" s="2168"/>
      <c r="AB78" s="2168"/>
      <c r="AC78" s="2168"/>
      <c r="AD78" s="2168"/>
      <c r="AE78" s="2168"/>
      <c r="AF78" s="2168"/>
      <c r="AG78" s="2168"/>
      <c r="AH78" s="2168"/>
      <c r="AI78" s="2168"/>
      <c r="AJ78" s="2168"/>
      <c r="AK78" s="2168"/>
      <c r="AL78" s="2168"/>
      <c r="AM78" s="2168"/>
      <c r="AN78" s="2168"/>
      <c r="AO78" s="2174"/>
      <c r="AP78" s="2175"/>
      <c r="AQ78" s="2175"/>
      <c r="AR78" s="2175"/>
      <c r="AS78" s="2175"/>
      <c r="AT78" s="2175"/>
      <c r="AU78" s="2175"/>
      <c r="AV78" s="2175"/>
      <c r="AW78" s="2175"/>
      <c r="AX78" s="2175"/>
      <c r="AY78" s="2175"/>
      <c r="AZ78" s="2175"/>
      <c r="BA78" s="2175"/>
      <c r="BB78" s="2175"/>
      <c r="BC78" s="2176"/>
      <c r="BD78" s="2174"/>
      <c r="BE78" s="2175"/>
      <c r="BF78" s="2175"/>
      <c r="BG78" s="2175"/>
      <c r="BH78" s="2175"/>
      <c r="BI78" s="2175"/>
      <c r="BJ78" s="2175"/>
      <c r="BK78" s="2175"/>
      <c r="BL78" s="2175"/>
      <c r="BM78" s="2176"/>
      <c r="BN78" s="2174"/>
      <c r="BO78" s="2175"/>
      <c r="BP78" s="2175"/>
      <c r="BQ78" s="2175"/>
      <c r="BR78" s="2175"/>
      <c r="BS78" s="2175"/>
      <c r="BT78" s="2175"/>
      <c r="BU78" s="2175"/>
      <c r="BV78" s="2175"/>
      <c r="BW78" s="2175"/>
      <c r="BX78" s="2175"/>
      <c r="BY78" s="2175"/>
      <c r="BZ78" s="2175"/>
      <c r="CA78" s="2175"/>
      <c r="CB78" s="2176"/>
      <c r="CC78" s="2144" t="s">
        <v>43</v>
      </c>
      <c r="CD78" s="2144" t="s">
        <v>44</v>
      </c>
      <c r="CE78" s="2145" t="s">
        <v>55</v>
      </c>
      <c r="CF78" s="2144" t="s">
        <v>43</v>
      </c>
      <c r="CG78" s="2144" t="s">
        <v>44</v>
      </c>
      <c r="CH78" s="2142"/>
    </row>
    <row r="79" spans="1:88" s="287" customFormat="1" ht="15" x14ac:dyDescent="0.25">
      <c r="A79" s="2137"/>
      <c r="B79" s="2137"/>
      <c r="C79" s="2137"/>
      <c r="D79" s="2137"/>
      <c r="E79" s="2168"/>
      <c r="F79" s="2168"/>
      <c r="G79" s="2168"/>
      <c r="H79" s="2168"/>
      <c r="I79" s="2168"/>
      <c r="J79" s="2168"/>
      <c r="K79" s="2168"/>
      <c r="L79" s="2168"/>
      <c r="M79" s="2168"/>
      <c r="N79" s="2168"/>
      <c r="O79" s="2168"/>
      <c r="P79" s="2168"/>
      <c r="Q79" s="2168"/>
      <c r="R79" s="2168"/>
      <c r="S79" s="2168"/>
      <c r="T79" s="2168"/>
      <c r="U79" s="2168"/>
      <c r="V79" s="2168"/>
      <c r="W79" s="2168"/>
      <c r="X79" s="2168"/>
      <c r="Y79" s="2168"/>
      <c r="Z79" s="2168"/>
      <c r="AA79" s="2168"/>
      <c r="AB79" s="2168"/>
      <c r="AC79" s="2168"/>
      <c r="AD79" s="2168"/>
      <c r="AE79" s="2168"/>
      <c r="AF79" s="2168"/>
      <c r="AG79" s="2168"/>
      <c r="AH79" s="2168"/>
      <c r="AI79" s="2168"/>
      <c r="AJ79" s="2168"/>
      <c r="AK79" s="2168"/>
      <c r="AL79" s="2168"/>
      <c r="AM79" s="2168"/>
      <c r="AN79" s="2168"/>
      <c r="AO79" s="2177"/>
      <c r="AP79" s="2178"/>
      <c r="AQ79" s="2178"/>
      <c r="AR79" s="2178"/>
      <c r="AS79" s="2178"/>
      <c r="AT79" s="2178"/>
      <c r="AU79" s="2178"/>
      <c r="AV79" s="2178"/>
      <c r="AW79" s="2178"/>
      <c r="AX79" s="2178"/>
      <c r="AY79" s="2178"/>
      <c r="AZ79" s="2178"/>
      <c r="BA79" s="2178"/>
      <c r="BB79" s="2178"/>
      <c r="BC79" s="2179"/>
      <c r="BD79" s="2177"/>
      <c r="BE79" s="2178"/>
      <c r="BF79" s="2178"/>
      <c r="BG79" s="2178"/>
      <c r="BH79" s="2178"/>
      <c r="BI79" s="2178"/>
      <c r="BJ79" s="2178"/>
      <c r="BK79" s="2178"/>
      <c r="BL79" s="2178"/>
      <c r="BM79" s="2179"/>
      <c r="BN79" s="2177"/>
      <c r="BO79" s="2178"/>
      <c r="BP79" s="2178"/>
      <c r="BQ79" s="2178"/>
      <c r="BR79" s="2178"/>
      <c r="BS79" s="2178"/>
      <c r="BT79" s="2178"/>
      <c r="BU79" s="2178"/>
      <c r="BV79" s="2178"/>
      <c r="BW79" s="2178"/>
      <c r="BX79" s="2178"/>
      <c r="BY79" s="2178"/>
      <c r="BZ79" s="2178"/>
      <c r="CA79" s="2178"/>
      <c r="CB79" s="2179"/>
      <c r="CC79" s="2144"/>
      <c r="CD79" s="2144"/>
      <c r="CE79" s="2146"/>
      <c r="CF79" s="2144"/>
      <c r="CG79" s="2144"/>
      <c r="CH79" s="2143"/>
    </row>
    <row r="80" spans="1:88" s="287" customFormat="1" ht="15" x14ac:dyDescent="0.25">
      <c r="A80" s="2168">
        <v>1</v>
      </c>
      <c r="B80" s="2168"/>
      <c r="C80" s="2168"/>
      <c r="D80" s="2168"/>
      <c r="E80" s="2168">
        <v>2</v>
      </c>
      <c r="F80" s="2168"/>
      <c r="G80" s="2168"/>
      <c r="H80" s="2168"/>
      <c r="I80" s="2168"/>
      <c r="J80" s="2168"/>
      <c r="K80" s="2168"/>
      <c r="L80" s="2168"/>
      <c r="M80" s="2168"/>
      <c r="N80" s="2168"/>
      <c r="O80" s="2168"/>
      <c r="P80" s="2168"/>
      <c r="Q80" s="2168"/>
      <c r="R80" s="2168"/>
      <c r="S80" s="2168"/>
      <c r="T80" s="2168"/>
      <c r="U80" s="2168"/>
      <c r="V80" s="2168"/>
      <c r="W80" s="2168"/>
      <c r="X80" s="2168"/>
      <c r="Y80" s="2168"/>
      <c r="Z80" s="2168"/>
      <c r="AA80" s="2168"/>
      <c r="AB80" s="2168"/>
      <c r="AC80" s="2168"/>
      <c r="AD80" s="2168"/>
      <c r="AE80" s="2168"/>
      <c r="AF80" s="2168"/>
      <c r="AG80" s="2168"/>
      <c r="AH80" s="2168"/>
      <c r="AI80" s="2168"/>
      <c r="AJ80" s="2168"/>
      <c r="AK80" s="2168"/>
      <c r="AL80" s="2168"/>
      <c r="AM80" s="2168"/>
      <c r="AN80" s="2168"/>
      <c r="AO80" s="2168">
        <v>3</v>
      </c>
      <c r="AP80" s="2168"/>
      <c r="AQ80" s="2168"/>
      <c r="AR80" s="2168"/>
      <c r="AS80" s="2168"/>
      <c r="AT80" s="2168"/>
      <c r="AU80" s="2168"/>
      <c r="AV80" s="2168"/>
      <c r="AW80" s="2168"/>
      <c r="AX80" s="2168"/>
      <c r="AY80" s="2168"/>
      <c r="AZ80" s="2168"/>
      <c r="BA80" s="2168"/>
      <c r="BB80" s="2168"/>
      <c r="BC80" s="2168"/>
      <c r="BD80" s="2168">
        <v>4</v>
      </c>
      <c r="BE80" s="2168"/>
      <c r="BF80" s="2168"/>
      <c r="BG80" s="2168"/>
      <c r="BH80" s="2168"/>
      <c r="BI80" s="2168"/>
      <c r="BJ80" s="2168"/>
      <c r="BK80" s="2168"/>
      <c r="BL80" s="2168"/>
      <c r="BM80" s="2168"/>
      <c r="BN80" s="2168" t="s">
        <v>49</v>
      </c>
      <c r="BO80" s="2168"/>
      <c r="BP80" s="2168"/>
      <c r="BQ80" s="2168"/>
      <c r="BR80" s="2168"/>
      <c r="BS80" s="2168"/>
      <c r="BT80" s="2168"/>
      <c r="BU80" s="2168"/>
      <c r="BV80" s="2168"/>
      <c r="BW80" s="2168"/>
      <c r="BX80" s="2168"/>
      <c r="BY80" s="2168"/>
      <c r="BZ80" s="2168"/>
      <c r="CA80" s="2168"/>
      <c r="CB80" s="2168"/>
      <c r="CC80" s="290">
        <v>6</v>
      </c>
      <c r="CD80" s="290">
        <v>7</v>
      </c>
      <c r="CE80" s="290">
        <v>8</v>
      </c>
      <c r="CF80" s="290">
        <v>9</v>
      </c>
      <c r="CG80" s="290">
        <v>10</v>
      </c>
      <c r="CH80" s="290">
        <v>11</v>
      </c>
    </row>
    <row r="81" spans="1:91" s="287" customFormat="1" ht="15" x14ac:dyDescent="0.25">
      <c r="A81" s="2115">
        <v>1</v>
      </c>
      <c r="B81" s="2115"/>
      <c r="C81" s="2115"/>
      <c r="D81" s="2115"/>
      <c r="E81" s="2115" t="s">
        <v>637</v>
      </c>
      <c r="F81" s="2115"/>
      <c r="G81" s="2115"/>
      <c r="H81" s="2115"/>
      <c r="I81" s="2115"/>
      <c r="J81" s="2115"/>
      <c r="K81" s="2115"/>
      <c r="L81" s="2115"/>
      <c r="M81" s="2115"/>
      <c r="N81" s="2115"/>
      <c r="O81" s="2115"/>
      <c r="P81" s="2115"/>
      <c r="Q81" s="2115"/>
      <c r="R81" s="2115"/>
      <c r="S81" s="2115"/>
      <c r="T81" s="2115"/>
      <c r="U81" s="2115"/>
      <c r="V81" s="2115"/>
      <c r="W81" s="2115"/>
      <c r="X81" s="2115"/>
      <c r="Y81" s="2115"/>
      <c r="Z81" s="2115"/>
      <c r="AA81" s="2115"/>
      <c r="AB81" s="2115"/>
      <c r="AC81" s="2115"/>
      <c r="AD81" s="2115"/>
      <c r="AE81" s="2115"/>
      <c r="AF81" s="2115"/>
      <c r="AG81" s="2115"/>
      <c r="AH81" s="2115"/>
      <c r="AI81" s="2115"/>
      <c r="AJ81" s="2115"/>
      <c r="AK81" s="2115"/>
      <c r="AL81" s="2115"/>
      <c r="AM81" s="2115"/>
      <c r="AN81" s="2115"/>
      <c r="AO81" s="2182">
        <f>10000-2125.45</f>
        <v>7874.55</v>
      </c>
      <c r="AP81" s="2182"/>
      <c r="AQ81" s="2182"/>
      <c r="AR81" s="2182"/>
      <c r="AS81" s="2182"/>
      <c r="AT81" s="2182"/>
      <c r="AU81" s="2182"/>
      <c r="AV81" s="2182"/>
      <c r="AW81" s="2182"/>
      <c r="AX81" s="2182"/>
      <c r="AY81" s="2182"/>
      <c r="AZ81" s="2182"/>
      <c r="BA81" s="2182"/>
      <c r="BB81" s="2182"/>
      <c r="BC81" s="2182"/>
      <c r="BD81" s="2183">
        <v>1</v>
      </c>
      <c r="BE81" s="2184"/>
      <c r="BF81" s="2184"/>
      <c r="BG81" s="2184"/>
      <c r="BH81" s="2184"/>
      <c r="BI81" s="2184"/>
      <c r="BJ81" s="2184"/>
      <c r="BK81" s="2184"/>
      <c r="BL81" s="2184"/>
      <c r="BM81" s="2185"/>
      <c r="BN81" s="2180">
        <f>AO81</f>
        <v>7874.55</v>
      </c>
      <c r="BO81" s="2180"/>
      <c r="BP81" s="2180"/>
      <c r="BQ81" s="2180"/>
      <c r="BR81" s="2180"/>
      <c r="BS81" s="2180"/>
      <c r="BT81" s="2180"/>
      <c r="BU81" s="2180"/>
      <c r="BV81" s="2180"/>
      <c r="BW81" s="2180"/>
      <c r="BX81" s="2180"/>
      <c r="BY81" s="2180"/>
      <c r="BZ81" s="2180"/>
      <c r="CA81" s="2180"/>
      <c r="CB81" s="2180"/>
      <c r="CC81" s="291"/>
      <c r="CD81" s="292">
        <f>BN81</f>
        <v>7874.55</v>
      </c>
      <c r="CE81" s="1118"/>
      <c r="CF81" s="291"/>
      <c r="CG81" s="291"/>
      <c r="CH81" s="291"/>
      <c r="CI81" s="1119" t="s">
        <v>1627</v>
      </c>
    </row>
    <row r="82" spans="1:91" s="289" customFormat="1" ht="14.25" x14ac:dyDescent="0.2">
      <c r="A82" s="2109" t="s">
        <v>638</v>
      </c>
      <c r="B82" s="2110"/>
      <c r="C82" s="2110"/>
      <c r="D82" s="2110"/>
      <c r="E82" s="2110"/>
      <c r="F82" s="2110"/>
      <c r="G82" s="2110"/>
      <c r="H82" s="2110"/>
      <c r="I82" s="2110"/>
      <c r="J82" s="2110"/>
      <c r="K82" s="2110"/>
      <c r="L82" s="2110"/>
      <c r="M82" s="2110"/>
      <c r="N82" s="2110"/>
      <c r="O82" s="2110"/>
      <c r="P82" s="2110"/>
      <c r="Q82" s="2110"/>
      <c r="R82" s="2110"/>
      <c r="S82" s="2110"/>
      <c r="T82" s="2110"/>
      <c r="U82" s="2110"/>
      <c r="V82" s="2110"/>
      <c r="W82" s="2110"/>
      <c r="X82" s="2110"/>
      <c r="Y82" s="2110"/>
      <c r="Z82" s="2110"/>
      <c r="AA82" s="2110"/>
      <c r="AB82" s="2110"/>
      <c r="AC82" s="2110"/>
      <c r="AD82" s="2110"/>
      <c r="AE82" s="2110"/>
      <c r="AF82" s="2110"/>
      <c r="AG82" s="2110"/>
      <c r="AH82" s="2110"/>
      <c r="AI82" s="2110"/>
      <c r="AJ82" s="2110"/>
      <c r="AK82" s="2110"/>
      <c r="AL82" s="2110"/>
      <c r="AM82" s="2110"/>
      <c r="AN82" s="2111"/>
      <c r="AO82" s="2112"/>
      <c r="AP82" s="2112"/>
      <c r="AQ82" s="2112"/>
      <c r="AR82" s="2112"/>
      <c r="AS82" s="2112"/>
      <c r="AT82" s="2112"/>
      <c r="AU82" s="2112"/>
      <c r="AV82" s="2112"/>
      <c r="AW82" s="2112"/>
      <c r="AX82" s="2112"/>
      <c r="AY82" s="2112"/>
      <c r="AZ82" s="2112"/>
      <c r="BA82" s="2112"/>
      <c r="BB82" s="2112"/>
      <c r="BC82" s="2112"/>
      <c r="BD82" s="2112" t="s">
        <v>3</v>
      </c>
      <c r="BE82" s="2112"/>
      <c r="BF82" s="2112"/>
      <c r="BG82" s="2112"/>
      <c r="BH82" s="2112"/>
      <c r="BI82" s="2112"/>
      <c r="BJ82" s="2112"/>
      <c r="BK82" s="2112"/>
      <c r="BL82" s="2112"/>
      <c r="BM82" s="2112"/>
      <c r="BN82" s="2113">
        <f>BN81</f>
        <v>7874.55</v>
      </c>
      <c r="BO82" s="2114"/>
      <c r="BP82" s="2114"/>
      <c r="BQ82" s="2114"/>
      <c r="BR82" s="2114"/>
      <c r="BS82" s="2114"/>
      <c r="BT82" s="2114"/>
      <c r="BU82" s="2114"/>
      <c r="BV82" s="2114"/>
      <c r="BW82" s="2114"/>
      <c r="BX82" s="2114"/>
      <c r="BY82" s="2114"/>
      <c r="BZ82" s="2114"/>
      <c r="CA82" s="2114"/>
      <c r="CB82" s="2114"/>
      <c r="CC82" s="293"/>
      <c r="CD82" s="294">
        <f>CD81</f>
        <v>7874.55</v>
      </c>
      <c r="CE82" s="293"/>
      <c r="CF82" s="293"/>
      <c r="CG82" s="293"/>
      <c r="CH82" s="293"/>
    </row>
    <row r="83" spans="1:91" ht="4.9000000000000004" customHeight="1" x14ac:dyDescent="0.2"/>
    <row r="84" spans="1:91" s="289" customFormat="1" ht="14.25" x14ac:dyDescent="0.2">
      <c r="A84" s="286" t="s">
        <v>160</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row>
    <row r="85" spans="1:91" s="287" customFormat="1" ht="15" x14ac:dyDescent="0.25">
      <c r="A85" s="2137" t="s">
        <v>38</v>
      </c>
      <c r="B85" s="2137"/>
      <c r="C85" s="2137"/>
      <c r="D85" s="2137"/>
      <c r="E85" s="2168" t="s">
        <v>4</v>
      </c>
      <c r="F85" s="2168"/>
      <c r="G85" s="2168"/>
      <c r="H85" s="2168"/>
      <c r="I85" s="2168"/>
      <c r="J85" s="2168"/>
      <c r="K85" s="2168"/>
      <c r="L85" s="2168"/>
      <c r="M85" s="2168"/>
      <c r="N85" s="2168"/>
      <c r="O85" s="2168"/>
      <c r="P85" s="2168"/>
      <c r="Q85" s="2168"/>
      <c r="R85" s="2168"/>
      <c r="S85" s="2168"/>
      <c r="T85" s="2168"/>
      <c r="U85" s="2168"/>
      <c r="V85" s="2168"/>
      <c r="W85" s="2168"/>
      <c r="X85" s="2168"/>
      <c r="Y85" s="2168"/>
      <c r="Z85" s="2168"/>
      <c r="AA85" s="2168"/>
      <c r="AB85" s="2168"/>
      <c r="AC85" s="2168"/>
      <c r="AD85" s="2168"/>
      <c r="AE85" s="2168"/>
      <c r="AF85" s="2168"/>
      <c r="AG85" s="2168"/>
      <c r="AH85" s="2168"/>
      <c r="AI85" s="2168"/>
      <c r="AJ85" s="2168"/>
      <c r="AK85" s="2168"/>
      <c r="AL85" s="2168"/>
      <c r="AM85" s="2168"/>
      <c r="AN85" s="2168"/>
      <c r="AO85" s="2168"/>
      <c r="AP85" s="2168"/>
      <c r="AQ85" s="2168"/>
      <c r="AR85" s="2168"/>
      <c r="AS85" s="2137" t="s">
        <v>5</v>
      </c>
      <c r="AT85" s="2137"/>
      <c r="AU85" s="2137"/>
      <c r="AV85" s="2137"/>
      <c r="AW85" s="2137"/>
      <c r="AX85" s="2137"/>
      <c r="AY85" s="2137"/>
      <c r="AZ85" s="2137"/>
      <c r="BA85" s="2137"/>
      <c r="BB85" s="2137"/>
      <c r="BC85" s="2137" t="s">
        <v>758</v>
      </c>
      <c r="BD85" s="2137"/>
      <c r="BE85" s="2137"/>
      <c r="BF85" s="2137"/>
      <c r="BG85" s="2137"/>
      <c r="BH85" s="2137"/>
      <c r="BI85" s="2137"/>
      <c r="BJ85" s="2137"/>
      <c r="BK85" s="2137"/>
      <c r="BL85" s="2137"/>
      <c r="BM85" s="2137"/>
      <c r="BN85" s="2168" t="s">
        <v>6</v>
      </c>
      <c r="BO85" s="2168"/>
      <c r="BP85" s="2168"/>
      <c r="BQ85" s="2168"/>
      <c r="BR85" s="2168"/>
      <c r="BS85" s="2168"/>
      <c r="BT85" s="2168"/>
      <c r="BU85" s="2168"/>
      <c r="BV85" s="2168"/>
      <c r="BW85" s="2168"/>
      <c r="BX85" s="2168"/>
      <c r="BY85" s="2168"/>
      <c r="BZ85" s="2168"/>
      <c r="CA85" s="2168"/>
      <c r="CB85" s="2168"/>
      <c r="CC85" s="2136" t="s">
        <v>52</v>
      </c>
      <c r="CD85" s="2136"/>
      <c r="CE85" s="2136"/>
      <c r="CF85" s="2136"/>
      <c r="CG85" s="2136"/>
      <c r="CH85" s="2136"/>
    </row>
    <row r="86" spans="1:91" s="287" customFormat="1" ht="15" x14ac:dyDescent="0.25">
      <c r="A86" s="2137"/>
      <c r="B86" s="2137"/>
      <c r="C86" s="2137"/>
      <c r="D86" s="2137"/>
      <c r="E86" s="2168"/>
      <c r="F86" s="2168"/>
      <c r="G86" s="2168"/>
      <c r="H86" s="2168"/>
      <c r="I86" s="2168"/>
      <c r="J86" s="2168"/>
      <c r="K86" s="2168"/>
      <c r="L86" s="2168"/>
      <c r="M86" s="2168"/>
      <c r="N86" s="2168"/>
      <c r="O86" s="2168"/>
      <c r="P86" s="2168"/>
      <c r="Q86" s="2168"/>
      <c r="R86" s="2168"/>
      <c r="S86" s="2168"/>
      <c r="T86" s="2168"/>
      <c r="U86" s="2168"/>
      <c r="V86" s="2168"/>
      <c r="W86" s="2168"/>
      <c r="X86" s="2168"/>
      <c r="Y86" s="2168"/>
      <c r="Z86" s="2168"/>
      <c r="AA86" s="2168"/>
      <c r="AB86" s="2168"/>
      <c r="AC86" s="2168"/>
      <c r="AD86" s="2168"/>
      <c r="AE86" s="2168"/>
      <c r="AF86" s="2168"/>
      <c r="AG86" s="2168"/>
      <c r="AH86" s="2168"/>
      <c r="AI86" s="2168"/>
      <c r="AJ86" s="2168"/>
      <c r="AK86" s="2168"/>
      <c r="AL86" s="2168"/>
      <c r="AM86" s="2168"/>
      <c r="AN86" s="2168"/>
      <c r="AO86" s="2168"/>
      <c r="AP86" s="2168"/>
      <c r="AQ86" s="2168"/>
      <c r="AR86" s="2168"/>
      <c r="AS86" s="2137"/>
      <c r="AT86" s="2137"/>
      <c r="AU86" s="2137"/>
      <c r="AV86" s="2137"/>
      <c r="AW86" s="2137"/>
      <c r="AX86" s="2137"/>
      <c r="AY86" s="2137"/>
      <c r="AZ86" s="2137"/>
      <c r="BA86" s="2137"/>
      <c r="BB86" s="2137"/>
      <c r="BC86" s="2137"/>
      <c r="BD86" s="2137"/>
      <c r="BE86" s="2137"/>
      <c r="BF86" s="2137"/>
      <c r="BG86" s="2137"/>
      <c r="BH86" s="2137"/>
      <c r="BI86" s="2137"/>
      <c r="BJ86" s="2137"/>
      <c r="BK86" s="2137"/>
      <c r="BL86" s="2137"/>
      <c r="BM86" s="2137"/>
      <c r="BN86" s="2168"/>
      <c r="BO86" s="2168"/>
      <c r="BP86" s="2168"/>
      <c r="BQ86" s="2168"/>
      <c r="BR86" s="2168"/>
      <c r="BS86" s="2168"/>
      <c r="BT86" s="2168"/>
      <c r="BU86" s="2168"/>
      <c r="BV86" s="2168"/>
      <c r="BW86" s="2168"/>
      <c r="BX86" s="2168"/>
      <c r="BY86" s="2168"/>
      <c r="BZ86" s="2168"/>
      <c r="CA86" s="2168"/>
      <c r="CB86" s="2168"/>
      <c r="CC86" s="2137" t="s">
        <v>35</v>
      </c>
      <c r="CD86" s="2137"/>
      <c r="CE86" s="2138" t="s">
        <v>45</v>
      </c>
      <c r="CF86" s="2139"/>
      <c r="CG86" s="2140"/>
      <c r="CH86" s="2141" t="s">
        <v>46</v>
      </c>
    </row>
    <row r="87" spans="1:91" s="287" customFormat="1" ht="15" x14ac:dyDescent="0.25">
      <c r="A87" s="2137"/>
      <c r="B87" s="2137"/>
      <c r="C87" s="2137"/>
      <c r="D87" s="2137"/>
      <c r="E87" s="2168"/>
      <c r="F87" s="2168"/>
      <c r="G87" s="2168"/>
      <c r="H87" s="2168"/>
      <c r="I87" s="2168"/>
      <c r="J87" s="2168"/>
      <c r="K87" s="2168"/>
      <c r="L87" s="2168"/>
      <c r="M87" s="2168"/>
      <c r="N87" s="2168"/>
      <c r="O87" s="2168"/>
      <c r="P87" s="2168"/>
      <c r="Q87" s="2168"/>
      <c r="R87" s="2168"/>
      <c r="S87" s="2168"/>
      <c r="T87" s="2168"/>
      <c r="U87" s="2168"/>
      <c r="V87" s="2168"/>
      <c r="W87" s="2168"/>
      <c r="X87" s="2168"/>
      <c r="Y87" s="2168"/>
      <c r="Z87" s="2168"/>
      <c r="AA87" s="2168"/>
      <c r="AB87" s="2168"/>
      <c r="AC87" s="2168"/>
      <c r="AD87" s="2168"/>
      <c r="AE87" s="2168"/>
      <c r="AF87" s="2168"/>
      <c r="AG87" s="2168"/>
      <c r="AH87" s="2168"/>
      <c r="AI87" s="2168"/>
      <c r="AJ87" s="2168"/>
      <c r="AK87" s="2168"/>
      <c r="AL87" s="2168"/>
      <c r="AM87" s="2168"/>
      <c r="AN87" s="2168"/>
      <c r="AO87" s="2168"/>
      <c r="AP87" s="2168"/>
      <c r="AQ87" s="2168"/>
      <c r="AR87" s="2168"/>
      <c r="AS87" s="2137"/>
      <c r="AT87" s="2137"/>
      <c r="AU87" s="2137"/>
      <c r="AV87" s="2137"/>
      <c r="AW87" s="2137"/>
      <c r="AX87" s="2137"/>
      <c r="AY87" s="2137"/>
      <c r="AZ87" s="2137"/>
      <c r="BA87" s="2137"/>
      <c r="BB87" s="2137"/>
      <c r="BC87" s="2137"/>
      <c r="BD87" s="2137"/>
      <c r="BE87" s="2137"/>
      <c r="BF87" s="2137"/>
      <c r="BG87" s="2137"/>
      <c r="BH87" s="2137"/>
      <c r="BI87" s="2137"/>
      <c r="BJ87" s="2137"/>
      <c r="BK87" s="2137"/>
      <c r="BL87" s="2137"/>
      <c r="BM87" s="2137"/>
      <c r="BN87" s="2168"/>
      <c r="BO87" s="2168"/>
      <c r="BP87" s="2168"/>
      <c r="BQ87" s="2168"/>
      <c r="BR87" s="2168"/>
      <c r="BS87" s="2168"/>
      <c r="BT87" s="2168"/>
      <c r="BU87" s="2168"/>
      <c r="BV87" s="2168"/>
      <c r="BW87" s="2168"/>
      <c r="BX87" s="2168"/>
      <c r="BY87" s="2168"/>
      <c r="BZ87" s="2168"/>
      <c r="CA87" s="2168"/>
      <c r="CB87" s="2168"/>
      <c r="CC87" s="2144" t="s">
        <v>43</v>
      </c>
      <c r="CD87" s="2144" t="s">
        <v>44</v>
      </c>
      <c r="CE87" s="2145" t="s">
        <v>55</v>
      </c>
      <c r="CF87" s="2144" t="s">
        <v>43</v>
      </c>
      <c r="CG87" s="2144" t="s">
        <v>44</v>
      </c>
      <c r="CH87" s="2142"/>
    </row>
    <row r="88" spans="1:91" s="287" customFormat="1" ht="15" x14ac:dyDescent="0.25">
      <c r="A88" s="2137"/>
      <c r="B88" s="2137"/>
      <c r="C88" s="2137"/>
      <c r="D88" s="2137"/>
      <c r="E88" s="2168"/>
      <c r="F88" s="2168"/>
      <c r="G88" s="2168"/>
      <c r="H88" s="2168"/>
      <c r="I88" s="2168"/>
      <c r="J88" s="2168"/>
      <c r="K88" s="2168"/>
      <c r="L88" s="2168"/>
      <c r="M88" s="2168"/>
      <c r="N88" s="2168"/>
      <c r="O88" s="2168"/>
      <c r="P88" s="2168"/>
      <c r="Q88" s="2168"/>
      <c r="R88" s="2168"/>
      <c r="S88" s="2168"/>
      <c r="T88" s="2168"/>
      <c r="U88" s="2168"/>
      <c r="V88" s="2168"/>
      <c r="W88" s="2168"/>
      <c r="X88" s="2168"/>
      <c r="Y88" s="2168"/>
      <c r="Z88" s="2168"/>
      <c r="AA88" s="2168"/>
      <c r="AB88" s="2168"/>
      <c r="AC88" s="2168"/>
      <c r="AD88" s="2168"/>
      <c r="AE88" s="2168"/>
      <c r="AF88" s="2168"/>
      <c r="AG88" s="2168"/>
      <c r="AH88" s="2168"/>
      <c r="AI88" s="2168"/>
      <c r="AJ88" s="2168"/>
      <c r="AK88" s="2168"/>
      <c r="AL88" s="2168"/>
      <c r="AM88" s="2168"/>
      <c r="AN88" s="2168"/>
      <c r="AO88" s="2168"/>
      <c r="AP88" s="2168"/>
      <c r="AQ88" s="2168"/>
      <c r="AR88" s="2168"/>
      <c r="AS88" s="2137"/>
      <c r="AT88" s="2137"/>
      <c r="AU88" s="2137"/>
      <c r="AV88" s="2137"/>
      <c r="AW88" s="2137"/>
      <c r="AX88" s="2137"/>
      <c r="AY88" s="2137"/>
      <c r="AZ88" s="2137"/>
      <c r="BA88" s="2137"/>
      <c r="BB88" s="2137"/>
      <c r="BC88" s="2137"/>
      <c r="BD88" s="2137"/>
      <c r="BE88" s="2137"/>
      <c r="BF88" s="2137"/>
      <c r="BG88" s="2137"/>
      <c r="BH88" s="2137"/>
      <c r="BI88" s="2137"/>
      <c r="BJ88" s="2137"/>
      <c r="BK88" s="2137"/>
      <c r="BL88" s="2137"/>
      <c r="BM88" s="2137"/>
      <c r="BN88" s="2168"/>
      <c r="BO88" s="2168"/>
      <c r="BP88" s="2168"/>
      <c r="BQ88" s="2168"/>
      <c r="BR88" s="2168"/>
      <c r="BS88" s="2168"/>
      <c r="BT88" s="2168"/>
      <c r="BU88" s="2168"/>
      <c r="BV88" s="2168"/>
      <c r="BW88" s="2168"/>
      <c r="BX88" s="2168"/>
      <c r="BY88" s="2168"/>
      <c r="BZ88" s="2168"/>
      <c r="CA88" s="2168"/>
      <c r="CB88" s="2168"/>
      <c r="CC88" s="2144"/>
      <c r="CD88" s="2144"/>
      <c r="CE88" s="2146"/>
      <c r="CF88" s="2144"/>
      <c r="CG88" s="2144"/>
      <c r="CH88" s="2143"/>
    </row>
    <row r="89" spans="1:91" s="287" customFormat="1" ht="15" x14ac:dyDescent="0.25">
      <c r="A89" s="1830">
        <v>1</v>
      </c>
      <c r="B89" s="1830"/>
      <c r="C89" s="1830"/>
      <c r="D89" s="1830"/>
      <c r="E89" s="1830">
        <v>2</v>
      </c>
      <c r="F89" s="1830"/>
      <c r="G89" s="1830"/>
      <c r="H89" s="1830"/>
      <c r="I89" s="1830"/>
      <c r="J89" s="1830"/>
      <c r="K89" s="1830"/>
      <c r="L89" s="1830"/>
      <c r="M89" s="1830"/>
      <c r="N89" s="1830"/>
      <c r="O89" s="1830"/>
      <c r="P89" s="1830"/>
      <c r="Q89" s="1830"/>
      <c r="R89" s="1830"/>
      <c r="S89" s="1830"/>
      <c r="T89" s="1830"/>
      <c r="U89" s="1830"/>
      <c r="V89" s="1830"/>
      <c r="W89" s="1830"/>
      <c r="X89" s="1830"/>
      <c r="Y89" s="1830"/>
      <c r="Z89" s="1830"/>
      <c r="AA89" s="1830"/>
      <c r="AB89" s="1830"/>
      <c r="AC89" s="1830"/>
      <c r="AD89" s="1830"/>
      <c r="AE89" s="1830"/>
      <c r="AF89" s="1830"/>
      <c r="AG89" s="1830"/>
      <c r="AH89" s="1830"/>
      <c r="AI89" s="1830"/>
      <c r="AJ89" s="1830"/>
      <c r="AK89" s="1830"/>
      <c r="AL89" s="1830"/>
      <c r="AM89" s="1830"/>
      <c r="AN89" s="1830"/>
      <c r="AO89" s="1830"/>
      <c r="AP89" s="1830"/>
      <c r="AQ89" s="1830"/>
      <c r="AR89" s="1830"/>
      <c r="AS89" s="1830">
        <v>3</v>
      </c>
      <c r="AT89" s="1830"/>
      <c r="AU89" s="1830"/>
      <c r="AV89" s="1830"/>
      <c r="AW89" s="1830"/>
      <c r="AX89" s="1830"/>
      <c r="AY89" s="1830"/>
      <c r="AZ89" s="1830"/>
      <c r="BA89" s="1830"/>
      <c r="BB89" s="1830"/>
      <c r="BC89" s="1830">
        <v>4</v>
      </c>
      <c r="BD89" s="1830"/>
      <c r="BE89" s="1830"/>
      <c r="BF89" s="1830"/>
      <c r="BG89" s="1830"/>
      <c r="BH89" s="1830"/>
      <c r="BI89" s="1830"/>
      <c r="BJ89" s="1830"/>
      <c r="BK89" s="1830"/>
      <c r="BL89" s="1830"/>
      <c r="BM89" s="1830"/>
      <c r="BN89" s="1830" t="s">
        <v>49</v>
      </c>
      <c r="BO89" s="1830"/>
      <c r="BP89" s="1830"/>
      <c r="BQ89" s="1830"/>
      <c r="BR89" s="1830"/>
      <c r="BS89" s="1830"/>
      <c r="BT89" s="1830"/>
      <c r="BU89" s="1830"/>
      <c r="BV89" s="1830"/>
      <c r="BW89" s="1830"/>
      <c r="BX89" s="1830"/>
      <c r="BY89" s="1830"/>
      <c r="BZ89" s="1830"/>
      <c r="CA89" s="1830"/>
      <c r="CB89" s="1830"/>
      <c r="CC89" s="15">
        <v>6</v>
      </c>
      <c r="CD89" s="15">
        <v>7</v>
      </c>
      <c r="CE89" s="15">
        <v>8</v>
      </c>
      <c r="CF89" s="15">
        <v>9</v>
      </c>
      <c r="CG89" s="15">
        <v>10</v>
      </c>
      <c r="CH89" s="15">
        <v>11</v>
      </c>
      <c r="CJ89" s="1139"/>
    </row>
    <row r="90" spans="1:91" s="579" customFormat="1" ht="19.899999999999999" customHeight="1" x14ac:dyDescent="0.2">
      <c r="A90" s="1810">
        <v>1</v>
      </c>
      <c r="B90" s="1810"/>
      <c r="C90" s="1810"/>
      <c r="D90" s="1810"/>
      <c r="E90" s="2082" t="s">
        <v>1281</v>
      </c>
      <c r="F90" s="2082"/>
      <c r="G90" s="2082"/>
      <c r="H90" s="2082"/>
      <c r="I90" s="2082"/>
      <c r="J90" s="2082"/>
      <c r="K90" s="2082"/>
      <c r="L90" s="2082"/>
      <c r="M90" s="2082"/>
      <c r="N90" s="2082"/>
      <c r="O90" s="2082"/>
      <c r="P90" s="2082"/>
      <c r="Q90" s="2082"/>
      <c r="R90" s="2082"/>
      <c r="S90" s="2082"/>
      <c r="T90" s="2082"/>
      <c r="U90" s="2082"/>
      <c r="V90" s="2082"/>
      <c r="W90" s="2082"/>
      <c r="X90" s="2082"/>
      <c r="Y90" s="2082"/>
      <c r="Z90" s="2082"/>
      <c r="AA90" s="2082"/>
      <c r="AB90" s="2082"/>
      <c r="AC90" s="2082"/>
      <c r="AD90" s="2082"/>
      <c r="AE90" s="2082"/>
      <c r="AF90" s="2082"/>
      <c r="AG90" s="2082"/>
      <c r="AH90" s="2082"/>
      <c r="AI90" s="2082"/>
      <c r="AJ90" s="2082"/>
      <c r="AK90" s="2082"/>
      <c r="AL90" s="2082"/>
      <c r="AM90" s="2082"/>
      <c r="AN90" s="2082"/>
      <c r="AO90" s="2082"/>
      <c r="AP90" s="2082"/>
      <c r="AQ90" s="2082"/>
      <c r="AR90" s="2082"/>
      <c r="AS90" s="2166">
        <v>1</v>
      </c>
      <c r="AT90" s="2166"/>
      <c r="AU90" s="2166"/>
      <c r="AV90" s="2166"/>
      <c r="AW90" s="2166"/>
      <c r="AX90" s="2166"/>
      <c r="AY90" s="2166"/>
      <c r="AZ90" s="2166"/>
      <c r="BA90" s="2166"/>
      <c r="BB90" s="2166"/>
      <c r="BC90" s="2091">
        <f>CC90</f>
        <v>50000</v>
      </c>
      <c r="BD90" s="2091"/>
      <c r="BE90" s="2091"/>
      <c r="BF90" s="2091"/>
      <c r="BG90" s="2091"/>
      <c r="BH90" s="2091"/>
      <c r="BI90" s="2091"/>
      <c r="BJ90" s="2091"/>
      <c r="BK90" s="2091"/>
      <c r="BL90" s="2091"/>
      <c r="BM90" s="2091"/>
      <c r="BN90" s="2091">
        <f>CC90</f>
        <v>50000</v>
      </c>
      <c r="BO90" s="2091"/>
      <c r="BP90" s="2091"/>
      <c r="BQ90" s="2091"/>
      <c r="BR90" s="2091"/>
      <c r="BS90" s="2091"/>
      <c r="BT90" s="2091"/>
      <c r="BU90" s="2091"/>
      <c r="BV90" s="2091"/>
      <c r="BW90" s="2091"/>
      <c r="BX90" s="2091"/>
      <c r="BY90" s="2091"/>
      <c r="BZ90" s="2091"/>
      <c r="CA90" s="2091"/>
      <c r="CB90" s="2091"/>
      <c r="CC90" s="233">
        <v>50000</v>
      </c>
      <c r="CD90" s="233"/>
      <c r="CE90" s="1031"/>
      <c r="CF90" s="829"/>
      <c r="CG90" s="829"/>
      <c r="CH90" s="233"/>
      <c r="CJ90" s="1140" t="s">
        <v>1593</v>
      </c>
    </row>
    <row r="91" spans="1:91" s="579" customFormat="1" ht="18" customHeight="1" x14ac:dyDescent="0.25">
      <c r="A91" s="1810">
        <v>2</v>
      </c>
      <c r="B91" s="1810"/>
      <c r="C91" s="1810"/>
      <c r="D91" s="1810"/>
      <c r="E91" s="2082" t="s">
        <v>1282</v>
      </c>
      <c r="F91" s="2082"/>
      <c r="G91" s="2082"/>
      <c r="H91" s="2082"/>
      <c r="I91" s="2082"/>
      <c r="J91" s="2082"/>
      <c r="K91" s="2082"/>
      <c r="L91" s="2082"/>
      <c r="M91" s="2082"/>
      <c r="N91" s="2082"/>
      <c r="O91" s="2082"/>
      <c r="P91" s="2082"/>
      <c r="Q91" s="2082"/>
      <c r="R91" s="2082"/>
      <c r="S91" s="2082"/>
      <c r="T91" s="2082"/>
      <c r="U91" s="2082"/>
      <c r="V91" s="2082"/>
      <c r="W91" s="2082"/>
      <c r="X91" s="2082"/>
      <c r="Y91" s="2082"/>
      <c r="Z91" s="2082"/>
      <c r="AA91" s="2082"/>
      <c r="AB91" s="2082"/>
      <c r="AC91" s="2082"/>
      <c r="AD91" s="2082"/>
      <c r="AE91" s="2082"/>
      <c r="AF91" s="2082"/>
      <c r="AG91" s="2082"/>
      <c r="AH91" s="2082"/>
      <c r="AI91" s="2082"/>
      <c r="AJ91" s="2082"/>
      <c r="AK91" s="2082"/>
      <c r="AL91" s="2082"/>
      <c r="AM91" s="2082"/>
      <c r="AN91" s="2082"/>
      <c r="AO91" s="2082"/>
      <c r="AP91" s="2082"/>
      <c r="AQ91" s="2082"/>
      <c r="AR91" s="2082"/>
      <c r="AS91" s="2166">
        <v>500</v>
      </c>
      <c r="AT91" s="2166"/>
      <c r="AU91" s="2166"/>
      <c r="AV91" s="2166"/>
      <c r="AW91" s="2166"/>
      <c r="AX91" s="2166"/>
      <c r="AY91" s="2166"/>
      <c r="AZ91" s="2166"/>
      <c r="BA91" s="2166"/>
      <c r="BB91" s="2166"/>
      <c r="BC91" s="2091">
        <f>CC91/AS91</f>
        <v>792.67234000000008</v>
      </c>
      <c r="BD91" s="2091"/>
      <c r="BE91" s="2091"/>
      <c r="BF91" s="2091"/>
      <c r="BG91" s="2091"/>
      <c r="BH91" s="2091"/>
      <c r="BI91" s="2091"/>
      <c r="BJ91" s="2091"/>
      <c r="BK91" s="2091"/>
      <c r="BL91" s="2091"/>
      <c r="BM91" s="2091"/>
      <c r="BN91" s="2091">
        <f>CC91</f>
        <v>396336.17000000004</v>
      </c>
      <c r="BO91" s="2091"/>
      <c r="BP91" s="2091"/>
      <c r="BQ91" s="2091"/>
      <c r="BR91" s="2091"/>
      <c r="BS91" s="2091"/>
      <c r="BT91" s="2091"/>
      <c r="BU91" s="2091"/>
      <c r="BV91" s="2091"/>
      <c r="BW91" s="2091"/>
      <c r="BX91" s="2091"/>
      <c r="BY91" s="2091"/>
      <c r="BZ91" s="2091"/>
      <c r="CA91" s="2091"/>
      <c r="CB91" s="2091"/>
      <c r="CC91" s="233">
        <f>680000-3280-7335-43822.35+3107.26-30000-19700+3280+1796.6-8370.2-30000-11200-13590-82800-41750.14</f>
        <v>396336.17000000004</v>
      </c>
      <c r="CD91" s="233"/>
      <c r="CE91" s="1137"/>
      <c r="CF91" s="829"/>
      <c r="CG91" s="829"/>
      <c r="CH91" s="233"/>
      <c r="CI91" s="1088" t="s">
        <v>1637</v>
      </c>
      <c r="CJ91" s="1141">
        <f>CC91-CE91</f>
        <v>396336.17000000004</v>
      </c>
    </row>
    <row r="92" spans="1:91" s="579" customFormat="1" ht="20.25" x14ac:dyDescent="0.2">
      <c r="A92" s="1810">
        <v>3</v>
      </c>
      <c r="B92" s="1810"/>
      <c r="C92" s="1810"/>
      <c r="D92" s="1810"/>
      <c r="E92" s="2082" t="s">
        <v>1284</v>
      </c>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2"/>
      <c r="AI92" s="2082"/>
      <c r="AJ92" s="2082"/>
      <c r="AK92" s="2082"/>
      <c r="AL92" s="2082"/>
      <c r="AM92" s="2082"/>
      <c r="AN92" s="2082"/>
      <c r="AO92" s="2082"/>
      <c r="AP92" s="2082"/>
      <c r="AQ92" s="2082"/>
      <c r="AR92" s="2082"/>
      <c r="AS92" s="2166">
        <v>3</v>
      </c>
      <c r="AT92" s="2166"/>
      <c r="AU92" s="2166"/>
      <c r="AV92" s="2166"/>
      <c r="AW92" s="2166"/>
      <c r="AX92" s="2166"/>
      <c r="AY92" s="2166"/>
      <c r="AZ92" s="2166"/>
      <c r="BA92" s="2166"/>
      <c r="BB92" s="2166"/>
      <c r="BC92" s="2091">
        <v>9000</v>
      </c>
      <c r="BD92" s="2091"/>
      <c r="BE92" s="2091"/>
      <c r="BF92" s="2091"/>
      <c r="BG92" s="2091"/>
      <c r="BH92" s="2091"/>
      <c r="BI92" s="2091"/>
      <c r="BJ92" s="2091"/>
      <c r="BK92" s="2091"/>
      <c r="BL92" s="2091"/>
      <c r="BM92" s="2091"/>
      <c r="BN92" s="2091">
        <f t="shared" ref="BN92" si="5">CC92</f>
        <v>27000</v>
      </c>
      <c r="BO92" s="2091"/>
      <c r="BP92" s="2091"/>
      <c r="BQ92" s="2091"/>
      <c r="BR92" s="2091"/>
      <c r="BS92" s="2091"/>
      <c r="BT92" s="2091"/>
      <c r="BU92" s="2091"/>
      <c r="BV92" s="2091"/>
      <c r="BW92" s="2091"/>
      <c r="BX92" s="2091"/>
      <c r="BY92" s="2091"/>
      <c r="BZ92" s="2091"/>
      <c r="CA92" s="2091"/>
      <c r="CB92" s="2091"/>
      <c r="CC92" s="233">
        <f t="shared" ref="CC92" si="6">AS92*BC92</f>
        <v>27000</v>
      </c>
      <c r="CD92" s="233"/>
      <c r="CE92" s="1031"/>
      <c r="CF92" s="829"/>
      <c r="CG92" s="829"/>
      <c r="CH92" s="233"/>
      <c r="CJ92" s="1138"/>
    </row>
    <row r="93" spans="1:91" s="579" customFormat="1" ht="15" x14ac:dyDescent="0.2">
      <c r="A93" s="1810">
        <v>4</v>
      </c>
      <c r="B93" s="1810"/>
      <c r="C93" s="1810"/>
      <c r="D93" s="1810"/>
      <c r="E93" s="1887" t="s">
        <v>1227</v>
      </c>
      <c r="F93" s="1888"/>
      <c r="G93" s="1888"/>
      <c r="H93" s="1888"/>
      <c r="I93" s="1888"/>
      <c r="J93" s="1888"/>
      <c r="K93" s="1888"/>
      <c r="L93" s="1888"/>
      <c r="M93" s="1888"/>
      <c r="N93" s="1888"/>
      <c r="O93" s="1888"/>
      <c r="P93" s="1888"/>
      <c r="Q93" s="1888"/>
      <c r="R93" s="1888"/>
      <c r="S93" s="1888"/>
      <c r="T93" s="1888"/>
      <c r="U93" s="1888"/>
      <c r="V93" s="1888"/>
      <c r="W93" s="1888"/>
      <c r="X93" s="1888"/>
      <c r="Y93" s="1888"/>
      <c r="Z93" s="1888"/>
      <c r="AA93" s="1888"/>
      <c r="AB93" s="1888"/>
      <c r="AC93" s="1888"/>
      <c r="AD93" s="1888"/>
      <c r="AE93" s="1888"/>
      <c r="AF93" s="1888"/>
      <c r="AG93" s="1888"/>
      <c r="AH93" s="1888"/>
      <c r="AI93" s="1888"/>
      <c r="AJ93" s="1888"/>
      <c r="AK93" s="1888"/>
      <c r="AL93" s="1888"/>
      <c r="AM93" s="1888"/>
      <c r="AN93" s="1888"/>
      <c r="AO93" s="1888"/>
      <c r="AP93" s="1888"/>
      <c r="AQ93" s="1888"/>
      <c r="AR93" s="1889"/>
      <c r="AS93" s="1806">
        <v>1</v>
      </c>
      <c r="AT93" s="1806"/>
      <c r="AU93" s="1806"/>
      <c r="AV93" s="1806"/>
      <c r="AW93" s="1806"/>
      <c r="AX93" s="1806"/>
      <c r="AY93" s="1806"/>
      <c r="AZ93" s="1806"/>
      <c r="BA93" s="1806"/>
      <c r="BB93" s="1806"/>
      <c r="BC93" s="1977">
        <v>4025</v>
      </c>
      <c r="BD93" s="1977"/>
      <c r="BE93" s="1977"/>
      <c r="BF93" s="1977"/>
      <c r="BG93" s="1977"/>
      <c r="BH93" s="1977"/>
      <c r="BI93" s="1977"/>
      <c r="BJ93" s="1977"/>
      <c r="BK93" s="1977"/>
      <c r="BL93" s="1977"/>
      <c r="BM93" s="1977"/>
      <c r="BN93" s="2165">
        <f>CG93</f>
        <v>4025</v>
      </c>
      <c r="BO93" s="2165"/>
      <c r="BP93" s="2165"/>
      <c r="BQ93" s="2165"/>
      <c r="BR93" s="2165"/>
      <c r="BS93" s="2165"/>
      <c r="BT93" s="2165"/>
      <c r="BU93" s="2165"/>
      <c r="BV93" s="2165"/>
      <c r="BW93" s="2165"/>
      <c r="BX93" s="2165"/>
      <c r="BY93" s="2165"/>
      <c r="BZ93" s="2165"/>
      <c r="CA93" s="2165"/>
      <c r="CB93" s="2165"/>
      <c r="CC93" s="259"/>
      <c r="CD93" s="259"/>
      <c r="CE93" s="831" t="s">
        <v>1484</v>
      </c>
      <c r="CF93" s="828"/>
      <c r="CG93" s="828">
        <f>BC93</f>
        <v>4025</v>
      </c>
      <c r="CH93" s="233"/>
      <c r="CM93" s="1060"/>
    </row>
    <row r="94" spans="1:91" s="579" customFormat="1" ht="15.75" customHeight="1" x14ac:dyDescent="0.2">
      <c r="A94" s="1810">
        <v>5</v>
      </c>
      <c r="B94" s="1810"/>
      <c r="C94" s="1810"/>
      <c r="D94" s="1810"/>
      <c r="E94" s="1887" t="s">
        <v>1228</v>
      </c>
      <c r="F94" s="1888"/>
      <c r="G94" s="1888"/>
      <c r="H94" s="1888"/>
      <c r="I94" s="1888"/>
      <c r="J94" s="1888"/>
      <c r="K94" s="1888"/>
      <c r="L94" s="1888"/>
      <c r="M94" s="1888"/>
      <c r="N94" s="1888"/>
      <c r="O94" s="1888"/>
      <c r="P94" s="1888"/>
      <c r="Q94" s="1888"/>
      <c r="R94" s="1888"/>
      <c r="S94" s="1888"/>
      <c r="T94" s="1888"/>
      <c r="U94" s="1888"/>
      <c r="V94" s="1888"/>
      <c r="W94" s="1888"/>
      <c r="X94" s="1888"/>
      <c r="Y94" s="1888"/>
      <c r="Z94" s="1888"/>
      <c r="AA94" s="1888"/>
      <c r="AB94" s="1888"/>
      <c r="AC94" s="1888"/>
      <c r="AD94" s="1888"/>
      <c r="AE94" s="1888"/>
      <c r="AF94" s="1888"/>
      <c r="AG94" s="1888"/>
      <c r="AH94" s="1888"/>
      <c r="AI94" s="1888"/>
      <c r="AJ94" s="1888"/>
      <c r="AK94" s="1888"/>
      <c r="AL94" s="1888"/>
      <c r="AM94" s="1888"/>
      <c r="AN94" s="1888"/>
      <c r="AO94" s="1888"/>
      <c r="AP94" s="1888"/>
      <c r="AQ94" s="1888"/>
      <c r="AR94" s="1889"/>
      <c r="AS94" s="1806">
        <v>1</v>
      </c>
      <c r="AT94" s="1806"/>
      <c r="AU94" s="1806"/>
      <c r="AV94" s="1806"/>
      <c r="AW94" s="1806"/>
      <c r="AX94" s="1806"/>
      <c r="AY94" s="1806"/>
      <c r="AZ94" s="1806"/>
      <c r="BA94" s="1806"/>
      <c r="BB94" s="1806"/>
      <c r="BC94" s="1977">
        <v>4638</v>
      </c>
      <c r="BD94" s="1977"/>
      <c r="BE94" s="1977"/>
      <c r="BF94" s="1977"/>
      <c r="BG94" s="1977"/>
      <c r="BH94" s="1977"/>
      <c r="BI94" s="1977"/>
      <c r="BJ94" s="1977"/>
      <c r="BK94" s="1977"/>
      <c r="BL94" s="1977"/>
      <c r="BM94" s="1977"/>
      <c r="BN94" s="2165">
        <f>CG94</f>
        <v>4638</v>
      </c>
      <c r="BO94" s="2165"/>
      <c r="BP94" s="2165"/>
      <c r="BQ94" s="2165"/>
      <c r="BR94" s="2165"/>
      <c r="BS94" s="2165"/>
      <c r="BT94" s="2165"/>
      <c r="BU94" s="2165"/>
      <c r="BV94" s="2165"/>
      <c r="BW94" s="2165"/>
      <c r="BX94" s="2165"/>
      <c r="BY94" s="2165"/>
      <c r="BZ94" s="2165"/>
      <c r="CA94" s="2165"/>
      <c r="CB94" s="2165"/>
      <c r="CC94" s="259"/>
      <c r="CD94" s="259"/>
      <c r="CE94" s="831" t="s">
        <v>1484</v>
      </c>
      <c r="CF94" s="828"/>
      <c r="CG94" s="828">
        <f>BC94</f>
        <v>4638</v>
      </c>
      <c r="CH94" s="233"/>
      <c r="CM94" s="1060"/>
    </row>
    <row r="95" spans="1:91" s="579" customFormat="1" ht="52.9" customHeight="1" x14ac:dyDescent="0.2">
      <c r="A95" s="1810">
        <v>5</v>
      </c>
      <c r="B95" s="1810"/>
      <c r="C95" s="1810"/>
      <c r="D95" s="1810"/>
      <c r="E95" s="1887" t="s">
        <v>1316</v>
      </c>
      <c r="F95" s="1888"/>
      <c r="G95" s="1888"/>
      <c r="H95" s="1888"/>
      <c r="I95" s="1888"/>
      <c r="J95" s="1888"/>
      <c r="K95" s="1888"/>
      <c r="L95" s="1888"/>
      <c r="M95" s="1888"/>
      <c r="N95" s="1888"/>
      <c r="O95" s="1888"/>
      <c r="P95" s="1888"/>
      <c r="Q95" s="1888"/>
      <c r="R95" s="1888"/>
      <c r="S95" s="1888"/>
      <c r="T95" s="1888"/>
      <c r="U95" s="1888"/>
      <c r="V95" s="1888"/>
      <c r="W95" s="1888"/>
      <c r="X95" s="1888"/>
      <c r="Y95" s="1888"/>
      <c r="Z95" s="1888"/>
      <c r="AA95" s="1888"/>
      <c r="AB95" s="1888"/>
      <c r="AC95" s="1888"/>
      <c r="AD95" s="1888"/>
      <c r="AE95" s="1888"/>
      <c r="AF95" s="1888"/>
      <c r="AG95" s="1888"/>
      <c r="AH95" s="1888"/>
      <c r="AI95" s="1888"/>
      <c r="AJ95" s="1888"/>
      <c r="AK95" s="1888"/>
      <c r="AL95" s="1888"/>
      <c r="AM95" s="1888"/>
      <c r="AN95" s="1888"/>
      <c r="AO95" s="1888"/>
      <c r="AP95" s="1888"/>
      <c r="AQ95" s="1888"/>
      <c r="AR95" s="1889"/>
      <c r="AS95" s="1830">
        <v>20</v>
      </c>
      <c r="AT95" s="1830"/>
      <c r="AU95" s="1830"/>
      <c r="AV95" s="1830"/>
      <c r="AW95" s="1830"/>
      <c r="AX95" s="1830"/>
      <c r="AY95" s="1830"/>
      <c r="AZ95" s="1830"/>
      <c r="BA95" s="1830"/>
      <c r="BB95" s="1830"/>
      <c r="BC95" s="2072">
        <f>BN95/AS95</f>
        <v>4688.3999999999996</v>
      </c>
      <c r="BD95" s="2072"/>
      <c r="BE95" s="2072"/>
      <c r="BF95" s="2072"/>
      <c r="BG95" s="2072"/>
      <c r="BH95" s="2072"/>
      <c r="BI95" s="2072"/>
      <c r="BJ95" s="2072"/>
      <c r="BK95" s="2072"/>
      <c r="BL95" s="2072"/>
      <c r="BM95" s="2072"/>
      <c r="BN95" s="2089">
        <f>CG95</f>
        <v>93768</v>
      </c>
      <c r="BO95" s="2089"/>
      <c r="BP95" s="2089"/>
      <c r="BQ95" s="2089"/>
      <c r="BR95" s="2089"/>
      <c r="BS95" s="2089"/>
      <c r="BT95" s="2089"/>
      <c r="BU95" s="2089"/>
      <c r="BV95" s="2089"/>
      <c r="BW95" s="2089"/>
      <c r="BX95" s="2089"/>
      <c r="BY95" s="2089"/>
      <c r="BZ95" s="2089"/>
      <c r="CA95" s="2089"/>
      <c r="CB95" s="2089"/>
      <c r="CC95" s="814"/>
      <c r="CD95" s="814"/>
      <c r="CE95" s="831" t="s">
        <v>1484</v>
      </c>
      <c r="CF95" s="828"/>
      <c r="CG95" s="828">
        <v>93768</v>
      </c>
      <c r="CH95" s="233"/>
    </row>
    <row r="96" spans="1:91" s="579" customFormat="1" ht="18" customHeight="1" x14ac:dyDescent="0.2">
      <c r="A96" s="1810">
        <v>6</v>
      </c>
      <c r="B96" s="1810"/>
      <c r="C96" s="1810"/>
      <c r="D96" s="1810"/>
      <c r="E96" s="1772" t="s">
        <v>1360</v>
      </c>
      <c r="F96" s="1882"/>
      <c r="G96" s="1882"/>
      <c r="H96" s="1882"/>
      <c r="I96" s="1882"/>
      <c r="J96" s="1882"/>
      <c r="K96" s="1882"/>
      <c r="L96" s="1882"/>
      <c r="M96" s="1882"/>
      <c r="N96" s="1882"/>
      <c r="O96" s="1882"/>
      <c r="P96" s="1882"/>
      <c r="Q96" s="1882"/>
      <c r="R96" s="1882"/>
      <c r="S96" s="1882"/>
      <c r="T96" s="1882"/>
      <c r="U96" s="1882"/>
      <c r="V96" s="1882"/>
      <c r="W96" s="1882"/>
      <c r="X96" s="1882"/>
      <c r="Y96" s="1882"/>
      <c r="Z96" s="1882"/>
      <c r="AA96" s="1882"/>
      <c r="AB96" s="1882"/>
      <c r="AC96" s="1882"/>
      <c r="AD96" s="1882"/>
      <c r="AE96" s="1882"/>
      <c r="AF96" s="1882"/>
      <c r="AG96" s="1882"/>
      <c r="AH96" s="1882"/>
      <c r="AI96" s="1882"/>
      <c r="AJ96" s="1882"/>
      <c r="AK96" s="1882"/>
      <c r="AL96" s="1882"/>
      <c r="AM96" s="1882"/>
      <c r="AN96" s="1882"/>
      <c r="AO96" s="1882"/>
      <c r="AP96" s="1882"/>
      <c r="AQ96" s="1882"/>
      <c r="AR96" s="1773"/>
      <c r="AS96" s="1830">
        <v>4</v>
      </c>
      <c r="AT96" s="1830"/>
      <c r="AU96" s="1830"/>
      <c r="AV96" s="1830"/>
      <c r="AW96" s="1830"/>
      <c r="AX96" s="1830"/>
      <c r="AY96" s="1830"/>
      <c r="AZ96" s="1830"/>
      <c r="BA96" s="1830"/>
      <c r="BB96" s="1830"/>
      <c r="BC96" s="2072">
        <v>25000</v>
      </c>
      <c r="BD96" s="2072"/>
      <c r="BE96" s="2072"/>
      <c r="BF96" s="2072"/>
      <c r="BG96" s="2072"/>
      <c r="BH96" s="2072"/>
      <c r="BI96" s="2072"/>
      <c r="BJ96" s="2072"/>
      <c r="BK96" s="2072"/>
      <c r="BL96" s="2072"/>
      <c r="BM96" s="2072"/>
      <c r="BN96" s="2089">
        <f>CC96+CD96+CG96+CF96+CH96</f>
        <v>100000</v>
      </c>
      <c r="BO96" s="2089"/>
      <c r="BP96" s="2089"/>
      <c r="BQ96" s="2089"/>
      <c r="BR96" s="2089"/>
      <c r="BS96" s="2089"/>
      <c r="BT96" s="2089"/>
      <c r="BU96" s="2089"/>
      <c r="BV96" s="2089"/>
      <c r="BW96" s="2089"/>
      <c r="BX96" s="2089"/>
      <c r="BY96" s="2089"/>
      <c r="BZ96" s="2089"/>
      <c r="CA96" s="2089"/>
      <c r="CB96" s="2089"/>
      <c r="CC96" s="814"/>
      <c r="CD96" s="814"/>
      <c r="CE96" s="831" t="s">
        <v>1485</v>
      </c>
      <c r="CF96" s="828"/>
      <c r="CG96" s="828">
        <v>100000</v>
      </c>
      <c r="CH96" s="826"/>
    </row>
    <row r="97" spans="1:88" s="579" customFormat="1" ht="18" customHeight="1" x14ac:dyDescent="0.2">
      <c r="A97" s="1810">
        <v>7</v>
      </c>
      <c r="B97" s="1810"/>
      <c r="C97" s="1810"/>
      <c r="D97" s="1810"/>
      <c r="E97" s="1772" t="s">
        <v>1358</v>
      </c>
      <c r="F97" s="1882"/>
      <c r="G97" s="1882"/>
      <c r="H97" s="1882"/>
      <c r="I97" s="1882"/>
      <c r="J97" s="1882"/>
      <c r="K97" s="1882"/>
      <c r="L97" s="1882"/>
      <c r="M97" s="1882"/>
      <c r="N97" s="1882"/>
      <c r="O97" s="1882"/>
      <c r="P97" s="1882"/>
      <c r="Q97" s="1882"/>
      <c r="R97" s="1882"/>
      <c r="S97" s="1882"/>
      <c r="T97" s="1882"/>
      <c r="U97" s="1882"/>
      <c r="V97" s="1882"/>
      <c r="W97" s="1882"/>
      <c r="X97" s="1882"/>
      <c r="Y97" s="1882"/>
      <c r="Z97" s="1882"/>
      <c r="AA97" s="1882"/>
      <c r="AB97" s="1882"/>
      <c r="AC97" s="1882"/>
      <c r="AD97" s="1882"/>
      <c r="AE97" s="1882"/>
      <c r="AF97" s="1882"/>
      <c r="AG97" s="1882"/>
      <c r="AH97" s="1882"/>
      <c r="AI97" s="1882"/>
      <c r="AJ97" s="1882"/>
      <c r="AK97" s="1882"/>
      <c r="AL97" s="1882"/>
      <c r="AM97" s="1882"/>
      <c r="AN97" s="1882"/>
      <c r="AO97" s="1882"/>
      <c r="AP97" s="1882"/>
      <c r="AQ97" s="1882"/>
      <c r="AR97" s="1773"/>
      <c r="AS97" s="1830">
        <v>5</v>
      </c>
      <c r="AT97" s="1830"/>
      <c r="AU97" s="1830"/>
      <c r="AV97" s="1830"/>
      <c r="AW97" s="1830"/>
      <c r="AX97" s="1830"/>
      <c r="AY97" s="1830"/>
      <c r="AZ97" s="1830"/>
      <c r="BA97" s="1830"/>
      <c r="BB97" s="1830"/>
      <c r="BC97" s="2072">
        <f>BN97/AS97</f>
        <v>24170</v>
      </c>
      <c r="BD97" s="2072"/>
      <c r="BE97" s="2072"/>
      <c r="BF97" s="2072"/>
      <c r="BG97" s="2072"/>
      <c r="BH97" s="2072"/>
      <c r="BI97" s="2072"/>
      <c r="BJ97" s="2072"/>
      <c r="BK97" s="2072"/>
      <c r="BL97" s="2072"/>
      <c r="BM97" s="2072"/>
      <c r="BN97" s="2089">
        <f t="shared" ref="BN97:BN98" si="7">CC97+CD97+CG97+CF97+CH97</f>
        <v>120850</v>
      </c>
      <c r="BO97" s="2089"/>
      <c r="BP97" s="2089"/>
      <c r="BQ97" s="2089"/>
      <c r="BR97" s="2089"/>
      <c r="BS97" s="2089"/>
      <c r="BT97" s="2089"/>
      <c r="BU97" s="2089"/>
      <c r="BV97" s="2089"/>
      <c r="BW97" s="2089"/>
      <c r="BX97" s="2089"/>
      <c r="BY97" s="2089"/>
      <c r="BZ97" s="2089"/>
      <c r="CA97" s="2089"/>
      <c r="CB97" s="2089"/>
      <c r="CC97" s="814">
        <f>107260+13590</f>
        <v>120850</v>
      </c>
      <c r="CD97" s="814"/>
      <c r="CE97" s="1034"/>
      <c r="CF97" s="828"/>
      <c r="CG97" s="828"/>
      <c r="CH97" s="826"/>
      <c r="CI97" s="1120" t="s">
        <v>1592</v>
      </c>
    </row>
    <row r="98" spans="1:88" s="579" customFormat="1" ht="18" customHeight="1" x14ac:dyDescent="0.2">
      <c r="A98" s="1810">
        <v>8</v>
      </c>
      <c r="B98" s="1810"/>
      <c r="C98" s="1810"/>
      <c r="D98" s="1810"/>
      <c r="E98" s="1772" t="s">
        <v>1359</v>
      </c>
      <c r="F98" s="1882"/>
      <c r="G98" s="1882"/>
      <c r="H98" s="1882"/>
      <c r="I98" s="1882"/>
      <c r="J98" s="1882"/>
      <c r="K98" s="1882"/>
      <c r="L98" s="1882"/>
      <c r="M98" s="1882"/>
      <c r="N98" s="1882"/>
      <c r="O98" s="1882"/>
      <c r="P98" s="1882"/>
      <c r="Q98" s="1882"/>
      <c r="R98" s="1882"/>
      <c r="S98" s="1882"/>
      <c r="T98" s="1882"/>
      <c r="U98" s="1882"/>
      <c r="V98" s="1882"/>
      <c r="W98" s="1882"/>
      <c r="X98" s="1882"/>
      <c r="Y98" s="1882"/>
      <c r="Z98" s="1882"/>
      <c r="AA98" s="1882"/>
      <c r="AB98" s="1882"/>
      <c r="AC98" s="1882"/>
      <c r="AD98" s="1882"/>
      <c r="AE98" s="1882"/>
      <c r="AF98" s="1882"/>
      <c r="AG98" s="1882"/>
      <c r="AH98" s="1882"/>
      <c r="AI98" s="1882"/>
      <c r="AJ98" s="1882"/>
      <c r="AK98" s="1882"/>
      <c r="AL98" s="1882"/>
      <c r="AM98" s="1882"/>
      <c r="AN98" s="1882"/>
      <c r="AO98" s="1882"/>
      <c r="AP98" s="1882"/>
      <c r="AQ98" s="1882"/>
      <c r="AR98" s="1773"/>
      <c r="AS98" s="1830">
        <v>1</v>
      </c>
      <c r="AT98" s="1830"/>
      <c r="AU98" s="1830"/>
      <c r="AV98" s="1830"/>
      <c r="AW98" s="1830"/>
      <c r="AX98" s="1830"/>
      <c r="AY98" s="1830"/>
      <c r="AZ98" s="1830"/>
      <c r="BA98" s="1830"/>
      <c r="BB98" s="1830"/>
      <c r="BC98" s="2072">
        <v>76990</v>
      </c>
      <c r="BD98" s="2072"/>
      <c r="BE98" s="2072"/>
      <c r="BF98" s="2072"/>
      <c r="BG98" s="2072"/>
      <c r="BH98" s="2072"/>
      <c r="BI98" s="2072"/>
      <c r="BJ98" s="2072"/>
      <c r="BK98" s="2072"/>
      <c r="BL98" s="2072"/>
      <c r="BM98" s="2072"/>
      <c r="BN98" s="2089">
        <f t="shared" si="7"/>
        <v>76990</v>
      </c>
      <c r="BO98" s="2089"/>
      <c r="BP98" s="2089"/>
      <c r="BQ98" s="2089"/>
      <c r="BR98" s="2089"/>
      <c r="BS98" s="2089"/>
      <c r="BT98" s="2089"/>
      <c r="BU98" s="2089"/>
      <c r="BV98" s="2089"/>
      <c r="BW98" s="2089"/>
      <c r="BX98" s="2089"/>
      <c r="BY98" s="2089"/>
      <c r="BZ98" s="2089"/>
      <c r="CA98" s="2089"/>
      <c r="CB98" s="2089"/>
      <c r="CC98" s="814">
        <v>76990</v>
      </c>
      <c r="CD98" s="814"/>
      <c r="CE98" s="1034"/>
      <c r="CF98" s="828"/>
      <c r="CG98" s="828"/>
      <c r="CH98" s="826"/>
      <c r="CI98" s="579" t="s">
        <v>1695</v>
      </c>
    </row>
    <row r="99" spans="1:88" s="579" customFormat="1" ht="19.899999999999999" customHeight="1" x14ac:dyDescent="0.2">
      <c r="A99" s="1810">
        <v>9</v>
      </c>
      <c r="B99" s="1810"/>
      <c r="C99" s="1810"/>
      <c r="D99" s="1810"/>
      <c r="E99" s="1772" t="s">
        <v>1516</v>
      </c>
      <c r="F99" s="1882"/>
      <c r="G99" s="1882"/>
      <c r="H99" s="1882"/>
      <c r="I99" s="1882"/>
      <c r="J99" s="1882"/>
      <c r="K99" s="1882"/>
      <c r="L99" s="1882"/>
      <c r="M99" s="1882"/>
      <c r="N99" s="1882"/>
      <c r="O99" s="1882"/>
      <c r="P99" s="1882"/>
      <c r="Q99" s="1882"/>
      <c r="R99" s="1882"/>
      <c r="S99" s="1882"/>
      <c r="T99" s="1882"/>
      <c r="U99" s="1882"/>
      <c r="V99" s="1882"/>
      <c r="W99" s="1882"/>
      <c r="X99" s="1882"/>
      <c r="Y99" s="1882"/>
      <c r="Z99" s="1882"/>
      <c r="AA99" s="1882"/>
      <c r="AB99" s="1882"/>
      <c r="AC99" s="1882"/>
      <c r="AD99" s="1882"/>
      <c r="AE99" s="1882"/>
      <c r="AF99" s="1882"/>
      <c r="AG99" s="1882"/>
      <c r="AH99" s="1882"/>
      <c r="AI99" s="1882"/>
      <c r="AJ99" s="1882"/>
      <c r="AK99" s="1882"/>
      <c r="AL99" s="1882"/>
      <c r="AM99" s="1882"/>
      <c r="AN99" s="1882"/>
      <c r="AO99" s="1882"/>
      <c r="AP99" s="1882"/>
      <c r="AQ99" s="1882"/>
      <c r="AR99" s="1773"/>
      <c r="AS99" s="1830">
        <v>1</v>
      </c>
      <c r="AT99" s="1830"/>
      <c r="AU99" s="1830"/>
      <c r="AV99" s="1830"/>
      <c r="AW99" s="1830"/>
      <c r="AX99" s="1830"/>
      <c r="AY99" s="1830"/>
      <c r="AZ99" s="1830"/>
      <c r="BA99" s="1830"/>
      <c r="BB99" s="1830"/>
      <c r="BC99" s="2072">
        <f>CC99/AS99</f>
        <v>11200</v>
      </c>
      <c r="BD99" s="2072"/>
      <c r="BE99" s="2072"/>
      <c r="BF99" s="2072"/>
      <c r="BG99" s="2072"/>
      <c r="BH99" s="2072"/>
      <c r="BI99" s="2072"/>
      <c r="BJ99" s="2072"/>
      <c r="BK99" s="2072"/>
      <c r="BL99" s="2072"/>
      <c r="BM99" s="2072"/>
      <c r="BN99" s="2089">
        <f t="shared" ref="BN99" si="8">CC99+CD99+CG99+CF99+CH99</f>
        <v>11200</v>
      </c>
      <c r="BO99" s="2089"/>
      <c r="BP99" s="2089"/>
      <c r="BQ99" s="2089"/>
      <c r="BR99" s="2089"/>
      <c r="BS99" s="2089"/>
      <c r="BT99" s="2089"/>
      <c r="BU99" s="2089"/>
      <c r="BV99" s="2089"/>
      <c r="BW99" s="2089"/>
      <c r="BX99" s="2089"/>
      <c r="BY99" s="2089"/>
      <c r="BZ99" s="2089"/>
      <c r="CA99" s="2089"/>
      <c r="CB99" s="2089"/>
      <c r="CC99" s="814">
        <v>11200</v>
      </c>
      <c r="CD99" s="814"/>
      <c r="CE99" s="1034"/>
      <c r="CF99" s="828"/>
      <c r="CG99" s="828"/>
      <c r="CH99" s="826"/>
    </row>
    <row r="100" spans="1:88" s="579" customFormat="1" ht="19.899999999999999" customHeight="1" x14ac:dyDescent="0.2">
      <c r="A100" s="1810">
        <v>10</v>
      </c>
      <c r="B100" s="1810"/>
      <c r="C100" s="1810"/>
      <c r="D100" s="1810"/>
      <c r="E100" s="1772" t="s">
        <v>1632</v>
      </c>
      <c r="F100" s="1882"/>
      <c r="G100" s="1882"/>
      <c r="H100" s="1882"/>
      <c r="I100" s="1882"/>
      <c r="J100" s="1882"/>
      <c r="K100" s="1882"/>
      <c r="L100" s="1882"/>
      <c r="M100" s="1882"/>
      <c r="N100" s="1882"/>
      <c r="O100" s="1882"/>
      <c r="P100" s="1882"/>
      <c r="Q100" s="1882"/>
      <c r="R100" s="1882"/>
      <c r="S100" s="1882"/>
      <c r="T100" s="1882"/>
      <c r="U100" s="1882"/>
      <c r="V100" s="1882"/>
      <c r="W100" s="1882"/>
      <c r="X100" s="1882"/>
      <c r="Y100" s="1882"/>
      <c r="Z100" s="1882"/>
      <c r="AA100" s="1882"/>
      <c r="AB100" s="1882"/>
      <c r="AC100" s="1882"/>
      <c r="AD100" s="1882"/>
      <c r="AE100" s="1882"/>
      <c r="AF100" s="1882"/>
      <c r="AG100" s="1882"/>
      <c r="AH100" s="1882"/>
      <c r="AI100" s="1882"/>
      <c r="AJ100" s="1882"/>
      <c r="AK100" s="1882"/>
      <c r="AL100" s="1882"/>
      <c r="AM100" s="1882"/>
      <c r="AN100" s="1882"/>
      <c r="AO100" s="1882"/>
      <c r="AP100" s="1882"/>
      <c r="AQ100" s="1882"/>
      <c r="AR100" s="1773"/>
      <c r="AS100" s="1830">
        <v>3</v>
      </c>
      <c r="AT100" s="1830"/>
      <c r="AU100" s="1830"/>
      <c r="AV100" s="1830"/>
      <c r="AW100" s="1830"/>
      <c r="AX100" s="1830"/>
      <c r="AY100" s="1830"/>
      <c r="AZ100" s="1830"/>
      <c r="BA100" s="1830"/>
      <c r="BB100" s="1830"/>
      <c r="BC100" s="2072">
        <f>BN100/AS100</f>
        <v>13033.333333333334</v>
      </c>
      <c r="BD100" s="2072"/>
      <c r="BE100" s="2072"/>
      <c r="BF100" s="2072"/>
      <c r="BG100" s="2072"/>
      <c r="BH100" s="2072"/>
      <c r="BI100" s="2072"/>
      <c r="BJ100" s="2072"/>
      <c r="BK100" s="2072"/>
      <c r="BL100" s="2072"/>
      <c r="BM100" s="2072"/>
      <c r="BN100" s="2089">
        <f t="shared" ref="BN100" si="9">CC100+CD100+CG100+CF100+CH100</f>
        <v>39100</v>
      </c>
      <c r="BO100" s="2089"/>
      <c r="BP100" s="2089"/>
      <c r="BQ100" s="2089"/>
      <c r="BR100" s="2089"/>
      <c r="BS100" s="2089"/>
      <c r="BT100" s="2089"/>
      <c r="BU100" s="2089"/>
      <c r="BV100" s="2089"/>
      <c r="BW100" s="2089"/>
      <c r="BX100" s="2089"/>
      <c r="BY100" s="2089"/>
      <c r="BZ100" s="2089"/>
      <c r="CA100" s="2089"/>
      <c r="CB100" s="2089"/>
      <c r="CC100" s="814"/>
      <c r="CD100" s="814"/>
      <c r="CE100" s="1034"/>
      <c r="CF100" s="828"/>
      <c r="CG100" s="828"/>
      <c r="CH100" s="826">
        <f>20900+9100+9100</f>
        <v>39100</v>
      </c>
      <c r="CI100" s="1120" t="s">
        <v>1633</v>
      </c>
    </row>
    <row r="101" spans="1:88" s="579" customFormat="1" ht="19.899999999999999" customHeight="1" x14ac:dyDescent="0.2">
      <c r="A101" s="1810">
        <v>11</v>
      </c>
      <c r="B101" s="1810"/>
      <c r="C101" s="1810"/>
      <c r="D101" s="1810"/>
      <c r="E101" s="1772" t="s">
        <v>1643</v>
      </c>
      <c r="F101" s="1882"/>
      <c r="G101" s="1882"/>
      <c r="H101" s="1882"/>
      <c r="I101" s="1882"/>
      <c r="J101" s="1882"/>
      <c r="K101" s="1882"/>
      <c r="L101" s="1882"/>
      <c r="M101" s="1882"/>
      <c r="N101" s="1882"/>
      <c r="O101" s="1882"/>
      <c r="P101" s="1882"/>
      <c r="Q101" s="1882"/>
      <c r="R101" s="1882"/>
      <c r="S101" s="1882"/>
      <c r="T101" s="1882"/>
      <c r="U101" s="1882"/>
      <c r="V101" s="1882"/>
      <c r="W101" s="1882"/>
      <c r="X101" s="1882"/>
      <c r="Y101" s="1882"/>
      <c r="Z101" s="1882"/>
      <c r="AA101" s="1882"/>
      <c r="AB101" s="1882"/>
      <c r="AC101" s="1882"/>
      <c r="AD101" s="1882"/>
      <c r="AE101" s="1882"/>
      <c r="AF101" s="1882"/>
      <c r="AG101" s="1882"/>
      <c r="AH101" s="1882"/>
      <c r="AI101" s="1882"/>
      <c r="AJ101" s="1882"/>
      <c r="AK101" s="1882"/>
      <c r="AL101" s="1882"/>
      <c r="AM101" s="1882"/>
      <c r="AN101" s="1882"/>
      <c r="AO101" s="1882"/>
      <c r="AP101" s="1882"/>
      <c r="AQ101" s="1882"/>
      <c r="AR101" s="1773"/>
      <c r="AS101" s="1830">
        <v>24</v>
      </c>
      <c r="AT101" s="1830"/>
      <c r="AU101" s="1830"/>
      <c r="AV101" s="1830"/>
      <c r="AW101" s="1830"/>
      <c r="AX101" s="1830"/>
      <c r="AY101" s="1830"/>
      <c r="AZ101" s="1830"/>
      <c r="BA101" s="1830"/>
      <c r="BB101" s="1830"/>
      <c r="BC101" s="2072">
        <f>BN101/AS101</f>
        <v>3450</v>
      </c>
      <c r="BD101" s="2072"/>
      <c r="BE101" s="2072"/>
      <c r="BF101" s="2072"/>
      <c r="BG101" s="2072"/>
      <c r="BH101" s="2072"/>
      <c r="BI101" s="2072"/>
      <c r="BJ101" s="2072"/>
      <c r="BK101" s="2072"/>
      <c r="BL101" s="2072"/>
      <c r="BM101" s="2072"/>
      <c r="BN101" s="2089">
        <f t="shared" ref="BN101" si="10">CC101+CD101+CG101+CF101+CH101</f>
        <v>82800</v>
      </c>
      <c r="BO101" s="2089"/>
      <c r="BP101" s="2089"/>
      <c r="BQ101" s="2089"/>
      <c r="BR101" s="2089"/>
      <c r="BS101" s="2089"/>
      <c r="BT101" s="2089"/>
      <c r="BU101" s="2089"/>
      <c r="BV101" s="2089"/>
      <c r="BW101" s="2089"/>
      <c r="BX101" s="2089"/>
      <c r="BY101" s="2089"/>
      <c r="BZ101" s="2089"/>
      <c r="CA101" s="2089"/>
      <c r="CB101" s="2089"/>
      <c r="CC101" s="814">
        <v>82800</v>
      </c>
      <c r="CD101" s="814"/>
      <c r="CE101" s="1034"/>
      <c r="CF101" s="828"/>
      <c r="CG101" s="828"/>
      <c r="CH101" s="826"/>
      <c r="CI101" s="1120" t="s">
        <v>1636</v>
      </c>
    </row>
    <row r="102" spans="1:88" s="579" customFormat="1" ht="19.899999999999999" customHeight="1" x14ac:dyDescent="0.2">
      <c r="A102" s="1810">
        <v>12</v>
      </c>
      <c r="B102" s="1810"/>
      <c r="C102" s="1810"/>
      <c r="D102" s="1810"/>
      <c r="E102" s="1772" t="s">
        <v>1660</v>
      </c>
      <c r="F102" s="1882"/>
      <c r="G102" s="1882"/>
      <c r="H102" s="1882"/>
      <c r="I102" s="1882"/>
      <c r="J102" s="1882"/>
      <c r="K102" s="1882"/>
      <c r="L102" s="1882"/>
      <c r="M102" s="1882"/>
      <c r="N102" s="1882"/>
      <c r="O102" s="1882"/>
      <c r="P102" s="1882"/>
      <c r="Q102" s="1882"/>
      <c r="R102" s="1882"/>
      <c r="S102" s="1882"/>
      <c r="T102" s="1882"/>
      <c r="U102" s="1882"/>
      <c r="V102" s="1882"/>
      <c r="W102" s="1882"/>
      <c r="X102" s="1882"/>
      <c r="Y102" s="1882"/>
      <c r="Z102" s="1882"/>
      <c r="AA102" s="1882"/>
      <c r="AB102" s="1882"/>
      <c r="AC102" s="1882"/>
      <c r="AD102" s="1882"/>
      <c r="AE102" s="1882"/>
      <c r="AF102" s="1882"/>
      <c r="AG102" s="1882"/>
      <c r="AH102" s="1882"/>
      <c r="AI102" s="1882"/>
      <c r="AJ102" s="1882"/>
      <c r="AK102" s="1882"/>
      <c r="AL102" s="1882"/>
      <c r="AM102" s="1882"/>
      <c r="AN102" s="1882"/>
      <c r="AO102" s="1882"/>
      <c r="AP102" s="1882"/>
      <c r="AQ102" s="1882"/>
      <c r="AR102" s="1773"/>
      <c r="AS102" s="1830">
        <v>1</v>
      </c>
      <c r="AT102" s="1830"/>
      <c r="AU102" s="1830"/>
      <c r="AV102" s="1830"/>
      <c r="AW102" s="1830"/>
      <c r="AX102" s="1830"/>
      <c r="AY102" s="1830"/>
      <c r="AZ102" s="1830"/>
      <c r="BA102" s="1830"/>
      <c r="BB102" s="1830"/>
      <c r="BC102" s="2072">
        <f t="shared" ref="BC102:BC103" si="11">BN102/AS102</f>
        <v>18490</v>
      </c>
      <c r="BD102" s="2072"/>
      <c r="BE102" s="2072"/>
      <c r="BF102" s="2072"/>
      <c r="BG102" s="2072"/>
      <c r="BH102" s="2072"/>
      <c r="BI102" s="2072"/>
      <c r="BJ102" s="2072"/>
      <c r="BK102" s="2072"/>
      <c r="BL102" s="2072"/>
      <c r="BM102" s="2072"/>
      <c r="BN102" s="2089">
        <f t="shared" ref="BN102:BN103" si="12">CC102+CD102+CG102+CF102+CH102</f>
        <v>18490</v>
      </c>
      <c r="BO102" s="2089"/>
      <c r="BP102" s="2089"/>
      <c r="BQ102" s="2089"/>
      <c r="BR102" s="2089"/>
      <c r="BS102" s="2089"/>
      <c r="BT102" s="2089"/>
      <c r="BU102" s="2089"/>
      <c r="BV102" s="2089"/>
      <c r="BW102" s="2089"/>
      <c r="BX102" s="2089"/>
      <c r="BY102" s="2089"/>
      <c r="BZ102" s="2089"/>
      <c r="CA102" s="2089"/>
      <c r="CB102" s="2089"/>
      <c r="CC102" s="814">
        <v>18490</v>
      </c>
      <c r="CD102" s="814"/>
      <c r="CE102" s="1034"/>
      <c r="CF102" s="828"/>
      <c r="CG102" s="828"/>
      <c r="CH102" s="826"/>
      <c r="CI102" s="1120" t="s">
        <v>1661</v>
      </c>
    </row>
    <row r="103" spans="1:88" s="579" customFormat="1" ht="19.899999999999999" customHeight="1" x14ac:dyDescent="0.2">
      <c r="A103" s="1810">
        <v>13</v>
      </c>
      <c r="B103" s="1810"/>
      <c r="C103" s="1810"/>
      <c r="D103" s="1810"/>
      <c r="E103" s="1772" t="s">
        <v>1701</v>
      </c>
      <c r="F103" s="1882"/>
      <c r="G103" s="1882"/>
      <c r="H103" s="1882"/>
      <c r="I103" s="1882"/>
      <c r="J103" s="1882"/>
      <c r="K103" s="1882"/>
      <c r="L103" s="1882"/>
      <c r="M103" s="1882"/>
      <c r="N103" s="1882"/>
      <c r="O103" s="1882"/>
      <c r="P103" s="1882"/>
      <c r="Q103" s="1882"/>
      <c r="R103" s="1882"/>
      <c r="S103" s="1882"/>
      <c r="T103" s="1882"/>
      <c r="U103" s="1882"/>
      <c r="V103" s="1882"/>
      <c r="W103" s="1882"/>
      <c r="X103" s="1882"/>
      <c r="Y103" s="1882"/>
      <c r="Z103" s="1882"/>
      <c r="AA103" s="1882"/>
      <c r="AB103" s="1882"/>
      <c r="AC103" s="1882"/>
      <c r="AD103" s="1882"/>
      <c r="AE103" s="1882"/>
      <c r="AF103" s="1882"/>
      <c r="AG103" s="1882"/>
      <c r="AH103" s="1882"/>
      <c r="AI103" s="1882"/>
      <c r="AJ103" s="1882"/>
      <c r="AK103" s="1882"/>
      <c r="AL103" s="1882"/>
      <c r="AM103" s="1882"/>
      <c r="AN103" s="1882"/>
      <c r="AO103" s="1882"/>
      <c r="AP103" s="1882"/>
      <c r="AQ103" s="1882"/>
      <c r="AR103" s="1773"/>
      <c r="AS103" s="1830">
        <v>2</v>
      </c>
      <c r="AT103" s="1830"/>
      <c r="AU103" s="1830"/>
      <c r="AV103" s="1830"/>
      <c r="AW103" s="1830"/>
      <c r="AX103" s="1830"/>
      <c r="AY103" s="1830"/>
      <c r="AZ103" s="1830"/>
      <c r="BA103" s="1830"/>
      <c r="BB103" s="1830"/>
      <c r="BC103" s="2072">
        <f t="shared" si="11"/>
        <v>3020</v>
      </c>
      <c r="BD103" s="2072"/>
      <c r="BE103" s="2072"/>
      <c r="BF103" s="2072"/>
      <c r="BG103" s="2072"/>
      <c r="BH103" s="2072"/>
      <c r="BI103" s="2072"/>
      <c r="BJ103" s="2072"/>
      <c r="BK103" s="2072"/>
      <c r="BL103" s="2072"/>
      <c r="BM103" s="2072"/>
      <c r="BN103" s="2089">
        <f t="shared" si="12"/>
        <v>6040</v>
      </c>
      <c r="BO103" s="2089"/>
      <c r="BP103" s="2089"/>
      <c r="BQ103" s="2089"/>
      <c r="BR103" s="2089"/>
      <c r="BS103" s="2089"/>
      <c r="BT103" s="2089"/>
      <c r="BU103" s="2089"/>
      <c r="BV103" s="2089"/>
      <c r="BW103" s="2089"/>
      <c r="BX103" s="2089"/>
      <c r="BY103" s="2089"/>
      <c r="BZ103" s="2089"/>
      <c r="CA103" s="2089"/>
      <c r="CB103" s="2089"/>
      <c r="CC103" s="814">
        <f>2520+3520</f>
        <v>6040</v>
      </c>
      <c r="CD103" s="814"/>
      <c r="CE103" s="1034"/>
      <c r="CF103" s="828"/>
      <c r="CG103" s="828"/>
      <c r="CH103" s="826"/>
      <c r="CI103" s="1120" t="s">
        <v>1662</v>
      </c>
    </row>
    <row r="104" spans="1:88" s="579" customFormat="1" ht="19.899999999999999" customHeight="1" x14ac:dyDescent="0.2">
      <c r="A104" s="1810">
        <v>14</v>
      </c>
      <c r="B104" s="1810"/>
      <c r="C104" s="1810"/>
      <c r="D104" s="1810"/>
      <c r="E104" s="1772" t="s">
        <v>1734</v>
      </c>
      <c r="F104" s="1882"/>
      <c r="G104" s="1882"/>
      <c r="H104" s="1882"/>
      <c r="I104" s="1882"/>
      <c r="J104" s="1882"/>
      <c r="K104" s="1882"/>
      <c r="L104" s="1882"/>
      <c r="M104" s="1882"/>
      <c r="N104" s="1882"/>
      <c r="O104" s="1882"/>
      <c r="P104" s="1882"/>
      <c r="Q104" s="1882"/>
      <c r="R104" s="1882"/>
      <c r="S104" s="1882"/>
      <c r="T104" s="1882"/>
      <c r="U104" s="1882"/>
      <c r="V104" s="1882"/>
      <c r="W104" s="1882"/>
      <c r="X104" s="1882"/>
      <c r="Y104" s="1882"/>
      <c r="Z104" s="1882"/>
      <c r="AA104" s="1882"/>
      <c r="AB104" s="1882"/>
      <c r="AC104" s="1882"/>
      <c r="AD104" s="1882"/>
      <c r="AE104" s="1882"/>
      <c r="AF104" s="1882"/>
      <c r="AG104" s="1882"/>
      <c r="AH104" s="1882"/>
      <c r="AI104" s="1882"/>
      <c r="AJ104" s="1882"/>
      <c r="AK104" s="1882"/>
      <c r="AL104" s="1882"/>
      <c r="AM104" s="1882"/>
      <c r="AN104" s="1882"/>
      <c r="AO104" s="1882"/>
      <c r="AP104" s="1882"/>
      <c r="AQ104" s="1882"/>
      <c r="AR104" s="1773"/>
      <c r="AS104" s="1830">
        <v>2</v>
      </c>
      <c r="AT104" s="1830"/>
      <c r="AU104" s="1830"/>
      <c r="AV104" s="1830"/>
      <c r="AW104" s="1830"/>
      <c r="AX104" s="1830"/>
      <c r="AY104" s="1830"/>
      <c r="AZ104" s="1830"/>
      <c r="BA104" s="1830"/>
      <c r="BB104" s="1830"/>
      <c r="BC104" s="2072">
        <f t="shared" ref="BC104" si="13">BN104/AS104</f>
        <v>22420</v>
      </c>
      <c r="BD104" s="2072"/>
      <c r="BE104" s="2072"/>
      <c r="BF104" s="2072"/>
      <c r="BG104" s="2072"/>
      <c r="BH104" s="2072"/>
      <c r="BI104" s="2072"/>
      <c r="BJ104" s="2072"/>
      <c r="BK104" s="2072"/>
      <c r="BL104" s="2072"/>
      <c r="BM104" s="2072"/>
      <c r="BN104" s="2089">
        <f t="shared" ref="BN104" si="14">CC104+CD104+CG104+CF104+CH104</f>
        <v>44840</v>
      </c>
      <c r="BO104" s="2089"/>
      <c r="BP104" s="2089"/>
      <c r="BQ104" s="2089"/>
      <c r="BR104" s="2089"/>
      <c r="BS104" s="2089"/>
      <c r="BT104" s="2089"/>
      <c r="BU104" s="2089"/>
      <c r="BV104" s="2089"/>
      <c r="BW104" s="2089"/>
      <c r="BX104" s="2089"/>
      <c r="BY104" s="2089"/>
      <c r="BZ104" s="2089"/>
      <c r="CA104" s="2089"/>
      <c r="CB104" s="2089"/>
      <c r="CC104" s="814">
        <v>44840</v>
      </c>
      <c r="CD104" s="814"/>
      <c r="CE104" s="1034"/>
      <c r="CF104" s="828"/>
      <c r="CG104" s="828"/>
      <c r="CH104" s="826"/>
      <c r="CI104" s="1120" t="s">
        <v>1662</v>
      </c>
    </row>
    <row r="105" spans="1:88" s="580" customFormat="1" ht="18.600000000000001" customHeight="1" x14ac:dyDescent="0.2">
      <c r="A105" s="2101" t="s">
        <v>162</v>
      </c>
      <c r="B105" s="2102"/>
      <c r="C105" s="2102"/>
      <c r="D105" s="2102"/>
      <c r="E105" s="2102"/>
      <c r="F105" s="2102"/>
      <c r="G105" s="2102"/>
      <c r="H105" s="2102"/>
      <c r="I105" s="2102"/>
      <c r="J105" s="2102"/>
      <c r="K105" s="2102"/>
      <c r="L105" s="2102"/>
      <c r="M105" s="2102"/>
      <c r="N105" s="2102"/>
      <c r="O105" s="2102"/>
      <c r="P105" s="2102"/>
      <c r="Q105" s="2102"/>
      <c r="R105" s="2102"/>
      <c r="S105" s="2102"/>
      <c r="T105" s="2102"/>
      <c r="U105" s="2102"/>
      <c r="V105" s="2102"/>
      <c r="W105" s="2102"/>
      <c r="X105" s="2102"/>
      <c r="Y105" s="2102"/>
      <c r="Z105" s="2102"/>
      <c r="AA105" s="2102"/>
      <c r="AB105" s="2102"/>
      <c r="AC105" s="2102"/>
      <c r="AD105" s="2102"/>
      <c r="AE105" s="2102"/>
      <c r="AF105" s="2102"/>
      <c r="AG105" s="2102"/>
      <c r="AH105" s="2102"/>
      <c r="AI105" s="2102"/>
      <c r="AJ105" s="2102"/>
      <c r="AK105" s="2102"/>
      <c r="AL105" s="2102"/>
      <c r="AM105" s="2102"/>
      <c r="AN105" s="2102"/>
      <c r="AO105" s="2102"/>
      <c r="AP105" s="2102"/>
      <c r="AQ105" s="2102"/>
      <c r="AR105" s="2103"/>
      <c r="AS105" s="2104" t="s">
        <v>3</v>
      </c>
      <c r="AT105" s="2104"/>
      <c r="AU105" s="2104"/>
      <c r="AV105" s="2104"/>
      <c r="AW105" s="2104"/>
      <c r="AX105" s="2104"/>
      <c r="AY105" s="2104"/>
      <c r="AZ105" s="2104"/>
      <c r="BA105" s="2104"/>
      <c r="BB105" s="2104"/>
      <c r="BC105" s="2100" t="s">
        <v>3</v>
      </c>
      <c r="BD105" s="2100"/>
      <c r="BE105" s="2100"/>
      <c r="BF105" s="2100"/>
      <c r="BG105" s="2100"/>
      <c r="BH105" s="2100"/>
      <c r="BI105" s="2100"/>
      <c r="BJ105" s="2100"/>
      <c r="BK105" s="2100"/>
      <c r="BL105" s="2100"/>
      <c r="BM105" s="2100"/>
      <c r="BN105" s="2100">
        <f>SUM(BN90:CB104)</f>
        <v>1076077.17</v>
      </c>
      <c r="BO105" s="2100"/>
      <c r="BP105" s="2100"/>
      <c r="BQ105" s="2100"/>
      <c r="BR105" s="2100"/>
      <c r="BS105" s="2100"/>
      <c r="BT105" s="2100"/>
      <c r="BU105" s="2100"/>
      <c r="BV105" s="2100"/>
      <c r="BW105" s="2100"/>
      <c r="BX105" s="2100"/>
      <c r="BY105" s="2100"/>
      <c r="BZ105" s="2100"/>
      <c r="CA105" s="2100"/>
      <c r="CB105" s="2100"/>
      <c r="CC105" s="813">
        <f>SUM(CC90:CC104)</f>
        <v>834546.17</v>
      </c>
      <c r="CD105" s="813"/>
      <c r="CE105" s="830"/>
      <c r="CF105" s="830"/>
      <c r="CG105" s="830">
        <f>SUM(CG93:CG96)</f>
        <v>202431</v>
      </c>
      <c r="CH105" s="813">
        <f>SUM(CH90:CH100)</f>
        <v>39100</v>
      </c>
      <c r="CI105" s="1125" t="s">
        <v>1646</v>
      </c>
      <c r="CJ105" s="1132"/>
    </row>
    <row r="106" spans="1:88" x14ac:dyDescent="0.2">
      <c r="A106" s="489" t="s">
        <v>60</v>
      </c>
      <c r="B106" s="489"/>
      <c r="C106" s="489"/>
      <c r="D106" s="489"/>
      <c r="E106" s="489"/>
      <c r="F106" s="489"/>
      <c r="G106" s="489"/>
      <c r="H106" s="489"/>
      <c r="I106" s="489"/>
      <c r="J106" s="489"/>
      <c r="K106" s="489"/>
      <c r="L106" s="489"/>
      <c r="M106" s="489"/>
      <c r="N106" s="489"/>
      <c r="O106" s="489"/>
      <c r="P106" s="489"/>
      <c r="Q106" s="489"/>
      <c r="R106" s="489"/>
      <c r="S106" s="489"/>
      <c r="T106" s="489"/>
      <c r="U106" s="489"/>
      <c r="V106" s="489"/>
      <c r="W106" s="489"/>
      <c r="X106" s="489"/>
      <c r="Y106" s="489"/>
      <c r="Z106" s="489"/>
      <c r="AA106" s="489"/>
      <c r="AB106" s="489"/>
      <c r="AC106" s="489"/>
      <c r="AD106" s="489"/>
      <c r="AE106" s="489"/>
      <c r="AF106" s="489"/>
      <c r="AG106" s="489"/>
      <c r="AH106" s="489"/>
      <c r="AI106" s="489"/>
      <c r="AJ106" s="489"/>
      <c r="AK106" s="489"/>
      <c r="AL106" s="489"/>
      <c r="AM106" s="489"/>
      <c r="AN106" s="489"/>
      <c r="AO106" s="489"/>
      <c r="AP106" s="489"/>
      <c r="AQ106" s="489"/>
      <c r="AR106" s="489"/>
      <c r="AS106" s="489"/>
      <c r="AT106" s="489"/>
      <c r="AU106" s="489"/>
      <c r="AV106" s="489"/>
      <c r="AW106" s="489"/>
      <c r="AX106" s="489"/>
      <c r="AY106" s="489"/>
      <c r="AZ106" s="489"/>
      <c r="BA106" s="489"/>
      <c r="BB106" s="489"/>
      <c r="BC106" s="489"/>
      <c r="BD106" s="489"/>
      <c r="BE106" s="489"/>
      <c r="BF106" s="489"/>
      <c r="BG106" s="489"/>
      <c r="BH106" s="489"/>
      <c r="BI106" s="489"/>
      <c r="BJ106" s="489"/>
      <c r="BK106" s="489"/>
      <c r="BL106" s="489"/>
      <c r="BM106" s="489"/>
      <c r="BN106" s="489"/>
      <c r="BO106" s="489"/>
      <c r="BP106" s="489"/>
      <c r="BQ106" s="489"/>
      <c r="BR106" s="489"/>
      <c r="BS106" s="489"/>
      <c r="BT106" s="489"/>
      <c r="BU106" s="489"/>
      <c r="BV106" s="489"/>
      <c r="BW106" s="489"/>
      <c r="BX106" s="489"/>
      <c r="BY106" s="489"/>
      <c r="BZ106" s="489"/>
      <c r="CA106" s="489"/>
      <c r="CB106" s="489"/>
      <c r="CC106" s="489"/>
      <c r="CD106" s="489"/>
      <c r="CE106" s="489"/>
      <c r="CF106" s="489"/>
      <c r="CG106" s="489"/>
      <c r="CH106" s="489"/>
    </row>
    <row r="107" spans="1:88" ht="4.5" customHeight="1"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7"/>
      <c r="CD107" s="7"/>
      <c r="CE107" s="7"/>
      <c r="CF107" s="7"/>
      <c r="CG107" s="7"/>
      <c r="CH107" s="7"/>
    </row>
    <row r="108" spans="1:88" x14ac:dyDescent="0.2">
      <c r="A108" s="1810" t="s">
        <v>38</v>
      </c>
      <c r="B108" s="1810"/>
      <c r="C108" s="1810"/>
      <c r="D108" s="1810"/>
      <c r="E108" s="1830" t="s">
        <v>4</v>
      </c>
      <c r="F108" s="1830"/>
      <c r="G108" s="1830"/>
      <c r="H108" s="1830"/>
      <c r="I108" s="1830"/>
      <c r="J108" s="1830"/>
      <c r="K108" s="1830"/>
      <c r="L108" s="1830"/>
      <c r="M108" s="1830"/>
      <c r="N108" s="1830"/>
      <c r="O108" s="1830"/>
      <c r="P108" s="1830"/>
      <c r="Q108" s="1830"/>
      <c r="R108" s="1830"/>
      <c r="S108" s="1830"/>
      <c r="T108" s="1830"/>
      <c r="U108" s="1830"/>
      <c r="V108" s="1830"/>
      <c r="W108" s="1830"/>
      <c r="X108" s="1830"/>
      <c r="Y108" s="1830"/>
      <c r="Z108" s="1830"/>
      <c r="AA108" s="1830"/>
      <c r="AB108" s="1830"/>
      <c r="AC108" s="1830"/>
      <c r="AD108" s="1830"/>
      <c r="AE108" s="1830"/>
      <c r="AF108" s="1830"/>
      <c r="AG108" s="1830"/>
      <c r="AH108" s="1830"/>
      <c r="AI108" s="1830"/>
      <c r="AJ108" s="1830"/>
      <c r="AK108" s="1830"/>
      <c r="AL108" s="1830"/>
      <c r="AM108" s="1830"/>
      <c r="AN108" s="1830"/>
      <c r="AO108" s="1830"/>
      <c r="AP108" s="1830"/>
      <c r="AQ108" s="1830"/>
      <c r="AR108" s="1830"/>
      <c r="AS108" s="1781" t="s">
        <v>5</v>
      </c>
      <c r="AT108" s="1925"/>
      <c r="AU108" s="1925"/>
      <c r="AV108" s="1925"/>
      <c r="AW108" s="1925"/>
      <c r="AX108" s="1925"/>
      <c r="AY108" s="1925"/>
      <c r="AZ108" s="1925"/>
      <c r="BA108" s="1925"/>
      <c r="BB108" s="1782"/>
      <c r="BC108" s="1810" t="s">
        <v>758</v>
      </c>
      <c r="BD108" s="1810"/>
      <c r="BE108" s="1810"/>
      <c r="BF108" s="1810"/>
      <c r="BG108" s="1810"/>
      <c r="BH108" s="1810"/>
      <c r="BI108" s="1810"/>
      <c r="BJ108" s="1810"/>
      <c r="BK108" s="1810"/>
      <c r="BL108" s="1810"/>
      <c r="BM108" s="1810"/>
      <c r="BN108" s="1830" t="s">
        <v>6</v>
      </c>
      <c r="BO108" s="1830"/>
      <c r="BP108" s="1830"/>
      <c r="BQ108" s="1830"/>
      <c r="BR108" s="1830"/>
      <c r="BS108" s="1830"/>
      <c r="BT108" s="1830"/>
      <c r="BU108" s="1830"/>
      <c r="BV108" s="1830"/>
      <c r="BW108" s="1830"/>
      <c r="BX108" s="1830"/>
      <c r="BY108" s="1830"/>
      <c r="BZ108" s="1830"/>
      <c r="CA108" s="1830"/>
      <c r="CB108" s="1830"/>
      <c r="CC108" s="1806" t="s">
        <v>52</v>
      </c>
      <c r="CD108" s="1806"/>
      <c r="CE108" s="1806"/>
      <c r="CF108" s="1806"/>
      <c r="CG108" s="1806"/>
      <c r="CH108" s="1806"/>
    </row>
    <row r="109" spans="1:88" ht="42.75" customHeight="1" x14ac:dyDescent="0.2">
      <c r="A109" s="1810"/>
      <c r="B109" s="1810"/>
      <c r="C109" s="1810"/>
      <c r="D109" s="1810"/>
      <c r="E109" s="1830"/>
      <c r="F109" s="1830"/>
      <c r="G109" s="1830"/>
      <c r="H109" s="1830"/>
      <c r="I109" s="1830"/>
      <c r="J109" s="1830"/>
      <c r="K109" s="1830"/>
      <c r="L109" s="1830"/>
      <c r="M109" s="1830"/>
      <c r="N109" s="1830"/>
      <c r="O109" s="1830"/>
      <c r="P109" s="1830"/>
      <c r="Q109" s="1830"/>
      <c r="R109" s="1830"/>
      <c r="S109" s="1830"/>
      <c r="T109" s="1830"/>
      <c r="U109" s="1830"/>
      <c r="V109" s="1830"/>
      <c r="W109" s="1830"/>
      <c r="X109" s="1830"/>
      <c r="Y109" s="1830"/>
      <c r="Z109" s="1830"/>
      <c r="AA109" s="1830"/>
      <c r="AB109" s="1830"/>
      <c r="AC109" s="1830"/>
      <c r="AD109" s="1830"/>
      <c r="AE109" s="1830"/>
      <c r="AF109" s="1830"/>
      <c r="AG109" s="1830"/>
      <c r="AH109" s="1830"/>
      <c r="AI109" s="1830"/>
      <c r="AJ109" s="1830"/>
      <c r="AK109" s="1830"/>
      <c r="AL109" s="1830"/>
      <c r="AM109" s="1830"/>
      <c r="AN109" s="1830"/>
      <c r="AO109" s="1830"/>
      <c r="AP109" s="1830"/>
      <c r="AQ109" s="1830"/>
      <c r="AR109" s="1830"/>
      <c r="AS109" s="1783"/>
      <c r="AT109" s="1926"/>
      <c r="AU109" s="1926"/>
      <c r="AV109" s="1926"/>
      <c r="AW109" s="1926"/>
      <c r="AX109" s="1926"/>
      <c r="AY109" s="1926"/>
      <c r="AZ109" s="1926"/>
      <c r="BA109" s="1926"/>
      <c r="BB109" s="1784"/>
      <c r="BC109" s="1810"/>
      <c r="BD109" s="1810"/>
      <c r="BE109" s="1810"/>
      <c r="BF109" s="1810"/>
      <c r="BG109" s="1810"/>
      <c r="BH109" s="1810"/>
      <c r="BI109" s="1810"/>
      <c r="BJ109" s="1810"/>
      <c r="BK109" s="1810"/>
      <c r="BL109" s="1810"/>
      <c r="BM109" s="1810"/>
      <c r="BN109" s="1830"/>
      <c r="BO109" s="1830"/>
      <c r="BP109" s="1830"/>
      <c r="BQ109" s="1830"/>
      <c r="BR109" s="1830"/>
      <c r="BS109" s="1830"/>
      <c r="BT109" s="1830"/>
      <c r="BU109" s="1830"/>
      <c r="BV109" s="1830"/>
      <c r="BW109" s="1830"/>
      <c r="BX109" s="1830"/>
      <c r="BY109" s="1830"/>
      <c r="BZ109" s="1830"/>
      <c r="CA109" s="1830"/>
      <c r="CB109" s="1830"/>
      <c r="CC109" s="1810" t="s">
        <v>35</v>
      </c>
      <c r="CD109" s="1810"/>
      <c r="CE109" s="1788" t="s">
        <v>45</v>
      </c>
      <c r="CF109" s="1790"/>
      <c r="CG109" s="1789"/>
      <c r="CH109" s="1778" t="s">
        <v>46</v>
      </c>
    </row>
    <row r="110" spans="1:88" ht="12.75" customHeight="1" x14ac:dyDescent="0.2">
      <c r="A110" s="1810"/>
      <c r="B110" s="1810"/>
      <c r="C110" s="1810"/>
      <c r="D110" s="1810"/>
      <c r="E110" s="1830"/>
      <c r="F110" s="1830"/>
      <c r="G110" s="1830"/>
      <c r="H110" s="1830"/>
      <c r="I110" s="1830"/>
      <c r="J110" s="1830"/>
      <c r="K110" s="1830"/>
      <c r="L110" s="1830"/>
      <c r="M110" s="1830"/>
      <c r="N110" s="1830"/>
      <c r="O110" s="1830"/>
      <c r="P110" s="1830"/>
      <c r="Q110" s="1830"/>
      <c r="R110" s="1830"/>
      <c r="S110" s="1830"/>
      <c r="T110" s="1830"/>
      <c r="U110" s="1830"/>
      <c r="V110" s="1830"/>
      <c r="W110" s="1830"/>
      <c r="X110" s="1830"/>
      <c r="Y110" s="1830"/>
      <c r="Z110" s="1830"/>
      <c r="AA110" s="1830"/>
      <c r="AB110" s="1830"/>
      <c r="AC110" s="1830"/>
      <c r="AD110" s="1830"/>
      <c r="AE110" s="1830"/>
      <c r="AF110" s="1830"/>
      <c r="AG110" s="1830"/>
      <c r="AH110" s="1830"/>
      <c r="AI110" s="1830"/>
      <c r="AJ110" s="1830"/>
      <c r="AK110" s="1830"/>
      <c r="AL110" s="1830"/>
      <c r="AM110" s="1830"/>
      <c r="AN110" s="1830"/>
      <c r="AO110" s="1830"/>
      <c r="AP110" s="1830"/>
      <c r="AQ110" s="1830"/>
      <c r="AR110" s="1830"/>
      <c r="AS110" s="1783"/>
      <c r="AT110" s="1926"/>
      <c r="AU110" s="1926"/>
      <c r="AV110" s="1926"/>
      <c r="AW110" s="1926"/>
      <c r="AX110" s="1926"/>
      <c r="AY110" s="1926"/>
      <c r="AZ110" s="1926"/>
      <c r="BA110" s="1926"/>
      <c r="BB110" s="1784"/>
      <c r="BC110" s="1810"/>
      <c r="BD110" s="1810"/>
      <c r="BE110" s="1810"/>
      <c r="BF110" s="1810"/>
      <c r="BG110" s="1810"/>
      <c r="BH110" s="1810"/>
      <c r="BI110" s="1810"/>
      <c r="BJ110" s="1810"/>
      <c r="BK110" s="1810"/>
      <c r="BL110" s="1810"/>
      <c r="BM110" s="1810"/>
      <c r="BN110" s="1830"/>
      <c r="BO110" s="1830"/>
      <c r="BP110" s="1830"/>
      <c r="BQ110" s="1830"/>
      <c r="BR110" s="1830"/>
      <c r="BS110" s="1830"/>
      <c r="BT110" s="1830"/>
      <c r="BU110" s="1830"/>
      <c r="BV110" s="1830"/>
      <c r="BW110" s="1830"/>
      <c r="BX110" s="1830"/>
      <c r="BY110" s="1830"/>
      <c r="BZ110" s="1830"/>
      <c r="CA110" s="1830"/>
      <c r="CB110" s="1830"/>
      <c r="CC110" s="1811" t="s">
        <v>43</v>
      </c>
      <c r="CD110" s="1811" t="s">
        <v>44</v>
      </c>
      <c r="CE110" s="1812" t="s">
        <v>55</v>
      </c>
      <c r="CF110" s="1811" t="s">
        <v>43</v>
      </c>
      <c r="CG110" s="1811" t="s">
        <v>44</v>
      </c>
      <c r="CH110" s="1779"/>
    </row>
    <row r="111" spans="1:88" ht="21" customHeight="1" x14ac:dyDescent="0.2">
      <c r="A111" s="1810"/>
      <c r="B111" s="1810"/>
      <c r="C111" s="1810"/>
      <c r="D111" s="1810"/>
      <c r="E111" s="1830"/>
      <c r="F111" s="1830"/>
      <c r="G111" s="1830"/>
      <c r="H111" s="1830"/>
      <c r="I111" s="1830"/>
      <c r="J111" s="1830"/>
      <c r="K111" s="1830"/>
      <c r="L111" s="1830"/>
      <c r="M111" s="1830"/>
      <c r="N111" s="1830"/>
      <c r="O111" s="1830"/>
      <c r="P111" s="1830"/>
      <c r="Q111" s="1830"/>
      <c r="R111" s="1830"/>
      <c r="S111" s="1830"/>
      <c r="T111" s="1830"/>
      <c r="U111" s="1830"/>
      <c r="V111" s="1830"/>
      <c r="W111" s="1830"/>
      <c r="X111" s="1830"/>
      <c r="Y111" s="1830"/>
      <c r="Z111" s="1830"/>
      <c r="AA111" s="1830"/>
      <c r="AB111" s="1830"/>
      <c r="AC111" s="1830"/>
      <c r="AD111" s="1830"/>
      <c r="AE111" s="1830"/>
      <c r="AF111" s="1830"/>
      <c r="AG111" s="1830"/>
      <c r="AH111" s="1830"/>
      <c r="AI111" s="1830"/>
      <c r="AJ111" s="1830"/>
      <c r="AK111" s="1830"/>
      <c r="AL111" s="1830"/>
      <c r="AM111" s="1830"/>
      <c r="AN111" s="1830"/>
      <c r="AO111" s="1830"/>
      <c r="AP111" s="1830"/>
      <c r="AQ111" s="1830"/>
      <c r="AR111" s="1830"/>
      <c r="AS111" s="1785"/>
      <c r="AT111" s="1927"/>
      <c r="AU111" s="1927"/>
      <c r="AV111" s="1927"/>
      <c r="AW111" s="1927"/>
      <c r="AX111" s="1927"/>
      <c r="AY111" s="1927"/>
      <c r="AZ111" s="1927"/>
      <c r="BA111" s="1927"/>
      <c r="BB111" s="1786"/>
      <c r="BC111" s="1810"/>
      <c r="BD111" s="1810"/>
      <c r="BE111" s="1810"/>
      <c r="BF111" s="1810"/>
      <c r="BG111" s="1810"/>
      <c r="BH111" s="1810"/>
      <c r="BI111" s="1810"/>
      <c r="BJ111" s="1810"/>
      <c r="BK111" s="1810"/>
      <c r="BL111" s="1810"/>
      <c r="BM111" s="1810"/>
      <c r="BN111" s="1830"/>
      <c r="BO111" s="1830"/>
      <c r="BP111" s="1830"/>
      <c r="BQ111" s="1830"/>
      <c r="BR111" s="1830"/>
      <c r="BS111" s="1830"/>
      <c r="BT111" s="1830"/>
      <c r="BU111" s="1830"/>
      <c r="BV111" s="1830"/>
      <c r="BW111" s="1830"/>
      <c r="BX111" s="1830"/>
      <c r="BY111" s="1830"/>
      <c r="BZ111" s="1830"/>
      <c r="CA111" s="1830"/>
      <c r="CB111" s="1830"/>
      <c r="CC111" s="1811"/>
      <c r="CD111" s="1811"/>
      <c r="CE111" s="1813"/>
      <c r="CF111" s="1811"/>
      <c r="CG111" s="1811"/>
      <c r="CH111" s="1780"/>
    </row>
    <row r="112" spans="1:88" x14ac:dyDescent="0.2">
      <c r="A112" s="1830">
        <v>1</v>
      </c>
      <c r="B112" s="1830"/>
      <c r="C112" s="1830"/>
      <c r="D112" s="1830"/>
      <c r="E112" s="1830">
        <v>2</v>
      </c>
      <c r="F112" s="1830"/>
      <c r="G112" s="1830"/>
      <c r="H112" s="1830"/>
      <c r="I112" s="1830"/>
      <c r="J112" s="1830"/>
      <c r="K112" s="1830"/>
      <c r="L112" s="1830"/>
      <c r="M112" s="1830"/>
      <c r="N112" s="1830"/>
      <c r="O112" s="1830"/>
      <c r="P112" s="1830"/>
      <c r="Q112" s="1830"/>
      <c r="R112" s="1830"/>
      <c r="S112" s="1830"/>
      <c r="T112" s="1830"/>
      <c r="U112" s="1830"/>
      <c r="V112" s="1830"/>
      <c r="W112" s="1830"/>
      <c r="X112" s="1830"/>
      <c r="Y112" s="1830"/>
      <c r="Z112" s="1830"/>
      <c r="AA112" s="1830"/>
      <c r="AB112" s="1830"/>
      <c r="AC112" s="1830"/>
      <c r="AD112" s="1830"/>
      <c r="AE112" s="1830"/>
      <c r="AF112" s="1830"/>
      <c r="AG112" s="1830"/>
      <c r="AH112" s="1830"/>
      <c r="AI112" s="1830"/>
      <c r="AJ112" s="1830"/>
      <c r="AK112" s="1830"/>
      <c r="AL112" s="1830"/>
      <c r="AM112" s="1830"/>
      <c r="AN112" s="1830"/>
      <c r="AO112" s="1830"/>
      <c r="AP112" s="1830"/>
      <c r="AQ112" s="1830"/>
      <c r="AR112" s="1830"/>
      <c r="AS112" s="1830">
        <v>3</v>
      </c>
      <c r="AT112" s="1830"/>
      <c r="AU112" s="1830"/>
      <c r="AV112" s="1830"/>
      <c r="AW112" s="1830"/>
      <c r="AX112" s="1830"/>
      <c r="AY112" s="1830"/>
      <c r="AZ112" s="1830"/>
      <c r="BA112" s="1830"/>
      <c r="BB112" s="1830"/>
      <c r="BC112" s="1830">
        <v>4</v>
      </c>
      <c r="BD112" s="1830"/>
      <c r="BE112" s="1830"/>
      <c r="BF112" s="1830"/>
      <c r="BG112" s="1830"/>
      <c r="BH112" s="1830"/>
      <c r="BI112" s="1830"/>
      <c r="BJ112" s="1830"/>
      <c r="BK112" s="1830"/>
      <c r="BL112" s="1830"/>
      <c r="BM112" s="1830"/>
      <c r="BN112" s="1830" t="s">
        <v>49</v>
      </c>
      <c r="BO112" s="1830"/>
      <c r="BP112" s="1830"/>
      <c r="BQ112" s="1830"/>
      <c r="BR112" s="1830"/>
      <c r="BS112" s="1830"/>
      <c r="BT112" s="1830"/>
      <c r="BU112" s="1830"/>
      <c r="BV112" s="1830"/>
      <c r="BW112" s="1830"/>
      <c r="BX112" s="1830"/>
      <c r="BY112" s="1830"/>
      <c r="BZ112" s="1830"/>
      <c r="CA112" s="1830"/>
      <c r="CB112" s="1830"/>
      <c r="CC112" s="15">
        <v>6</v>
      </c>
      <c r="CD112" s="15">
        <v>7</v>
      </c>
      <c r="CE112" s="15">
        <v>8</v>
      </c>
      <c r="CF112" s="15">
        <v>9</v>
      </c>
      <c r="CG112" s="15">
        <v>10</v>
      </c>
      <c r="CH112" s="15">
        <v>11</v>
      </c>
    </row>
    <row r="113" spans="1:109" x14ac:dyDescent="0.2">
      <c r="A113" s="1973">
        <v>1</v>
      </c>
      <c r="B113" s="1973"/>
      <c r="C113" s="1973"/>
      <c r="D113" s="1973"/>
      <c r="E113" s="1973" t="s">
        <v>1347</v>
      </c>
      <c r="F113" s="1973"/>
      <c r="G113" s="1973"/>
      <c r="H113" s="1973"/>
      <c r="I113" s="1973"/>
      <c r="J113" s="1973"/>
      <c r="K113" s="1973"/>
      <c r="L113" s="1973"/>
      <c r="M113" s="1973"/>
      <c r="N113" s="1973"/>
      <c r="O113" s="1973"/>
      <c r="P113" s="1973"/>
      <c r="Q113" s="1973"/>
      <c r="R113" s="1973"/>
      <c r="S113" s="1973"/>
      <c r="T113" s="1973"/>
      <c r="U113" s="1973"/>
      <c r="V113" s="1973"/>
      <c r="W113" s="1973"/>
      <c r="X113" s="1973"/>
      <c r="Y113" s="1973"/>
      <c r="Z113" s="1973"/>
      <c r="AA113" s="1973"/>
      <c r="AB113" s="1973"/>
      <c r="AC113" s="1973"/>
      <c r="AD113" s="1973"/>
      <c r="AE113" s="1973"/>
      <c r="AF113" s="1973"/>
      <c r="AG113" s="1973"/>
      <c r="AH113" s="1973"/>
      <c r="AI113" s="1973"/>
      <c r="AJ113" s="1973"/>
      <c r="AK113" s="1973"/>
      <c r="AL113" s="1973"/>
      <c r="AM113" s="1973"/>
      <c r="AN113" s="1973"/>
      <c r="AO113" s="1973"/>
      <c r="AP113" s="1973"/>
      <c r="AQ113" s="1973"/>
      <c r="AR113" s="1973"/>
      <c r="AS113" s="2098"/>
      <c r="AT113" s="2098"/>
      <c r="AU113" s="2098"/>
      <c r="AV113" s="2098"/>
      <c r="AW113" s="2098"/>
      <c r="AX113" s="2098"/>
      <c r="AY113" s="2098"/>
      <c r="AZ113" s="2098"/>
      <c r="BA113" s="2098"/>
      <c r="BB113" s="2098"/>
      <c r="BC113" s="2099"/>
      <c r="BD113" s="2098"/>
      <c r="BE113" s="2098"/>
      <c r="BF113" s="2098"/>
      <c r="BG113" s="2098"/>
      <c r="BH113" s="2098"/>
      <c r="BI113" s="2098"/>
      <c r="BJ113" s="2098"/>
      <c r="BK113" s="2098"/>
      <c r="BL113" s="2098"/>
      <c r="BM113" s="2098"/>
      <c r="BN113" s="1977">
        <f>CC113+CD113+CG113</f>
        <v>27315</v>
      </c>
      <c r="BO113" s="1977"/>
      <c r="BP113" s="1977"/>
      <c r="BQ113" s="1977"/>
      <c r="BR113" s="1977"/>
      <c r="BS113" s="1977"/>
      <c r="BT113" s="1977"/>
      <c r="BU113" s="1977"/>
      <c r="BV113" s="1977"/>
      <c r="BW113" s="1977"/>
      <c r="BX113" s="1977"/>
      <c r="BY113" s="1977"/>
      <c r="BZ113" s="1977"/>
      <c r="CA113" s="1977"/>
      <c r="CB113" s="1977"/>
      <c r="CC113" s="984"/>
      <c r="CD113" s="223">
        <f>10000+3280</f>
        <v>13280</v>
      </c>
      <c r="CE113" s="15">
        <v>963324050</v>
      </c>
      <c r="CF113" s="17"/>
      <c r="CG113" s="812">
        <v>14035</v>
      </c>
      <c r="CH113" s="17"/>
    </row>
    <row r="114" spans="1:109" s="29" customFormat="1" x14ac:dyDescent="0.2">
      <c r="A114" s="1831" t="s">
        <v>622</v>
      </c>
      <c r="B114" s="1832"/>
      <c r="C114" s="1832"/>
      <c r="D114" s="1832"/>
      <c r="E114" s="1832"/>
      <c r="F114" s="1832"/>
      <c r="G114" s="1832"/>
      <c r="H114" s="1832"/>
      <c r="I114" s="1832"/>
      <c r="J114" s="1832"/>
      <c r="K114" s="1832"/>
      <c r="L114" s="1832"/>
      <c r="M114" s="1832"/>
      <c r="N114" s="1832"/>
      <c r="O114" s="1832"/>
      <c r="P114" s="1832"/>
      <c r="Q114" s="1832"/>
      <c r="R114" s="1832"/>
      <c r="S114" s="1832"/>
      <c r="T114" s="1832"/>
      <c r="U114" s="1832"/>
      <c r="V114" s="1832"/>
      <c r="W114" s="1832"/>
      <c r="X114" s="1832"/>
      <c r="Y114" s="1832"/>
      <c r="Z114" s="1832"/>
      <c r="AA114" s="1832"/>
      <c r="AB114" s="1832"/>
      <c r="AC114" s="1832"/>
      <c r="AD114" s="1832"/>
      <c r="AE114" s="1832"/>
      <c r="AF114" s="1832"/>
      <c r="AG114" s="1832"/>
      <c r="AH114" s="1832"/>
      <c r="AI114" s="1832"/>
      <c r="AJ114" s="1832"/>
      <c r="AK114" s="1832"/>
      <c r="AL114" s="1832"/>
      <c r="AM114" s="1832"/>
      <c r="AN114" s="1832"/>
      <c r="AO114" s="1832"/>
      <c r="AP114" s="1832"/>
      <c r="AQ114" s="1832"/>
      <c r="AR114" s="1833"/>
      <c r="AS114" s="1913" t="s">
        <v>3</v>
      </c>
      <c r="AT114" s="1913"/>
      <c r="AU114" s="1913"/>
      <c r="AV114" s="1913"/>
      <c r="AW114" s="1913"/>
      <c r="AX114" s="1913"/>
      <c r="AY114" s="1913"/>
      <c r="AZ114" s="1913"/>
      <c r="BA114" s="1913"/>
      <c r="BB114" s="1913"/>
      <c r="BC114" s="1971" t="s">
        <v>3</v>
      </c>
      <c r="BD114" s="1971"/>
      <c r="BE114" s="1971"/>
      <c r="BF114" s="1971"/>
      <c r="BG114" s="1971"/>
      <c r="BH114" s="1971"/>
      <c r="BI114" s="1971"/>
      <c r="BJ114" s="1971"/>
      <c r="BK114" s="1971"/>
      <c r="BL114" s="1971"/>
      <c r="BM114" s="1971"/>
      <c r="BN114" s="1971">
        <f>BN113</f>
        <v>27315</v>
      </c>
      <c r="BO114" s="1971"/>
      <c r="BP114" s="1971"/>
      <c r="BQ114" s="1971"/>
      <c r="BR114" s="1971"/>
      <c r="BS114" s="1971"/>
      <c r="BT114" s="1971"/>
      <c r="BU114" s="1971"/>
      <c r="BV114" s="1971"/>
      <c r="BW114" s="1971"/>
      <c r="BX114" s="1971"/>
      <c r="BY114" s="1971"/>
      <c r="BZ114" s="1971"/>
      <c r="CA114" s="1971"/>
      <c r="CB114" s="1971"/>
      <c r="CC114" s="239"/>
      <c r="CD114" s="239">
        <f>CD113</f>
        <v>13280</v>
      </c>
      <c r="CE114" s="1033"/>
      <c r="CF114" s="239"/>
      <c r="CG114" s="239">
        <f>SUM(CG113)</f>
        <v>14035</v>
      </c>
      <c r="CH114" s="239"/>
      <c r="CJ114" s="1074">
        <f>CE119+CE120+CE121+CC122+CE123+CC124+CE125+CE126</f>
        <v>59550</v>
      </c>
      <c r="CM114" s="1074"/>
    </row>
    <row r="115" spans="1:109" ht="16.899999999999999" customHeight="1" x14ac:dyDescent="0.2">
      <c r="A115" s="1973">
        <v>1</v>
      </c>
      <c r="B115" s="1973"/>
      <c r="C115" s="1973"/>
      <c r="D115" s="1973"/>
      <c r="E115" s="2154" t="s">
        <v>1144</v>
      </c>
      <c r="F115" s="2154"/>
      <c r="G115" s="2154"/>
      <c r="H115" s="2154"/>
      <c r="I115" s="2154"/>
      <c r="J115" s="2154"/>
      <c r="K115" s="2154"/>
      <c r="L115" s="2154"/>
      <c r="M115" s="2154"/>
      <c r="N115" s="2154"/>
      <c r="O115" s="2154"/>
      <c r="P115" s="2154"/>
      <c r="Q115" s="2154"/>
      <c r="R115" s="2154"/>
      <c r="S115" s="2154"/>
      <c r="T115" s="2154"/>
      <c r="U115" s="2154"/>
      <c r="V115" s="2154"/>
      <c r="W115" s="2154"/>
      <c r="X115" s="2154"/>
      <c r="Y115" s="2154"/>
      <c r="Z115" s="2154"/>
      <c r="AA115" s="2154"/>
      <c r="AB115" s="2154"/>
      <c r="AC115" s="2154"/>
      <c r="AD115" s="2154"/>
      <c r="AE115" s="2154"/>
      <c r="AF115" s="2154"/>
      <c r="AG115" s="2154"/>
      <c r="AH115" s="2154"/>
      <c r="AI115" s="2154"/>
      <c r="AJ115" s="2154"/>
      <c r="AK115" s="2154"/>
      <c r="AL115" s="2154"/>
      <c r="AM115" s="2154"/>
      <c r="AN115" s="2154"/>
      <c r="AO115" s="2154"/>
      <c r="AP115" s="2154"/>
      <c r="AQ115" s="2154"/>
      <c r="AR115" s="2154"/>
      <c r="AS115" s="1974"/>
      <c r="AT115" s="1974"/>
      <c r="AU115" s="1974"/>
      <c r="AV115" s="1974"/>
      <c r="AW115" s="1974"/>
      <c r="AX115" s="1974"/>
      <c r="AY115" s="1974"/>
      <c r="AZ115" s="1974"/>
      <c r="BA115" s="1974"/>
      <c r="BB115" s="1974"/>
      <c r="BC115" s="1977"/>
      <c r="BD115" s="1977"/>
      <c r="BE115" s="1977"/>
      <c r="BF115" s="1977"/>
      <c r="BG115" s="1977"/>
      <c r="BH115" s="1977"/>
      <c r="BI115" s="1977"/>
      <c r="BJ115" s="1977"/>
      <c r="BK115" s="1977"/>
      <c r="BL115" s="1977"/>
      <c r="BM115" s="1977"/>
      <c r="BN115" s="1977">
        <f>CC115+CD115</f>
        <v>360262</v>
      </c>
      <c r="BO115" s="1977"/>
      <c r="BP115" s="1977"/>
      <c r="BQ115" s="1977"/>
      <c r="BR115" s="1977"/>
      <c r="BS115" s="1977"/>
      <c r="BT115" s="1977"/>
      <c r="BU115" s="1977"/>
      <c r="BV115" s="1977"/>
      <c r="BW115" s="1977"/>
      <c r="BX115" s="1977"/>
      <c r="BY115" s="1977"/>
      <c r="BZ115" s="1977"/>
      <c r="CA115" s="1977"/>
      <c r="CB115" s="1977"/>
      <c r="CC115" s="839">
        <f>200000+150000</f>
        <v>350000</v>
      </c>
      <c r="CD115" s="223">
        <f>3000+7000-9488+9750</f>
        <v>10262</v>
      </c>
      <c r="CE115" s="1024"/>
      <c r="CF115" s="223"/>
      <c r="CG115" s="223"/>
      <c r="CH115" s="223"/>
    </row>
    <row r="116" spans="1:109" s="29" customFormat="1" x14ac:dyDescent="0.2">
      <c r="A116" s="1831" t="s">
        <v>620</v>
      </c>
      <c r="B116" s="1832"/>
      <c r="C116" s="1832"/>
      <c r="D116" s="1832"/>
      <c r="E116" s="1832"/>
      <c r="F116" s="1832"/>
      <c r="G116" s="1832"/>
      <c r="H116" s="1832"/>
      <c r="I116" s="1832"/>
      <c r="J116" s="1832"/>
      <c r="K116" s="1832"/>
      <c r="L116" s="1832"/>
      <c r="M116" s="1832"/>
      <c r="N116" s="1832"/>
      <c r="O116" s="1832"/>
      <c r="P116" s="1832"/>
      <c r="Q116" s="1832"/>
      <c r="R116" s="1832"/>
      <c r="S116" s="1832"/>
      <c r="T116" s="1832"/>
      <c r="U116" s="1832"/>
      <c r="V116" s="1832"/>
      <c r="W116" s="1832"/>
      <c r="X116" s="1832"/>
      <c r="Y116" s="1832"/>
      <c r="Z116" s="1832"/>
      <c r="AA116" s="1832"/>
      <c r="AB116" s="1832"/>
      <c r="AC116" s="1832"/>
      <c r="AD116" s="1832"/>
      <c r="AE116" s="1832"/>
      <c r="AF116" s="1832"/>
      <c r="AG116" s="1832"/>
      <c r="AH116" s="1832"/>
      <c r="AI116" s="1832"/>
      <c r="AJ116" s="1832"/>
      <c r="AK116" s="1832"/>
      <c r="AL116" s="1832"/>
      <c r="AM116" s="1832"/>
      <c r="AN116" s="1832"/>
      <c r="AO116" s="1832"/>
      <c r="AP116" s="1832"/>
      <c r="AQ116" s="1832"/>
      <c r="AR116" s="1833"/>
      <c r="AS116" s="1913" t="s">
        <v>3</v>
      </c>
      <c r="AT116" s="1913"/>
      <c r="AU116" s="1913"/>
      <c r="AV116" s="1913"/>
      <c r="AW116" s="1913"/>
      <c r="AX116" s="1913"/>
      <c r="AY116" s="1913"/>
      <c r="AZ116" s="1913"/>
      <c r="BA116" s="1913"/>
      <c r="BB116" s="1913"/>
      <c r="BC116" s="1971" t="s">
        <v>3</v>
      </c>
      <c r="BD116" s="1971"/>
      <c r="BE116" s="1971"/>
      <c r="BF116" s="1971"/>
      <c r="BG116" s="1971"/>
      <c r="BH116" s="1971"/>
      <c r="BI116" s="1971"/>
      <c r="BJ116" s="1971"/>
      <c r="BK116" s="1971"/>
      <c r="BL116" s="1971"/>
      <c r="BM116" s="1971"/>
      <c r="BN116" s="1971">
        <f>BN115</f>
        <v>360262</v>
      </c>
      <c r="BO116" s="1971"/>
      <c r="BP116" s="1971"/>
      <c r="BQ116" s="1971"/>
      <c r="BR116" s="1971"/>
      <c r="BS116" s="1971"/>
      <c r="BT116" s="1971"/>
      <c r="BU116" s="1971"/>
      <c r="BV116" s="1971"/>
      <c r="BW116" s="1971"/>
      <c r="BX116" s="1971"/>
      <c r="BY116" s="1971"/>
      <c r="BZ116" s="1971"/>
      <c r="CA116" s="1971"/>
      <c r="CB116" s="1971"/>
      <c r="CC116" s="840">
        <f>CC115</f>
        <v>350000</v>
      </c>
      <c r="CD116" s="239">
        <f>CD115</f>
        <v>10262</v>
      </c>
      <c r="CE116" s="1033"/>
      <c r="CF116" s="239"/>
      <c r="CG116" s="239"/>
      <c r="CH116" s="239"/>
      <c r="CI116" s="1089" t="s">
        <v>1589</v>
      </c>
    </row>
    <row r="117" spans="1:109" x14ac:dyDescent="0.2">
      <c r="A117" s="1806">
        <v>1</v>
      </c>
      <c r="B117" s="1806"/>
      <c r="C117" s="1806"/>
      <c r="D117" s="1806"/>
      <c r="E117" s="1973" t="s">
        <v>941</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1973"/>
      <c r="AD117" s="1973"/>
      <c r="AE117" s="1973"/>
      <c r="AF117" s="1973"/>
      <c r="AG117" s="1973"/>
      <c r="AH117" s="1973"/>
      <c r="AI117" s="1973"/>
      <c r="AJ117" s="1973"/>
      <c r="AK117" s="1973"/>
      <c r="AL117" s="1973"/>
      <c r="AM117" s="1973"/>
      <c r="AN117" s="1973"/>
      <c r="AO117" s="1973"/>
      <c r="AP117" s="1973"/>
      <c r="AQ117" s="1973"/>
      <c r="AR117" s="1973"/>
      <c r="AS117" s="1806"/>
      <c r="AT117" s="1806"/>
      <c r="AU117" s="1806"/>
      <c r="AV117" s="1806"/>
      <c r="AW117" s="1806"/>
      <c r="AX117" s="1806"/>
      <c r="AY117" s="1806"/>
      <c r="AZ117" s="1806"/>
      <c r="BA117" s="1806"/>
      <c r="BB117" s="1806"/>
      <c r="BC117" s="1977"/>
      <c r="BD117" s="1977"/>
      <c r="BE117" s="1977"/>
      <c r="BF117" s="1977"/>
      <c r="BG117" s="1977"/>
      <c r="BH117" s="1977"/>
      <c r="BI117" s="1977"/>
      <c r="BJ117" s="1977"/>
      <c r="BK117" s="1977"/>
      <c r="BL117" s="1977"/>
      <c r="BM117" s="1977"/>
      <c r="BN117" s="1977">
        <f>CH117+CD117</f>
        <v>0</v>
      </c>
      <c r="BO117" s="1977"/>
      <c r="BP117" s="1977"/>
      <c r="BQ117" s="1977"/>
      <c r="BR117" s="1977"/>
      <c r="BS117" s="1977"/>
      <c r="BT117" s="1977"/>
      <c r="BU117" s="1977"/>
      <c r="BV117" s="1977"/>
      <c r="BW117" s="1977"/>
      <c r="BX117" s="1977"/>
      <c r="BY117" s="1977"/>
      <c r="BZ117" s="1977"/>
      <c r="CA117" s="1977"/>
      <c r="CB117" s="1977"/>
      <c r="CC117" s="839"/>
      <c r="CD117" s="223">
        <f>4892-4892</f>
        <v>0</v>
      </c>
      <c r="CE117" s="1024"/>
      <c r="CF117" s="223"/>
      <c r="CG117" s="223"/>
      <c r="CH117" s="223"/>
      <c r="CI117" s="1037"/>
    </row>
    <row r="118" spans="1:109" s="29" customFormat="1" x14ac:dyDescent="0.2">
      <c r="A118" s="1831" t="s">
        <v>619</v>
      </c>
      <c r="B118" s="1832"/>
      <c r="C118" s="1832"/>
      <c r="D118" s="1832"/>
      <c r="E118" s="1832"/>
      <c r="F118" s="1832"/>
      <c r="G118" s="1832"/>
      <c r="H118" s="1832"/>
      <c r="I118" s="1832"/>
      <c r="J118" s="1832"/>
      <c r="K118" s="1832"/>
      <c r="L118" s="1832"/>
      <c r="M118" s="1832"/>
      <c r="N118" s="1832"/>
      <c r="O118" s="1832"/>
      <c r="P118" s="1832"/>
      <c r="Q118" s="1832"/>
      <c r="R118" s="1832"/>
      <c r="S118" s="1832"/>
      <c r="T118" s="1832"/>
      <c r="U118" s="1832"/>
      <c r="V118" s="1832"/>
      <c r="W118" s="1832"/>
      <c r="X118" s="1832"/>
      <c r="Y118" s="1832"/>
      <c r="Z118" s="1832"/>
      <c r="AA118" s="1832"/>
      <c r="AB118" s="1832"/>
      <c r="AC118" s="1832"/>
      <c r="AD118" s="1832"/>
      <c r="AE118" s="1832"/>
      <c r="AF118" s="1832"/>
      <c r="AG118" s="1832"/>
      <c r="AH118" s="1832"/>
      <c r="AI118" s="1832"/>
      <c r="AJ118" s="1832"/>
      <c r="AK118" s="1832"/>
      <c r="AL118" s="1832"/>
      <c r="AM118" s="1832"/>
      <c r="AN118" s="1832"/>
      <c r="AO118" s="1832"/>
      <c r="AP118" s="1832"/>
      <c r="AQ118" s="1832"/>
      <c r="AR118" s="1833"/>
      <c r="AS118" s="1913" t="s">
        <v>3</v>
      </c>
      <c r="AT118" s="1913"/>
      <c r="AU118" s="1913"/>
      <c r="AV118" s="1913"/>
      <c r="AW118" s="1913"/>
      <c r="AX118" s="1913"/>
      <c r="AY118" s="1913"/>
      <c r="AZ118" s="1913"/>
      <c r="BA118" s="1913"/>
      <c r="BB118" s="1913"/>
      <c r="BC118" s="1971" t="s">
        <v>3</v>
      </c>
      <c r="BD118" s="1971"/>
      <c r="BE118" s="1971"/>
      <c r="BF118" s="1971"/>
      <c r="BG118" s="1971"/>
      <c r="BH118" s="1971"/>
      <c r="BI118" s="1971"/>
      <c r="BJ118" s="1971"/>
      <c r="BK118" s="1971"/>
      <c r="BL118" s="1971"/>
      <c r="BM118" s="1971"/>
      <c r="BN118" s="1971">
        <f>BN117</f>
        <v>0</v>
      </c>
      <c r="BO118" s="1971"/>
      <c r="BP118" s="1971"/>
      <c r="BQ118" s="1971"/>
      <c r="BR118" s="1971"/>
      <c r="BS118" s="1971"/>
      <c r="BT118" s="1971"/>
      <c r="BU118" s="1971"/>
      <c r="BV118" s="1971"/>
      <c r="BW118" s="1971"/>
      <c r="BX118" s="1971"/>
      <c r="BY118" s="1971"/>
      <c r="BZ118" s="1971"/>
      <c r="CA118" s="1971"/>
      <c r="CB118" s="1971"/>
      <c r="CC118" s="840"/>
      <c r="CD118" s="239">
        <f>CD117</f>
        <v>0</v>
      </c>
      <c r="CE118" s="1033"/>
      <c r="CF118" s="239"/>
      <c r="CG118" s="239"/>
      <c r="CH118" s="239">
        <f>CH117</f>
        <v>0</v>
      </c>
      <c r="CI118" s="1040"/>
    </row>
    <row r="119" spans="1:109" s="234" customFormat="1" ht="18.600000000000001" customHeight="1" x14ac:dyDescent="0.2">
      <c r="A119" s="1810">
        <v>1</v>
      </c>
      <c r="B119" s="1810"/>
      <c r="C119" s="1810"/>
      <c r="D119" s="1810"/>
      <c r="E119" s="2082" t="s">
        <v>1423</v>
      </c>
      <c r="F119" s="2082"/>
      <c r="G119" s="2082"/>
      <c r="H119" s="2082"/>
      <c r="I119" s="2082"/>
      <c r="J119" s="2082"/>
      <c r="K119" s="2082"/>
      <c r="L119" s="2082"/>
      <c r="M119" s="2082"/>
      <c r="N119" s="2082"/>
      <c r="O119" s="2082"/>
      <c r="P119" s="2082"/>
      <c r="Q119" s="2082"/>
      <c r="R119" s="2082"/>
      <c r="S119" s="2082"/>
      <c r="T119" s="2082"/>
      <c r="U119" s="2082"/>
      <c r="V119" s="2082"/>
      <c r="W119" s="2082"/>
      <c r="X119" s="2082"/>
      <c r="Y119" s="2082"/>
      <c r="Z119" s="2082"/>
      <c r="AA119" s="2082"/>
      <c r="AB119" s="2082"/>
      <c r="AC119" s="2082"/>
      <c r="AD119" s="2082"/>
      <c r="AE119" s="2082"/>
      <c r="AF119" s="2082"/>
      <c r="AG119" s="2082"/>
      <c r="AH119" s="2082"/>
      <c r="AI119" s="2082"/>
      <c r="AJ119" s="2082"/>
      <c r="AK119" s="2082"/>
      <c r="AL119" s="2082"/>
      <c r="AM119" s="2082"/>
      <c r="AN119" s="2082"/>
      <c r="AO119" s="2082"/>
      <c r="AP119" s="2082"/>
      <c r="AQ119" s="2082"/>
      <c r="AR119" s="2082"/>
      <c r="AS119" s="2090"/>
      <c r="AT119" s="2090"/>
      <c r="AU119" s="2090"/>
      <c r="AV119" s="2090"/>
      <c r="AW119" s="2090"/>
      <c r="AX119" s="2090"/>
      <c r="AY119" s="2090"/>
      <c r="AZ119" s="2090"/>
      <c r="BA119" s="2090"/>
      <c r="BB119" s="2090"/>
      <c r="BC119" s="2091"/>
      <c r="BD119" s="2091"/>
      <c r="BE119" s="2091"/>
      <c r="BF119" s="2091"/>
      <c r="BG119" s="2091"/>
      <c r="BH119" s="2091"/>
      <c r="BI119" s="2091"/>
      <c r="BJ119" s="2091"/>
      <c r="BK119" s="2091"/>
      <c r="BL119" s="2091"/>
      <c r="BM119" s="2091"/>
      <c r="BN119" s="2091">
        <f>CC119+CD119+CF119+CG119+CH119</f>
        <v>260689.46</v>
      </c>
      <c r="BO119" s="2091"/>
      <c r="BP119" s="2091"/>
      <c r="BQ119" s="2091"/>
      <c r="BR119" s="2091"/>
      <c r="BS119" s="2091"/>
      <c r="BT119" s="2091"/>
      <c r="BU119" s="2091"/>
      <c r="BV119" s="2091"/>
      <c r="BW119" s="2091"/>
      <c r="BX119" s="2091"/>
      <c r="BY119" s="2091"/>
      <c r="BZ119" s="2091"/>
      <c r="CA119" s="2091"/>
      <c r="CB119" s="2091"/>
      <c r="CC119" s="826">
        <v>33000</v>
      </c>
      <c r="CD119" s="233">
        <f>87913.9+4892-1906.23+1885.03+2125.45+60871.69</f>
        <v>155781.84</v>
      </c>
      <c r="CE119" s="823"/>
      <c r="CF119" s="233"/>
      <c r="CG119" s="233"/>
      <c r="CH119" s="233">
        <f>14510.07+12733.33+44664.22</f>
        <v>71907.62</v>
      </c>
      <c r="CI119" s="1065" t="s">
        <v>1694</v>
      </c>
      <c r="CM119" s="1059"/>
    </row>
    <row r="120" spans="1:109" s="234" customFormat="1" ht="21" customHeight="1" x14ac:dyDescent="0.2">
      <c r="A120" s="1810">
        <v>2</v>
      </c>
      <c r="B120" s="1810"/>
      <c r="C120" s="1810"/>
      <c r="D120" s="1810"/>
      <c r="E120" s="2082" t="s">
        <v>617</v>
      </c>
      <c r="F120" s="2082"/>
      <c r="G120" s="2082"/>
      <c r="H120" s="2082"/>
      <c r="I120" s="2082"/>
      <c r="J120" s="2082"/>
      <c r="K120" s="2082"/>
      <c r="L120" s="2082"/>
      <c r="M120" s="2082"/>
      <c r="N120" s="2082"/>
      <c r="O120" s="2082"/>
      <c r="P120" s="2082"/>
      <c r="Q120" s="2082"/>
      <c r="R120" s="2082"/>
      <c r="S120" s="2082"/>
      <c r="T120" s="2082"/>
      <c r="U120" s="2082"/>
      <c r="V120" s="2082"/>
      <c r="W120" s="2082"/>
      <c r="X120" s="2082"/>
      <c r="Y120" s="2082"/>
      <c r="Z120" s="2082"/>
      <c r="AA120" s="2082"/>
      <c r="AB120" s="2082"/>
      <c r="AC120" s="2082"/>
      <c r="AD120" s="2082"/>
      <c r="AE120" s="2082"/>
      <c r="AF120" s="2082"/>
      <c r="AG120" s="2082"/>
      <c r="AH120" s="2082"/>
      <c r="AI120" s="2082"/>
      <c r="AJ120" s="2082"/>
      <c r="AK120" s="2082"/>
      <c r="AL120" s="2082"/>
      <c r="AM120" s="2082"/>
      <c r="AN120" s="2082"/>
      <c r="AO120" s="2082"/>
      <c r="AP120" s="2082"/>
      <c r="AQ120" s="2082"/>
      <c r="AR120" s="2082"/>
      <c r="AS120" s="2090"/>
      <c r="AT120" s="2090"/>
      <c r="AU120" s="2090"/>
      <c r="AV120" s="2090"/>
      <c r="AW120" s="2090"/>
      <c r="AX120" s="2090"/>
      <c r="AY120" s="2090"/>
      <c r="AZ120" s="2090"/>
      <c r="BA120" s="2090"/>
      <c r="BB120" s="2090"/>
      <c r="BC120" s="2091"/>
      <c r="BD120" s="2091"/>
      <c r="BE120" s="2091"/>
      <c r="BF120" s="2091"/>
      <c r="BG120" s="2091"/>
      <c r="BH120" s="2091"/>
      <c r="BI120" s="2091"/>
      <c r="BJ120" s="2091"/>
      <c r="BK120" s="2091"/>
      <c r="BL120" s="2091"/>
      <c r="BM120" s="2091"/>
      <c r="BN120" s="2091">
        <f>CC120+CD120+CF120+CG120+CH120</f>
        <v>203565</v>
      </c>
      <c r="BO120" s="2091"/>
      <c r="BP120" s="2091"/>
      <c r="BQ120" s="2091"/>
      <c r="BR120" s="2091"/>
      <c r="BS120" s="2091"/>
      <c r="BT120" s="2091"/>
      <c r="BU120" s="2091"/>
      <c r="BV120" s="2091"/>
      <c r="BW120" s="2091"/>
      <c r="BX120" s="2091"/>
      <c r="BY120" s="2091"/>
      <c r="BZ120" s="2091"/>
      <c r="CA120" s="2091"/>
      <c r="CB120" s="2091"/>
      <c r="CC120" s="1066"/>
      <c r="CD120" s="233">
        <f>43015+148900-9750+20562.89+837.11</f>
        <v>203565</v>
      </c>
      <c r="CE120" s="823"/>
      <c r="CF120" s="233"/>
      <c r="CG120" s="233"/>
      <c r="CH120" s="233"/>
      <c r="CI120" s="1065" t="s">
        <v>1684</v>
      </c>
      <c r="CM120" s="1059"/>
    </row>
    <row r="121" spans="1:109" s="234" customFormat="1" ht="16.5" customHeight="1" x14ac:dyDescent="0.2">
      <c r="A121" s="1788">
        <v>3</v>
      </c>
      <c r="B121" s="1790"/>
      <c r="C121" s="1790"/>
      <c r="D121" s="1789"/>
      <c r="E121" s="1772" t="s">
        <v>1427</v>
      </c>
      <c r="F121" s="1882"/>
      <c r="G121" s="1882"/>
      <c r="H121" s="1882"/>
      <c r="I121" s="1882"/>
      <c r="J121" s="1882"/>
      <c r="K121" s="1882"/>
      <c r="L121" s="1882"/>
      <c r="M121" s="1882"/>
      <c r="N121" s="1882"/>
      <c r="O121" s="1882"/>
      <c r="P121" s="1882"/>
      <c r="Q121" s="1882"/>
      <c r="R121" s="1882"/>
      <c r="S121" s="1882"/>
      <c r="T121" s="1882"/>
      <c r="U121" s="1882"/>
      <c r="V121" s="1882"/>
      <c r="W121" s="1882"/>
      <c r="X121" s="1882"/>
      <c r="Y121" s="1882"/>
      <c r="Z121" s="1882"/>
      <c r="AA121" s="1882"/>
      <c r="AB121" s="1882"/>
      <c r="AC121" s="1882"/>
      <c r="AD121" s="1882"/>
      <c r="AE121" s="1882"/>
      <c r="AF121" s="1882"/>
      <c r="AG121" s="1882"/>
      <c r="AH121" s="1882"/>
      <c r="AI121" s="1882"/>
      <c r="AJ121" s="1882"/>
      <c r="AK121" s="1882"/>
      <c r="AL121" s="1882"/>
      <c r="AM121" s="1882"/>
      <c r="AN121" s="1882"/>
      <c r="AO121" s="1882"/>
      <c r="AP121" s="1882"/>
      <c r="AQ121" s="1882"/>
      <c r="AR121" s="1773"/>
      <c r="AS121" s="2095"/>
      <c r="AT121" s="2096"/>
      <c r="AU121" s="2096"/>
      <c r="AV121" s="2096"/>
      <c r="AW121" s="2096"/>
      <c r="AX121" s="2096"/>
      <c r="AY121" s="2096"/>
      <c r="AZ121" s="2096"/>
      <c r="BA121" s="2096"/>
      <c r="BB121" s="2097"/>
      <c r="BC121" s="2092"/>
      <c r="BD121" s="2093"/>
      <c r="BE121" s="2093"/>
      <c r="BF121" s="2093"/>
      <c r="BG121" s="2093"/>
      <c r="BH121" s="2093"/>
      <c r="BI121" s="2093"/>
      <c r="BJ121" s="2093"/>
      <c r="BK121" s="2093"/>
      <c r="BL121" s="2093"/>
      <c r="BM121" s="2094"/>
      <c r="BN121" s="2092">
        <f>CC121</f>
        <v>9972</v>
      </c>
      <c r="BO121" s="2093"/>
      <c r="BP121" s="2093"/>
      <c r="BQ121" s="2093"/>
      <c r="BR121" s="2093"/>
      <c r="BS121" s="2093"/>
      <c r="BT121" s="2093"/>
      <c r="BU121" s="2093"/>
      <c r="BV121" s="2093"/>
      <c r="BW121" s="2093"/>
      <c r="BX121" s="2093"/>
      <c r="BY121" s="2093"/>
      <c r="BZ121" s="2093"/>
      <c r="CA121" s="2093"/>
      <c r="CB121" s="2094"/>
      <c r="CC121" s="826">
        <f>10000-38+10</f>
        <v>9972</v>
      </c>
      <c r="CD121" s="233"/>
      <c r="CE121" s="823"/>
      <c r="CF121" s="233"/>
      <c r="CG121" s="233"/>
      <c r="CH121" s="233"/>
      <c r="CI121" s="1079" t="s">
        <v>1686</v>
      </c>
    </row>
    <row r="122" spans="1:109" s="234" customFormat="1" x14ac:dyDescent="0.2">
      <c r="A122" s="1810">
        <v>4</v>
      </c>
      <c r="B122" s="1810"/>
      <c r="C122" s="1810"/>
      <c r="D122" s="1810"/>
      <c r="E122" s="2082" t="s">
        <v>1285</v>
      </c>
      <c r="F122" s="2082"/>
      <c r="G122" s="2082"/>
      <c r="H122" s="2082"/>
      <c r="I122" s="2082"/>
      <c r="J122" s="2082"/>
      <c r="K122" s="2082"/>
      <c r="L122" s="2082"/>
      <c r="M122" s="2082"/>
      <c r="N122" s="2082"/>
      <c r="O122" s="2082"/>
      <c r="P122" s="2082"/>
      <c r="Q122" s="2082"/>
      <c r="R122" s="2082"/>
      <c r="S122" s="2082"/>
      <c r="T122" s="2082"/>
      <c r="U122" s="2082"/>
      <c r="V122" s="2082"/>
      <c r="W122" s="2082"/>
      <c r="X122" s="2082"/>
      <c r="Y122" s="2082"/>
      <c r="Z122" s="2082"/>
      <c r="AA122" s="2082"/>
      <c r="AB122" s="2082"/>
      <c r="AC122" s="2082"/>
      <c r="AD122" s="2082"/>
      <c r="AE122" s="2082"/>
      <c r="AF122" s="2082"/>
      <c r="AG122" s="2082"/>
      <c r="AH122" s="2082"/>
      <c r="AI122" s="2082"/>
      <c r="AJ122" s="2082"/>
      <c r="AK122" s="2082"/>
      <c r="AL122" s="2082"/>
      <c r="AM122" s="2082"/>
      <c r="AN122" s="2082"/>
      <c r="AO122" s="2082"/>
      <c r="AP122" s="2082"/>
      <c r="AQ122" s="2082"/>
      <c r="AR122" s="2082"/>
      <c r="AS122" s="2090"/>
      <c r="AT122" s="2090"/>
      <c r="AU122" s="2090"/>
      <c r="AV122" s="2090"/>
      <c r="AW122" s="2090"/>
      <c r="AX122" s="2090"/>
      <c r="AY122" s="2090"/>
      <c r="AZ122" s="2090"/>
      <c r="BA122" s="2090"/>
      <c r="BB122" s="2090"/>
      <c r="BC122" s="2091"/>
      <c r="BD122" s="2091"/>
      <c r="BE122" s="2091"/>
      <c r="BF122" s="2091"/>
      <c r="BG122" s="2091"/>
      <c r="BH122" s="2091"/>
      <c r="BI122" s="2091"/>
      <c r="BJ122" s="2091"/>
      <c r="BK122" s="2091"/>
      <c r="BL122" s="2091"/>
      <c r="BM122" s="2091"/>
      <c r="BN122" s="2091">
        <f>CC122</f>
        <v>50000</v>
      </c>
      <c r="BO122" s="2091"/>
      <c r="BP122" s="2091"/>
      <c r="BQ122" s="2091"/>
      <c r="BR122" s="2091"/>
      <c r="BS122" s="2091"/>
      <c r="BT122" s="2091"/>
      <c r="BU122" s="2091"/>
      <c r="BV122" s="2091"/>
      <c r="BW122" s="2091"/>
      <c r="BX122" s="2091"/>
      <c r="BY122" s="2091"/>
      <c r="BZ122" s="2091"/>
      <c r="CA122" s="2091"/>
      <c r="CB122" s="2091"/>
      <c r="CC122" s="826">
        <v>50000</v>
      </c>
      <c r="CD122" s="233"/>
      <c r="CE122" s="823"/>
      <c r="CF122" s="233"/>
      <c r="CG122" s="233"/>
      <c r="CH122" s="233"/>
    </row>
    <row r="123" spans="1:109" s="234" customFormat="1" ht="16.899999999999999" customHeight="1" x14ac:dyDescent="0.2">
      <c r="A123" s="1810">
        <v>5</v>
      </c>
      <c r="B123" s="1810"/>
      <c r="C123" s="1810"/>
      <c r="D123" s="1810"/>
      <c r="E123" s="2082" t="s">
        <v>1286</v>
      </c>
      <c r="F123" s="2082"/>
      <c r="G123" s="2082"/>
      <c r="H123" s="2082"/>
      <c r="I123" s="2082"/>
      <c r="J123" s="2082"/>
      <c r="K123" s="2082"/>
      <c r="L123" s="2082"/>
      <c r="M123" s="2082"/>
      <c r="N123" s="2082"/>
      <c r="O123" s="2082"/>
      <c r="P123" s="2082"/>
      <c r="Q123" s="2082"/>
      <c r="R123" s="2082"/>
      <c r="S123" s="2082"/>
      <c r="T123" s="2082"/>
      <c r="U123" s="2082"/>
      <c r="V123" s="2082"/>
      <c r="W123" s="2082"/>
      <c r="X123" s="2082"/>
      <c r="Y123" s="2082"/>
      <c r="Z123" s="2082"/>
      <c r="AA123" s="2082"/>
      <c r="AB123" s="2082"/>
      <c r="AC123" s="2082"/>
      <c r="AD123" s="2082"/>
      <c r="AE123" s="2082"/>
      <c r="AF123" s="2082"/>
      <c r="AG123" s="2082"/>
      <c r="AH123" s="2082"/>
      <c r="AI123" s="2082"/>
      <c r="AJ123" s="2082"/>
      <c r="AK123" s="2082"/>
      <c r="AL123" s="2082"/>
      <c r="AM123" s="2082"/>
      <c r="AN123" s="2082"/>
      <c r="AO123" s="2082"/>
      <c r="AP123" s="2082"/>
      <c r="AQ123" s="2082"/>
      <c r="AR123" s="2082"/>
      <c r="AS123" s="2090"/>
      <c r="AT123" s="2090"/>
      <c r="AU123" s="2090"/>
      <c r="AV123" s="2090"/>
      <c r="AW123" s="2090"/>
      <c r="AX123" s="2090"/>
      <c r="AY123" s="2090"/>
      <c r="AZ123" s="2090"/>
      <c r="BA123" s="2090"/>
      <c r="BB123" s="2090"/>
      <c r="BC123" s="2091"/>
      <c r="BD123" s="2091"/>
      <c r="BE123" s="2091"/>
      <c r="BF123" s="2091"/>
      <c r="BG123" s="2091"/>
      <c r="BH123" s="2091"/>
      <c r="BI123" s="2091"/>
      <c r="BJ123" s="2091"/>
      <c r="BK123" s="2091"/>
      <c r="BL123" s="2091"/>
      <c r="BM123" s="2091"/>
      <c r="BN123" s="2091">
        <f>CC123+CD123+CF123+CG123+CH123</f>
        <v>132669.9</v>
      </c>
      <c r="BO123" s="2091"/>
      <c r="BP123" s="2091"/>
      <c r="BQ123" s="2091"/>
      <c r="BR123" s="2091"/>
      <c r="BS123" s="2091"/>
      <c r="BT123" s="2091"/>
      <c r="BU123" s="2091"/>
      <c r="BV123" s="2091"/>
      <c r="BW123" s="2091"/>
      <c r="BX123" s="2091"/>
      <c r="BY123" s="2091"/>
      <c r="BZ123" s="2091"/>
      <c r="CA123" s="2091"/>
      <c r="CB123" s="2091"/>
      <c r="CC123" s="826">
        <f>99731.76-CC124+38+710-10+41750.14</f>
        <v>132669.9</v>
      </c>
      <c r="CD123" s="233"/>
      <c r="CE123" s="823"/>
      <c r="CF123" s="233"/>
      <c r="CG123" s="233"/>
      <c r="CH123" s="233"/>
      <c r="CI123" s="1065" t="s">
        <v>1696</v>
      </c>
    </row>
    <row r="124" spans="1:109" s="234" customFormat="1" x14ac:dyDescent="0.2">
      <c r="A124" s="1810">
        <v>6</v>
      </c>
      <c r="B124" s="1810"/>
      <c r="C124" s="1810"/>
      <c r="D124" s="1810"/>
      <c r="E124" s="2082" t="s">
        <v>1420</v>
      </c>
      <c r="F124" s="2082"/>
      <c r="G124" s="2082"/>
      <c r="H124" s="2082"/>
      <c r="I124" s="2082"/>
      <c r="J124" s="2082"/>
      <c r="K124" s="2082"/>
      <c r="L124" s="2082"/>
      <c r="M124" s="2082"/>
      <c r="N124" s="2082"/>
      <c r="O124" s="2082"/>
      <c r="P124" s="2082"/>
      <c r="Q124" s="2082"/>
      <c r="R124" s="2082"/>
      <c r="S124" s="2082"/>
      <c r="T124" s="2082"/>
      <c r="U124" s="2082"/>
      <c r="V124" s="2082"/>
      <c r="W124" s="2082"/>
      <c r="X124" s="2082"/>
      <c r="Y124" s="2082"/>
      <c r="Z124" s="2082"/>
      <c r="AA124" s="2082"/>
      <c r="AB124" s="2082"/>
      <c r="AC124" s="2082"/>
      <c r="AD124" s="2082"/>
      <c r="AE124" s="2082"/>
      <c r="AF124" s="2082"/>
      <c r="AG124" s="2082"/>
      <c r="AH124" s="2082"/>
      <c r="AI124" s="2082"/>
      <c r="AJ124" s="2082"/>
      <c r="AK124" s="2082"/>
      <c r="AL124" s="2082"/>
      <c r="AM124" s="2082"/>
      <c r="AN124" s="2082"/>
      <c r="AO124" s="2082"/>
      <c r="AP124" s="2082"/>
      <c r="AQ124" s="2082"/>
      <c r="AR124" s="2082"/>
      <c r="AS124" s="2090">
        <v>13</v>
      </c>
      <c r="AT124" s="2090"/>
      <c r="AU124" s="2090"/>
      <c r="AV124" s="2090"/>
      <c r="AW124" s="2090"/>
      <c r="AX124" s="2090"/>
      <c r="AY124" s="2090"/>
      <c r="AZ124" s="2090"/>
      <c r="BA124" s="2090"/>
      <c r="BB124" s="2090"/>
      <c r="BC124" s="2091">
        <f>BN124/AS124</f>
        <v>734.61538461538464</v>
      </c>
      <c r="BD124" s="2091"/>
      <c r="BE124" s="2091"/>
      <c r="BF124" s="2091"/>
      <c r="BG124" s="2091"/>
      <c r="BH124" s="2091"/>
      <c r="BI124" s="2091"/>
      <c r="BJ124" s="2091"/>
      <c r="BK124" s="2091"/>
      <c r="BL124" s="2091"/>
      <c r="BM124" s="2091"/>
      <c r="BN124" s="2091">
        <f>CC124+CD124+CF124+CG124+CH124</f>
        <v>9550</v>
      </c>
      <c r="BO124" s="2091"/>
      <c r="BP124" s="2091"/>
      <c r="BQ124" s="2091"/>
      <c r="BR124" s="2091"/>
      <c r="BS124" s="2091"/>
      <c r="BT124" s="2091"/>
      <c r="BU124" s="2091"/>
      <c r="BV124" s="2091"/>
      <c r="BW124" s="2091"/>
      <c r="BX124" s="2091"/>
      <c r="BY124" s="2091"/>
      <c r="BZ124" s="2091"/>
      <c r="CA124" s="2091"/>
      <c r="CB124" s="2091"/>
      <c r="CC124" s="826">
        <v>9550</v>
      </c>
      <c r="CD124" s="233"/>
      <c r="CE124" s="823"/>
      <c r="CF124" s="233"/>
      <c r="CG124" s="233"/>
      <c r="CH124" s="233"/>
    </row>
    <row r="125" spans="1:109" s="234" customFormat="1" ht="16.149999999999999" customHeight="1" x14ac:dyDescent="0.2">
      <c r="A125" s="1810">
        <v>7</v>
      </c>
      <c r="B125" s="1810"/>
      <c r="C125" s="1810"/>
      <c r="D125" s="1810"/>
      <c r="E125" s="2082" t="s">
        <v>1486</v>
      </c>
      <c r="F125" s="2082"/>
      <c r="G125" s="2082"/>
      <c r="H125" s="2082"/>
      <c r="I125" s="2082"/>
      <c r="J125" s="2082"/>
      <c r="K125" s="2082"/>
      <c r="L125" s="2082"/>
      <c r="M125" s="2082"/>
      <c r="N125" s="2082"/>
      <c r="O125" s="2082"/>
      <c r="P125" s="2082"/>
      <c r="Q125" s="2082"/>
      <c r="R125" s="2082"/>
      <c r="S125" s="2082"/>
      <c r="T125" s="2082"/>
      <c r="U125" s="2082"/>
      <c r="V125" s="2082"/>
      <c r="W125" s="2082"/>
      <c r="X125" s="2082"/>
      <c r="Y125" s="2082"/>
      <c r="Z125" s="2082"/>
      <c r="AA125" s="2082"/>
      <c r="AB125" s="2082"/>
      <c r="AC125" s="2082"/>
      <c r="AD125" s="2082"/>
      <c r="AE125" s="2082"/>
      <c r="AF125" s="2082"/>
      <c r="AG125" s="2082"/>
      <c r="AH125" s="2082"/>
      <c r="AI125" s="2082"/>
      <c r="AJ125" s="2082"/>
      <c r="AK125" s="2082"/>
      <c r="AL125" s="2082"/>
      <c r="AM125" s="2082"/>
      <c r="AN125" s="2082"/>
      <c r="AO125" s="2082"/>
      <c r="AP125" s="2082"/>
      <c r="AQ125" s="2082"/>
      <c r="AR125" s="2082"/>
      <c r="AS125" s="2090">
        <v>40</v>
      </c>
      <c r="AT125" s="2090"/>
      <c r="AU125" s="2090"/>
      <c r="AV125" s="2090"/>
      <c r="AW125" s="2090"/>
      <c r="AX125" s="2090"/>
      <c r="AY125" s="2090"/>
      <c r="AZ125" s="2090"/>
      <c r="BA125" s="2090"/>
      <c r="BB125" s="2090"/>
      <c r="BC125" s="2091">
        <f>BN125/AS125</f>
        <v>1184.875</v>
      </c>
      <c r="BD125" s="2091"/>
      <c r="BE125" s="2091"/>
      <c r="BF125" s="2091"/>
      <c r="BG125" s="2091"/>
      <c r="BH125" s="2091"/>
      <c r="BI125" s="2091"/>
      <c r="BJ125" s="2091"/>
      <c r="BK125" s="2091"/>
      <c r="BL125" s="2091"/>
      <c r="BM125" s="2091"/>
      <c r="BN125" s="2091">
        <f>CC125+CD125+CF125+CG125+CH125</f>
        <v>47395</v>
      </c>
      <c r="BO125" s="2091"/>
      <c r="BP125" s="2091"/>
      <c r="BQ125" s="2091"/>
      <c r="BR125" s="2091"/>
      <c r="BS125" s="2091"/>
      <c r="BT125" s="2091"/>
      <c r="BU125" s="2091"/>
      <c r="BV125" s="2091"/>
      <c r="BW125" s="2091"/>
      <c r="BX125" s="2091"/>
      <c r="BY125" s="2091"/>
      <c r="BZ125" s="2091"/>
      <c r="CA125" s="2091"/>
      <c r="CB125" s="2091"/>
      <c r="CC125" s="826">
        <f>7335+19700+2860+17500</f>
        <v>47395</v>
      </c>
      <c r="CD125" s="233"/>
      <c r="CE125" s="823"/>
      <c r="CF125" s="233"/>
      <c r="CG125" s="233"/>
      <c r="CH125" s="233"/>
      <c r="CI125" s="1065" t="s">
        <v>1672</v>
      </c>
    </row>
    <row r="126" spans="1:109" s="234" customFormat="1" ht="15.75" x14ac:dyDescent="0.2">
      <c r="A126" s="1810">
        <v>8</v>
      </c>
      <c r="B126" s="1810"/>
      <c r="C126" s="1810"/>
      <c r="D126" s="1810"/>
      <c r="E126" s="2082" t="s">
        <v>1346</v>
      </c>
      <c r="F126" s="2082"/>
      <c r="G126" s="2082"/>
      <c r="H126" s="2082"/>
      <c r="I126" s="2082"/>
      <c r="J126" s="2082"/>
      <c r="K126" s="2082"/>
      <c r="L126" s="2082"/>
      <c r="M126" s="2082"/>
      <c r="N126" s="2082"/>
      <c r="O126" s="2082"/>
      <c r="P126" s="2082"/>
      <c r="Q126" s="2082"/>
      <c r="R126" s="2082"/>
      <c r="S126" s="2082"/>
      <c r="T126" s="2082"/>
      <c r="U126" s="2082"/>
      <c r="V126" s="2082"/>
      <c r="W126" s="2082"/>
      <c r="X126" s="2082"/>
      <c r="Y126" s="2082"/>
      <c r="Z126" s="2082"/>
      <c r="AA126" s="2082"/>
      <c r="AB126" s="2082"/>
      <c r="AC126" s="2082"/>
      <c r="AD126" s="2082"/>
      <c r="AE126" s="2082"/>
      <c r="AF126" s="2082"/>
      <c r="AG126" s="2082"/>
      <c r="AH126" s="2082"/>
      <c r="AI126" s="2082"/>
      <c r="AJ126" s="2082"/>
      <c r="AK126" s="2082"/>
      <c r="AL126" s="2082"/>
      <c r="AM126" s="2082"/>
      <c r="AN126" s="2082"/>
      <c r="AO126" s="2082"/>
      <c r="AP126" s="2082"/>
      <c r="AQ126" s="2082"/>
      <c r="AR126" s="2082"/>
      <c r="AS126" s="2090"/>
      <c r="AT126" s="2090"/>
      <c r="AU126" s="2090"/>
      <c r="AV126" s="2090"/>
      <c r="AW126" s="2090"/>
      <c r="AX126" s="2090"/>
      <c r="AY126" s="2090"/>
      <c r="AZ126" s="2090"/>
      <c r="BA126" s="2090"/>
      <c r="BB126" s="2090"/>
      <c r="BC126" s="2091"/>
      <c r="BD126" s="2091"/>
      <c r="BE126" s="2091"/>
      <c r="BF126" s="2091"/>
      <c r="BG126" s="2091"/>
      <c r="BH126" s="2091"/>
      <c r="BI126" s="2091"/>
      <c r="BJ126" s="2091"/>
      <c r="BK126" s="2091"/>
      <c r="BL126" s="2091"/>
      <c r="BM126" s="2091"/>
      <c r="BN126" s="2091">
        <f>CC126+CD126+CF126+CG126+CH126</f>
        <v>31356</v>
      </c>
      <c r="BO126" s="2091"/>
      <c r="BP126" s="2091"/>
      <c r="BQ126" s="2091"/>
      <c r="BR126" s="2091"/>
      <c r="BS126" s="2091"/>
      <c r="BT126" s="2091"/>
      <c r="BU126" s="2091"/>
      <c r="BV126" s="2091"/>
      <c r="BW126" s="2091"/>
      <c r="BX126" s="2091"/>
      <c r="BY126" s="2091"/>
      <c r="BZ126" s="2091"/>
      <c r="CA126" s="2091"/>
      <c r="CB126" s="2091"/>
      <c r="CC126" s="826">
        <f>30000+1356</f>
        <v>31356</v>
      </c>
      <c r="CD126" s="233"/>
      <c r="CE126" s="823"/>
      <c r="CF126" s="233"/>
      <c r="CG126" s="233"/>
      <c r="CH126" s="233"/>
      <c r="CI126" s="1121" t="s">
        <v>1591</v>
      </c>
      <c r="DE126" s="234" t="s">
        <v>1482</v>
      </c>
    </row>
    <row r="127" spans="1:109" s="29" customFormat="1" x14ac:dyDescent="0.2">
      <c r="A127" s="1831" t="s">
        <v>53</v>
      </c>
      <c r="B127" s="1832"/>
      <c r="C127" s="1832"/>
      <c r="D127" s="1832"/>
      <c r="E127" s="1832"/>
      <c r="F127" s="1832"/>
      <c r="G127" s="1832"/>
      <c r="H127" s="1832"/>
      <c r="I127" s="1832"/>
      <c r="J127" s="1832"/>
      <c r="K127" s="1832"/>
      <c r="L127" s="1832"/>
      <c r="M127" s="1832"/>
      <c r="N127" s="1832"/>
      <c r="O127" s="1832"/>
      <c r="P127" s="1832"/>
      <c r="Q127" s="1832"/>
      <c r="R127" s="1832"/>
      <c r="S127" s="1832"/>
      <c r="T127" s="1832"/>
      <c r="U127" s="1832"/>
      <c r="V127" s="1832"/>
      <c r="W127" s="1832"/>
      <c r="X127" s="1832"/>
      <c r="Y127" s="1832"/>
      <c r="Z127" s="1832"/>
      <c r="AA127" s="1832"/>
      <c r="AB127" s="1832"/>
      <c r="AC127" s="1832"/>
      <c r="AD127" s="1832"/>
      <c r="AE127" s="1832"/>
      <c r="AF127" s="1832"/>
      <c r="AG127" s="1832"/>
      <c r="AH127" s="1832"/>
      <c r="AI127" s="1832"/>
      <c r="AJ127" s="1832"/>
      <c r="AK127" s="1832"/>
      <c r="AL127" s="1832"/>
      <c r="AM127" s="1832"/>
      <c r="AN127" s="1832"/>
      <c r="AO127" s="1832"/>
      <c r="AP127" s="1832"/>
      <c r="AQ127" s="1832"/>
      <c r="AR127" s="1833"/>
      <c r="AS127" s="1913" t="s">
        <v>3</v>
      </c>
      <c r="AT127" s="1913"/>
      <c r="AU127" s="1913"/>
      <c r="AV127" s="1913"/>
      <c r="AW127" s="1913"/>
      <c r="AX127" s="1913"/>
      <c r="AY127" s="1913"/>
      <c r="AZ127" s="1913"/>
      <c r="BA127" s="1913"/>
      <c r="BB127" s="1913"/>
      <c r="BC127" s="1971" t="s">
        <v>3</v>
      </c>
      <c r="BD127" s="1971"/>
      <c r="BE127" s="1971"/>
      <c r="BF127" s="1971"/>
      <c r="BG127" s="1971"/>
      <c r="BH127" s="1971"/>
      <c r="BI127" s="1971"/>
      <c r="BJ127" s="1971"/>
      <c r="BK127" s="1971"/>
      <c r="BL127" s="1971"/>
      <c r="BM127" s="1971"/>
      <c r="BN127" s="1971">
        <f>SUM(BN119:CB126)</f>
        <v>745197.36</v>
      </c>
      <c r="BO127" s="1971"/>
      <c r="BP127" s="1971"/>
      <c r="BQ127" s="1971"/>
      <c r="BR127" s="1971"/>
      <c r="BS127" s="1971"/>
      <c r="BT127" s="1971"/>
      <c r="BU127" s="1971"/>
      <c r="BV127" s="1971"/>
      <c r="BW127" s="1971"/>
      <c r="BX127" s="1971"/>
      <c r="BY127" s="1971"/>
      <c r="BZ127" s="1971"/>
      <c r="CA127" s="1971"/>
      <c r="CB127" s="1971"/>
      <c r="CC127" s="239">
        <f>SUM(CC119:CC126)</f>
        <v>313942.90000000002</v>
      </c>
      <c r="CD127" s="239">
        <f>SUM(CD119:CD126)</f>
        <v>359346.83999999997</v>
      </c>
      <c r="CE127" s="1033"/>
      <c r="CF127" s="239"/>
      <c r="CG127" s="239"/>
      <c r="CH127" s="239">
        <f>SUM(CH119:CH124)</f>
        <v>71907.62</v>
      </c>
      <c r="CI127" s="1124" t="s">
        <v>1648</v>
      </c>
    </row>
    <row r="128" spans="1:109" x14ac:dyDescent="0.2">
      <c r="A128" s="1973">
        <v>1</v>
      </c>
      <c r="B128" s="1973"/>
      <c r="C128" s="1973"/>
      <c r="D128" s="1973"/>
      <c r="E128" s="1973" t="s">
        <v>947</v>
      </c>
      <c r="F128" s="1973"/>
      <c r="G128" s="1973"/>
      <c r="H128" s="1973"/>
      <c r="I128" s="1973"/>
      <c r="J128" s="1973"/>
      <c r="K128" s="1973"/>
      <c r="L128" s="1973"/>
      <c r="M128" s="1973"/>
      <c r="N128" s="1973"/>
      <c r="O128" s="1973"/>
      <c r="P128" s="1973"/>
      <c r="Q128" s="1973"/>
      <c r="R128" s="1973"/>
      <c r="S128" s="1973"/>
      <c r="T128" s="1973"/>
      <c r="U128" s="1973"/>
      <c r="V128" s="1973"/>
      <c r="W128" s="1973"/>
      <c r="X128" s="1973"/>
      <c r="Y128" s="1973"/>
      <c r="Z128" s="1973"/>
      <c r="AA128" s="1973"/>
      <c r="AB128" s="1973"/>
      <c r="AC128" s="1973"/>
      <c r="AD128" s="1973"/>
      <c r="AE128" s="1973"/>
      <c r="AF128" s="1973"/>
      <c r="AG128" s="1973"/>
      <c r="AH128" s="1973"/>
      <c r="AI128" s="1973"/>
      <c r="AJ128" s="1973"/>
      <c r="AK128" s="1973"/>
      <c r="AL128" s="1973"/>
      <c r="AM128" s="1973"/>
      <c r="AN128" s="1973"/>
      <c r="AO128" s="1973"/>
      <c r="AP128" s="1973"/>
      <c r="AQ128" s="1973"/>
      <c r="AR128" s="1973"/>
      <c r="AS128" s="1806">
        <v>20</v>
      </c>
      <c r="AT128" s="1806"/>
      <c r="AU128" s="1806"/>
      <c r="AV128" s="1806"/>
      <c r="AW128" s="1806"/>
      <c r="AX128" s="1806"/>
      <c r="AY128" s="1806"/>
      <c r="AZ128" s="1806"/>
      <c r="BA128" s="1806"/>
      <c r="BB128" s="1806"/>
      <c r="BC128" s="1977">
        <f>CC128/AS128</f>
        <v>232.2</v>
      </c>
      <c r="BD128" s="1977"/>
      <c r="BE128" s="1977"/>
      <c r="BF128" s="1977"/>
      <c r="BG128" s="1977"/>
      <c r="BH128" s="1977"/>
      <c r="BI128" s="1977"/>
      <c r="BJ128" s="1977"/>
      <c r="BK128" s="1977"/>
      <c r="BL128" s="1977"/>
      <c r="BM128" s="1977"/>
      <c r="BN128" s="1977">
        <f>CC128</f>
        <v>4644</v>
      </c>
      <c r="BO128" s="1977"/>
      <c r="BP128" s="1977"/>
      <c r="BQ128" s="1977"/>
      <c r="BR128" s="1977"/>
      <c r="BS128" s="1977"/>
      <c r="BT128" s="1977"/>
      <c r="BU128" s="1977"/>
      <c r="BV128" s="1977"/>
      <c r="BW128" s="1977"/>
      <c r="BX128" s="1977"/>
      <c r="BY128" s="1977"/>
      <c r="BZ128" s="1977"/>
      <c r="CA128" s="1977"/>
      <c r="CB128" s="1977"/>
      <c r="CC128" s="223">
        <f>6000-1356</f>
        <v>4644</v>
      </c>
      <c r="CD128" s="223"/>
      <c r="CE128" s="1024"/>
      <c r="CF128" s="223"/>
      <c r="CG128" s="223"/>
      <c r="CH128" s="223"/>
    </row>
    <row r="129" spans="1:88" s="29" customFormat="1" ht="17.45" customHeight="1" x14ac:dyDescent="0.3">
      <c r="A129" s="1831" t="s">
        <v>616</v>
      </c>
      <c r="B129" s="1832"/>
      <c r="C129" s="1832"/>
      <c r="D129" s="1832"/>
      <c r="E129" s="1832"/>
      <c r="F129" s="1832"/>
      <c r="G129" s="1832"/>
      <c r="H129" s="1832"/>
      <c r="I129" s="1832"/>
      <c r="J129" s="1832"/>
      <c r="K129" s="1832"/>
      <c r="L129" s="1832"/>
      <c r="M129" s="1832"/>
      <c r="N129" s="1832"/>
      <c r="O129" s="1832"/>
      <c r="P129" s="1832"/>
      <c r="Q129" s="1832"/>
      <c r="R129" s="1832"/>
      <c r="S129" s="1832"/>
      <c r="T129" s="1832"/>
      <c r="U129" s="1832"/>
      <c r="V129" s="1832"/>
      <c r="W129" s="1832"/>
      <c r="X129" s="1832"/>
      <c r="Y129" s="1832"/>
      <c r="Z129" s="1832"/>
      <c r="AA129" s="1832"/>
      <c r="AB129" s="1832"/>
      <c r="AC129" s="1832"/>
      <c r="AD129" s="1832"/>
      <c r="AE129" s="1832"/>
      <c r="AF129" s="1832"/>
      <c r="AG129" s="1832"/>
      <c r="AH129" s="1832"/>
      <c r="AI129" s="1832"/>
      <c r="AJ129" s="1832"/>
      <c r="AK129" s="1832"/>
      <c r="AL129" s="1832"/>
      <c r="AM129" s="1832"/>
      <c r="AN129" s="1832"/>
      <c r="AO129" s="1832"/>
      <c r="AP129" s="1832"/>
      <c r="AQ129" s="1832"/>
      <c r="AR129" s="1833"/>
      <c r="AS129" s="1913" t="s">
        <v>3</v>
      </c>
      <c r="AT129" s="1913"/>
      <c r="AU129" s="1913"/>
      <c r="AV129" s="1913"/>
      <c r="AW129" s="1913"/>
      <c r="AX129" s="1913"/>
      <c r="AY129" s="1913"/>
      <c r="AZ129" s="1913"/>
      <c r="BA129" s="1913"/>
      <c r="BB129" s="1913"/>
      <c r="BC129" s="1971" t="s">
        <v>3</v>
      </c>
      <c r="BD129" s="1971"/>
      <c r="BE129" s="1971"/>
      <c r="BF129" s="1971"/>
      <c r="BG129" s="1971"/>
      <c r="BH129" s="1971"/>
      <c r="BI129" s="1971"/>
      <c r="BJ129" s="1971"/>
      <c r="BK129" s="1971"/>
      <c r="BL129" s="1971"/>
      <c r="BM129" s="1971"/>
      <c r="BN129" s="1971">
        <f>CC129</f>
        <v>4644</v>
      </c>
      <c r="BO129" s="1971"/>
      <c r="BP129" s="1971"/>
      <c r="BQ129" s="1971"/>
      <c r="BR129" s="1971"/>
      <c r="BS129" s="1971"/>
      <c r="BT129" s="1971"/>
      <c r="BU129" s="1971"/>
      <c r="BV129" s="1971"/>
      <c r="BW129" s="1971"/>
      <c r="BX129" s="1971"/>
      <c r="BY129" s="1971"/>
      <c r="BZ129" s="1971"/>
      <c r="CA129" s="1971"/>
      <c r="CB129" s="1971"/>
      <c r="CC129" s="239">
        <f>CC128</f>
        <v>4644</v>
      </c>
      <c r="CD129" s="239"/>
      <c r="CE129" s="1033"/>
      <c r="CF129" s="239"/>
      <c r="CG129" s="239"/>
      <c r="CH129" s="239"/>
      <c r="CI129" s="1127" t="s">
        <v>1647</v>
      </c>
    </row>
    <row r="130" spans="1:88" ht="24.75" customHeight="1" x14ac:dyDescent="0.3">
      <c r="BM130" s="2087">
        <f>BN129+BN127+BN116+BN114+BN105+BN82+BN72+BN47</f>
        <v>9679548.4199999999</v>
      </c>
      <c r="BN130" s="2088"/>
      <c r="BO130" s="2088"/>
      <c r="BP130" s="2088"/>
      <c r="BQ130" s="2088"/>
      <c r="BR130" s="2088"/>
      <c r="BS130" s="2088"/>
      <c r="BT130" s="2088"/>
      <c r="BU130" s="2088"/>
      <c r="BV130" s="2088"/>
      <c r="BW130" s="2088"/>
      <c r="BX130" s="2088"/>
      <c r="BY130" s="2088"/>
      <c r="BZ130" s="2088"/>
      <c r="CA130" s="2088"/>
      <c r="CB130" s="2088"/>
      <c r="CI130" s="1126" t="s">
        <v>1668</v>
      </c>
      <c r="CJ130" s="8">
        <v>134715.37</v>
      </c>
    </row>
    <row r="131" spans="1:88" ht="20.25" x14ac:dyDescent="0.3">
      <c r="CD131" s="142">
        <f>'0702 221, 223'!CD11+'0702 221, 223'!CD37+'0702 225,226,227,310,346'!CD47+'0702 225,226,227,310,346'!CD72+'0702 225,226,227,310,346'!CD82+'0702 225,226,227,310,346'!CD114+'0702 225,226,227,310,346'!CD116+'0702 225,226,227,310,346'!CD118+'0702 225,226,227,310,346'!CD127</f>
        <v>1575110.9900000002</v>
      </c>
      <c r="CI131" s="1128" t="s">
        <v>1667</v>
      </c>
    </row>
    <row r="132" spans="1:88" ht="25.5" customHeight="1" x14ac:dyDescent="0.3">
      <c r="BQ132" s="2181"/>
      <c r="BR132" s="2181"/>
      <c r="BS132" s="2181"/>
      <c r="BT132" s="2181"/>
      <c r="BU132" s="2181"/>
      <c r="BV132" s="2181"/>
      <c r="BW132" s="2181"/>
      <c r="BX132" s="2181"/>
      <c r="BY132" s="2181"/>
      <c r="CC132" s="142">
        <f>CC129+CC127+CC116+CC105+CC72</f>
        <v>1546955.4200000002</v>
      </c>
      <c r="CD132" s="142">
        <v>1297176.6299999999</v>
      </c>
      <c r="CH132" s="1129" t="s">
        <v>1287</v>
      </c>
      <c r="CI132" s="1130" t="s">
        <v>1669</v>
      </c>
    </row>
    <row r="133" spans="1:88" x14ac:dyDescent="0.2">
      <c r="CC133" s="142">
        <f>CC69+CC90+CE91+CC92+CC97+CC98+CC99+CC116+CE121+CC122+CE123+CC124+CC125+CC128</f>
        <v>791451.35</v>
      </c>
      <c r="CD133" s="142">
        <f>CD132-CD131</f>
        <v>-277934.36000000034</v>
      </c>
      <c r="CE133" s="142"/>
      <c r="CG133" s="142">
        <f>BN129+BN127+BN116+BN114+BN105+BN82+BN72+BN47</f>
        <v>9679548.4199999999</v>
      </c>
    </row>
    <row r="134" spans="1:88" x14ac:dyDescent="0.2">
      <c r="CC134" s="142">
        <f>CC132-CC133</f>
        <v>755504.07000000018</v>
      </c>
    </row>
    <row r="135" spans="1:88" x14ac:dyDescent="0.2">
      <c r="CD135" s="142"/>
      <c r="CE135" s="142"/>
      <c r="CF135" s="142"/>
    </row>
    <row r="136" spans="1:88" x14ac:dyDescent="0.2">
      <c r="CC136" s="52">
        <f>BN10+BN47+BN72+BN82+BN105+BN114+BN116+BN118+BN127+BN129</f>
        <v>9679548.4199999981</v>
      </c>
      <c r="CD136" s="142"/>
    </row>
    <row r="137" spans="1:88" x14ac:dyDescent="0.2">
      <c r="CC137" s="8">
        <f>5624844.88+859421.72+10000+859431+24035+210000+20000+203232.69+6000</f>
        <v>7816965.29</v>
      </c>
    </row>
    <row r="138" spans="1:88" x14ac:dyDescent="0.2">
      <c r="CC138" s="52">
        <f>CC136-CC137</f>
        <v>1862583.129999998</v>
      </c>
    </row>
  </sheetData>
  <mergeCells count="521">
    <mergeCell ref="E89:AR89"/>
    <mergeCell ref="E90:AR90"/>
    <mergeCell ref="A70:D70"/>
    <mergeCell ref="E70:AN70"/>
    <mergeCell ref="AO70:BC70"/>
    <mergeCell ref="BD70:BM70"/>
    <mergeCell ref="E80:AN80"/>
    <mergeCell ref="AO80:BC80"/>
    <mergeCell ref="BC89:BM89"/>
    <mergeCell ref="BD80:BM80"/>
    <mergeCell ref="A85:D88"/>
    <mergeCell ref="A80:D80"/>
    <mergeCell ref="E76:AN79"/>
    <mergeCell ref="AO76:BC79"/>
    <mergeCell ref="BD76:BM79"/>
    <mergeCell ref="AO81:BC81"/>
    <mergeCell ref="BD81:BM81"/>
    <mergeCell ref="AS85:BB88"/>
    <mergeCell ref="A76:D79"/>
    <mergeCell ref="BN81:CB81"/>
    <mergeCell ref="BC85:BM88"/>
    <mergeCell ref="BN85:CB88"/>
    <mergeCell ref="AO69:BC69"/>
    <mergeCell ref="BN68:CB68"/>
    <mergeCell ref="E85:AR88"/>
    <mergeCell ref="BQ132:BY132"/>
    <mergeCell ref="A127:AR127"/>
    <mergeCell ref="AS127:BB127"/>
    <mergeCell ref="BC127:BM127"/>
    <mergeCell ref="BN127:CB127"/>
    <mergeCell ref="A123:D123"/>
    <mergeCell ref="E123:AR123"/>
    <mergeCell ref="AS123:BB123"/>
    <mergeCell ref="BC123:BM123"/>
    <mergeCell ref="BN123:CB123"/>
    <mergeCell ref="A126:D126"/>
    <mergeCell ref="E126:AR126"/>
    <mergeCell ref="AS126:BB126"/>
    <mergeCell ref="BC126:BM126"/>
    <mergeCell ref="BN126:CB126"/>
    <mergeCell ref="A125:D125"/>
    <mergeCell ref="A129:AR129"/>
    <mergeCell ref="AS90:BB90"/>
    <mergeCell ref="AS129:BB129"/>
    <mergeCell ref="BC129:BM129"/>
    <mergeCell ref="BN129:CB129"/>
    <mergeCell ref="A128:D128"/>
    <mergeCell ref="E128:AR128"/>
    <mergeCell ref="AS128:BB128"/>
    <mergeCell ref="BC128:BM128"/>
    <mergeCell ref="BN128:CB128"/>
    <mergeCell ref="BN125:CB125"/>
    <mergeCell ref="BN124:CB124"/>
    <mergeCell ref="A97:D97"/>
    <mergeCell ref="E97:AR97"/>
    <mergeCell ref="A120:D120"/>
    <mergeCell ref="E120:AR120"/>
    <mergeCell ref="AS98:BB98"/>
    <mergeCell ref="AS120:BB120"/>
    <mergeCell ref="E125:AR125"/>
    <mergeCell ref="AS125:BB125"/>
    <mergeCell ref="BC125:BM125"/>
    <mergeCell ref="A124:D124"/>
    <mergeCell ref="E124:AR124"/>
    <mergeCell ref="AS124:BB124"/>
    <mergeCell ref="BC124:BM124"/>
    <mergeCell ref="A116:AR116"/>
    <mergeCell ref="AS116:BB116"/>
    <mergeCell ref="A115:D115"/>
    <mergeCell ref="E115:AR115"/>
    <mergeCell ref="A117:D117"/>
    <mergeCell ref="A118:AR118"/>
    <mergeCell ref="BC105:BM105"/>
    <mergeCell ref="BC117:BM117"/>
    <mergeCell ref="BN117:CB117"/>
    <mergeCell ref="BN113:CB113"/>
    <mergeCell ref="BN67:CB67"/>
    <mergeCell ref="AO60:BC60"/>
    <mergeCell ref="BD60:BM60"/>
    <mergeCell ref="BN60:CB60"/>
    <mergeCell ref="A55:D55"/>
    <mergeCell ref="A61:D61"/>
    <mergeCell ref="A62:D62"/>
    <mergeCell ref="BD66:BM66"/>
    <mergeCell ref="E65:AN65"/>
    <mergeCell ref="AO65:BC65"/>
    <mergeCell ref="E61:AN61"/>
    <mergeCell ref="E62:AN62"/>
    <mergeCell ref="A59:D59"/>
    <mergeCell ref="A63:D63"/>
    <mergeCell ref="E63:AN63"/>
    <mergeCell ref="AO55:BC55"/>
    <mergeCell ref="BN63:CB63"/>
    <mergeCell ref="AO61:BC61"/>
    <mergeCell ref="BD59:BM59"/>
    <mergeCell ref="BD61:BM61"/>
    <mergeCell ref="BD63:BM63"/>
    <mergeCell ref="E59:AN59"/>
    <mergeCell ref="AO59:BC59"/>
    <mergeCell ref="A66:D66"/>
    <mergeCell ref="E69:AN69"/>
    <mergeCell ref="BD69:BM69"/>
    <mergeCell ref="A58:D58"/>
    <mergeCell ref="A68:D68"/>
    <mergeCell ref="E68:AN68"/>
    <mergeCell ref="AO68:BC68"/>
    <mergeCell ref="BD68:BM68"/>
    <mergeCell ref="A41:D41"/>
    <mergeCell ref="A67:D67"/>
    <mergeCell ref="E67:AN67"/>
    <mergeCell ref="AO67:BC67"/>
    <mergeCell ref="BD67:BM67"/>
    <mergeCell ref="BD45:BM45"/>
    <mergeCell ref="E41:AM41"/>
    <mergeCell ref="AN41:BC41"/>
    <mergeCell ref="BD41:BM41"/>
    <mergeCell ref="AS92:BB92"/>
    <mergeCell ref="BD55:BM55"/>
    <mergeCell ref="BD65:BM65"/>
    <mergeCell ref="A64:D64"/>
    <mergeCell ref="A91:D91"/>
    <mergeCell ref="E91:AR91"/>
    <mergeCell ref="A89:D89"/>
    <mergeCell ref="BD40:BM40"/>
    <mergeCell ref="BN40:CB40"/>
    <mergeCell ref="BN80:CB80"/>
    <mergeCell ref="BD64:BM64"/>
    <mergeCell ref="BN70:CB70"/>
    <mergeCell ref="BN69:CB69"/>
    <mergeCell ref="E55:AN55"/>
    <mergeCell ref="AO63:BC63"/>
    <mergeCell ref="A46:D46"/>
    <mergeCell ref="BD46:BM46"/>
    <mergeCell ref="BN46:CB46"/>
    <mergeCell ref="E46:AM46"/>
    <mergeCell ref="AN46:BC46"/>
    <mergeCell ref="A60:D60"/>
    <mergeCell ref="E60:AN60"/>
    <mergeCell ref="BN76:CB79"/>
    <mergeCell ref="A69:D69"/>
    <mergeCell ref="BN45:CB45"/>
    <mergeCell ref="BN61:CB61"/>
    <mergeCell ref="E45:AM45"/>
    <mergeCell ref="A51:D54"/>
    <mergeCell ref="E51:AN54"/>
    <mergeCell ref="AO51:BC54"/>
    <mergeCell ref="BD51:BM54"/>
    <mergeCell ref="A57:D57"/>
    <mergeCell ref="BN55:CB55"/>
    <mergeCell ref="A56:D56"/>
    <mergeCell ref="BD56:BM56"/>
    <mergeCell ref="AN47:BC47"/>
    <mergeCell ref="BD47:BM47"/>
    <mergeCell ref="BN93:CB93"/>
    <mergeCell ref="AS95:BB95"/>
    <mergeCell ref="BC95:BM95"/>
    <mergeCell ref="AS89:BB89"/>
    <mergeCell ref="BC90:BM90"/>
    <mergeCell ref="BN90:CB90"/>
    <mergeCell ref="A93:D93"/>
    <mergeCell ref="E93:AR93"/>
    <mergeCell ref="A94:D94"/>
    <mergeCell ref="A90:D90"/>
    <mergeCell ref="BC93:BM93"/>
    <mergeCell ref="AS94:BB94"/>
    <mergeCell ref="BC94:BM94"/>
    <mergeCell ref="BN94:CB94"/>
    <mergeCell ref="AS93:BB93"/>
    <mergeCell ref="E94:AR94"/>
    <mergeCell ref="BN91:CB91"/>
    <mergeCell ref="BN89:CB89"/>
    <mergeCell ref="BC92:BM92"/>
    <mergeCell ref="AS91:BB91"/>
    <mergeCell ref="BC91:BM91"/>
    <mergeCell ref="BN92:CB92"/>
    <mergeCell ref="A92:D92"/>
    <mergeCell ref="E92:AR92"/>
    <mergeCell ref="A95:D95"/>
    <mergeCell ref="E95:AR95"/>
    <mergeCell ref="BN95:CB95"/>
    <mergeCell ref="BC96:BM96"/>
    <mergeCell ref="AS108:BB111"/>
    <mergeCell ref="BN108:CB111"/>
    <mergeCell ref="BC98:BM98"/>
    <mergeCell ref="BN98:CB98"/>
    <mergeCell ref="E98:AR98"/>
    <mergeCell ref="A102:D102"/>
    <mergeCell ref="E102:AR102"/>
    <mergeCell ref="AS102:BB102"/>
    <mergeCell ref="BC102:BM102"/>
    <mergeCell ref="A99:D99"/>
    <mergeCell ref="E99:AR99"/>
    <mergeCell ref="AS99:BB99"/>
    <mergeCell ref="BC99:BM99"/>
    <mergeCell ref="BN99:CB99"/>
    <mergeCell ref="A101:D101"/>
    <mergeCell ref="E101:AR101"/>
    <mergeCell ref="AS101:BB101"/>
    <mergeCell ref="BC101:BM101"/>
    <mergeCell ref="BN101:CB101"/>
    <mergeCell ref="E100:AR100"/>
    <mergeCell ref="BN39:CB39"/>
    <mergeCell ref="BN47:CB47"/>
    <mergeCell ref="A40:D40"/>
    <mergeCell ref="E40:AM40"/>
    <mergeCell ref="AN40:BC40"/>
    <mergeCell ref="A39:D39"/>
    <mergeCell ref="E43:AM43"/>
    <mergeCell ref="AN43:BC43"/>
    <mergeCell ref="BD43:BM43"/>
    <mergeCell ref="BN43:CB43"/>
    <mergeCell ref="A44:D44"/>
    <mergeCell ref="E44:AM44"/>
    <mergeCell ref="AN44:BC44"/>
    <mergeCell ref="BD44:BM44"/>
    <mergeCell ref="BN44:CB44"/>
    <mergeCell ref="E39:AM39"/>
    <mergeCell ref="AN39:BC39"/>
    <mergeCell ref="BD39:BM39"/>
    <mergeCell ref="BD42:BM42"/>
    <mergeCell ref="BN42:CB42"/>
    <mergeCell ref="A43:D43"/>
    <mergeCell ref="AN45:BC45"/>
    <mergeCell ref="A45:D45"/>
    <mergeCell ref="A47:AM47"/>
    <mergeCell ref="AN30:BC30"/>
    <mergeCell ref="BD30:BM30"/>
    <mergeCell ref="BN30:CB30"/>
    <mergeCell ref="A30:D30"/>
    <mergeCell ref="E30:AM30"/>
    <mergeCell ref="E33:AM33"/>
    <mergeCell ref="AN33:BC33"/>
    <mergeCell ref="A33:D33"/>
    <mergeCell ref="BD33:BM33"/>
    <mergeCell ref="BN33:CB33"/>
    <mergeCell ref="BN32:CB32"/>
    <mergeCell ref="A32:D32"/>
    <mergeCell ref="E32:AM32"/>
    <mergeCell ref="AN32:BC32"/>
    <mergeCell ref="BD32:BM32"/>
    <mergeCell ref="A31:D31"/>
    <mergeCell ref="E31:AM31"/>
    <mergeCell ref="AN31:BC31"/>
    <mergeCell ref="BD31:BM31"/>
    <mergeCell ref="BN31:CB31"/>
    <mergeCell ref="AN34:BC34"/>
    <mergeCell ref="BD34:BM34"/>
    <mergeCell ref="BN34:CB34"/>
    <mergeCell ref="AN35:BC35"/>
    <mergeCell ref="BD35:BM35"/>
    <mergeCell ref="BN35:CB35"/>
    <mergeCell ref="A38:D38"/>
    <mergeCell ref="E38:AM38"/>
    <mergeCell ref="AN38:BC38"/>
    <mergeCell ref="BD38:BM38"/>
    <mergeCell ref="A37:D37"/>
    <mergeCell ref="A35:D35"/>
    <mergeCell ref="AN37:BC37"/>
    <mergeCell ref="BD37:BM37"/>
    <mergeCell ref="BN37:CB37"/>
    <mergeCell ref="BN38:CB38"/>
    <mergeCell ref="E35:AM35"/>
    <mergeCell ref="E37:AM37"/>
    <mergeCell ref="A36:D36"/>
    <mergeCell ref="E36:AM36"/>
    <mergeCell ref="AN36:BC36"/>
    <mergeCell ref="BD36:BM36"/>
    <mergeCell ref="CC76:CH76"/>
    <mergeCell ref="CC77:CD77"/>
    <mergeCell ref="CE77:CG77"/>
    <mergeCell ref="CH77:CH79"/>
    <mergeCell ref="CC78:CC79"/>
    <mergeCell ref="A25:D25"/>
    <mergeCell ref="E25:AM25"/>
    <mergeCell ref="AN25:BC25"/>
    <mergeCell ref="BN26:CB26"/>
    <mergeCell ref="A28:D28"/>
    <mergeCell ref="E28:AM28"/>
    <mergeCell ref="AN28:BC28"/>
    <mergeCell ref="BD28:BM28"/>
    <mergeCell ref="A26:D26"/>
    <mergeCell ref="E26:AM26"/>
    <mergeCell ref="AN26:BC26"/>
    <mergeCell ref="BD26:BM26"/>
    <mergeCell ref="BD25:BM25"/>
    <mergeCell ref="BN25:CB25"/>
    <mergeCell ref="A27:D27"/>
    <mergeCell ref="E27:AM27"/>
    <mergeCell ref="AN27:BC27"/>
    <mergeCell ref="BD27:BM27"/>
    <mergeCell ref="BN27:CB27"/>
    <mergeCell ref="CC51:CH51"/>
    <mergeCell ref="CC52:CD52"/>
    <mergeCell ref="CE52:CG52"/>
    <mergeCell ref="CH52:CH54"/>
    <mergeCell ref="CC53:CC54"/>
    <mergeCell ref="CD53:CD54"/>
    <mergeCell ref="CE53:CE54"/>
    <mergeCell ref="CF53:CF54"/>
    <mergeCell ref="CG53:CG54"/>
    <mergeCell ref="CF78:CF79"/>
    <mergeCell ref="CG78:CG79"/>
    <mergeCell ref="BN62:CB62"/>
    <mergeCell ref="E57:AN57"/>
    <mergeCell ref="BD57:BM57"/>
    <mergeCell ref="BN57:CB57"/>
    <mergeCell ref="AO57:BC57"/>
    <mergeCell ref="BN65:CB65"/>
    <mergeCell ref="E64:AN64"/>
    <mergeCell ref="AO64:BC64"/>
    <mergeCell ref="E58:AN58"/>
    <mergeCell ref="AO58:BC58"/>
    <mergeCell ref="BD58:BM58"/>
    <mergeCell ref="BN58:CB58"/>
    <mergeCell ref="BN64:CB64"/>
    <mergeCell ref="AO71:BC71"/>
    <mergeCell ref="CD78:CD79"/>
    <mergeCell ref="CE78:CE79"/>
    <mergeCell ref="BN59:CB59"/>
    <mergeCell ref="E66:AN66"/>
    <mergeCell ref="AO66:BC66"/>
    <mergeCell ref="BN66:CB66"/>
    <mergeCell ref="AO62:BC62"/>
    <mergeCell ref="BD62:BM62"/>
    <mergeCell ref="CC85:CH85"/>
    <mergeCell ref="CC86:CD86"/>
    <mergeCell ref="CE86:CG86"/>
    <mergeCell ref="CH86:CH88"/>
    <mergeCell ref="CC87:CC88"/>
    <mergeCell ref="CD87:CD88"/>
    <mergeCell ref="CE87:CE88"/>
    <mergeCell ref="CF87:CF88"/>
    <mergeCell ref="CG87:CG88"/>
    <mergeCell ref="CC108:CH108"/>
    <mergeCell ref="CC109:CD109"/>
    <mergeCell ref="CE109:CG109"/>
    <mergeCell ref="CH109:CH111"/>
    <mergeCell ref="CC110:CC111"/>
    <mergeCell ref="CD110:CD111"/>
    <mergeCell ref="CE110:CE111"/>
    <mergeCell ref="CF110:CF111"/>
    <mergeCell ref="CG110:CG111"/>
    <mergeCell ref="CC14:CH14"/>
    <mergeCell ref="CC15:CD15"/>
    <mergeCell ref="CE15:CG15"/>
    <mergeCell ref="CH15:CH17"/>
    <mergeCell ref="CC16:CC17"/>
    <mergeCell ref="CD16:CD17"/>
    <mergeCell ref="CE16:CE17"/>
    <mergeCell ref="CF16:CF17"/>
    <mergeCell ref="CG16:CG17"/>
    <mergeCell ref="BN10:CB10"/>
    <mergeCell ref="A4:D7"/>
    <mergeCell ref="E4:AM7"/>
    <mergeCell ref="AN4:BC7"/>
    <mergeCell ref="BD4:BM7"/>
    <mergeCell ref="BN4:CB7"/>
    <mergeCell ref="A8:D8"/>
    <mergeCell ref="E8:AM8"/>
    <mergeCell ref="AN8:BC8"/>
    <mergeCell ref="BD8:BM8"/>
    <mergeCell ref="BN8:CB8"/>
    <mergeCell ref="A9:D9"/>
    <mergeCell ref="E9:AM9"/>
    <mergeCell ref="AN9:BC9"/>
    <mergeCell ref="BD9:BM9"/>
    <mergeCell ref="BN9:CB9"/>
    <mergeCell ref="A10:AM10"/>
    <mergeCell ref="AN10:BC10"/>
    <mergeCell ref="BD10:BM10"/>
    <mergeCell ref="CC4:CH4"/>
    <mergeCell ref="CC5:CD5"/>
    <mergeCell ref="CE5:CG5"/>
    <mergeCell ref="CH5:CH7"/>
    <mergeCell ref="CC6:CC7"/>
    <mergeCell ref="CD6:CD7"/>
    <mergeCell ref="CE6:CE7"/>
    <mergeCell ref="CF6:CF7"/>
    <mergeCell ref="CG6:CG7"/>
    <mergeCell ref="A19:D19"/>
    <mergeCell ref="E19:AM19"/>
    <mergeCell ref="AN19:BC19"/>
    <mergeCell ref="BD19:BM19"/>
    <mergeCell ref="BN19:CB19"/>
    <mergeCell ref="A20:D20"/>
    <mergeCell ref="E20:AM20"/>
    <mergeCell ref="AN20:BC20"/>
    <mergeCell ref="BD20:BM20"/>
    <mergeCell ref="A14:D17"/>
    <mergeCell ref="E14:AM17"/>
    <mergeCell ref="AN14:BC17"/>
    <mergeCell ref="BD14:BM17"/>
    <mergeCell ref="BN14:CB17"/>
    <mergeCell ref="A18:D18"/>
    <mergeCell ref="E18:AM18"/>
    <mergeCell ref="AN18:BC18"/>
    <mergeCell ref="BD18:BM18"/>
    <mergeCell ref="BN18:CB18"/>
    <mergeCell ref="BD24:BM24"/>
    <mergeCell ref="BN24:CB24"/>
    <mergeCell ref="A21:D21"/>
    <mergeCell ref="E21:AM21"/>
    <mergeCell ref="AN21:BC21"/>
    <mergeCell ref="BD21:BM21"/>
    <mergeCell ref="BN21:CB21"/>
    <mergeCell ref="A22:D22"/>
    <mergeCell ref="E22:AM22"/>
    <mergeCell ref="AN22:BC22"/>
    <mergeCell ref="BD22:BM22"/>
    <mergeCell ref="BN22:CB22"/>
    <mergeCell ref="A23:D23"/>
    <mergeCell ref="AN23:BC23"/>
    <mergeCell ref="BD23:BM23"/>
    <mergeCell ref="BN23:CB23"/>
    <mergeCell ref="BN41:CB41"/>
    <mergeCell ref="A71:D71"/>
    <mergeCell ref="E71:AN71"/>
    <mergeCell ref="BN20:CB20"/>
    <mergeCell ref="BD71:BM71"/>
    <mergeCell ref="BN71:CB71"/>
    <mergeCell ref="A42:D42"/>
    <mergeCell ref="E42:AM42"/>
    <mergeCell ref="AN42:BC42"/>
    <mergeCell ref="E29:AM29"/>
    <mergeCell ref="AN29:BC29"/>
    <mergeCell ref="BD29:BM29"/>
    <mergeCell ref="BN29:CB29"/>
    <mergeCell ref="BN56:CB56"/>
    <mergeCell ref="E56:AN56"/>
    <mergeCell ref="AO56:BC56"/>
    <mergeCell ref="BN51:CB54"/>
    <mergeCell ref="A29:D29"/>
    <mergeCell ref="BN28:CB28"/>
    <mergeCell ref="A34:D34"/>
    <mergeCell ref="E34:AM34"/>
    <mergeCell ref="A24:D24"/>
    <mergeCell ref="E24:AM24"/>
    <mergeCell ref="AN24:BC24"/>
    <mergeCell ref="BN115:CB115"/>
    <mergeCell ref="AS112:BB112"/>
    <mergeCell ref="BC112:BM112"/>
    <mergeCell ref="BN112:CB112"/>
    <mergeCell ref="AS114:BB114"/>
    <mergeCell ref="BC114:BM114"/>
    <mergeCell ref="BN114:CB114"/>
    <mergeCell ref="E23:AM23"/>
    <mergeCell ref="E112:AR112"/>
    <mergeCell ref="BN105:CB105"/>
    <mergeCell ref="A105:AR105"/>
    <mergeCell ref="AS105:BB105"/>
    <mergeCell ref="BN36:CB36"/>
    <mergeCell ref="A65:D65"/>
    <mergeCell ref="A82:AN82"/>
    <mergeCell ref="AO82:BC82"/>
    <mergeCell ref="BD82:BM82"/>
    <mergeCell ref="BN82:CB82"/>
    <mergeCell ref="A81:D81"/>
    <mergeCell ref="E81:AN81"/>
    <mergeCell ref="A72:AN72"/>
    <mergeCell ref="AO72:BC72"/>
    <mergeCell ref="BD72:BM72"/>
    <mergeCell ref="BN72:CB72"/>
    <mergeCell ref="A112:D112"/>
    <mergeCell ref="BN100:CB100"/>
    <mergeCell ref="A113:D113"/>
    <mergeCell ref="AS96:BB96"/>
    <mergeCell ref="A96:D96"/>
    <mergeCell ref="E108:AR111"/>
    <mergeCell ref="A100:D100"/>
    <mergeCell ref="E96:AR96"/>
    <mergeCell ref="BC108:BM111"/>
    <mergeCell ref="BN102:CB102"/>
    <mergeCell ref="A103:D103"/>
    <mergeCell ref="E103:AR103"/>
    <mergeCell ref="AS103:BB103"/>
    <mergeCell ref="BC103:BM103"/>
    <mergeCell ref="BN103:CB103"/>
    <mergeCell ref="A108:D111"/>
    <mergeCell ref="AS97:BB97"/>
    <mergeCell ref="BN97:CB97"/>
    <mergeCell ref="BC97:BM97"/>
    <mergeCell ref="BN96:CB96"/>
    <mergeCell ref="AS100:BB100"/>
    <mergeCell ref="BC100:BM100"/>
    <mergeCell ref="A98:D98"/>
    <mergeCell ref="A104:D104"/>
    <mergeCell ref="E121:AR121"/>
    <mergeCell ref="AS121:BB121"/>
    <mergeCell ref="BC121:BM121"/>
    <mergeCell ref="E117:AR117"/>
    <mergeCell ref="AS117:BB117"/>
    <mergeCell ref="E113:AR113"/>
    <mergeCell ref="AS113:BB113"/>
    <mergeCell ref="BC113:BM113"/>
    <mergeCell ref="A114:AR114"/>
    <mergeCell ref="AS115:BB115"/>
    <mergeCell ref="BC115:BM115"/>
    <mergeCell ref="BM130:CB130"/>
    <mergeCell ref="E104:AR104"/>
    <mergeCell ref="AS104:BB104"/>
    <mergeCell ref="BC104:BM104"/>
    <mergeCell ref="BN104:CB104"/>
    <mergeCell ref="A122:D122"/>
    <mergeCell ref="E122:AR122"/>
    <mergeCell ref="AS122:BB122"/>
    <mergeCell ref="BC122:BM122"/>
    <mergeCell ref="BN122:CB122"/>
    <mergeCell ref="BN121:CB121"/>
    <mergeCell ref="BC116:BM116"/>
    <mergeCell ref="BN116:CB116"/>
    <mergeCell ref="A119:D119"/>
    <mergeCell ref="E119:AR119"/>
    <mergeCell ref="AS119:BB119"/>
    <mergeCell ref="BC119:BM119"/>
    <mergeCell ref="BN119:CB119"/>
    <mergeCell ref="BC120:BM120"/>
    <mergeCell ref="BN120:CB120"/>
    <mergeCell ref="AS118:BB118"/>
    <mergeCell ref="BC118:BM118"/>
    <mergeCell ref="BN118:CB118"/>
    <mergeCell ref="A121:D121"/>
  </mergeCells>
  <printOptions horizontalCentered="1"/>
  <pageMargins left="0.78740157480314965" right="0.39370078740157483" top="0.59055118110236227" bottom="0.39370078740157483" header="0.27559055118110237" footer="0.27559055118110237"/>
  <pageSetup paperSize="9" scale="68" fitToHeight="0" orientation="landscape" r:id="rId1"/>
  <headerFooter alignWithMargins="0"/>
  <rowBreaks count="2" manualBreakCount="2">
    <brk id="44" max="85" man="1"/>
    <brk id="82" max="8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A1:CH106"/>
  <sheetViews>
    <sheetView topLeftCell="A43" zoomScaleNormal="100" zoomScaleSheetLayoutView="100" workbookViewId="0">
      <selection activeCell="E50" sqref="E50:AN50"/>
    </sheetView>
  </sheetViews>
  <sheetFormatPr defaultColWidth="1.140625" defaultRowHeight="12.75" x14ac:dyDescent="0.2"/>
  <cols>
    <col min="1" max="3" width="1.140625" style="8"/>
    <col min="4" max="4" width="3.28515625" style="8" customWidth="1"/>
    <col min="5" max="38" width="1.140625" style="8"/>
    <col min="39" max="39" width="1.5703125" style="8" customWidth="1"/>
    <col min="40" max="80" width="1.140625" style="8"/>
    <col min="81" max="81" width="13.140625" style="8" customWidth="1"/>
    <col min="82" max="82" width="16.28515625" style="8" customWidth="1"/>
    <col min="83" max="83" width="14.28515625" style="8" customWidth="1"/>
    <col min="84" max="84" width="12" style="8" customWidth="1"/>
    <col min="85" max="85" width="14.140625" style="8" customWidth="1"/>
    <col min="86" max="86" width="16.140625" style="8" customWidth="1"/>
    <col min="87" max="16384" width="1.140625" style="8"/>
  </cols>
  <sheetData>
    <row r="1" spans="1:86" s="4" customFormat="1" ht="33.75" customHeight="1" x14ac:dyDescent="0.25">
      <c r="A1" s="136" t="s">
        <v>1310</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93"/>
      <c r="CD1" s="93"/>
      <c r="CE1" s="93"/>
      <c r="CF1" s="93"/>
      <c r="CG1" s="93"/>
      <c r="CH1" s="93"/>
    </row>
    <row r="2" spans="1:86" s="4" customFormat="1" ht="15.75" x14ac:dyDescent="0.25">
      <c r="A2" s="19" t="s">
        <v>629</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row>
    <row r="3" spans="1:86" s="7" customFormat="1" ht="9.75" x14ac:dyDescent="0.2">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row>
    <row r="4" spans="1:86" ht="12.75" customHeight="1" x14ac:dyDescent="0.2">
      <c r="A4" s="1781" t="s">
        <v>38</v>
      </c>
      <c r="B4" s="1925"/>
      <c r="C4" s="1925"/>
      <c r="D4" s="1782"/>
      <c r="E4" s="1818" t="s">
        <v>4</v>
      </c>
      <c r="F4" s="1819"/>
      <c r="G4" s="1819"/>
      <c r="H4" s="1819"/>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c r="AI4" s="1819"/>
      <c r="AJ4" s="1819"/>
      <c r="AK4" s="1819"/>
      <c r="AL4" s="1819"/>
      <c r="AM4" s="1820"/>
      <c r="AN4" s="1781" t="s">
        <v>139</v>
      </c>
      <c r="AO4" s="1925"/>
      <c r="AP4" s="1925"/>
      <c r="AQ4" s="1925"/>
      <c r="AR4" s="1925"/>
      <c r="AS4" s="1925"/>
      <c r="AT4" s="1925"/>
      <c r="AU4" s="1925"/>
      <c r="AV4" s="1925"/>
      <c r="AW4" s="1925"/>
      <c r="AX4" s="1925"/>
      <c r="AY4" s="1925"/>
      <c r="AZ4" s="1925"/>
      <c r="BA4" s="1925"/>
      <c r="BB4" s="1925"/>
      <c r="BC4" s="1782"/>
      <c r="BD4" s="1781" t="s">
        <v>140</v>
      </c>
      <c r="BE4" s="1925"/>
      <c r="BF4" s="1925"/>
      <c r="BG4" s="1925"/>
      <c r="BH4" s="1925"/>
      <c r="BI4" s="1925"/>
      <c r="BJ4" s="1925"/>
      <c r="BK4" s="1925"/>
      <c r="BL4" s="1925"/>
      <c r="BM4" s="1782"/>
      <c r="BN4" s="1781" t="s">
        <v>624</v>
      </c>
      <c r="BO4" s="1925"/>
      <c r="BP4" s="1925"/>
      <c r="BQ4" s="1925"/>
      <c r="BR4" s="1925"/>
      <c r="BS4" s="1925"/>
      <c r="BT4" s="1925"/>
      <c r="BU4" s="1925"/>
      <c r="BV4" s="1925"/>
      <c r="BW4" s="1925"/>
      <c r="BX4" s="1925"/>
      <c r="BY4" s="1925"/>
      <c r="BZ4" s="1925"/>
      <c r="CA4" s="1925"/>
      <c r="CB4" s="1782"/>
      <c r="CC4" s="1806" t="s">
        <v>52</v>
      </c>
      <c r="CD4" s="1806"/>
      <c r="CE4" s="1806"/>
      <c r="CF4" s="1806"/>
      <c r="CG4" s="1806"/>
      <c r="CH4" s="1806"/>
    </row>
    <row r="5" spans="1:86" ht="78.75" customHeight="1" x14ac:dyDescent="0.2">
      <c r="A5" s="1783"/>
      <c r="B5" s="1926"/>
      <c r="C5" s="1926"/>
      <c r="D5" s="1784"/>
      <c r="E5" s="1807"/>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8"/>
      <c r="AJ5" s="1808"/>
      <c r="AK5" s="1808"/>
      <c r="AL5" s="1808"/>
      <c r="AM5" s="1809"/>
      <c r="AN5" s="1783"/>
      <c r="AO5" s="1926"/>
      <c r="AP5" s="1926"/>
      <c r="AQ5" s="1926"/>
      <c r="AR5" s="1926"/>
      <c r="AS5" s="1926"/>
      <c r="AT5" s="1926"/>
      <c r="AU5" s="1926"/>
      <c r="AV5" s="1926"/>
      <c r="AW5" s="1926"/>
      <c r="AX5" s="1926"/>
      <c r="AY5" s="1926"/>
      <c r="AZ5" s="1926"/>
      <c r="BA5" s="1926"/>
      <c r="BB5" s="1926"/>
      <c r="BC5" s="1784"/>
      <c r="BD5" s="1783"/>
      <c r="BE5" s="1926"/>
      <c r="BF5" s="1926"/>
      <c r="BG5" s="1926"/>
      <c r="BH5" s="1926"/>
      <c r="BI5" s="1926"/>
      <c r="BJ5" s="1926"/>
      <c r="BK5" s="1926"/>
      <c r="BL5" s="1926"/>
      <c r="BM5" s="1784"/>
      <c r="BN5" s="1783"/>
      <c r="BO5" s="1926"/>
      <c r="BP5" s="1926"/>
      <c r="BQ5" s="1926"/>
      <c r="BR5" s="1926"/>
      <c r="BS5" s="1926"/>
      <c r="BT5" s="1926"/>
      <c r="BU5" s="1926"/>
      <c r="BV5" s="1926"/>
      <c r="BW5" s="1926"/>
      <c r="BX5" s="1926"/>
      <c r="BY5" s="1926"/>
      <c r="BZ5" s="1926"/>
      <c r="CA5" s="1926"/>
      <c r="CB5" s="1784"/>
      <c r="CC5" s="1810" t="s">
        <v>35</v>
      </c>
      <c r="CD5" s="1810"/>
      <c r="CE5" s="1788" t="s">
        <v>45</v>
      </c>
      <c r="CF5" s="1790"/>
      <c r="CG5" s="1789"/>
      <c r="CH5" s="1778" t="s">
        <v>46</v>
      </c>
    </row>
    <row r="6" spans="1:86" ht="12.75" customHeight="1" x14ac:dyDescent="0.2">
      <c r="A6" s="1783"/>
      <c r="B6" s="1926"/>
      <c r="C6" s="1926"/>
      <c r="D6" s="1784"/>
      <c r="E6" s="1807"/>
      <c r="F6" s="1808"/>
      <c r="G6" s="1808"/>
      <c r="H6" s="1808"/>
      <c r="I6" s="1808"/>
      <c r="J6" s="1808"/>
      <c r="K6" s="1808"/>
      <c r="L6" s="1808"/>
      <c r="M6" s="1808"/>
      <c r="N6" s="1808"/>
      <c r="O6" s="1808"/>
      <c r="P6" s="1808"/>
      <c r="Q6" s="1808"/>
      <c r="R6" s="1808"/>
      <c r="S6" s="1808"/>
      <c r="T6" s="1808"/>
      <c r="U6" s="1808"/>
      <c r="V6" s="1808"/>
      <c r="W6" s="1808"/>
      <c r="X6" s="1808"/>
      <c r="Y6" s="1808"/>
      <c r="Z6" s="1808"/>
      <c r="AA6" s="1808"/>
      <c r="AB6" s="1808"/>
      <c r="AC6" s="1808"/>
      <c r="AD6" s="1808"/>
      <c r="AE6" s="1808"/>
      <c r="AF6" s="1808"/>
      <c r="AG6" s="1808"/>
      <c r="AH6" s="1808"/>
      <c r="AI6" s="1808"/>
      <c r="AJ6" s="1808"/>
      <c r="AK6" s="1808"/>
      <c r="AL6" s="1808"/>
      <c r="AM6" s="1809"/>
      <c r="AN6" s="1783"/>
      <c r="AO6" s="1926"/>
      <c r="AP6" s="1926"/>
      <c r="AQ6" s="1926"/>
      <c r="AR6" s="1926"/>
      <c r="AS6" s="1926"/>
      <c r="AT6" s="1926"/>
      <c r="AU6" s="1926"/>
      <c r="AV6" s="1926"/>
      <c r="AW6" s="1926"/>
      <c r="AX6" s="1926"/>
      <c r="AY6" s="1926"/>
      <c r="AZ6" s="1926"/>
      <c r="BA6" s="1926"/>
      <c r="BB6" s="1926"/>
      <c r="BC6" s="1784"/>
      <c r="BD6" s="1783"/>
      <c r="BE6" s="1926"/>
      <c r="BF6" s="1926"/>
      <c r="BG6" s="1926"/>
      <c r="BH6" s="1926"/>
      <c r="BI6" s="1926"/>
      <c r="BJ6" s="1926"/>
      <c r="BK6" s="1926"/>
      <c r="BL6" s="1926"/>
      <c r="BM6" s="1784"/>
      <c r="BN6" s="1783"/>
      <c r="BO6" s="1926"/>
      <c r="BP6" s="1926"/>
      <c r="BQ6" s="1926"/>
      <c r="BR6" s="1926"/>
      <c r="BS6" s="1926"/>
      <c r="BT6" s="1926"/>
      <c r="BU6" s="1926"/>
      <c r="BV6" s="1926"/>
      <c r="BW6" s="1926"/>
      <c r="BX6" s="1926"/>
      <c r="BY6" s="1926"/>
      <c r="BZ6" s="1926"/>
      <c r="CA6" s="1926"/>
      <c r="CB6" s="1784"/>
      <c r="CC6" s="1811" t="s">
        <v>43</v>
      </c>
      <c r="CD6" s="1811" t="s">
        <v>44</v>
      </c>
      <c r="CE6" s="1812" t="s">
        <v>55</v>
      </c>
      <c r="CF6" s="1811" t="s">
        <v>43</v>
      </c>
      <c r="CG6" s="1811" t="s">
        <v>44</v>
      </c>
      <c r="CH6" s="1779"/>
    </row>
    <row r="7" spans="1:86" ht="12.75" customHeight="1" x14ac:dyDescent="0.2">
      <c r="A7" s="1785"/>
      <c r="B7" s="1927"/>
      <c r="C7" s="1927"/>
      <c r="D7" s="1786"/>
      <c r="E7" s="1814"/>
      <c r="F7" s="1815"/>
      <c r="G7" s="1815"/>
      <c r="H7" s="1815"/>
      <c r="I7" s="1815"/>
      <c r="J7" s="1815"/>
      <c r="K7" s="1815"/>
      <c r="L7" s="1815"/>
      <c r="M7" s="1815"/>
      <c r="N7" s="1815"/>
      <c r="O7" s="1815"/>
      <c r="P7" s="1815"/>
      <c r="Q7" s="1815"/>
      <c r="R7" s="1815"/>
      <c r="S7" s="1815"/>
      <c r="T7" s="1815"/>
      <c r="U7" s="1815"/>
      <c r="V7" s="1815"/>
      <c r="W7" s="1815"/>
      <c r="X7" s="1815"/>
      <c r="Y7" s="1815"/>
      <c r="Z7" s="1815"/>
      <c r="AA7" s="1815"/>
      <c r="AB7" s="1815"/>
      <c r="AC7" s="1815"/>
      <c r="AD7" s="1815"/>
      <c r="AE7" s="1815"/>
      <c r="AF7" s="1815"/>
      <c r="AG7" s="1815"/>
      <c r="AH7" s="1815"/>
      <c r="AI7" s="1815"/>
      <c r="AJ7" s="1815"/>
      <c r="AK7" s="1815"/>
      <c r="AL7" s="1815"/>
      <c r="AM7" s="1816"/>
      <c r="AN7" s="1785"/>
      <c r="AO7" s="1927"/>
      <c r="AP7" s="1927"/>
      <c r="AQ7" s="1927"/>
      <c r="AR7" s="1927"/>
      <c r="AS7" s="1927"/>
      <c r="AT7" s="1927"/>
      <c r="AU7" s="1927"/>
      <c r="AV7" s="1927"/>
      <c r="AW7" s="1927"/>
      <c r="AX7" s="1927"/>
      <c r="AY7" s="1927"/>
      <c r="AZ7" s="1927"/>
      <c r="BA7" s="1927"/>
      <c r="BB7" s="1927"/>
      <c r="BC7" s="1786"/>
      <c r="BD7" s="1785"/>
      <c r="BE7" s="1927"/>
      <c r="BF7" s="1927"/>
      <c r="BG7" s="1927"/>
      <c r="BH7" s="1927"/>
      <c r="BI7" s="1927"/>
      <c r="BJ7" s="1927"/>
      <c r="BK7" s="1927"/>
      <c r="BL7" s="1927"/>
      <c r="BM7" s="1786"/>
      <c r="BN7" s="1785"/>
      <c r="BO7" s="1927"/>
      <c r="BP7" s="1927"/>
      <c r="BQ7" s="1927"/>
      <c r="BR7" s="1927"/>
      <c r="BS7" s="1927"/>
      <c r="BT7" s="1927"/>
      <c r="BU7" s="1927"/>
      <c r="BV7" s="1927"/>
      <c r="BW7" s="1927"/>
      <c r="BX7" s="1927"/>
      <c r="BY7" s="1927"/>
      <c r="BZ7" s="1927"/>
      <c r="CA7" s="1927"/>
      <c r="CB7" s="1786"/>
      <c r="CC7" s="1811"/>
      <c r="CD7" s="1811"/>
      <c r="CE7" s="1813"/>
      <c r="CF7" s="1811"/>
      <c r="CG7" s="1811"/>
      <c r="CH7" s="1780"/>
    </row>
    <row r="8" spans="1:86" x14ac:dyDescent="0.2">
      <c r="A8" s="1830">
        <v>1</v>
      </c>
      <c r="B8" s="1830"/>
      <c r="C8" s="1830"/>
      <c r="D8" s="1830"/>
      <c r="E8" s="1830">
        <v>2</v>
      </c>
      <c r="F8" s="183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1830"/>
      <c r="AM8" s="1830"/>
      <c r="AN8" s="1830">
        <v>3</v>
      </c>
      <c r="AO8" s="1830"/>
      <c r="AP8" s="1830"/>
      <c r="AQ8" s="1830"/>
      <c r="AR8" s="1830"/>
      <c r="AS8" s="1830"/>
      <c r="AT8" s="1830"/>
      <c r="AU8" s="1830"/>
      <c r="AV8" s="1830"/>
      <c r="AW8" s="1830"/>
      <c r="AX8" s="1830"/>
      <c r="AY8" s="1830"/>
      <c r="AZ8" s="1830"/>
      <c r="BA8" s="1830"/>
      <c r="BB8" s="1830"/>
      <c r="BC8" s="1830"/>
      <c r="BD8" s="1830">
        <v>4</v>
      </c>
      <c r="BE8" s="1830"/>
      <c r="BF8" s="1830"/>
      <c r="BG8" s="1830"/>
      <c r="BH8" s="1830"/>
      <c r="BI8" s="1830"/>
      <c r="BJ8" s="1830"/>
      <c r="BK8" s="1830"/>
      <c r="BL8" s="1830"/>
      <c r="BM8" s="1830"/>
      <c r="BN8" s="1830" t="s">
        <v>49</v>
      </c>
      <c r="BO8" s="1830"/>
      <c r="BP8" s="1830"/>
      <c r="BQ8" s="1830"/>
      <c r="BR8" s="1830"/>
      <c r="BS8" s="1830"/>
      <c r="BT8" s="1830"/>
      <c r="BU8" s="1830"/>
      <c r="BV8" s="1830"/>
      <c r="BW8" s="1830"/>
      <c r="BX8" s="1830"/>
      <c r="BY8" s="1830"/>
      <c r="BZ8" s="1830"/>
      <c r="CA8" s="1830"/>
      <c r="CB8" s="1830"/>
      <c r="CC8" s="15">
        <v>6</v>
      </c>
      <c r="CD8" s="15">
        <v>7</v>
      </c>
      <c r="CE8" s="15">
        <v>8</v>
      </c>
      <c r="CF8" s="15">
        <v>9</v>
      </c>
      <c r="CG8" s="15">
        <v>10</v>
      </c>
      <c r="CH8" s="15">
        <v>11</v>
      </c>
    </row>
    <row r="9" spans="1:86" ht="42" customHeight="1" x14ac:dyDescent="0.2">
      <c r="A9" s="1824">
        <v>1</v>
      </c>
      <c r="B9" s="1825"/>
      <c r="C9" s="1825"/>
      <c r="D9" s="1826"/>
      <c r="E9" s="1904" t="s">
        <v>1230</v>
      </c>
      <c r="F9" s="1905"/>
      <c r="G9" s="1905"/>
      <c r="H9" s="1905"/>
      <c r="I9" s="1905"/>
      <c r="J9" s="1905"/>
      <c r="K9" s="1905"/>
      <c r="L9" s="1905"/>
      <c r="M9" s="1905"/>
      <c r="N9" s="1905"/>
      <c r="O9" s="1905"/>
      <c r="P9" s="1905"/>
      <c r="Q9" s="1905"/>
      <c r="R9" s="1905"/>
      <c r="S9" s="1905"/>
      <c r="T9" s="1905"/>
      <c r="U9" s="1905"/>
      <c r="V9" s="1905"/>
      <c r="W9" s="1905"/>
      <c r="X9" s="1905"/>
      <c r="Y9" s="1905"/>
      <c r="Z9" s="1905"/>
      <c r="AA9" s="1905"/>
      <c r="AB9" s="1905"/>
      <c r="AC9" s="1905"/>
      <c r="AD9" s="1905"/>
      <c r="AE9" s="1905"/>
      <c r="AF9" s="1905"/>
      <c r="AG9" s="1905"/>
      <c r="AH9" s="1905"/>
      <c r="AI9" s="1905"/>
      <c r="AJ9" s="1905"/>
      <c r="AK9" s="1905"/>
      <c r="AL9" s="1905"/>
      <c r="AM9" s="1906"/>
      <c r="AN9" s="2105">
        <f>BN9</f>
        <v>6111111.1100000003</v>
      </c>
      <c r="AO9" s="2106"/>
      <c r="AP9" s="2106"/>
      <c r="AQ9" s="2106"/>
      <c r="AR9" s="2106"/>
      <c r="AS9" s="2106"/>
      <c r="AT9" s="2106"/>
      <c r="AU9" s="2106"/>
      <c r="AV9" s="2106"/>
      <c r="AW9" s="2106"/>
      <c r="AX9" s="2106"/>
      <c r="AY9" s="2106"/>
      <c r="AZ9" s="2106"/>
      <c r="BA9" s="2106"/>
      <c r="BB9" s="2106"/>
      <c r="BC9" s="2107"/>
      <c r="BD9" s="2129">
        <v>1</v>
      </c>
      <c r="BE9" s="2130"/>
      <c r="BF9" s="2130"/>
      <c r="BG9" s="2130"/>
      <c r="BH9" s="2130"/>
      <c r="BI9" s="2130"/>
      <c r="BJ9" s="2130"/>
      <c r="BK9" s="2130"/>
      <c r="BL9" s="2130"/>
      <c r="BM9" s="2131"/>
      <c r="BN9" s="2105">
        <f>CG9</f>
        <v>6111111.1100000003</v>
      </c>
      <c r="BO9" s="2106"/>
      <c r="BP9" s="2106"/>
      <c r="BQ9" s="2106"/>
      <c r="BR9" s="2106"/>
      <c r="BS9" s="2106"/>
      <c r="BT9" s="2106"/>
      <c r="BU9" s="2106"/>
      <c r="BV9" s="2106"/>
      <c r="BW9" s="2106"/>
      <c r="BX9" s="2106"/>
      <c r="BY9" s="2106"/>
      <c r="BZ9" s="2106"/>
      <c r="CA9" s="2106"/>
      <c r="CB9" s="2107"/>
      <c r="CC9" s="283"/>
      <c r="CD9" s="283"/>
      <c r="CE9" s="17">
        <v>963324061</v>
      </c>
      <c r="CF9" s="17"/>
      <c r="CG9" s="242">
        <v>6111111.1100000003</v>
      </c>
      <c r="CH9" s="17"/>
    </row>
    <row r="10" spans="1:86" ht="22.5" customHeight="1" x14ac:dyDescent="0.2">
      <c r="A10" s="1831" t="s">
        <v>151</v>
      </c>
      <c r="B10" s="1832"/>
      <c r="C10" s="1832"/>
      <c r="D10" s="1832"/>
      <c r="E10" s="1832"/>
      <c r="F10" s="1832"/>
      <c r="G10" s="1832"/>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3"/>
      <c r="AN10" s="1913" t="s">
        <v>3</v>
      </c>
      <c r="AO10" s="1913"/>
      <c r="AP10" s="1913"/>
      <c r="AQ10" s="1913"/>
      <c r="AR10" s="1913"/>
      <c r="AS10" s="1913"/>
      <c r="AT10" s="1913"/>
      <c r="AU10" s="1913"/>
      <c r="AV10" s="1913"/>
      <c r="AW10" s="1913"/>
      <c r="AX10" s="1913"/>
      <c r="AY10" s="1913"/>
      <c r="AZ10" s="1913"/>
      <c r="BA10" s="1913"/>
      <c r="BB10" s="1913"/>
      <c r="BC10" s="1913"/>
      <c r="BD10" s="1913" t="s">
        <v>3</v>
      </c>
      <c r="BE10" s="1913"/>
      <c r="BF10" s="1913"/>
      <c r="BG10" s="1913"/>
      <c r="BH10" s="1913"/>
      <c r="BI10" s="1913"/>
      <c r="BJ10" s="1913"/>
      <c r="BK10" s="1913"/>
      <c r="BL10" s="1913"/>
      <c r="BM10" s="1913"/>
      <c r="BN10" s="1971">
        <f>SUM(BN9:CB9)</f>
        <v>6111111.1100000003</v>
      </c>
      <c r="BO10" s="1971"/>
      <c r="BP10" s="1971"/>
      <c r="BQ10" s="1971"/>
      <c r="BR10" s="1971"/>
      <c r="BS10" s="1971"/>
      <c r="BT10" s="1971"/>
      <c r="BU10" s="1971"/>
      <c r="BV10" s="1971"/>
      <c r="BW10" s="1971"/>
      <c r="BX10" s="1971"/>
      <c r="BY10" s="1971"/>
      <c r="BZ10" s="1971"/>
      <c r="CA10" s="1971"/>
      <c r="CB10" s="1971"/>
      <c r="CC10" s="239"/>
      <c r="CD10" s="239"/>
      <c r="CE10" s="239"/>
      <c r="CF10" s="239"/>
      <c r="CG10" s="239">
        <f>CG9</f>
        <v>6111111.1100000003</v>
      </c>
      <c r="CH10" s="239"/>
    </row>
    <row r="11" spans="1:86" ht="31.5" customHeight="1" x14ac:dyDescent="0.25">
      <c r="A11" s="19" t="s">
        <v>103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4"/>
      <c r="CD11" s="4"/>
      <c r="CE11" s="4"/>
      <c r="CF11" s="4"/>
      <c r="CG11" s="4"/>
      <c r="CH11" s="4"/>
    </row>
    <row r="12" spans="1:86" s="234" customFormat="1" ht="15.75" customHeight="1" x14ac:dyDescent="0.25">
      <c r="A12" s="19" t="s">
        <v>629</v>
      </c>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row>
    <row r="13" spans="1:86" s="234" customFormat="1" ht="24.75" customHeight="1" x14ac:dyDescent="0.2">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7"/>
      <c r="CD13" s="7"/>
      <c r="CE13" s="7"/>
      <c r="CF13" s="7"/>
      <c r="CG13" s="7"/>
      <c r="CH13" s="7"/>
    </row>
    <row r="14" spans="1:86" s="234" customFormat="1" ht="16.5" customHeight="1" x14ac:dyDescent="0.2">
      <c r="A14" s="1781" t="s">
        <v>38</v>
      </c>
      <c r="B14" s="1925"/>
      <c r="C14" s="1925"/>
      <c r="D14" s="1782"/>
      <c r="E14" s="1818" t="s">
        <v>4</v>
      </c>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1819"/>
      <c r="AM14" s="1820"/>
      <c r="AN14" s="1781" t="s">
        <v>139</v>
      </c>
      <c r="AO14" s="1925"/>
      <c r="AP14" s="1925"/>
      <c r="AQ14" s="1925"/>
      <c r="AR14" s="1925"/>
      <c r="AS14" s="1925"/>
      <c r="AT14" s="1925"/>
      <c r="AU14" s="1925"/>
      <c r="AV14" s="1925"/>
      <c r="AW14" s="1925"/>
      <c r="AX14" s="1925"/>
      <c r="AY14" s="1925"/>
      <c r="AZ14" s="1925"/>
      <c r="BA14" s="1925"/>
      <c r="BB14" s="1925"/>
      <c r="BC14" s="1782"/>
      <c r="BD14" s="1781" t="s">
        <v>140</v>
      </c>
      <c r="BE14" s="1925"/>
      <c r="BF14" s="1925"/>
      <c r="BG14" s="1925"/>
      <c r="BH14" s="1925"/>
      <c r="BI14" s="1925"/>
      <c r="BJ14" s="1925"/>
      <c r="BK14" s="1925"/>
      <c r="BL14" s="1925"/>
      <c r="BM14" s="1782"/>
      <c r="BN14" s="1781" t="s">
        <v>624</v>
      </c>
      <c r="BO14" s="1925"/>
      <c r="BP14" s="1925"/>
      <c r="BQ14" s="1925"/>
      <c r="BR14" s="1925"/>
      <c r="BS14" s="1925"/>
      <c r="BT14" s="1925"/>
      <c r="BU14" s="1925"/>
      <c r="BV14" s="1925"/>
      <c r="BW14" s="1925"/>
      <c r="BX14" s="1925"/>
      <c r="BY14" s="1925"/>
      <c r="BZ14" s="1925"/>
      <c r="CA14" s="1925"/>
      <c r="CB14" s="1782"/>
      <c r="CC14" s="1806" t="s">
        <v>52</v>
      </c>
      <c r="CD14" s="1806"/>
      <c r="CE14" s="1806"/>
      <c r="CF14" s="1806"/>
      <c r="CG14" s="1806"/>
      <c r="CH14" s="1806"/>
    </row>
    <row r="15" spans="1:86" s="234" customFormat="1" ht="15" customHeight="1" x14ac:dyDescent="0.2">
      <c r="A15" s="1783"/>
      <c r="B15" s="1926"/>
      <c r="C15" s="1926"/>
      <c r="D15" s="1784"/>
      <c r="E15" s="1807"/>
      <c r="F15" s="1808"/>
      <c r="G15" s="1808"/>
      <c r="H15" s="1808"/>
      <c r="I15" s="1808"/>
      <c r="J15" s="1808"/>
      <c r="K15" s="1808"/>
      <c r="L15" s="1808"/>
      <c r="M15" s="1808"/>
      <c r="N15" s="1808"/>
      <c r="O15" s="1808"/>
      <c r="P15" s="1808"/>
      <c r="Q15" s="1808"/>
      <c r="R15" s="1808"/>
      <c r="S15" s="1808"/>
      <c r="T15" s="1808"/>
      <c r="U15" s="1808"/>
      <c r="V15" s="1808"/>
      <c r="W15" s="1808"/>
      <c r="X15" s="1808"/>
      <c r="Y15" s="1808"/>
      <c r="Z15" s="1808"/>
      <c r="AA15" s="1808"/>
      <c r="AB15" s="1808"/>
      <c r="AC15" s="1808"/>
      <c r="AD15" s="1808"/>
      <c r="AE15" s="1808"/>
      <c r="AF15" s="1808"/>
      <c r="AG15" s="1808"/>
      <c r="AH15" s="1808"/>
      <c r="AI15" s="1808"/>
      <c r="AJ15" s="1808"/>
      <c r="AK15" s="1808"/>
      <c r="AL15" s="1808"/>
      <c r="AM15" s="1809"/>
      <c r="AN15" s="1783"/>
      <c r="AO15" s="1926"/>
      <c r="AP15" s="1926"/>
      <c r="AQ15" s="1926"/>
      <c r="AR15" s="1926"/>
      <c r="AS15" s="1926"/>
      <c r="AT15" s="1926"/>
      <c r="AU15" s="1926"/>
      <c r="AV15" s="1926"/>
      <c r="AW15" s="1926"/>
      <c r="AX15" s="1926"/>
      <c r="AY15" s="1926"/>
      <c r="AZ15" s="1926"/>
      <c r="BA15" s="1926"/>
      <c r="BB15" s="1926"/>
      <c r="BC15" s="1784"/>
      <c r="BD15" s="1783"/>
      <c r="BE15" s="1926"/>
      <c r="BF15" s="1926"/>
      <c r="BG15" s="1926"/>
      <c r="BH15" s="1926"/>
      <c r="BI15" s="1926"/>
      <c r="BJ15" s="1926"/>
      <c r="BK15" s="1926"/>
      <c r="BL15" s="1926"/>
      <c r="BM15" s="1784"/>
      <c r="BN15" s="1783"/>
      <c r="BO15" s="1926"/>
      <c r="BP15" s="1926"/>
      <c r="BQ15" s="1926"/>
      <c r="BR15" s="1926"/>
      <c r="BS15" s="1926"/>
      <c r="BT15" s="1926"/>
      <c r="BU15" s="1926"/>
      <c r="BV15" s="1926"/>
      <c r="BW15" s="1926"/>
      <c r="BX15" s="1926"/>
      <c r="BY15" s="1926"/>
      <c r="BZ15" s="1926"/>
      <c r="CA15" s="1926"/>
      <c r="CB15" s="1784"/>
      <c r="CC15" s="1810" t="s">
        <v>35</v>
      </c>
      <c r="CD15" s="1810"/>
      <c r="CE15" s="1788" t="s">
        <v>45</v>
      </c>
      <c r="CF15" s="1790"/>
      <c r="CG15" s="1789"/>
      <c r="CH15" s="1778" t="s">
        <v>46</v>
      </c>
    </row>
    <row r="16" spans="1:86" s="234" customFormat="1" x14ac:dyDescent="0.2">
      <c r="A16" s="1783"/>
      <c r="B16" s="1926"/>
      <c r="C16" s="1926"/>
      <c r="D16" s="1784"/>
      <c r="E16" s="1807"/>
      <c r="F16" s="1808"/>
      <c r="G16" s="1808"/>
      <c r="H16" s="1808"/>
      <c r="I16" s="1808"/>
      <c r="J16" s="1808"/>
      <c r="K16" s="1808"/>
      <c r="L16" s="1808"/>
      <c r="M16" s="1808"/>
      <c r="N16" s="1808"/>
      <c r="O16" s="1808"/>
      <c r="P16" s="1808"/>
      <c r="Q16" s="1808"/>
      <c r="R16" s="1808"/>
      <c r="S16" s="1808"/>
      <c r="T16" s="1808"/>
      <c r="U16" s="1808"/>
      <c r="V16" s="1808"/>
      <c r="W16" s="1808"/>
      <c r="X16" s="1808"/>
      <c r="Y16" s="1808"/>
      <c r="Z16" s="1808"/>
      <c r="AA16" s="1808"/>
      <c r="AB16" s="1808"/>
      <c r="AC16" s="1808"/>
      <c r="AD16" s="1808"/>
      <c r="AE16" s="1808"/>
      <c r="AF16" s="1808"/>
      <c r="AG16" s="1808"/>
      <c r="AH16" s="1808"/>
      <c r="AI16" s="1808"/>
      <c r="AJ16" s="1808"/>
      <c r="AK16" s="1808"/>
      <c r="AL16" s="1808"/>
      <c r="AM16" s="1809"/>
      <c r="AN16" s="1783"/>
      <c r="AO16" s="1926"/>
      <c r="AP16" s="1926"/>
      <c r="AQ16" s="1926"/>
      <c r="AR16" s="1926"/>
      <c r="AS16" s="1926"/>
      <c r="AT16" s="1926"/>
      <c r="AU16" s="1926"/>
      <c r="AV16" s="1926"/>
      <c r="AW16" s="1926"/>
      <c r="AX16" s="1926"/>
      <c r="AY16" s="1926"/>
      <c r="AZ16" s="1926"/>
      <c r="BA16" s="1926"/>
      <c r="BB16" s="1926"/>
      <c r="BC16" s="1784"/>
      <c r="BD16" s="1783"/>
      <c r="BE16" s="1926"/>
      <c r="BF16" s="1926"/>
      <c r="BG16" s="1926"/>
      <c r="BH16" s="1926"/>
      <c r="BI16" s="1926"/>
      <c r="BJ16" s="1926"/>
      <c r="BK16" s="1926"/>
      <c r="BL16" s="1926"/>
      <c r="BM16" s="1784"/>
      <c r="BN16" s="1783"/>
      <c r="BO16" s="1926"/>
      <c r="BP16" s="1926"/>
      <c r="BQ16" s="1926"/>
      <c r="BR16" s="1926"/>
      <c r="BS16" s="1926"/>
      <c r="BT16" s="1926"/>
      <c r="BU16" s="1926"/>
      <c r="BV16" s="1926"/>
      <c r="BW16" s="1926"/>
      <c r="BX16" s="1926"/>
      <c r="BY16" s="1926"/>
      <c r="BZ16" s="1926"/>
      <c r="CA16" s="1926"/>
      <c r="CB16" s="1784"/>
      <c r="CC16" s="1811" t="s">
        <v>43</v>
      </c>
      <c r="CD16" s="1811" t="s">
        <v>44</v>
      </c>
      <c r="CE16" s="1812" t="s">
        <v>55</v>
      </c>
      <c r="CF16" s="1811" t="s">
        <v>43</v>
      </c>
      <c r="CG16" s="1811" t="s">
        <v>44</v>
      </c>
      <c r="CH16" s="1779"/>
    </row>
    <row r="17" spans="1:86" s="234" customFormat="1" ht="27.75" customHeight="1" x14ac:dyDescent="0.2">
      <c r="A17" s="1785"/>
      <c r="B17" s="1927"/>
      <c r="C17" s="1927"/>
      <c r="D17" s="1786"/>
      <c r="E17" s="1814"/>
      <c r="F17" s="1815"/>
      <c r="G17" s="1815"/>
      <c r="H17" s="1815"/>
      <c r="I17" s="1815"/>
      <c r="J17" s="1815"/>
      <c r="K17" s="1815"/>
      <c r="L17" s="1815"/>
      <c r="M17" s="1815"/>
      <c r="N17" s="1815"/>
      <c r="O17" s="1815"/>
      <c r="P17" s="1815"/>
      <c r="Q17" s="1815"/>
      <c r="R17" s="1815"/>
      <c r="S17" s="1815"/>
      <c r="T17" s="1815"/>
      <c r="U17" s="1815"/>
      <c r="V17" s="1815"/>
      <c r="W17" s="1815"/>
      <c r="X17" s="1815"/>
      <c r="Y17" s="1815"/>
      <c r="Z17" s="1815"/>
      <c r="AA17" s="1815"/>
      <c r="AB17" s="1815"/>
      <c r="AC17" s="1815"/>
      <c r="AD17" s="1815"/>
      <c r="AE17" s="1815"/>
      <c r="AF17" s="1815"/>
      <c r="AG17" s="1815"/>
      <c r="AH17" s="1815"/>
      <c r="AI17" s="1815"/>
      <c r="AJ17" s="1815"/>
      <c r="AK17" s="1815"/>
      <c r="AL17" s="1815"/>
      <c r="AM17" s="1816"/>
      <c r="AN17" s="1785"/>
      <c r="AO17" s="1927"/>
      <c r="AP17" s="1927"/>
      <c r="AQ17" s="1927"/>
      <c r="AR17" s="1927"/>
      <c r="AS17" s="1927"/>
      <c r="AT17" s="1927"/>
      <c r="AU17" s="1927"/>
      <c r="AV17" s="1927"/>
      <c r="AW17" s="1927"/>
      <c r="AX17" s="1927"/>
      <c r="AY17" s="1927"/>
      <c r="AZ17" s="1927"/>
      <c r="BA17" s="1927"/>
      <c r="BB17" s="1927"/>
      <c r="BC17" s="1786"/>
      <c r="BD17" s="1785"/>
      <c r="BE17" s="1927"/>
      <c r="BF17" s="1927"/>
      <c r="BG17" s="1927"/>
      <c r="BH17" s="1927"/>
      <c r="BI17" s="1927"/>
      <c r="BJ17" s="1927"/>
      <c r="BK17" s="1927"/>
      <c r="BL17" s="1927"/>
      <c r="BM17" s="1786"/>
      <c r="BN17" s="1785"/>
      <c r="BO17" s="1927"/>
      <c r="BP17" s="1927"/>
      <c r="BQ17" s="1927"/>
      <c r="BR17" s="1927"/>
      <c r="BS17" s="1927"/>
      <c r="BT17" s="1927"/>
      <c r="BU17" s="1927"/>
      <c r="BV17" s="1927"/>
      <c r="BW17" s="1927"/>
      <c r="BX17" s="1927"/>
      <c r="BY17" s="1927"/>
      <c r="BZ17" s="1927"/>
      <c r="CA17" s="1927"/>
      <c r="CB17" s="1786"/>
      <c r="CC17" s="1811"/>
      <c r="CD17" s="1811"/>
      <c r="CE17" s="1813"/>
      <c r="CF17" s="1811"/>
      <c r="CG17" s="1811"/>
      <c r="CH17" s="1780"/>
    </row>
    <row r="18" spans="1:86" s="234" customFormat="1" ht="32.25" customHeight="1" x14ac:dyDescent="0.2">
      <c r="A18" s="1830">
        <v>1</v>
      </c>
      <c r="B18" s="1830"/>
      <c r="C18" s="1830"/>
      <c r="D18" s="1830"/>
      <c r="E18" s="1830">
        <v>2</v>
      </c>
      <c r="F18" s="1830"/>
      <c r="G18" s="1830"/>
      <c r="H18" s="1830"/>
      <c r="I18" s="1830"/>
      <c r="J18" s="1830"/>
      <c r="K18" s="1830"/>
      <c r="L18" s="1830"/>
      <c r="M18" s="1830"/>
      <c r="N18" s="1830"/>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v>3</v>
      </c>
      <c r="AO18" s="1830"/>
      <c r="AP18" s="1830"/>
      <c r="AQ18" s="1830"/>
      <c r="AR18" s="1830"/>
      <c r="AS18" s="1830"/>
      <c r="AT18" s="1830"/>
      <c r="AU18" s="1830"/>
      <c r="AV18" s="1830"/>
      <c r="AW18" s="1830"/>
      <c r="AX18" s="1830"/>
      <c r="AY18" s="1830"/>
      <c r="AZ18" s="1830"/>
      <c r="BA18" s="1830"/>
      <c r="BB18" s="1830"/>
      <c r="BC18" s="1830"/>
      <c r="BD18" s="1830">
        <v>4</v>
      </c>
      <c r="BE18" s="1830"/>
      <c r="BF18" s="1830"/>
      <c r="BG18" s="1830"/>
      <c r="BH18" s="1830"/>
      <c r="BI18" s="1830"/>
      <c r="BJ18" s="1830"/>
      <c r="BK18" s="1830"/>
      <c r="BL18" s="1830"/>
      <c r="BM18" s="1830"/>
      <c r="BN18" s="1830" t="s">
        <v>49</v>
      </c>
      <c r="BO18" s="1830"/>
      <c r="BP18" s="1830"/>
      <c r="BQ18" s="1830"/>
      <c r="BR18" s="1830"/>
      <c r="BS18" s="1830"/>
      <c r="BT18" s="1830"/>
      <c r="BU18" s="1830"/>
      <c r="BV18" s="1830"/>
      <c r="BW18" s="1830"/>
      <c r="BX18" s="1830"/>
      <c r="BY18" s="1830"/>
      <c r="BZ18" s="1830"/>
      <c r="CA18" s="1830"/>
      <c r="CB18" s="1830"/>
      <c r="CC18" s="15">
        <v>6</v>
      </c>
      <c r="CD18" s="15">
        <v>7</v>
      </c>
      <c r="CE18" s="15">
        <v>8</v>
      </c>
      <c r="CF18" s="15">
        <v>9</v>
      </c>
      <c r="CG18" s="15">
        <v>10</v>
      </c>
      <c r="CH18" s="15">
        <v>11</v>
      </c>
    </row>
    <row r="19" spans="1:86" s="234" customFormat="1" ht="12" customHeight="1" x14ac:dyDescent="0.2">
      <c r="A19" s="1824">
        <v>1</v>
      </c>
      <c r="B19" s="1825"/>
      <c r="C19" s="1825"/>
      <c r="D19" s="1826"/>
      <c r="E19" s="1904" t="s">
        <v>1188</v>
      </c>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6"/>
      <c r="AN19" s="2105">
        <v>4200</v>
      </c>
      <c r="AO19" s="2106"/>
      <c r="AP19" s="2106"/>
      <c r="AQ19" s="2106"/>
      <c r="AR19" s="2106"/>
      <c r="AS19" s="2106"/>
      <c r="AT19" s="2106"/>
      <c r="AU19" s="2106"/>
      <c r="AV19" s="2106"/>
      <c r="AW19" s="2106"/>
      <c r="AX19" s="2106"/>
      <c r="AY19" s="2106"/>
      <c r="AZ19" s="2106"/>
      <c r="BA19" s="2106"/>
      <c r="BB19" s="2106"/>
      <c r="BC19" s="2107"/>
      <c r="BD19" s="2129">
        <v>12</v>
      </c>
      <c r="BE19" s="2130"/>
      <c r="BF19" s="2130"/>
      <c r="BG19" s="2130"/>
      <c r="BH19" s="2130"/>
      <c r="BI19" s="2130"/>
      <c r="BJ19" s="2130"/>
      <c r="BK19" s="2130"/>
      <c r="BL19" s="2130"/>
      <c r="BM19" s="2131"/>
      <c r="BN19" s="2105">
        <f>AN19*BD19</f>
        <v>50400</v>
      </c>
      <c r="BO19" s="2106"/>
      <c r="BP19" s="2106"/>
      <c r="BQ19" s="2106"/>
      <c r="BR19" s="2106"/>
      <c r="BS19" s="2106"/>
      <c r="BT19" s="2106"/>
      <c r="BU19" s="2106"/>
      <c r="BV19" s="2106"/>
      <c r="BW19" s="2106"/>
      <c r="BX19" s="2106"/>
      <c r="BY19" s="2106"/>
      <c r="BZ19" s="2106"/>
      <c r="CA19" s="2106"/>
      <c r="CB19" s="2107"/>
      <c r="CC19" s="283"/>
      <c r="CD19" s="283">
        <f t="shared" ref="CD19:CD24" si="0">BN19</f>
        <v>50400</v>
      </c>
      <c r="CE19" s="17"/>
      <c r="CF19" s="17"/>
      <c r="CG19" s="17"/>
      <c r="CH19" s="17"/>
    </row>
    <row r="20" spans="1:86" s="234" customFormat="1" ht="11.25" customHeight="1" x14ac:dyDescent="0.2">
      <c r="A20" s="1824">
        <v>2</v>
      </c>
      <c r="B20" s="1825"/>
      <c r="C20" s="1825"/>
      <c r="D20" s="1826"/>
      <c r="E20" s="1904" t="s">
        <v>1191</v>
      </c>
      <c r="F20" s="1905"/>
      <c r="G20" s="1905"/>
      <c r="H20" s="1905"/>
      <c r="I20" s="1905"/>
      <c r="J20" s="1905"/>
      <c r="K20" s="1905"/>
      <c r="L20" s="1905"/>
      <c r="M20" s="1905"/>
      <c r="N20" s="1905"/>
      <c r="O20" s="1905"/>
      <c r="P20" s="1905"/>
      <c r="Q20" s="1905"/>
      <c r="R20" s="1905"/>
      <c r="S20" s="1905"/>
      <c r="T20" s="1905"/>
      <c r="U20" s="1905"/>
      <c r="V20" s="1905"/>
      <c r="W20" s="1905"/>
      <c r="X20" s="1905"/>
      <c r="Y20" s="1905"/>
      <c r="Z20" s="1905"/>
      <c r="AA20" s="1905"/>
      <c r="AB20" s="1905"/>
      <c r="AC20" s="1905"/>
      <c r="AD20" s="1905"/>
      <c r="AE20" s="1905"/>
      <c r="AF20" s="1905"/>
      <c r="AG20" s="1905"/>
      <c r="AH20" s="1905"/>
      <c r="AI20" s="1905"/>
      <c r="AJ20" s="1905"/>
      <c r="AK20" s="1905"/>
      <c r="AL20" s="1905"/>
      <c r="AM20" s="1906"/>
      <c r="AN20" s="2105">
        <v>6096</v>
      </c>
      <c r="AO20" s="2106"/>
      <c r="AP20" s="2106"/>
      <c r="AQ20" s="2106"/>
      <c r="AR20" s="2106"/>
      <c r="AS20" s="2106"/>
      <c r="AT20" s="2106"/>
      <c r="AU20" s="2106"/>
      <c r="AV20" s="2106"/>
      <c r="AW20" s="2106"/>
      <c r="AX20" s="2106"/>
      <c r="AY20" s="2106"/>
      <c r="AZ20" s="2106"/>
      <c r="BA20" s="2106"/>
      <c r="BB20" s="2106"/>
      <c r="BC20" s="2107"/>
      <c r="BD20" s="2129">
        <v>12</v>
      </c>
      <c r="BE20" s="2130"/>
      <c r="BF20" s="2130"/>
      <c r="BG20" s="2130"/>
      <c r="BH20" s="2130"/>
      <c r="BI20" s="2130"/>
      <c r="BJ20" s="2130"/>
      <c r="BK20" s="2130"/>
      <c r="BL20" s="2130"/>
      <c r="BM20" s="2131"/>
      <c r="BN20" s="2105">
        <f>AN20*BD20</f>
        <v>73152</v>
      </c>
      <c r="BO20" s="2106"/>
      <c r="BP20" s="2106"/>
      <c r="BQ20" s="2106"/>
      <c r="BR20" s="2106"/>
      <c r="BS20" s="2106"/>
      <c r="BT20" s="2106"/>
      <c r="BU20" s="2106"/>
      <c r="BV20" s="2106"/>
      <c r="BW20" s="2106"/>
      <c r="BX20" s="2106"/>
      <c r="BY20" s="2106"/>
      <c r="BZ20" s="2106"/>
      <c r="CA20" s="2106"/>
      <c r="CB20" s="2107"/>
      <c r="CC20" s="283"/>
      <c r="CD20" s="283">
        <f t="shared" si="0"/>
        <v>73152</v>
      </c>
      <c r="CE20" s="17"/>
      <c r="CF20" s="17"/>
      <c r="CG20" s="17"/>
      <c r="CH20" s="17"/>
    </row>
    <row r="21" spans="1:86" ht="27" customHeight="1" x14ac:dyDescent="0.2">
      <c r="A21" s="1797">
        <v>3</v>
      </c>
      <c r="B21" s="1798"/>
      <c r="C21" s="1798"/>
      <c r="D21" s="1799"/>
      <c r="E21" s="1904" t="s">
        <v>1192</v>
      </c>
      <c r="F21" s="1905"/>
      <c r="G21" s="1905"/>
      <c r="H21" s="1905"/>
      <c r="I21" s="1905"/>
      <c r="J21" s="1905"/>
      <c r="K21" s="1905"/>
      <c r="L21" s="1905"/>
      <c r="M21" s="1905"/>
      <c r="N21" s="1905"/>
      <c r="O21" s="1905"/>
      <c r="P21" s="1905"/>
      <c r="Q21" s="1905"/>
      <c r="R21" s="1905"/>
      <c r="S21" s="1905"/>
      <c r="T21" s="1905"/>
      <c r="U21" s="1905"/>
      <c r="V21" s="1905"/>
      <c r="W21" s="1905"/>
      <c r="X21" s="1905"/>
      <c r="Y21" s="1905"/>
      <c r="Z21" s="1905"/>
      <c r="AA21" s="1905"/>
      <c r="AB21" s="1905"/>
      <c r="AC21" s="1905"/>
      <c r="AD21" s="1905"/>
      <c r="AE21" s="1905"/>
      <c r="AF21" s="1905"/>
      <c r="AG21" s="1905"/>
      <c r="AH21" s="1905"/>
      <c r="AI21" s="1905"/>
      <c r="AJ21" s="1905"/>
      <c r="AK21" s="1905"/>
      <c r="AL21" s="1905"/>
      <c r="AM21" s="1906"/>
      <c r="AN21" s="2105">
        <f>CD21</f>
        <v>3859</v>
      </c>
      <c r="AO21" s="2106"/>
      <c r="AP21" s="2106"/>
      <c r="AQ21" s="2106"/>
      <c r="AR21" s="2106"/>
      <c r="AS21" s="2106"/>
      <c r="AT21" s="2106"/>
      <c r="AU21" s="2106"/>
      <c r="AV21" s="2106"/>
      <c r="AW21" s="2106"/>
      <c r="AX21" s="2106"/>
      <c r="AY21" s="2106"/>
      <c r="AZ21" s="2106"/>
      <c r="BA21" s="2106"/>
      <c r="BB21" s="2106"/>
      <c r="BC21" s="2107"/>
      <c r="BD21" s="2129">
        <v>1</v>
      </c>
      <c r="BE21" s="2130"/>
      <c r="BF21" s="2130"/>
      <c r="BG21" s="2130"/>
      <c r="BH21" s="2130"/>
      <c r="BI21" s="2130"/>
      <c r="BJ21" s="2130"/>
      <c r="BK21" s="2130"/>
      <c r="BL21" s="2130"/>
      <c r="BM21" s="2131"/>
      <c r="BN21" s="2105">
        <f>CD21</f>
        <v>3859</v>
      </c>
      <c r="BO21" s="2106"/>
      <c r="BP21" s="2106"/>
      <c r="BQ21" s="2106"/>
      <c r="BR21" s="2106"/>
      <c r="BS21" s="2106"/>
      <c r="BT21" s="2106"/>
      <c r="BU21" s="2106"/>
      <c r="BV21" s="2106"/>
      <c r="BW21" s="2106"/>
      <c r="BX21" s="2106"/>
      <c r="BY21" s="2106"/>
      <c r="BZ21" s="2106"/>
      <c r="CA21" s="2106"/>
      <c r="CB21" s="2107"/>
      <c r="CC21" s="283"/>
      <c r="CD21" s="283">
        <f>2844+1015</f>
        <v>3859</v>
      </c>
      <c r="CE21" s="15"/>
      <c r="CF21" s="15"/>
      <c r="CG21" s="15"/>
      <c r="CH21" s="15"/>
    </row>
    <row r="22" spans="1:86" s="234" customFormat="1" ht="15" customHeight="1" x14ac:dyDescent="0.2">
      <c r="A22" s="1810">
        <v>4</v>
      </c>
      <c r="B22" s="1810"/>
      <c r="C22" s="1810"/>
      <c r="D22" s="1810"/>
      <c r="E22" s="2082" t="s">
        <v>1186</v>
      </c>
      <c r="F22" s="2082"/>
      <c r="G22" s="2082"/>
      <c r="H22" s="2082"/>
      <c r="I22" s="2082"/>
      <c r="J22" s="2082"/>
      <c r="K22" s="2082"/>
      <c r="L22" s="2082"/>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c r="AK22" s="2082"/>
      <c r="AL22" s="2082"/>
      <c r="AM22" s="2082"/>
      <c r="AN22" s="2105">
        <v>1954.78</v>
      </c>
      <c r="AO22" s="2106"/>
      <c r="AP22" s="2106"/>
      <c r="AQ22" s="2106"/>
      <c r="AR22" s="2106"/>
      <c r="AS22" s="2106"/>
      <c r="AT22" s="2106"/>
      <c r="AU22" s="2106"/>
      <c r="AV22" s="2106"/>
      <c r="AW22" s="2106"/>
      <c r="AX22" s="2106"/>
      <c r="AY22" s="2106"/>
      <c r="AZ22" s="2106"/>
      <c r="BA22" s="2106"/>
      <c r="BB22" s="2106"/>
      <c r="BC22" s="2107"/>
      <c r="BD22" s="2129">
        <v>12</v>
      </c>
      <c r="BE22" s="2130"/>
      <c r="BF22" s="2130"/>
      <c r="BG22" s="2130"/>
      <c r="BH22" s="2130"/>
      <c r="BI22" s="2130"/>
      <c r="BJ22" s="2130"/>
      <c r="BK22" s="2130"/>
      <c r="BL22" s="2130"/>
      <c r="BM22" s="2131"/>
      <c r="BN22" s="2135">
        <f>AN22*BD22</f>
        <v>23457.360000000001</v>
      </c>
      <c r="BO22" s="2135"/>
      <c r="BP22" s="2135"/>
      <c r="BQ22" s="2135"/>
      <c r="BR22" s="2135"/>
      <c r="BS22" s="2135"/>
      <c r="BT22" s="2135"/>
      <c r="BU22" s="2135"/>
      <c r="BV22" s="2135"/>
      <c r="BW22" s="2135"/>
      <c r="BX22" s="2135"/>
      <c r="BY22" s="2135"/>
      <c r="BZ22" s="2135"/>
      <c r="CA22" s="2135"/>
      <c r="CB22" s="2135"/>
      <c r="CC22" s="282"/>
      <c r="CD22" s="282">
        <f t="shared" si="0"/>
        <v>23457.360000000001</v>
      </c>
      <c r="CE22" s="233"/>
      <c r="CF22" s="233"/>
      <c r="CG22" s="233"/>
      <c r="CH22" s="233"/>
    </row>
    <row r="23" spans="1:86" ht="24" customHeight="1" x14ac:dyDescent="0.2">
      <c r="A23" s="1810">
        <f>A22+1</f>
        <v>5</v>
      </c>
      <c r="B23" s="1810"/>
      <c r="C23" s="1810"/>
      <c r="D23" s="1810"/>
      <c r="E23" s="2082" t="s">
        <v>628</v>
      </c>
      <c r="F23" s="2082"/>
      <c r="G23" s="2082"/>
      <c r="H23" s="2082"/>
      <c r="I23" s="2082"/>
      <c r="J23" s="2082"/>
      <c r="K23" s="2082"/>
      <c r="L23" s="2082"/>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2082"/>
      <c r="AL23" s="2082"/>
      <c r="AM23" s="2082"/>
      <c r="AN23" s="2105">
        <v>2000</v>
      </c>
      <c r="AO23" s="2106"/>
      <c r="AP23" s="2106"/>
      <c r="AQ23" s="2106"/>
      <c r="AR23" s="2106"/>
      <c r="AS23" s="2106"/>
      <c r="AT23" s="2106"/>
      <c r="AU23" s="2106"/>
      <c r="AV23" s="2106"/>
      <c r="AW23" s="2106"/>
      <c r="AX23" s="2106"/>
      <c r="AY23" s="2106"/>
      <c r="AZ23" s="2106"/>
      <c r="BA23" s="2106"/>
      <c r="BB23" s="2106"/>
      <c r="BC23" s="2107"/>
      <c r="BD23" s="2129">
        <v>2</v>
      </c>
      <c r="BE23" s="2130"/>
      <c r="BF23" s="2130"/>
      <c r="BG23" s="2130"/>
      <c r="BH23" s="2130"/>
      <c r="BI23" s="2130"/>
      <c r="BJ23" s="2130"/>
      <c r="BK23" s="2130"/>
      <c r="BL23" s="2130"/>
      <c r="BM23" s="2131"/>
      <c r="BN23" s="2135">
        <v>4000</v>
      </c>
      <c r="BO23" s="2135"/>
      <c r="BP23" s="2135"/>
      <c r="BQ23" s="2135"/>
      <c r="BR23" s="2135"/>
      <c r="BS23" s="2135"/>
      <c r="BT23" s="2135"/>
      <c r="BU23" s="2135"/>
      <c r="BV23" s="2135"/>
      <c r="BW23" s="2135"/>
      <c r="BX23" s="2135"/>
      <c r="BY23" s="2135"/>
      <c r="BZ23" s="2135"/>
      <c r="CA23" s="2135"/>
      <c r="CB23" s="2135"/>
      <c r="CC23" s="282"/>
      <c r="CD23" s="282">
        <f t="shared" si="0"/>
        <v>4000</v>
      </c>
      <c r="CE23" s="233"/>
      <c r="CF23" s="233"/>
      <c r="CG23" s="233"/>
      <c r="CH23" s="233"/>
    </row>
    <row r="24" spans="1:86" s="234" customFormat="1" ht="18" customHeight="1" x14ac:dyDescent="0.2">
      <c r="A24" s="1810">
        <f>A23+1</f>
        <v>6</v>
      </c>
      <c r="B24" s="1810"/>
      <c r="C24" s="1810"/>
      <c r="D24" s="1810"/>
      <c r="E24" s="2082" t="s">
        <v>627</v>
      </c>
      <c r="F24" s="2082"/>
      <c r="G24" s="2082"/>
      <c r="H24" s="2082"/>
      <c r="I24" s="2082"/>
      <c r="J24" s="2082"/>
      <c r="K24" s="2082"/>
      <c r="L24" s="2082"/>
      <c r="M24" s="2082"/>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105">
        <v>10507.68</v>
      </c>
      <c r="AO24" s="2106"/>
      <c r="AP24" s="2106"/>
      <c r="AQ24" s="2106"/>
      <c r="AR24" s="2106"/>
      <c r="AS24" s="2106"/>
      <c r="AT24" s="2106"/>
      <c r="AU24" s="2106"/>
      <c r="AV24" s="2106"/>
      <c r="AW24" s="2106"/>
      <c r="AX24" s="2106"/>
      <c r="AY24" s="2106"/>
      <c r="AZ24" s="2106"/>
      <c r="BA24" s="2106"/>
      <c r="BB24" s="2106"/>
      <c r="BC24" s="2107"/>
      <c r="BD24" s="2129">
        <v>12</v>
      </c>
      <c r="BE24" s="2130"/>
      <c r="BF24" s="2130"/>
      <c r="BG24" s="2130"/>
      <c r="BH24" s="2130"/>
      <c r="BI24" s="2130"/>
      <c r="BJ24" s="2130"/>
      <c r="BK24" s="2130"/>
      <c r="BL24" s="2130"/>
      <c r="BM24" s="2131"/>
      <c r="BN24" s="2135">
        <f>AN24*BD24</f>
        <v>126092.16</v>
      </c>
      <c r="BO24" s="2135"/>
      <c r="BP24" s="2135"/>
      <c r="BQ24" s="2135"/>
      <c r="BR24" s="2135"/>
      <c r="BS24" s="2135"/>
      <c r="BT24" s="2135"/>
      <c r="BU24" s="2135"/>
      <c r="BV24" s="2135"/>
      <c r="BW24" s="2135"/>
      <c r="BX24" s="2135"/>
      <c r="BY24" s="2135"/>
      <c r="BZ24" s="2135"/>
      <c r="CA24" s="2135"/>
      <c r="CB24" s="2135"/>
      <c r="CC24" s="282"/>
      <c r="CD24" s="282">
        <f t="shared" si="0"/>
        <v>126092.16</v>
      </c>
      <c r="CE24" s="233"/>
      <c r="CF24" s="233"/>
      <c r="CG24" s="233"/>
      <c r="CH24" s="233"/>
    </row>
    <row r="25" spans="1:86" s="137" customFormat="1" ht="16.5" customHeight="1" x14ac:dyDescent="0.2">
      <c r="A25" s="1810">
        <v>7</v>
      </c>
      <c r="B25" s="1810"/>
      <c r="C25" s="1810"/>
      <c r="D25" s="1810"/>
      <c r="E25" s="2082" t="s">
        <v>759</v>
      </c>
      <c r="F25" s="2082"/>
      <c r="G25" s="2082"/>
      <c r="H25" s="2082"/>
      <c r="I25" s="2082"/>
      <c r="J25" s="2082"/>
      <c r="K25" s="2082"/>
      <c r="L25" s="2082"/>
      <c r="M25" s="2082"/>
      <c r="N25" s="2082"/>
      <c r="O25" s="2082"/>
      <c r="P25" s="2082"/>
      <c r="Q25" s="2082"/>
      <c r="R25" s="2082"/>
      <c r="S25" s="2082"/>
      <c r="T25" s="2082"/>
      <c r="U25" s="2082"/>
      <c r="V25" s="2082"/>
      <c r="W25" s="2082"/>
      <c r="X25" s="2082"/>
      <c r="Y25" s="2082"/>
      <c r="Z25" s="2082"/>
      <c r="AA25" s="2082"/>
      <c r="AB25" s="2082"/>
      <c r="AC25" s="2082"/>
      <c r="AD25" s="2082"/>
      <c r="AE25" s="2082"/>
      <c r="AF25" s="2082"/>
      <c r="AG25" s="2082"/>
      <c r="AH25" s="2082"/>
      <c r="AI25" s="2082"/>
      <c r="AJ25" s="2082"/>
      <c r="AK25" s="2082"/>
      <c r="AL25" s="2082"/>
      <c r="AM25" s="2082"/>
      <c r="AN25" s="2105">
        <f>54000-5000-11113-442-13445-12000</f>
        <v>12000</v>
      </c>
      <c r="AO25" s="2106"/>
      <c r="AP25" s="2106"/>
      <c r="AQ25" s="2106"/>
      <c r="AR25" s="2106"/>
      <c r="AS25" s="2106"/>
      <c r="AT25" s="2106"/>
      <c r="AU25" s="2106"/>
      <c r="AV25" s="2106"/>
      <c r="AW25" s="2106"/>
      <c r="AX25" s="2106"/>
      <c r="AY25" s="2106"/>
      <c r="AZ25" s="2106"/>
      <c r="BA25" s="2106"/>
      <c r="BB25" s="2106"/>
      <c r="BC25" s="2107"/>
      <c r="BD25" s="2129">
        <v>1</v>
      </c>
      <c r="BE25" s="2130"/>
      <c r="BF25" s="2130"/>
      <c r="BG25" s="2130"/>
      <c r="BH25" s="2130"/>
      <c r="BI25" s="2130"/>
      <c r="BJ25" s="2130"/>
      <c r="BK25" s="2130"/>
      <c r="BL25" s="2130"/>
      <c r="BM25" s="2131"/>
      <c r="BN25" s="2135">
        <f>AN25</f>
        <v>12000</v>
      </c>
      <c r="BO25" s="2135"/>
      <c r="BP25" s="2135"/>
      <c r="BQ25" s="2135"/>
      <c r="BR25" s="2135"/>
      <c r="BS25" s="2135"/>
      <c r="BT25" s="2135"/>
      <c r="BU25" s="2135"/>
      <c r="BV25" s="2135"/>
      <c r="BW25" s="2135"/>
      <c r="BX25" s="2135"/>
      <c r="BY25" s="2135"/>
      <c r="BZ25" s="2135"/>
      <c r="CA25" s="2135"/>
      <c r="CB25" s="2135"/>
      <c r="CC25" s="282"/>
      <c r="CD25" s="282">
        <f>AN25</f>
        <v>12000</v>
      </c>
      <c r="CE25" s="233"/>
      <c r="CF25" s="233"/>
      <c r="CG25" s="233"/>
      <c r="CH25" s="233"/>
    </row>
    <row r="26" spans="1:86" s="137" customFormat="1" ht="16.5" customHeight="1" x14ac:dyDescent="0.2">
      <c r="A26" s="1810">
        <v>8</v>
      </c>
      <c r="B26" s="1810"/>
      <c r="C26" s="1810"/>
      <c r="D26" s="1810"/>
      <c r="E26" s="2082" t="s">
        <v>626</v>
      </c>
      <c r="F26" s="2082"/>
      <c r="G26" s="2082"/>
      <c r="H26" s="2082"/>
      <c r="I26" s="2082"/>
      <c r="J26" s="2082"/>
      <c r="K26" s="2082"/>
      <c r="L26" s="2082"/>
      <c r="M26" s="2082"/>
      <c r="N26" s="2082"/>
      <c r="O26" s="2082"/>
      <c r="P26" s="2082"/>
      <c r="Q26" s="2082"/>
      <c r="R26" s="2082"/>
      <c r="S26" s="2082"/>
      <c r="T26" s="2082"/>
      <c r="U26" s="2082"/>
      <c r="V26" s="2082"/>
      <c r="W26" s="2082"/>
      <c r="X26" s="2082"/>
      <c r="Y26" s="2082"/>
      <c r="Z26" s="2082"/>
      <c r="AA26" s="2082"/>
      <c r="AB26" s="2082"/>
      <c r="AC26" s="2082"/>
      <c r="AD26" s="2082"/>
      <c r="AE26" s="2082"/>
      <c r="AF26" s="2082"/>
      <c r="AG26" s="2082"/>
      <c r="AH26" s="2082"/>
      <c r="AI26" s="2082"/>
      <c r="AJ26" s="2082"/>
      <c r="AK26" s="2082"/>
      <c r="AL26" s="2082"/>
      <c r="AM26" s="2082"/>
      <c r="AN26" s="2105">
        <v>36219.360000000001</v>
      </c>
      <c r="AO26" s="2106"/>
      <c r="AP26" s="2106"/>
      <c r="AQ26" s="2106"/>
      <c r="AR26" s="2106"/>
      <c r="AS26" s="2106"/>
      <c r="AT26" s="2106"/>
      <c r="AU26" s="2106"/>
      <c r="AV26" s="2106"/>
      <c r="AW26" s="2106"/>
      <c r="AX26" s="2106"/>
      <c r="AY26" s="2106"/>
      <c r="AZ26" s="2106"/>
      <c r="BA26" s="2106"/>
      <c r="BB26" s="2106"/>
      <c r="BC26" s="2107"/>
      <c r="BD26" s="2129">
        <v>1</v>
      </c>
      <c r="BE26" s="2130"/>
      <c r="BF26" s="2130"/>
      <c r="BG26" s="2130"/>
      <c r="BH26" s="2130"/>
      <c r="BI26" s="2130"/>
      <c r="BJ26" s="2130"/>
      <c r="BK26" s="2130"/>
      <c r="BL26" s="2130"/>
      <c r="BM26" s="2131"/>
      <c r="BN26" s="2135">
        <f>AN26</f>
        <v>36219.360000000001</v>
      </c>
      <c r="BO26" s="2135"/>
      <c r="BP26" s="2135"/>
      <c r="BQ26" s="2135"/>
      <c r="BR26" s="2135"/>
      <c r="BS26" s="2135"/>
      <c r="BT26" s="2135"/>
      <c r="BU26" s="2135"/>
      <c r="BV26" s="2135"/>
      <c r="BW26" s="2135"/>
      <c r="BX26" s="2135"/>
      <c r="BY26" s="2135"/>
      <c r="BZ26" s="2135"/>
      <c r="CA26" s="2135"/>
      <c r="CB26" s="2135"/>
      <c r="CC26" s="282"/>
      <c r="CD26" s="282">
        <f t="shared" ref="CD26:CD32" si="1">BN26</f>
        <v>36219.360000000001</v>
      </c>
      <c r="CE26" s="233"/>
      <c r="CF26" s="233"/>
      <c r="CG26" s="233"/>
      <c r="CH26" s="233"/>
    </row>
    <row r="27" spans="1:86" s="137" customFormat="1" ht="21" customHeight="1" x14ac:dyDescent="0.2">
      <c r="A27" s="1810">
        <v>9</v>
      </c>
      <c r="B27" s="1810"/>
      <c r="C27" s="1810"/>
      <c r="D27" s="1810"/>
      <c r="E27" s="2082" t="s">
        <v>1205</v>
      </c>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082"/>
      <c r="AB27" s="2082"/>
      <c r="AC27" s="2082"/>
      <c r="AD27" s="2082"/>
      <c r="AE27" s="2082"/>
      <c r="AF27" s="2082"/>
      <c r="AG27" s="2082"/>
      <c r="AH27" s="2082"/>
      <c r="AI27" s="2082"/>
      <c r="AJ27" s="2082"/>
      <c r="AK27" s="2082"/>
      <c r="AL27" s="2082"/>
      <c r="AM27" s="2082"/>
      <c r="AN27" s="2105">
        <v>70000</v>
      </c>
      <c r="AO27" s="2106"/>
      <c r="AP27" s="2106"/>
      <c r="AQ27" s="2106"/>
      <c r="AR27" s="2106"/>
      <c r="AS27" s="2106"/>
      <c r="AT27" s="2106"/>
      <c r="AU27" s="2106"/>
      <c r="AV27" s="2106"/>
      <c r="AW27" s="2106"/>
      <c r="AX27" s="2106"/>
      <c r="AY27" s="2106"/>
      <c r="AZ27" s="2106"/>
      <c r="BA27" s="2106"/>
      <c r="BB27" s="2106"/>
      <c r="BC27" s="2107"/>
      <c r="BD27" s="2129">
        <v>1</v>
      </c>
      <c r="BE27" s="2130"/>
      <c r="BF27" s="2130"/>
      <c r="BG27" s="2130"/>
      <c r="BH27" s="2130"/>
      <c r="BI27" s="2130"/>
      <c r="BJ27" s="2130"/>
      <c r="BK27" s="2130"/>
      <c r="BL27" s="2130"/>
      <c r="BM27" s="2131"/>
      <c r="BN27" s="2135">
        <f>AN27</f>
        <v>70000</v>
      </c>
      <c r="BO27" s="2135"/>
      <c r="BP27" s="2135"/>
      <c r="BQ27" s="2135"/>
      <c r="BR27" s="2135"/>
      <c r="BS27" s="2135"/>
      <c r="BT27" s="2135"/>
      <c r="BU27" s="2135"/>
      <c r="BV27" s="2135"/>
      <c r="BW27" s="2135"/>
      <c r="BX27" s="2135"/>
      <c r="BY27" s="2135"/>
      <c r="BZ27" s="2135"/>
      <c r="CA27" s="2135"/>
      <c r="CB27" s="2135"/>
      <c r="CC27" s="282"/>
      <c r="CD27" s="282">
        <f t="shared" si="1"/>
        <v>70000</v>
      </c>
      <c r="CE27" s="233"/>
      <c r="CF27" s="233"/>
      <c r="CG27" s="233"/>
      <c r="CH27" s="233"/>
    </row>
    <row r="28" spans="1:86" s="137" customFormat="1" ht="27" customHeight="1" x14ac:dyDescent="0.2">
      <c r="A28" s="1810">
        <v>10</v>
      </c>
      <c r="B28" s="1810"/>
      <c r="C28" s="1810"/>
      <c r="D28" s="1810"/>
      <c r="E28" s="2082" t="s">
        <v>951</v>
      </c>
      <c r="F28" s="2082"/>
      <c r="G28" s="2082"/>
      <c r="H28" s="2082"/>
      <c r="I28" s="2082"/>
      <c r="J28" s="2082"/>
      <c r="K28" s="2082"/>
      <c r="L28" s="2082"/>
      <c r="M28" s="2082"/>
      <c r="N28" s="2082"/>
      <c r="O28" s="2082"/>
      <c r="P28" s="2082"/>
      <c r="Q28" s="2082"/>
      <c r="R28" s="2082"/>
      <c r="S28" s="2082"/>
      <c r="T28" s="2082"/>
      <c r="U28" s="2082"/>
      <c r="V28" s="2082"/>
      <c r="W28" s="2082"/>
      <c r="X28" s="2082"/>
      <c r="Y28" s="2082"/>
      <c r="Z28" s="2082"/>
      <c r="AA28" s="2082"/>
      <c r="AB28" s="2082"/>
      <c r="AC28" s="2082"/>
      <c r="AD28" s="2082"/>
      <c r="AE28" s="2082"/>
      <c r="AF28" s="2082"/>
      <c r="AG28" s="2082"/>
      <c r="AH28" s="2082"/>
      <c r="AI28" s="2082"/>
      <c r="AJ28" s="2082"/>
      <c r="AK28" s="2082"/>
      <c r="AL28" s="2082"/>
      <c r="AM28" s="2082"/>
      <c r="AN28" s="2105">
        <v>10000</v>
      </c>
      <c r="AO28" s="2106"/>
      <c r="AP28" s="2106"/>
      <c r="AQ28" s="2106"/>
      <c r="AR28" s="2106"/>
      <c r="AS28" s="2106"/>
      <c r="AT28" s="2106"/>
      <c r="AU28" s="2106"/>
      <c r="AV28" s="2106"/>
      <c r="AW28" s="2106"/>
      <c r="AX28" s="2106"/>
      <c r="AY28" s="2106"/>
      <c r="AZ28" s="2106"/>
      <c r="BA28" s="2106"/>
      <c r="BB28" s="2106"/>
      <c r="BC28" s="2107"/>
      <c r="BD28" s="2129">
        <v>1</v>
      </c>
      <c r="BE28" s="2130"/>
      <c r="BF28" s="2130"/>
      <c r="BG28" s="2130"/>
      <c r="BH28" s="2130"/>
      <c r="BI28" s="2130"/>
      <c r="BJ28" s="2130"/>
      <c r="BK28" s="2130"/>
      <c r="BL28" s="2130"/>
      <c r="BM28" s="2131"/>
      <c r="BN28" s="2135">
        <f>AN28</f>
        <v>10000</v>
      </c>
      <c r="BO28" s="2135"/>
      <c r="BP28" s="2135"/>
      <c r="BQ28" s="2135"/>
      <c r="BR28" s="2135"/>
      <c r="BS28" s="2135"/>
      <c r="BT28" s="2135"/>
      <c r="BU28" s="2135"/>
      <c r="BV28" s="2135"/>
      <c r="BW28" s="2135"/>
      <c r="BX28" s="2135"/>
      <c r="BY28" s="2135"/>
      <c r="BZ28" s="2135"/>
      <c r="CA28" s="2135"/>
      <c r="CB28" s="2135"/>
      <c r="CC28" s="282"/>
      <c r="CD28" s="282">
        <f t="shared" si="1"/>
        <v>10000</v>
      </c>
      <c r="CE28" s="233"/>
      <c r="CF28" s="233"/>
      <c r="CG28" s="233"/>
      <c r="CH28" s="233"/>
    </row>
    <row r="29" spans="1:86" s="137" customFormat="1" ht="21" customHeight="1" x14ac:dyDescent="0.2">
      <c r="A29" s="1810">
        <v>11</v>
      </c>
      <c r="B29" s="1810"/>
      <c r="C29" s="1810"/>
      <c r="D29" s="1810"/>
      <c r="E29" s="2082" t="s">
        <v>150</v>
      </c>
      <c r="F29" s="2082"/>
      <c r="G29" s="2082"/>
      <c r="H29" s="2082"/>
      <c r="I29" s="2082"/>
      <c r="J29" s="2082"/>
      <c r="K29" s="2082"/>
      <c r="L29" s="2082"/>
      <c r="M29" s="2082"/>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c r="AI29" s="2082"/>
      <c r="AJ29" s="2082"/>
      <c r="AK29" s="2082"/>
      <c r="AL29" s="2082"/>
      <c r="AM29" s="2082"/>
      <c r="AN29" s="2105">
        <v>4500</v>
      </c>
      <c r="AO29" s="2106"/>
      <c r="AP29" s="2106"/>
      <c r="AQ29" s="2106"/>
      <c r="AR29" s="2106"/>
      <c r="AS29" s="2106"/>
      <c r="AT29" s="2106"/>
      <c r="AU29" s="2106"/>
      <c r="AV29" s="2106"/>
      <c r="AW29" s="2106"/>
      <c r="AX29" s="2106"/>
      <c r="AY29" s="2106"/>
      <c r="AZ29" s="2106"/>
      <c r="BA29" s="2106"/>
      <c r="BB29" s="2106"/>
      <c r="BC29" s="2107"/>
      <c r="BD29" s="2129">
        <v>1</v>
      </c>
      <c r="BE29" s="2130"/>
      <c r="BF29" s="2130"/>
      <c r="BG29" s="2130"/>
      <c r="BH29" s="2130"/>
      <c r="BI29" s="2130"/>
      <c r="BJ29" s="2130"/>
      <c r="BK29" s="2130"/>
      <c r="BL29" s="2130"/>
      <c r="BM29" s="2131"/>
      <c r="BN29" s="2105">
        <f>AN29*BD29</f>
        <v>4500</v>
      </c>
      <c r="BO29" s="2106"/>
      <c r="BP29" s="2106"/>
      <c r="BQ29" s="2106"/>
      <c r="BR29" s="2106"/>
      <c r="BS29" s="2106"/>
      <c r="BT29" s="2106"/>
      <c r="BU29" s="2106"/>
      <c r="BV29" s="2106"/>
      <c r="BW29" s="2106"/>
      <c r="BX29" s="2106"/>
      <c r="BY29" s="2106"/>
      <c r="BZ29" s="2106"/>
      <c r="CA29" s="2106"/>
      <c r="CB29" s="2107"/>
      <c r="CC29" s="282"/>
      <c r="CD29" s="283">
        <f t="shared" si="1"/>
        <v>4500</v>
      </c>
      <c r="CE29" s="233"/>
      <c r="CF29" s="233"/>
      <c r="CG29" s="233"/>
      <c r="CH29" s="233"/>
    </row>
    <row r="30" spans="1:86" s="29" customFormat="1" ht="18" customHeight="1" x14ac:dyDescent="0.2">
      <c r="A30" s="1810">
        <v>12</v>
      </c>
      <c r="B30" s="1810"/>
      <c r="C30" s="1810"/>
      <c r="D30" s="1810"/>
      <c r="E30" s="2082" t="s">
        <v>641</v>
      </c>
      <c r="F30" s="2082"/>
      <c r="G30" s="2082"/>
      <c r="H30" s="2082"/>
      <c r="I30" s="2082"/>
      <c r="J30" s="2082"/>
      <c r="K30" s="2082"/>
      <c r="L30" s="2082"/>
      <c r="M30" s="2082"/>
      <c r="N30" s="2082"/>
      <c r="O30" s="2082"/>
      <c r="P30" s="2082"/>
      <c r="Q30" s="2082"/>
      <c r="R30" s="2082"/>
      <c r="S30" s="2082"/>
      <c r="T30" s="2082"/>
      <c r="U30" s="2082"/>
      <c r="V30" s="2082"/>
      <c r="W30" s="2082"/>
      <c r="X30" s="2082"/>
      <c r="Y30" s="2082"/>
      <c r="Z30" s="2082"/>
      <c r="AA30" s="2082"/>
      <c r="AB30" s="2082"/>
      <c r="AC30" s="2082"/>
      <c r="AD30" s="2082"/>
      <c r="AE30" s="2082"/>
      <c r="AF30" s="2082"/>
      <c r="AG30" s="2082"/>
      <c r="AH30" s="2082"/>
      <c r="AI30" s="2082"/>
      <c r="AJ30" s="2082"/>
      <c r="AK30" s="2082"/>
      <c r="AL30" s="2082"/>
      <c r="AM30" s="2082"/>
      <c r="AN30" s="2105">
        <v>20000</v>
      </c>
      <c r="AO30" s="2106"/>
      <c r="AP30" s="2106"/>
      <c r="AQ30" s="2106"/>
      <c r="AR30" s="2106"/>
      <c r="AS30" s="2106"/>
      <c r="AT30" s="2106"/>
      <c r="AU30" s="2106"/>
      <c r="AV30" s="2106"/>
      <c r="AW30" s="2106"/>
      <c r="AX30" s="2106"/>
      <c r="AY30" s="2106"/>
      <c r="AZ30" s="2106"/>
      <c r="BA30" s="2106"/>
      <c r="BB30" s="2106"/>
      <c r="BC30" s="2107"/>
      <c r="BD30" s="2129">
        <v>1</v>
      </c>
      <c r="BE30" s="2130"/>
      <c r="BF30" s="2130"/>
      <c r="BG30" s="2130"/>
      <c r="BH30" s="2130"/>
      <c r="BI30" s="2130"/>
      <c r="BJ30" s="2130"/>
      <c r="BK30" s="2130"/>
      <c r="BL30" s="2130"/>
      <c r="BM30" s="2131"/>
      <c r="BN30" s="2105">
        <f>AN30*BD30</f>
        <v>20000</v>
      </c>
      <c r="BO30" s="2106"/>
      <c r="BP30" s="2106"/>
      <c r="BQ30" s="2106"/>
      <c r="BR30" s="2106"/>
      <c r="BS30" s="2106"/>
      <c r="BT30" s="2106"/>
      <c r="BU30" s="2106"/>
      <c r="BV30" s="2106"/>
      <c r="BW30" s="2106"/>
      <c r="BX30" s="2106"/>
      <c r="BY30" s="2106"/>
      <c r="BZ30" s="2106"/>
      <c r="CA30" s="2106"/>
      <c r="CB30" s="2107"/>
      <c r="CC30" s="282"/>
      <c r="CD30" s="283">
        <f t="shared" si="1"/>
        <v>20000</v>
      </c>
      <c r="CE30" s="233"/>
      <c r="CF30" s="233"/>
      <c r="CG30" s="233"/>
      <c r="CH30" s="233"/>
    </row>
    <row r="31" spans="1:86" s="1" customFormat="1" ht="15.75" x14ac:dyDescent="0.25">
      <c r="A31" s="1824">
        <v>13</v>
      </c>
      <c r="B31" s="1825"/>
      <c r="C31" s="1825"/>
      <c r="D31" s="1826"/>
      <c r="E31" s="1904" t="s">
        <v>149</v>
      </c>
      <c r="F31" s="1905"/>
      <c r="G31" s="1905"/>
      <c r="H31" s="1905"/>
      <c r="I31" s="1905"/>
      <c r="J31" s="1905"/>
      <c r="K31" s="1905"/>
      <c r="L31" s="1905"/>
      <c r="M31" s="1905"/>
      <c r="N31" s="1905"/>
      <c r="O31" s="1905"/>
      <c r="P31" s="1905"/>
      <c r="Q31" s="1905"/>
      <c r="R31" s="1905"/>
      <c r="S31" s="1905"/>
      <c r="T31" s="1905"/>
      <c r="U31" s="1905"/>
      <c r="V31" s="1905"/>
      <c r="W31" s="1905"/>
      <c r="X31" s="1905"/>
      <c r="Y31" s="1905"/>
      <c r="Z31" s="1905"/>
      <c r="AA31" s="1905"/>
      <c r="AB31" s="1905"/>
      <c r="AC31" s="1905"/>
      <c r="AD31" s="1905"/>
      <c r="AE31" s="1905"/>
      <c r="AF31" s="1905"/>
      <c r="AG31" s="1905"/>
      <c r="AH31" s="1905"/>
      <c r="AI31" s="1905"/>
      <c r="AJ31" s="1905"/>
      <c r="AK31" s="1905"/>
      <c r="AL31" s="1905"/>
      <c r="AM31" s="1906"/>
      <c r="AN31" s="2105">
        <f>BN31</f>
        <v>2652</v>
      </c>
      <c r="AO31" s="2106"/>
      <c r="AP31" s="2106"/>
      <c r="AQ31" s="2106"/>
      <c r="AR31" s="2106"/>
      <c r="AS31" s="2106"/>
      <c r="AT31" s="2106"/>
      <c r="AU31" s="2106"/>
      <c r="AV31" s="2106"/>
      <c r="AW31" s="2106"/>
      <c r="AX31" s="2106"/>
      <c r="AY31" s="2106"/>
      <c r="AZ31" s="2106"/>
      <c r="BA31" s="2106"/>
      <c r="BB31" s="2106"/>
      <c r="BC31" s="2107"/>
      <c r="BD31" s="2129">
        <v>2</v>
      </c>
      <c r="BE31" s="2130"/>
      <c r="BF31" s="2130"/>
      <c r="BG31" s="2130"/>
      <c r="BH31" s="2130"/>
      <c r="BI31" s="2130"/>
      <c r="BJ31" s="2130"/>
      <c r="BK31" s="2130"/>
      <c r="BL31" s="2130"/>
      <c r="BM31" s="2131"/>
      <c r="BN31" s="2105">
        <f>1768+442+442</f>
        <v>2652</v>
      </c>
      <c r="BO31" s="2106"/>
      <c r="BP31" s="2106"/>
      <c r="BQ31" s="2106"/>
      <c r="BR31" s="2106"/>
      <c r="BS31" s="2106"/>
      <c r="BT31" s="2106"/>
      <c r="BU31" s="2106"/>
      <c r="BV31" s="2106"/>
      <c r="BW31" s="2106"/>
      <c r="BX31" s="2106"/>
      <c r="BY31" s="2106"/>
      <c r="BZ31" s="2106"/>
      <c r="CA31" s="2106"/>
      <c r="CB31" s="2107"/>
      <c r="CC31" s="283"/>
      <c r="CD31" s="283">
        <f t="shared" si="1"/>
        <v>2652</v>
      </c>
      <c r="CE31" s="17"/>
      <c r="CF31" s="17"/>
      <c r="CG31" s="17"/>
      <c r="CH31" s="17"/>
    </row>
    <row r="32" spans="1:86" s="4" customFormat="1" ht="14.25" customHeight="1" x14ac:dyDescent="0.25">
      <c r="A32" s="1810">
        <v>14</v>
      </c>
      <c r="B32" s="1810"/>
      <c r="C32" s="1810"/>
      <c r="D32" s="1810"/>
      <c r="E32" s="2082" t="s">
        <v>644</v>
      </c>
      <c r="F32" s="2082"/>
      <c r="G32" s="2082"/>
      <c r="H32" s="2082"/>
      <c r="I32" s="2082"/>
      <c r="J32" s="2082"/>
      <c r="K32" s="2082"/>
      <c r="L32" s="2082"/>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c r="AK32" s="2082"/>
      <c r="AL32" s="2082"/>
      <c r="AM32" s="2082"/>
      <c r="AN32" s="2105">
        <v>15000</v>
      </c>
      <c r="AO32" s="2106"/>
      <c r="AP32" s="2106"/>
      <c r="AQ32" s="2106"/>
      <c r="AR32" s="2106"/>
      <c r="AS32" s="2106"/>
      <c r="AT32" s="2106"/>
      <c r="AU32" s="2106"/>
      <c r="AV32" s="2106"/>
      <c r="AW32" s="2106"/>
      <c r="AX32" s="2106"/>
      <c r="AY32" s="2106"/>
      <c r="AZ32" s="2106"/>
      <c r="BA32" s="2106"/>
      <c r="BB32" s="2106"/>
      <c r="BC32" s="2107"/>
      <c r="BD32" s="2129">
        <v>1</v>
      </c>
      <c r="BE32" s="2130"/>
      <c r="BF32" s="2130"/>
      <c r="BG32" s="2130"/>
      <c r="BH32" s="2130"/>
      <c r="BI32" s="2130"/>
      <c r="BJ32" s="2130"/>
      <c r="BK32" s="2130"/>
      <c r="BL32" s="2130"/>
      <c r="BM32" s="2131"/>
      <c r="BN32" s="2105">
        <f>AN32*BD32</f>
        <v>15000</v>
      </c>
      <c r="BO32" s="2106"/>
      <c r="BP32" s="2106"/>
      <c r="BQ32" s="2106"/>
      <c r="BR32" s="2106"/>
      <c r="BS32" s="2106"/>
      <c r="BT32" s="2106"/>
      <c r="BU32" s="2106"/>
      <c r="BV32" s="2106"/>
      <c r="BW32" s="2106"/>
      <c r="BX32" s="2106"/>
      <c r="BY32" s="2106"/>
      <c r="BZ32" s="2106"/>
      <c r="CA32" s="2106"/>
      <c r="CB32" s="2107"/>
      <c r="CC32" s="282"/>
      <c r="CD32" s="283">
        <f t="shared" si="1"/>
        <v>15000</v>
      </c>
      <c r="CE32" s="233"/>
      <c r="CF32" s="233"/>
      <c r="CG32" s="233"/>
      <c r="CH32" s="233"/>
    </row>
    <row r="33" spans="1:86" s="7" customFormat="1" x14ac:dyDescent="0.2">
      <c r="A33" s="2155">
        <v>15</v>
      </c>
      <c r="B33" s="2156"/>
      <c r="C33" s="2156"/>
      <c r="D33" s="2157"/>
      <c r="E33" s="2154" t="s">
        <v>587</v>
      </c>
      <c r="F33" s="2154"/>
      <c r="G33" s="2154"/>
      <c r="H33" s="2154"/>
      <c r="I33" s="2154"/>
      <c r="J33" s="2154"/>
      <c r="K33" s="2154"/>
      <c r="L33" s="2154"/>
      <c r="M33" s="2154"/>
      <c r="N33" s="2154"/>
      <c r="O33" s="2154"/>
      <c r="P33" s="2154"/>
      <c r="Q33" s="2154"/>
      <c r="R33" s="2154"/>
      <c r="S33" s="2154"/>
      <c r="T33" s="2154"/>
      <c r="U33" s="2154"/>
      <c r="V33" s="2154"/>
      <c r="W33" s="2154"/>
      <c r="X33" s="2154"/>
      <c r="Y33" s="2154"/>
      <c r="Z33" s="2154"/>
      <c r="AA33" s="2154"/>
      <c r="AB33" s="2154"/>
      <c r="AC33" s="2154"/>
      <c r="AD33" s="2154"/>
      <c r="AE33" s="2154"/>
      <c r="AF33" s="2154"/>
      <c r="AG33" s="2154"/>
      <c r="AH33" s="2154"/>
      <c r="AI33" s="2154"/>
      <c r="AJ33" s="2154"/>
      <c r="AK33" s="2154"/>
      <c r="AL33" s="2154"/>
      <c r="AM33" s="2154"/>
      <c r="AN33" s="2105">
        <v>1302</v>
      </c>
      <c r="AO33" s="2106"/>
      <c r="AP33" s="2106"/>
      <c r="AQ33" s="2106"/>
      <c r="AR33" s="2106"/>
      <c r="AS33" s="2106"/>
      <c r="AT33" s="2106"/>
      <c r="AU33" s="2106"/>
      <c r="AV33" s="2106"/>
      <c r="AW33" s="2106"/>
      <c r="AX33" s="2106"/>
      <c r="AY33" s="2106"/>
      <c r="AZ33" s="2106"/>
      <c r="BA33" s="2106"/>
      <c r="BB33" s="2106"/>
      <c r="BC33" s="2107"/>
      <c r="BD33" s="2129">
        <v>12</v>
      </c>
      <c r="BE33" s="2130"/>
      <c r="BF33" s="2130"/>
      <c r="BG33" s="2130"/>
      <c r="BH33" s="2130"/>
      <c r="BI33" s="2130"/>
      <c r="BJ33" s="2130"/>
      <c r="BK33" s="2130"/>
      <c r="BL33" s="2130"/>
      <c r="BM33" s="2131"/>
      <c r="BN33" s="2105">
        <f>AN33*BD33</f>
        <v>15624</v>
      </c>
      <c r="BO33" s="2106"/>
      <c r="BP33" s="2106"/>
      <c r="BQ33" s="2106"/>
      <c r="BR33" s="2106"/>
      <c r="BS33" s="2106"/>
      <c r="BT33" s="2106"/>
      <c r="BU33" s="2106"/>
      <c r="BV33" s="2106"/>
      <c r="BW33" s="2106"/>
      <c r="BX33" s="2106"/>
      <c r="BY33" s="2106"/>
      <c r="BZ33" s="2106"/>
      <c r="CA33" s="2106"/>
      <c r="CB33" s="2107"/>
      <c r="CC33" s="262"/>
      <c r="CD33" s="283">
        <f>BN33</f>
        <v>15624</v>
      </c>
      <c r="CE33" s="16"/>
      <c r="CF33" s="16"/>
      <c r="CG33" s="450"/>
      <c r="CH33" s="16"/>
    </row>
    <row r="34" spans="1:86" x14ac:dyDescent="0.2">
      <c r="A34" s="1810">
        <v>16</v>
      </c>
      <c r="B34" s="1810"/>
      <c r="C34" s="1810"/>
      <c r="D34" s="1810"/>
      <c r="E34" s="2082" t="s">
        <v>1208</v>
      </c>
      <c r="F34" s="2082"/>
      <c r="G34" s="2082"/>
      <c r="H34" s="2082"/>
      <c r="I34" s="2082"/>
      <c r="J34" s="2082"/>
      <c r="K34" s="2082"/>
      <c r="L34" s="2082"/>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82"/>
      <c r="AM34" s="2082"/>
      <c r="AN34" s="2105">
        <v>17500</v>
      </c>
      <c r="AO34" s="2106"/>
      <c r="AP34" s="2106"/>
      <c r="AQ34" s="2106"/>
      <c r="AR34" s="2106"/>
      <c r="AS34" s="2106"/>
      <c r="AT34" s="2106"/>
      <c r="AU34" s="2106"/>
      <c r="AV34" s="2106"/>
      <c r="AW34" s="2106"/>
      <c r="AX34" s="2106"/>
      <c r="AY34" s="2106"/>
      <c r="AZ34" s="2106"/>
      <c r="BA34" s="2106"/>
      <c r="BB34" s="2106"/>
      <c r="BC34" s="2107"/>
      <c r="BD34" s="2129">
        <v>1</v>
      </c>
      <c r="BE34" s="2130"/>
      <c r="BF34" s="2130"/>
      <c r="BG34" s="2130"/>
      <c r="BH34" s="2130"/>
      <c r="BI34" s="2130"/>
      <c r="BJ34" s="2130"/>
      <c r="BK34" s="2130"/>
      <c r="BL34" s="2130"/>
      <c r="BM34" s="2131"/>
      <c r="BN34" s="2105">
        <f>AN34</f>
        <v>17500</v>
      </c>
      <c r="BO34" s="2106"/>
      <c r="BP34" s="2106"/>
      <c r="BQ34" s="2106"/>
      <c r="BR34" s="2106"/>
      <c r="BS34" s="2106"/>
      <c r="BT34" s="2106"/>
      <c r="BU34" s="2106"/>
      <c r="BV34" s="2106"/>
      <c r="BW34" s="2106"/>
      <c r="BX34" s="2106"/>
      <c r="BY34" s="2106"/>
      <c r="BZ34" s="2106"/>
      <c r="CA34" s="2106"/>
      <c r="CB34" s="2107"/>
      <c r="CC34" s="282"/>
      <c r="CD34" s="283">
        <f>AN34</f>
        <v>17500</v>
      </c>
      <c r="CE34" s="233"/>
      <c r="CF34" s="233"/>
      <c r="CG34" s="233"/>
      <c r="CH34" s="233"/>
    </row>
    <row r="35" spans="1:86" ht="64.5" customHeight="1" x14ac:dyDescent="0.2">
      <c r="A35" s="2108">
        <v>17</v>
      </c>
      <c r="B35" s="2108"/>
      <c r="C35" s="2108"/>
      <c r="D35" s="2108"/>
      <c r="E35" s="2082" t="s">
        <v>157</v>
      </c>
      <c r="F35" s="2082"/>
      <c r="G35" s="2082"/>
      <c r="H35" s="2082"/>
      <c r="I35" s="2082"/>
      <c r="J35" s="2082"/>
      <c r="K35" s="2082"/>
      <c r="L35" s="2082"/>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2"/>
      <c r="AK35" s="2082"/>
      <c r="AL35" s="2082"/>
      <c r="AM35" s="2082"/>
      <c r="AN35" s="2105">
        <v>10000</v>
      </c>
      <c r="AO35" s="2106"/>
      <c r="AP35" s="2106"/>
      <c r="AQ35" s="2106"/>
      <c r="AR35" s="2106"/>
      <c r="AS35" s="2106"/>
      <c r="AT35" s="2106"/>
      <c r="AU35" s="2106"/>
      <c r="AV35" s="2106"/>
      <c r="AW35" s="2106"/>
      <c r="AX35" s="2106"/>
      <c r="AY35" s="2106"/>
      <c r="AZ35" s="2106"/>
      <c r="BA35" s="2106"/>
      <c r="BB35" s="2106"/>
      <c r="BC35" s="2107"/>
      <c r="BD35" s="2129">
        <v>1</v>
      </c>
      <c r="BE35" s="2130"/>
      <c r="BF35" s="2130"/>
      <c r="BG35" s="2130"/>
      <c r="BH35" s="2130"/>
      <c r="BI35" s="2130"/>
      <c r="BJ35" s="2130"/>
      <c r="BK35" s="2130"/>
      <c r="BL35" s="2130"/>
      <c r="BM35" s="2131"/>
      <c r="BN35" s="2105">
        <f>AN35</f>
        <v>10000</v>
      </c>
      <c r="BO35" s="2106"/>
      <c r="BP35" s="2106"/>
      <c r="BQ35" s="2106"/>
      <c r="BR35" s="2106"/>
      <c r="BS35" s="2106"/>
      <c r="BT35" s="2106"/>
      <c r="BU35" s="2106"/>
      <c r="BV35" s="2106"/>
      <c r="BW35" s="2106"/>
      <c r="BX35" s="2106"/>
      <c r="BY35" s="2106"/>
      <c r="BZ35" s="2106"/>
      <c r="CA35" s="2106"/>
      <c r="CB35" s="2107"/>
      <c r="CC35" s="581"/>
      <c r="CD35" s="283">
        <f>BN35</f>
        <v>10000</v>
      </c>
      <c r="CE35" s="138"/>
      <c r="CF35" s="138"/>
      <c r="CG35" s="138"/>
      <c r="CH35" s="138"/>
    </row>
    <row r="36" spans="1:86" ht="12.75" customHeight="1" x14ac:dyDescent="0.2">
      <c r="A36" s="2108">
        <v>18</v>
      </c>
      <c r="B36" s="2108"/>
      <c r="C36" s="2108"/>
      <c r="D36" s="2108"/>
      <c r="E36" s="2082" t="s">
        <v>583</v>
      </c>
      <c r="F36" s="2082"/>
      <c r="G36" s="2082"/>
      <c r="H36" s="2082"/>
      <c r="I36" s="2082"/>
      <c r="J36" s="2082"/>
      <c r="K36" s="2082"/>
      <c r="L36" s="2082"/>
      <c r="M36" s="2082"/>
      <c r="N36" s="2082"/>
      <c r="O36" s="2082"/>
      <c r="P36" s="2082"/>
      <c r="Q36" s="2082"/>
      <c r="R36" s="2082"/>
      <c r="S36" s="2082"/>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105">
        <v>5000</v>
      </c>
      <c r="AO36" s="2106"/>
      <c r="AP36" s="2106"/>
      <c r="AQ36" s="2106"/>
      <c r="AR36" s="2106"/>
      <c r="AS36" s="2106"/>
      <c r="AT36" s="2106"/>
      <c r="AU36" s="2106"/>
      <c r="AV36" s="2106"/>
      <c r="AW36" s="2106"/>
      <c r="AX36" s="2106"/>
      <c r="AY36" s="2106"/>
      <c r="AZ36" s="2106"/>
      <c r="BA36" s="2106"/>
      <c r="BB36" s="2106"/>
      <c r="BC36" s="2107"/>
      <c r="BD36" s="2129">
        <v>1</v>
      </c>
      <c r="BE36" s="2130"/>
      <c r="BF36" s="2130"/>
      <c r="BG36" s="2130"/>
      <c r="BH36" s="2130"/>
      <c r="BI36" s="2130"/>
      <c r="BJ36" s="2130"/>
      <c r="BK36" s="2130"/>
      <c r="BL36" s="2130"/>
      <c r="BM36" s="2131"/>
      <c r="BN36" s="2105">
        <f>AN36</f>
        <v>5000</v>
      </c>
      <c r="BO36" s="2106"/>
      <c r="BP36" s="2106"/>
      <c r="BQ36" s="2106"/>
      <c r="BR36" s="2106"/>
      <c r="BS36" s="2106"/>
      <c r="BT36" s="2106"/>
      <c r="BU36" s="2106"/>
      <c r="BV36" s="2106"/>
      <c r="BW36" s="2106"/>
      <c r="BX36" s="2106"/>
      <c r="BY36" s="2106"/>
      <c r="BZ36" s="2106"/>
      <c r="CA36" s="2106"/>
      <c r="CB36" s="2107"/>
      <c r="CC36" s="581"/>
      <c r="CD36" s="283">
        <f>BN36</f>
        <v>5000</v>
      </c>
      <c r="CE36" s="138"/>
      <c r="CF36" s="138"/>
      <c r="CG36" s="138"/>
      <c r="CH36" s="138"/>
    </row>
    <row r="37" spans="1:86" x14ac:dyDescent="0.2">
      <c r="A37" s="2108">
        <v>19</v>
      </c>
      <c r="B37" s="2108"/>
      <c r="C37" s="2108"/>
      <c r="D37" s="2108"/>
      <c r="E37" s="2082" t="s">
        <v>1204</v>
      </c>
      <c r="F37" s="2082"/>
      <c r="G37" s="2082"/>
      <c r="H37" s="2082"/>
      <c r="I37" s="2082"/>
      <c r="J37" s="2082"/>
      <c r="K37" s="2082"/>
      <c r="L37" s="2082"/>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c r="AI37" s="2082"/>
      <c r="AJ37" s="2082"/>
      <c r="AK37" s="2082"/>
      <c r="AL37" s="2082"/>
      <c r="AM37" s="2082"/>
      <c r="AN37" s="2151">
        <v>50000</v>
      </c>
      <c r="AO37" s="2152"/>
      <c r="AP37" s="2152"/>
      <c r="AQ37" s="2152"/>
      <c r="AR37" s="2152"/>
      <c r="AS37" s="2152"/>
      <c r="AT37" s="2152"/>
      <c r="AU37" s="2152"/>
      <c r="AV37" s="2152"/>
      <c r="AW37" s="2152"/>
      <c r="AX37" s="2152"/>
      <c r="AY37" s="2152"/>
      <c r="AZ37" s="2152"/>
      <c r="BA37" s="2152"/>
      <c r="BB37" s="2152"/>
      <c r="BC37" s="2153"/>
      <c r="BD37" s="2129">
        <v>1</v>
      </c>
      <c r="BE37" s="2130"/>
      <c r="BF37" s="2130"/>
      <c r="BG37" s="2130"/>
      <c r="BH37" s="2130"/>
      <c r="BI37" s="2130"/>
      <c r="BJ37" s="2130"/>
      <c r="BK37" s="2130"/>
      <c r="BL37" s="2130"/>
      <c r="BM37" s="2131"/>
      <c r="BN37" s="2151">
        <f>AN37</f>
        <v>50000</v>
      </c>
      <c r="BO37" s="2152"/>
      <c r="BP37" s="2152"/>
      <c r="BQ37" s="2152"/>
      <c r="BR37" s="2152"/>
      <c r="BS37" s="2152"/>
      <c r="BT37" s="2152"/>
      <c r="BU37" s="2152"/>
      <c r="BV37" s="2152"/>
      <c r="BW37" s="2152"/>
      <c r="BX37" s="2152"/>
      <c r="BY37" s="2152"/>
      <c r="BZ37" s="2152"/>
      <c r="CA37" s="2152"/>
      <c r="CB37" s="2153"/>
      <c r="CC37" s="581"/>
      <c r="CD37" s="283">
        <f>BN37</f>
        <v>50000</v>
      </c>
      <c r="CE37" s="582"/>
      <c r="CF37" s="138"/>
      <c r="CG37" s="138"/>
      <c r="CH37" s="138"/>
    </row>
    <row r="38" spans="1:86" ht="29.25" customHeight="1" x14ac:dyDescent="0.2">
      <c r="A38" s="2108">
        <v>21</v>
      </c>
      <c r="B38" s="2108"/>
      <c r="C38" s="2108"/>
      <c r="D38" s="2108"/>
      <c r="E38" s="2082" t="s">
        <v>1234</v>
      </c>
      <c r="F38" s="2082"/>
      <c r="G38" s="2082"/>
      <c r="H38" s="2082"/>
      <c r="I38" s="2082"/>
      <c r="J38" s="2082"/>
      <c r="K38" s="2082"/>
      <c r="L38" s="2082"/>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151">
        <f>BN38</f>
        <v>9000000</v>
      </c>
      <c r="AO38" s="2152"/>
      <c r="AP38" s="2152"/>
      <c r="AQ38" s="2152"/>
      <c r="AR38" s="2152"/>
      <c r="AS38" s="2152"/>
      <c r="AT38" s="2152"/>
      <c r="AU38" s="2152"/>
      <c r="AV38" s="2152"/>
      <c r="AW38" s="2152"/>
      <c r="AX38" s="2152"/>
      <c r="AY38" s="2152"/>
      <c r="AZ38" s="2152"/>
      <c r="BA38" s="2152"/>
      <c r="BB38" s="2152"/>
      <c r="BC38" s="2153"/>
      <c r="BD38" s="2129">
        <v>1</v>
      </c>
      <c r="BE38" s="2130"/>
      <c r="BF38" s="2130"/>
      <c r="BG38" s="2130"/>
      <c r="BH38" s="2130"/>
      <c r="BI38" s="2130"/>
      <c r="BJ38" s="2130"/>
      <c r="BK38" s="2130"/>
      <c r="BL38" s="2130"/>
      <c r="BM38" s="2131"/>
      <c r="BN38" s="2151">
        <f>CG38</f>
        <v>9000000</v>
      </c>
      <c r="BO38" s="2152"/>
      <c r="BP38" s="2152"/>
      <c r="BQ38" s="2152"/>
      <c r="BR38" s="2152"/>
      <c r="BS38" s="2152"/>
      <c r="BT38" s="2152"/>
      <c r="BU38" s="2152"/>
      <c r="BV38" s="2152"/>
      <c r="BW38" s="2152"/>
      <c r="BX38" s="2152"/>
      <c r="BY38" s="2152"/>
      <c r="BZ38" s="2152"/>
      <c r="CA38" s="2152"/>
      <c r="CB38" s="2153"/>
      <c r="CC38" s="581"/>
      <c r="CD38" s="283"/>
      <c r="CE38" s="582"/>
      <c r="CF38" s="582">
        <v>963324061</v>
      </c>
      <c r="CG38" s="138">
        <v>9000000</v>
      </c>
      <c r="CH38" s="138"/>
    </row>
    <row r="39" spans="1:86" s="137" customFormat="1" ht="37.5" customHeight="1" x14ac:dyDescent="0.2">
      <c r="A39" s="1831" t="s">
        <v>151</v>
      </c>
      <c r="B39" s="1832"/>
      <c r="C39" s="1832"/>
      <c r="D39" s="1832"/>
      <c r="E39" s="1832"/>
      <c r="F39" s="1832"/>
      <c r="G39" s="1832"/>
      <c r="H39" s="1832"/>
      <c r="I39" s="1832"/>
      <c r="J39" s="1832"/>
      <c r="K39" s="1832"/>
      <c r="L39" s="1832"/>
      <c r="M39" s="1832"/>
      <c r="N39" s="1832"/>
      <c r="O39" s="1832"/>
      <c r="P39" s="1832"/>
      <c r="Q39" s="1832"/>
      <c r="R39" s="1832"/>
      <c r="S39" s="1832"/>
      <c r="T39" s="1832"/>
      <c r="U39" s="1832"/>
      <c r="V39" s="1832"/>
      <c r="W39" s="1832"/>
      <c r="X39" s="1832"/>
      <c r="Y39" s="1832"/>
      <c r="Z39" s="1832"/>
      <c r="AA39" s="1832"/>
      <c r="AB39" s="1832"/>
      <c r="AC39" s="1832"/>
      <c r="AD39" s="1832"/>
      <c r="AE39" s="1832"/>
      <c r="AF39" s="1832"/>
      <c r="AG39" s="1832"/>
      <c r="AH39" s="1832"/>
      <c r="AI39" s="1832"/>
      <c r="AJ39" s="1832"/>
      <c r="AK39" s="1832"/>
      <c r="AL39" s="1832"/>
      <c r="AM39" s="1833"/>
      <c r="AN39" s="1913" t="s">
        <v>3</v>
      </c>
      <c r="AO39" s="1913"/>
      <c r="AP39" s="1913"/>
      <c r="AQ39" s="1913"/>
      <c r="AR39" s="1913"/>
      <c r="AS39" s="1913"/>
      <c r="AT39" s="1913"/>
      <c r="AU39" s="1913"/>
      <c r="AV39" s="1913"/>
      <c r="AW39" s="1913"/>
      <c r="AX39" s="1913"/>
      <c r="AY39" s="1913"/>
      <c r="AZ39" s="1913"/>
      <c r="BA39" s="1913"/>
      <c r="BB39" s="1913"/>
      <c r="BC39" s="1913"/>
      <c r="BD39" s="1913" t="s">
        <v>3</v>
      </c>
      <c r="BE39" s="1913"/>
      <c r="BF39" s="1913"/>
      <c r="BG39" s="1913"/>
      <c r="BH39" s="1913"/>
      <c r="BI39" s="1913"/>
      <c r="BJ39" s="1913"/>
      <c r="BK39" s="1913"/>
      <c r="BL39" s="1913"/>
      <c r="BM39" s="1913"/>
      <c r="BN39" s="1971">
        <f>SUM(BN19:CB38)</f>
        <v>9549455.8800000008</v>
      </c>
      <c r="BO39" s="1971"/>
      <c r="BP39" s="1971"/>
      <c r="BQ39" s="1971"/>
      <c r="BR39" s="1971"/>
      <c r="BS39" s="1971"/>
      <c r="BT39" s="1971"/>
      <c r="BU39" s="1971"/>
      <c r="BV39" s="1971"/>
      <c r="BW39" s="1971"/>
      <c r="BX39" s="1971"/>
      <c r="BY39" s="1971"/>
      <c r="BZ39" s="1971"/>
      <c r="CA39" s="1971"/>
      <c r="CB39" s="1971"/>
      <c r="CC39" s="239">
        <f>SUM(CC22:CC32)</f>
        <v>0</v>
      </c>
      <c r="CD39" s="239">
        <f>SUM(CD19:CD37)</f>
        <v>549455.88</v>
      </c>
      <c r="CE39" s="239"/>
      <c r="CF39" s="239">
        <v>0</v>
      </c>
      <c r="CG39" s="239">
        <f>SUM(CG38:CG38)</f>
        <v>9000000</v>
      </c>
      <c r="CH39" s="239">
        <f>SUM(CH22:CH32)</f>
        <v>0</v>
      </c>
    </row>
    <row r="40" spans="1:86" s="137" customFormat="1" ht="29.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284"/>
      <c r="CE40" s="1"/>
      <c r="CF40" s="1"/>
      <c r="CG40" s="1"/>
      <c r="CH40" s="1"/>
    </row>
    <row r="41" spans="1:86" s="137" customFormat="1" ht="39" customHeight="1" x14ac:dyDescent="0.25">
      <c r="A41" s="19" t="s">
        <v>625</v>
      </c>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row>
    <row r="42" spans="1:86" s="137" customFormat="1" ht="27.75" customHeight="1" x14ac:dyDescent="0.2">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7"/>
      <c r="CD42" s="7"/>
      <c r="CE42" s="7"/>
      <c r="CF42" s="7"/>
      <c r="CG42" s="7"/>
      <c r="CH42" s="7"/>
    </row>
    <row r="43" spans="1:86" s="137" customFormat="1" ht="27.75" customHeight="1" x14ac:dyDescent="0.2">
      <c r="A43" s="1810" t="s">
        <v>38</v>
      </c>
      <c r="B43" s="1810"/>
      <c r="C43" s="1810"/>
      <c r="D43" s="1810"/>
      <c r="E43" s="1830" t="s">
        <v>4</v>
      </c>
      <c r="F43" s="1830"/>
      <c r="G43" s="1830"/>
      <c r="H43" s="1830"/>
      <c r="I43" s="1830"/>
      <c r="J43" s="1830"/>
      <c r="K43" s="1830"/>
      <c r="L43" s="1830"/>
      <c r="M43" s="1830"/>
      <c r="N43" s="1830"/>
      <c r="O43" s="1830"/>
      <c r="P43" s="1830"/>
      <c r="Q43" s="1830"/>
      <c r="R43" s="1830"/>
      <c r="S43" s="1830"/>
      <c r="T43" s="1830"/>
      <c r="U43" s="1830"/>
      <c r="V43" s="1830"/>
      <c r="W43" s="1830"/>
      <c r="X43" s="1830"/>
      <c r="Y43" s="1830"/>
      <c r="Z43" s="1830"/>
      <c r="AA43" s="1830"/>
      <c r="AB43" s="1830"/>
      <c r="AC43" s="1830"/>
      <c r="AD43" s="1830"/>
      <c r="AE43" s="1830"/>
      <c r="AF43" s="1830"/>
      <c r="AG43" s="1830"/>
      <c r="AH43" s="1830"/>
      <c r="AI43" s="1830"/>
      <c r="AJ43" s="1830"/>
      <c r="AK43" s="1830"/>
      <c r="AL43" s="1830"/>
      <c r="AM43" s="1830"/>
      <c r="AN43" s="1830"/>
      <c r="AO43" s="1781" t="s">
        <v>139</v>
      </c>
      <c r="AP43" s="1925"/>
      <c r="AQ43" s="1925"/>
      <c r="AR43" s="1925"/>
      <c r="AS43" s="1925"/>
      <c r="AT43" s="1925"/>
      <c r="AU43" s="1925"/>
      <c r="AV43" s="1925"/>
      <c r="AW43" s="1925"/>
      <c r="AX43" s="1925"/>
      <c r="AY43" s="1925"/>
      <c r="AZ43" s="1925"/>
      <c r="BA43" s="1925"/>
      <c r="BB43" s="1925"/>
      <c r="BC43" s="1782"/>
      <c r="BD43" s="1781" t="s">
        <v>140</v>
      </c>
      <c r="BE43" s="1925"/>
      <c r="BF43" s="1925"/>
      <c r="BG43" s="1925"/>
      <c r="BH43" s="1925"/>
      <c r="BI43" s="1925"/>
      <c r="BJ43" s="1925"/>
      <c r="BK43" s="1925"/>
      <c r="BL43" s="1925"/>
      <c r="BM43" s="1782"/>
      <c r="BN43" s="1781" t="s">
        <v>624</v>
      </c>
      <c r="BO43" s="1925"/>
      <c r="BP43" s="1925"/>
      <c r="BQ43" s="1925"/>
      <c r="BR43" s="1925"/>
      <c r="BS43" s="1925"/>
      <c r="BT43" s="1925"/>
      <c r="BU43" s="1925"/>
      <c r="BV43" s="1925"/>
      <c r="BW43" s="1925"/>
      <c r="BX43" s="1925"/>
      <c r="BY43" s="1925"/>
      <c r="BZ43" s="1925"/>
      <c r="CA43" s="1925"/>
      <c r="CB43" s="1782"/>
      <c r="CC43" s="1806" t="s">
        <v>52</v>
      </c>
      <c r="CD43" s="1806"/>
      <c r="CE43" s="1806"/>
      <c r="CF43" s="1806"/>
      <c r="CG43" s="1806"/>
      <c r="CH43" s="1806"/>
    </row>
    <row r="44" spans="1:86" s="137" customFormat="1" ht="39.6" customHeight="1" x14ac:dyDescent="0.2">
      <c r="A44" s="1810"/>
      <c r="B44" s="1810"/>
      <c r="C44" s="1810"/>
      <c r="D44" s="1810"/>
      <c r="E44" s="1830"/>
      <c r="F44" s="1830"/>
      <c r="G44" s="1830"/>
      <c r="H44" s="1830"/>
      <c r="I44" s="1830"/>
      <c r="J44" s="1830"/>
      <c r="K44" s="1830"/>
      <c r="L44" s="1830"/>
      <c r="M44" s="1830"/>
      <c r="N44" s="1830"/>
      <c r="O44" s="1830"/>
      <c r="P44" s="1830"/>
      <c r="Q44" s="1830"/>
      <c r="R44" s="1830"/>
      <c r="S44" s="1830"/>
      <c r="T44" s="1830"/>
      <c r="U44" s="1830"/>
      <c r="V44" s="1830"/>
      <c r="W44" s="1830"/>
      <c r="X44" s="1830"/>
      <c r="Y44" s="1830"/>
      <c r="Z44" s="1830"/>
      <c r="AA44" s="1830"/>
      <c r="AB44" s="1830"/>
      <c r="AC44" s="1830"/>
      <c r="AD44" s="1830"/>
      <c r="AE44" s="1830"/>
      <c r="AF44" s="1830"/>
      <c r="AG44" s="1830"/>
      <c r="AH44" s="1830"/>
      <c r="AI44" s="1830"/>
      <c r="AJ44" s="1830"/>
      <c r="AK44" s="1830"/>
      <c r="AL44" s="1830"/>
      <c r="AM44" s="1830"/>
      <c r="AN44" s="1830"/>
      <c r="AO44" s="1783"/>
      <c r="AP44" s="1926"/>
      <c r="AQ44" s="1926"/>
      <c r="AR44" s="1926"/>
      <c r="AS44" s="1926"/>
      <c r="AT44" s="1926"/>
      <c r="AU44" s="1926"/>
      <c r="AV44" s="1926"/>
      <c r="AW44" s="1926"/>
      <c r="AX44" s="1926"/>
      <c r="AY44" s="1926"/>
      <c r="AZ44" s="1926"/>
      <c r="BA44" s="1926"/>
      <c r="BB44" s="1926"/>
      <c r="BC44" s="1784"/>
      <c r="BD44" s="1783"/>
      <c r="BE44" s="1926"/>
      <c r="BF44" s="1926"/>
      <c r="BG44" s="1926"/>
      <c r="BH44" s="1926"/>
      <c r="BI44" s="1926"/>
      <c r="BJ44" s="1926"/>
      <c r="BK44" s="1926"/>
      <c r="BL44" s="1926"/>
      <c r="BM44" s="1784"/>
      <c r="BN44" s="1783"/>
      <c r="BO44" s="1926"/>
      <c r="BP44" s="1926"/>
      <c r="BQ44" s="1926"/>
      <c r="BR44" s="1926"/>
      <c r="BS44" s="1926"/>
      <c r="BT44" s="1926"/>
      <c r="BU44" s="1926"/>
      <c r="BV44" s="1926"/>
      <c r="BW44" s="1926"/>
      <c r="BX44" s="1926"/>
      <c r="BY44" s="1926"/>
      <c r="BZ44" s="1926"/>
      <c r="CA44" s="1926"/>
      <c r="CB44" s="1784"/>
      <c r="CC44" s="1810" t="s">
        <v>35</v>
      </c>
      <c r="CD44" s="1810"/>
      <c r="CE44" s="1788" t="s">
        <v>45</v>
      </c>
      <c r="CF44" s="1790"/>
      <c r="CG44" s="1789"/>
      <c r="CH44" s="1778" t="s">
        <v>46</v>
      </c>
    </row>
    <row r="45" spans="1:86" s="137" customFormat="1" ht="27.75" customHeight="1" x14ac:dyDescent="0.2">
      <c r="A45" s="1810"/>
      <c r="B45" s="1810"/>
      <c r="C45" s="1810"/>
      <c r="D45" s="1810"/>
      <c r="E45" s="1830"/>
      <c r="F45" s="1830"/>
      <c r="G45" s="1830"/>
      <c r="H45" s="1830"/>
      <c r="I45" s="1830"/>
      <c r="J45" s="1830"/>
      <c r="K45" s="1830"/>
      <c r="L45" s="1830"/>
      <c r="M45" s="1830"/>
      <c r="N45" s="1830"/>
      <c r="O45" s="1830"/>
      <c r="P45" s="1830"/>
      <c r="Q45" s="1830"/>
      <c r="R45" s="1830"/>
      <c r="S45" s="1830"/>
      <c r="T45" s="1830"/>
      <c r="U45" s="1830"/>
      <c r="V45" s="1830"/>
      <c r="W45" s="1830"/>
      <c r="X45" s="1830"/>
      <c r="Y45" s="1830"/>
      <c r="Z45" s="1830"/>
      <c r="AA45" s="1830"/>
      <c r="AB45" s="1830"/>
      <c r="AC45" s="1830"/>
      <c r="AD45" s="1830"/>
      <c r="AE45" s="1830"/>
      <c r="AF45" s="1830"/>
      <c r="AG45" s="1830"/>
      <c r="AH45" s="1830"/>
      <c r="AI45" s="1830"/>
      <c r="AJ45" s="1830"/>
      <c r="AK45" s="1830"/>
      <c r="AL45" s="1830"/>
      <c r="AM45" s="1830"/>
      <c r="AN45" s="1830"/>
      <c r="AO45" s="1783"/>
      <c r="AP45" s="1926"/>
      <c r="AQ45" s="1926"/>
      <c r="AR45" s="1926"/>
      <c r="AS45" s="1926"/>
      <c r="AT45" s="1926"/>
      <c r="AU45" s="1926"/>
      <c r="AV45" s="1926"/>
      <c r="AW45" s="1926"/>
      <c r="AX45" s="1926"/>
      <c r="AY45" s="1926"/>
      <c r="AZ45" s="1926"/>
      <c r="BA45" s="1926"/>
      <c r="BB45" s="1926"/>
      <c r="BC45" s="1784"/>
      <c r="BD45" s="1783"/>
      <c r="BE45" s="1926"/>
      <c r="BF45" s="1926"/>
      <c r="BG45" s="1926"/>
      <c r="BH45" s="1926"/>
      <c r="BI45" s="1926"/>
      <c r="BJ45" s="1926"/>
      <c r="BK45" s="1926"/>
      <c r="BL45" s="1926"/>
      <c r="BM45" s="1784"/>
      <c r="BN45" s="1783"/>
      <c r="BO45" s="1926"/>
      <c r="BP45" s="1926"/>
      <c r="BQ45" s="1926"/>
      <c r="BR45" s="1926"/>
      <c r="BS45" s="1926"/>
      <c r="BT45" s="1926"/>
      <c r="BU45" s="1926"/>
      <c r="BV45" s="1926"/>
      <c r="BW45" s="1926"/>
      <c r="BX45" s="1926"/>
      <c r="BY45" s="1926"/>
      <c r="BZ45" s="1926"/>
      <c r="CA45" s="1926"/>
      <c r="CB45" s="1784"/>
      <c r="CC45" s="1811" t="s">
        <v>43</v>
      </c>
      <c r="CD45" s="1811" t="s">
        <v>44</v>
      </c>
      <c r="CE45" s="1812" t="s">
        <v>55</v>
      </c>
      <c r="CF45" s="1811" t="s">
        <v>43</v>
      </c>
      <c r="CG45" s="1811" t="s">
        <v>44</v>
      </c>
      <c r="CH45" s="1779"/>
    </row>
    <row r="46" spans="1:86" s="137" customFormat="1" ht="27.75" customHeight="1" x14ac:dyDescent="0.2">
      <c r="A46" s="1810"/>
      <c r="B46" s="1810"/>
      <c r="C46" s="1810"/>
      <c r="D46" s="1810"/>
      <c r="E46" s="1830"/>
      <c r="F46" s="1830"/>
      <c r="G46" s="1830"/>
      <c r="H46" s="1830"/>
      <c r="I46" s="1830"/>
      <c r="J46" s="1830"/>
      <c r="K46" s="1830"/>
      <c r="L46" s="1830"/>
      <c r="M46" s="1830"/>
      <c r="N46" s="1830"/>
      <c r="O46" s="1830"/>
      <c r="P46" s="1830"/>
      <c r="Q46" s="1830"/>
      <c r="R46" s="1830"/>
      <c r="S46" s="1830"/>
      <c r="T46" s="1830"/>
      <c r="U46" s="1830"/>
      <c r="V46" s="1830"/>
      <c r="W46" s="1830"/>
      <c r="X46" s="1830"/>
      <c r="Y46" s="1830"/>
      <c r="Z46" s="1830"/>
      <c r="AA46" s="1830"/>
      <c r="AB46" s="1830"/>
      <c r="AC46" s="1830"/>
      <c r="AD46" s="1830"/>
      <c r="AE46" s="1830"/>
      <c r="AF46" s="1830"/>
      <c r="AG46" s="1830"/>
      <c r="AH46" s="1830"/>
      <c r="AI46" s="1830"/>
      <c r="AJ46" s="1830"/>
      <c r="AK46" s="1830"/>
      <c r="AL46" s="1830"/>
      <c r="AM46" s="1830"/>
      <c r="AN46" s="1830"/>
      <c r="AO46" s="1785"/>
      <c r="AP46" s="1927"/>
      <c r="AQ46" s="1927"/>
      <c r="AR46" s="1927"/>
      <c r="AS46" s="1927"/>
      <c r="AT46" s="1927"/>
      <c r="AU46" s="1927"/>
      <c r="AV46" s="1927"/>
      <c r="AW46" s="1927"/>
      <c r="AX46" s="1927"/>
      <c r="AY46" s="1927"/>
      <c r="AZ46" s="1927"/>
      <c r="BA46" s="1927"/>
      <c r="BB46" s="1927"/>
      <c r="BC46" s="1786"/>
      <c r="BD46" s="1785"/>
      <c r="BE46" s="1927"/>
      <c r="BF46" s="1927"/>
      <c r="BG46" s="1927"/>
      <c r="BH46" s="1927"/>
      <c r="BI46" s="1927"/>
      <c r="BJ46" s="1927"/>
      <c r="BK46" s="1927"/>
      <c r="BL46" s="1927"/>
      <c r="BM46" s="1786"/>
      <c r="BN46" s="1785"/>
      <c r="BO46" s="1927"/>
      <c r="BP46" s="1927"/>
      <c r="BQ46" s="1927"/>
      <c r="BR46" s="1927"/>
      <c r="BS46" s="1927"/>
      <c r="BT46" s="1927"/>
      <c r="BU46" s="1927"/>
      <c r="BV46" s="1927"/>
      <c r="BW46" s="1927"/>
      <c r="BX46" s="1927"/>
      <c r="BY46" s="1927"/>
      <c r="BZ46" s="1927"/>
      <c r="CA46" s="1927"/>
      <c r="CB46" s="1786"/>
      <c r="CC46" s="1811"/>
      <c r="CD46" s="1811"/>
      <c r="CE46" s="1813"/>
      <c r="CF46" s="1811"/>
      <c r="CG46" s="1811"/>
      <c r="CH46" s="1780"/>
    </row>
    <row r="47" spans="1:86" s="137" customFormat="1" ht="27.75" customHeight="1" x14ac:dyDescent="0.2">
      <c r="A47" s="1830">
        <v>1</v>
      </c>
      <c r="B47" s="1830"/>
      <c r="C47" s="1830"/>
      <c r="D47" s="1830"/>
      <c r="E47" s="1830">
        <v>2</v>
      </c>
      <c r="F47" s="1830"/>
      <c r="G47" s="1830"/>
      <c r="H47" s="1830"/>
      <c r="I47" s="1830"/>
      <c r="J47" s="1830"/>
      <c r="K47" s="1830"/>
      <c r="L47" s="1830"/>
      <c r="M47" s="1830"/>
      <c r="N47" s="1830"/>
      <c r="O47" s="1830"/>
      <c r="P47" s="1830"/>
      <c r="Q47" s="1830"/>
      <c r="R47" s="1830"/>
      <c r="S47" s="1830"/>
      <c r="T47" s="1830"/>
      <c r="U47" s="1830"/>
      <c r="V47" s="1830"/>
      <c r="W47" s="1830"/>
      <c r="X47" s="1830"/>
      <c r="Y47" s="1830"/>
      <c r="Z47" s="1830"/>
      <c r="AA47" s="1830"/>
      <c r="AB47" s="1830"/>
      <c r="AC47" s="1830"/>
      <c r="AD47" s="1830"/>
      <c r="AE47" s="1830"/>
      <c r="AF47" s="1830"/>
      <c r="AG47" s="1830"/>
      <c r="AH47" s="1830"/>
      <c r="AI47" s="1830"/>
      <c r="AJ47" s="1830"/>
      <c r="AK47" s="1830"/>
      <c r="AL47" s="1830"/>
      <c r="AM47" s="1830"/>
      <c r="AN47" s="1830"/>
      <c r="AO47" s="1830">
        <v>3</v>
      </c>
      <c r="AP47" s="1830"/>
      <c r="AQ47" s="1830"/>
      <c r="AR47" s="1830"/>
      <c r="AS47" s="1830"/>
      <c r="AT47" s="1830"/>
      <c r="AU47" s="1830"/>
      <c r="AV47" s="1830"/>
      <c r="AW47" s="1830"/>
      <c r="AX47" s="1830"/>
      <c r="AY47" s="1830"/>
      <c r="AZ47" s="1830"/>
      <c r="BA47" s="1830"/>
      <c r="BB47" s="1830"/>
      <c r="BC47" s="1830"/>
      <c r="BD47" s="1830">
        <v>4</v>
      </c>
      <c r="BE47" s="1830"/>
      <c r="BF47" s="1830"/>
      <c r="BG47" s="1830"/>
      <c r="BH47" s="1830"/>
      <c r="BI47" s="1830"/>
      <c r="BJ47" s="1830"/>
      <c r="BK47" s="1830"/>
      <c r="BL47" s="1830"/>
      <c r="BM47" s="1830"/>
      <c r="BN47" s="1830" t="s">
        <v>49</v>
      </c>
      <c r="BO47" s="1830"/>
      <c r="BP47" s="1830"/>
      <c r="BQ47" s="1830"/>
      <c r="BR47" s="1830"/>
      <c r="BS47" s="1830"/>
      <c r="BT47" s="1830"/>
      <c r="BU47" s="1830"/>
      <c r="BV47" s="1830"/>
      <c r="BW47" s="1830"/>
      <c r="BX47" s="1830"/>
      <c r="BY47" s="1830"/>
      <c r="BZ47" s="1830"/>
      <c r="CA47" s="1830"/>
      <c r="CB47" s="1830"/>
      <c r="CC47" s="15">
        <v>6</v>
      </c>
      <c r="CD47" s="15">
        <v>7</v>
      </c>
      <c r="CE47" s="15">
        <v>8</v>
      </c>
      <c r="CF47" s="15">
        <v>9</v>
      </c>
      <c r="CG47" s="15">
        <v>10</v>
      </c>
      <c r="CH47" s="15">
        <v>11</v>
      </c>
    </row>
    <row r="48" spans="1:86" s="137" customFormat="1" ht="27.75" customHeight="1" x14ac:dyDescent="0.2">
      <c r="A48" s="2155">
        <v>1</v>
      </c>
      <c r="B48" s="2156"/>
      <c r="C48" s="2156"/>
      <c r="D48" s="2157"/>
      <c r="E48" s="1904" t="s">
        <v>1189</v>
      </c>
      <c r="F48" s="1905"/>
      <c r="G48" s="1905"/>
      <c r="H48" s="1905"/>
      <c r="I48" s="1905"/>
      <c r="J48" s="1905"/>
      <c r="K48" s="1905"/>
      <c r="L48" s="1905"/>
      <c r="M48" s="1905"/>
      <c r="N48" s="1905"/>
      <c r="O48" s="1905"/>
      <c r="P48" s="1905"/>
      <c r="Q48" s="1905"/>
      <c r="R48" s="1905"/>
      <c r="S48" s="1905"/>
      <c r="T48" s="1905"/>
      <c r="U48" s="1905"/>
      <c r="V48" s="1905"/>
      <c r="W48" s="1905"/>
      <c r="X48" s="1905"/>
      <c r="Y48" s="1905"/>
      <c r="Z48" s="1905"/>
      <c r="AA48" s="1905"/>
      <c r="AB48" s="1905"/>
      <c r="AC48" s="1905"/>
      <c r="AD48" s="1905"/>
      <c r="AE48" s="1905"/>
      <c r="AF48" s="1905"/>
      <c r="AG48" s="1905"/>
      <c r="AH48" s="1905"/>
      <c r="AI48" s="1905"/>
      <c r="AJ48" s="1905"/>
      <c r="AK48" s="1905"/>
      <c r="AL48" s="1905"/>
      <c r="AM48" s="1905"/>
      <c r="AN48" s="1905"/>
      <c r="AO48" s="2072">
        <v>4487.16</v>
      </c>
      <c r="AP48" s="2072"/>
      <c r="AQ48" s="2072"/>
      <c r="AR48" s="2072"/>
      <c r="AS48" s="2072"/>
      <c r="AT48" s="2072"/>
      <c r="AU48" s="2072"/>
      <c r="AV48" s="2072"/>
      <c r="AW48" s="2072"/>
      <c r="AX48" s="2072"/>
      <c r="AY48" s="2072"/>
      <c r="AZ48" s="2072"/>
      <c r="BA48" s="2072"/>
      <c r="BB48" s="2072"/>
      <c r="BC48" s="2072"/>
      <c r="BD48" s="1770">
        <v>12</v>
      </c>
      <c r="BE48" s="1944"/>
      <c r="BF48" s="1944"/>
      <c r="BG48" s="1944"/>
      <c r="BH48" s="1944"/>
      <c r="BI48" s="1944"/>
      <c r="BJ48" s="1944"/>
      <c r="BK48" s="1944"/>
      <c r="BL48" s="1944"/>
      <c r="BM48" s="1945"/>
      <c r="BN48" s="2195">
        <f>AO48*BD48</f>
        <v>53845.919999999998</v>
      </c>
      <c r="BO48" s="2196"/>
      <c r="BP48" s="2196"/>
      <c r="BQ48" s="2196"/>
      <c r="BR48" s="2196"/>
      <c r="BS48" s="2196"/>
      <c r="BT48" s="2196"/>
      <c r="BU48" s="2196"/>
      <c r="BV48" s="2196"/>
      <c r="BW48" s="2196"/>
      <c r="BX48" s="2196"/>
      <c r="BY48" s="2196"/>
      <c r="BZ48" s="2196"/>
      <c r="CA48" s="2196"/>
      <c r="CB48" s="2197"/>
      <c r="CC48" s="16"/>
      <c r="CD48" s="285">
        <f>BN48</f>
        <v>53845.919999999998</v>
      </c>
      <c r="CE48" s="16"/>
      <c r="CF48" s="16"/>
      <c r="CG48" s="16"/>
      <c r="CH48" s="16"/>
    </row>
    <row r="49" spans="1:86" s="140" customFormat="1" x14ac:dyDescent="0.2">
      <c r="A49" s="2108">
        <v>2</v>
      </c>
      <c r="B49" s="2108"/>
      <c r="C49" s="2108"/>
      <c r="D49" s="2108"/>
      <c r="E49" s="2082" t="s">
        <v>643</v>
      </c>
      <c r="F49" s="2082"/>
      <c r="G49" s="2082"/>
      <c r="H49" s="2082"/>
      <c r="I49" s="2082"/>
      <c r="J49" s="2082"/>
      <c r="K49" s="2082"/>
      <c r="L49" s="2082"/>
      <c r="M49" s="2082"/>
      <c r="N49" s="2082"/>
      <c r="O49" s="2082"/>
      <c r="P49" s="2082"/>
      <c r="Q49" s="2082"/>
      <c r="R49" s="2082"/>
      <c r="S49" s="2082"/>
      <c r="T49" s="2082"/>
      <c r="U49" s="2082"/>
      <c r="V49" s="2082"/>
      <c r="W49" s="2082"/>
      <c r="X49" s="2082"/>
      <c r="Y49" s="2082"/>
      <c r="Z49" s="2082"/>
      <c r="AA49" s="2082"/>
      <c r="AB49" s="2082"/>
      <c r="AC49" s="2082"/>
      <c r="AD49" s="2082"/>
      <c r="AE49" s="2082"/>
      <c r="AF49" s="2082"/>
      <c r="AG49" s="2082"/>
      <c r="AH49" s="2082"/>
      <c r="AI49" s="2082"/>
      <c r="AJ49" s="2082"/>
      <c r="AK49" s="2082"/>
      <c r="AL49" s="2082"/>
      <c r="AM49" s="2082"/>
      <c r="AN49" s="2082"/>
      <c r="AO49" s="2072">
        <v>5060</v>
      </c>
      <c r="AP49" s="2072"/>
      <c r="AQ49" s="2072"/>
      <c r="AR49" s="2072"/>
      <c r="AS49" s="2072"/>
      <c r="AT49" s="2072"/>
      <c r="AU49" s="2072"/>
      <c r="AV49" s="2072"/>
      <c r="AW49" s="2072"/>
      <c r="AX49" s="2072"/>
      <c r="AY49" s="2072"/>
      <c r="AZ49" s="2072"/>
      <c r="BA49" s="2072"/>
      <c r="BB49" s="2072"/>
      <c r="BC49" s="2072"/>
      <c r="BD49" s="1838">
        <v>12</v>
      </c>
      <c r="BE49" s="1838"/>
      <c r="BF49" s="1838"/>
      <c r="BG49" s="1838"/>
      <c r="BH49" s="1838"/>
      <c r="BI49" s="1838"/>
      <c r="BJ49" s="1838"/>
      <c r="BK49" s="1838"/>
      <c r="BL49" s="1838"/>
      <c r="BM49" s="1838"/>
      <c r="BN49" s="2072">
        <f>AO49*BD49</f>
        <v>60720</v>
      </c>
      <c r="BO49" s="2072"/>
      <c r="BP49" s="2072"/>
      <c r="BQ49" s="2072"/>
      <c r="BR49" s="2072"/>
      <c r="BS49" s="2072"/>
      <c r="BT49" s="2072"/>
      <c r="BU49" s="2072"/>
      <c r="BV49" s="2072"/>
      <c r="BW49" s="2072"/>
      <c r="BX49" s="2072"/>
      <c r="BY49" s="2072"/>
      <c r="BZ49" s="2072"/>
      <c r="CA49" s="2072"/>
      <c r="CB49" s="2072"/>
      <c r="CC49" s="138"/>
      <c r="CD49" s="138">
        <f>BN49</f>
        <v>60720</v>
      </c>
      <c r="CE49" s="138"/>
      <c r="CF49" s="138"/>
      <c r="CG49" s="138"/>
      <c r="CH49" s="138"/>
    </row>
    <row r="50" spans="1:86" s="1" customFormat="1" ht="15.75" x14ac:dyDescent="0.25">
      <c r="A50" s="2108">
        <v>3</v>
      </c>
      <c r="B50" s="2108"/>
      <c r="C50" s="2108"/>
      <c r="D50" s="2108"/>
      <c r="E50" s="2082" t="s">
        <v>1225</v>
      </c>
      <c r="F50" s="2082"/>
      <c r="G50" s="2082"/>
      <c r="H50" s="2082"/>
      <c r="I50" s="2082"/>
      <c r="J50" s="2082"/>
      <c r="K50" s="2082"/>
      <c r="L50" s="2082"/>
      <c r="M50" s="2082"/>
      <c r="N50" s="2082"/>
      <c r="O50" s="2082"/>
      <c r="P50" s="2082"/>
      <c r="Q50" s="2082"/>
      <c r="R50" s="2082"/>
      <c r="S50" s="2082"/>
      <c r="T50" s="2082"/>
      <c r="U50" s="2082"/>
      <c r="V50" s="2082"/>
      <c r="W50" s="2082"/>
      <c r="X50" s="2082"/>
      <c r="Y50" s="2082"/>
      <c r="Z50" s="2082"/>
      <c r="AA50" s="2082"/>
      <c r="AB50" s="2082"/>
      <c r="AC50" s="2082"/>
      <c r="AD50" s="2082"/>
      <c r="AE50" s="2082"/>
      <c r="AF50" s="2082"/>
      <c r="AG50" s="2082"/>
      <c r="AH50" s="2082"/>
      <c r="AI50" s="2082"/>
      <c r="AJ50" s="2082"/>
      <c r="AK50" s="2082"/>
      <c r="AL50" s="2082"/>
      <c r="AM50" s="2082"/>
      <c r="AN50" s="2082"/>
      <c r="AO50" s="2072">
        <f>50000-11320-1015</f>
        <v>37665</v>
      </c>
      <c r="AP50" s="2072"/>
      <c r="AQ50" s="2072"/>
      <c r="AR50" s="2072"/>
      <c r="AS50" s="2072"/>
      <c r="AT50" s="2072"/>
      <c r="AU50" s="2072"/>
      <c r="AV50" s="2072"/>
      <c r="AW50" s="2072"/>
      <c r="AX50" s="2072"/>
      <c r="AY50" s="2072"/>
      <c r="AZ50" s="2072"/>
      <c r="BA50" s="2072"/>
      <c r="BB50" s="2072"/>
      <c r="BC50" s="2072"/>
      <c r="BD50" s="1838">
        <v>1</v>
      </c>
      <c r="BE50" s="1838"/>
      <c r="BF50" s="1838"/>
      <c r="BG50" s="1838"/>
      <c r="BH50" s="1838"/>
      <c r="BI50" s="1838"/>
      <c r="BJ50" s="1838"/>
      <c r="BK50" s="1838"/>
      <c r="BL50" s="1838"/>
      <c r="BM50" s="1838"/>
      <c r="BN50" s="2072">
        <f>AO50</f>
        <v>37665</v>
      </c>
      <c r="BO50" s="2072"/>
      <c r="BP50" s="2072"/>
      <c r="BQ50" s="2072"/>
      <c r="BR50" s="2072"/>
      <c r="BS50" s="2072"/>
      <c r="BT50" s="2072"/>
      <c r="BU50" s="2072"/>
      <c r="BV50" s="2072"/>
      <c r="BW50" s="2072"/>
      <c r="BX50" s="2072"/>
      <c r="BY50" s="2072"/>
      <c r="BZ50" s="2072"/>
      <c r="CA50" s="2072"/>
      <c r="CB50" s="2072"/>
      <c r="CC50" s="138"/>
      <c r="CD50" s="138">
        <f>AO50</f>
        <v>37665</v>
      </c>
      <c r="CE50" s="138"/>
      <c r="CF50" s="138"/>
      <c r="CG50" s="138"/>
      <c r="CH50" s="138"/>
    </row>
    <row r="51" spans="1:86" s="287" customFormat="1" ht="15" x14ac:dyDescent="0.25">
      <c r="A51" s="2108">
        <v>4</v>
      </c>
      <c r="B51" s="2108"/>
      <c r="C51" s="2108"/>
      <c r="D51" s="2108"/>
      <c r="E51" s="2082" t="s">
        <v>623</v>
      </c>
      <c r="F51" s="2082"/>
      <c r="G51" s="2082"/>
      <c r="H51" s="2082"/>
      <c r="I51" s="2082"/>
      <c r="J51" s="2082"/>
      <c r="K51" s="2082"/>
      <c r="L51" s="2082"/>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c r="AI51" s="2082"/>
      <c r="AJ51" s="2082"/>
      <c r="AK51" s="2082"/>
      <c r="AL51" s="2082"/>
      <c r="AM51" s="2082"/>
      <c r="AN51" s="2082"/>
      <c r="AO51" s="2072">
        <v>150000</v>
      </c>
      <c r="AP51" s="2072"/>
      <c r="AQ51" s="2072"/>
      <c r="AR51" s="2072"/>
      <c r="AS51" s="2072"/>
      <c r="AT51" s="2072"/>
      <c r="AU51" s="2072"/>
      <c r="AV51" s="2072"/>
      <c r="AW51" s="2072"/>
      <c r="AX51" s="2072"/>
      <c r="AY51" s="2072"/>
      <c r="AZ51" s="2072"/>
      <c r="BA51" s="2072"/>
      <c r="BB51" s="2072"/>
      <c r="BC51" s="2072"/>
      <c r="BD51" s="1838">
        <v>1</v>
      </c>
      <c r="BE51" s="1838"/>
      <c r="BF51" s="1838"/>
      <c r="BG51" s="1838"/>
      <c r="BH51" s="1838"/>
      <c r="BI51" s="1838"/>
      <c r="BJ51" s="1838"/>
      <c r="BK51" s="1838"/>
      <c r="BL51" s="1838"/>
      <c r="BM51" s="1838"/>
      <c r="BN51" s="2072">
        <f>AO51</f>
        <v>150000</v>
      </c>
      <c r="BO51" s="2072"/>
      <c r="BP51" s="2072"/>
      <c r="BQ51" s="2072"/>
      <c r="BR51" s="2072"/>
      <c r="BS51" s="2072"/>
      <c r="BT51" s="2072"/>
      <c r="BU51" s="2072"/>
      <c r="BV51" s="2072"/>
      <c r="BW51" s="2072"/>
      <c r="BX51" s="2072"/>
      <c r="BY51" s="2072"/>
      <c r="BZ51" s="2072"/>
      <c r="CA51" s="2072"/>
      <c r="CB51" s="2072"/>
      <c r="CC51" s="138"/>
      <c r="CD51" s="138">
        <f t="shared" ref="CD51:CD57" si="2">BN51</f>
        <v>150000</v>
      </c>
      <c r="CE51" s="138"/>
      <c r="CF51" s="138"/>
      <c r="CG51" s="138"/>
      <c r="CH51" s="138"/>
    </row>
    <row r="52" spans="1:86" s="287" customFormat="1" ht="15" x14ac:dyDescent="0.25">
      <c r="A52" s="2108">
        <v>5</v>
      </c>
      <c r="B52" s="2108"/>
      <c r="C52" s="2108"/>
      <c r="D52" s="2108"/>
      <c r="E52" s="2082" t="s">
        <v>593</v>
      </c>
      <c r="F52" s="2082"/>
      <c r="G52" s="2082"/>
      <c r="H52" s="2082"/>
      <c r="I52" s="2082"/>
      <c r="J52" s="2082"/>
      <c r="K52" s="2082"/>
      <c r="L52" s="2082"/>
      <c r="M52" s="2082"/>
      <c r="N52" s="2082"/>
      <c r="O52" s="2082"/>
      <c r="P52" s="2082"/>
      <c r="Q52" s="2082"/>
      <c r="R52" s="2082"/>
      <c r="S52" s="2082"/>
      <c r="T52" s="2082"/>
      <c r="U52" s="2082"/>
      <c r="V52" s="2082"/>
      <c r="W52" s="2082"/>
      <c r="X52" s="2082"/>
      <c r="Y52" s="2082"/>
      <c r="Z52" s="2082"/>
      <c r="AA52" s="2082"/>
      <c r="AB52" s="2082"/>
      <c r="AC52" s="2082"/>
      <c r="AD52" s="2082"/>
      <c r="AE52" s="2082"/>
      <c r="AF52" s="2082"/>
      <c r="AG52" s="2082"/>
      <c r="AH52" s="2082"/>
      <c r="AI52" s="2082"/>
      <c r="AJ52" s="2082"/>
      <c r="AK52" s="2082"/>
      <c r="AL52" s="2082"/>
      <c r="AM52" s="2082"/>
      <c r="AN52" s="2082"/>
      <c r="AO52" s="2072">
        <v>30000</v>
      </c>
      <c r="AP52" s="2072"/>
      <c r="AQ52" s="2072"/>
      <c r="AR52" s="2072"/>
      <c r="AS52" s="2072"/>
      <c r="AT52" s="2072"/>
      <c r="AU52" s="2072"/>
      <c r="AV52" s="2072"/>
      <c r="AW52" s="2072"/>
      <c r="AX52" s="2072"/>
      <c r="AY52" s="2072"/>
      <c r="AZ52" s="2072"/>
      <c r="BA52" s="2072"/>
      <c r="BB52" s="2072"/>
      <c r="BC52" s="2072"/>
      <c r="BD52" s="1838">
        <v>1</v>
      </c>
      <c r="BE52" s="1838"/>
      <c r="BF52" s="1838"/>
      <c r="BG52" s="1838"/>
      <c r="BH52" s="1838"/>
      <c r="BI52" s="1838"/>
      <c r="BJ52" s="1838"/>
      <c r="BK52" s="1838"/>
      <c r="BL52" s="1838"/>
      <c r="BM52" s="1838"/>
      <c r="BN52" s="2072">
        <f>AO52</f>
        <v>30000</v>
      </c>
      <c r="BO52" s="2072"/>
      <c r="BP52" s="2072"/>
      <c r="BQ52" s="2072"/>
      <c r="BR52" s="2072"/>
      <c r="BS52" s="2072"/>
      <c r="BT52" s="2072"/>
      <c r="BU52" s="2072"/>
      <c r="BV52" s="2072"/>
      <c r="BW52" s="2072"/>
      <c r="BX52" s="2072"/>
      <c r="BY52" s="2072"/>
      <c r="BZ52" s="2072"/>
      <c r="CA52" s="2072"/>
      <c r="CB52" s="2072"/>
      <c r="CC52" s="138"/>
      <c r="CD52" s="138">
        <f t="shared" si="2"/>
        <v>30000</v>
      </c>
      <c r="CE52" s="138"/>
      <c r="CF52" s="138"/>
      <c r="CG52" s="138"/>
      <c r="CH52" s="138"/>
    </row>
    <row r="53" spans="1:86" s="287" customFormat="1" ht="15" x14ac:dyDescent="0.25">
      <c r="A53" s="2108">
        <v>6</v>
      </c>
      <c r="B53" s="2108"/>
      <c r="C53" s="2108"/>
      <c r="D53" s="2108"/>
      <c r="E53" s="2082" t="s">
        <v>914</v>
      </c>
      <c r="F53" s="2082"/>
      <c r="G53" s="2082"/>
      <c r="H53" s="2082"/>
      <c r="I53" s="2082"/>
      <c r="J53" s="2082"/>
      <c r="K53" s="2082"/>
      <c r="L53" s="2082"/>
      <c r="M53" s="2082"/>
      <c r="N53" s="2082"/>
      <c r="O53" s="2082"/>
      <c r="P53" s="2082"/>
      <c r="Q53" s="2082"/>
      <c r="R53" s="2082"/>
      <c r="S53" s="2082"/>
      <c r="T53" s="2082"/>
      <c r="U53" s="2082"/>
      <c r="V53" s="2082"/>
      <c r="W53" s="2082"/>
      <c r="X53" s="2082"/>
      <c r="Y53" s="2082"/>
      <c r="Z53" s="2082"/>
      <c r="AA53" s="2082"/>
      <c r="AB53" s="2082"/>
      <c r="AC53" s="2082"/>
      <c r="AD53" s="2082"/>
      <c r="AE53" s="2082"/>
      <c r="AF53" s="2082"/>
      <c r="AG53" s="2082"/>
      <c r="AH53" s="2082"/>
      <c r="AI53" s="2082"/>
      <c r="AJ53" s="2082"/>
      <c r="AK53" s="2082"/>
      <c r="AL53" s="2082"/>
      <c r="AM53" s="2082"/>
      <c r="AN53" s="2082"/>
      <c r="AO53" s="2072">
        <v>5480</v>
      </c>
      <c r="AP53" s="2072"/>
      <c r="AQ53" s="2072"/>
      <c r="AR53" s="2072"/>
      <c r="AS53" s="2072"/>
      <c r="AT53" s="2072"/>
      <c r="AU53" s="2072"/>
      <c r="AV53" s="2072"/>
      <c r="AW53" s="2072"/>
      <c r="AX53" s="2072"/>
      <c r="AY53" s="2072"/>
      <c r="AZ53" s="2072"/>
      <c r="BA53" s="2072"/>
      <c r="BB53" s="2072"/>
      <c r="BC53" s="2072"/>
      <c r="BD53" s="1838">
        <f>6+4</f>
        <v>10</v>
      </c>
      <c r="BE53" s="1838"/>
      <c r="BF53" s="1838"/>
      <c r="BG53" s="1838"/>
      <c r="BH53" s="1838"/>
      <c r="BI53" s="1838"/>
      <c r="BJ53" s="1838"/>
      <c r="BK53" s="1838"/>
      <c r="BL53" s="1838"/>
      <c r="BM53" s="1838"/>
      <c r="BN53" s="2072">
        <f>AO53*BD53</f>
        <v>54800</v>
      </c>
      <c r="BO53" s="2072"/>
      <c r="BP53" s="2072"/>
      <c r="BQ53" s="2072"/>
      <c r="BR53" s="2072"/>
      <c r="BS53" s="2072"/>
      <c r="BT53" s="2072"/>
      <c r="BU53" s="2072"/>
      <c r="BV53" s="2072"/>
      <c r="BW53" s="2072"/>
      <c r="BX53" s="2072"/>
      <c r="BY53" s="2072"/>
      <c r="BZ53" s="2072"/>
      <c r="CA53" s="2072"/>
      <c r="CB53" s="2072"/>
      <c r="CC53" s="138"/>
      <c r="CD53" s="138">
        <f t="shared" si="2"/>
        <v>54800</v>
      </c>
      <c r="CE53" s="138"/>
      <c r="CF53" s="138"/>
      <c r="CG53" s="138"/>
      <c r="CH53" s="138"/>
    </row>
    <row r="54" spans="1:86" s="287" customFormat="1" ht="15" x14ac:dyDescent="0.25">
      <c r="A54" s="2108">
        <v>7</v>
      </c>
      <c r="B54" s="2108"/>
      <c r="C54" s="2108"/>
      <c r="D54" s="2108"/>
      <c r="E54" s="2082" t="s">
        <v>915</v>
      </c>
      <c r="F54" s="2082"/>
      <c r="G54" s="2082"/>
      <c r="H54" s="2082"/>
      <c r="I54" s="2082"/>
      <c r="J54" s="2082"/>
      <c r="K54" s="2082"/>
      <c r="L54" s="2082"/>
      <c r="M54" s="2082"/>
      <c r="N54" s="2082"/>
      <c r="O54" s="2082"/>
      <c r="P54" s="2082"/>
      <c r="Q54" s="2082"/>
      <c r="R54" s="2082"/>
      <c r="S54" s="2082"/>
      <c r="T54" s="2082"/>
      <c r="U54" s="2082"/>
      <c r="V54" s="2082"/>
      <c r="W54" s="2082"/>
      <c r="X54" s="2082"/>
      <c r="Y54" s="2082"/>
      <c r="Z54" s="2082"/>
      <c r="AA54" s="2082"/>
      <c r="AB54" s="2082"/>
      <c r="AC54" s="2082"/>
      <c r="AD54" s="2082"/>
      <c r="AE54" s="2082"/>
      <c r="AF54" s="2082"/>
      <c r="AG54" s="2082"/>
      <c r="AH54" s="2082"/>
      <c r="AI54" s="2082"/>
      <c r="AJ54" s="2082"/>
      <c r="AK54" s="2082"/>
      <c r="AL54" s="2082"/>
      <c r="AM54" s="2082"/>
      <c r="AN54" s="2082"/>
      <c r="AO54" s="2072">
        <v>600</v>
      </c>
      <c r="AP54" s="2072"/>
      <c r="AQ54" s="2072"/>
      <c r="AR54" s="2072"/>
      <c r="AS54" s="2072"/>
      <c r="AT54" s="2072"/>
      <c r="AU54" s="2072"/>
      <c r="AV54" s="2072"/>
      <c r="AW54" s="2072"/>
      <c r="AX54" s="2072"/>
      <c r="AY54" s="2072"/>
      <c r="AZ54" s="2072"/>
      <c r="BA54" s="2072"/>
      <c r="BB54" s="2072"/>
      <c r="BC54" s="2072"/>
      <c r="BD54" s="1838">
        <v>12</v>
      </c>
      <c r="BE54" s="1838"/>
      <c r="BF54" s="1838"/>
      <c r="BG54" s="1838"/>
      <c r="BH54" s="1838"/>
      <c r="BI54" s="1838"/>
      <c r="BJ54" s="1838"/>
      <c r="BK54" s="1838"/>
      <c r="BL54" s="1838"/>
      <c r="BM54" s="1838"/>
      <c r="BN54" s="2072">
        <f>AO54*BD54</f>
        <v>7200</v>
      </c>
      <c r="BO54" s="2072"/>
      <c r="BP54" s="2072"/>
      <c r="BQ54" s="2072"/>
      <c r="BR54" s="2072"/>
      <c r="BS54" s="2072"/>
      <c r="BT54" s="2072"/>
      <c r="BU54" s="2072"/>
      <c r="BV54" s="2072"/>
      <c r="BW54" s="2072"/>
      <c r="BX54" s="2072"/>
      <c r="BY54" s="2072"/>
      <c r="BZ54" s="2072"/>
      <c r="CA54" s="2072"/>
      <c r="CB54" s="2072"/>
      <c r="CC54" s="138"/>
      <c r="CD54" s="138">
        <f t="shared" si="2"/>
        <v>7200</v>
      </c>
      <c r="CE54" s="138"/>
      <c r="CF54" s="138"/>
      <c r="CG54" s="138"/>
      <c r="CH54" s="138"/>
    </row>
    <row r="55" spans="1:86" s="287" customFormat="1" ht="15" x14ac:dyDescent="0.25">
      <c r="A55" s="2108">
        <v>8</v>
      </c>
      <c r="B55" s="2108"/>
      <c r="C55" s="2108"/>
      <c r="D55" s="2108"/>
      <c r="E55" s="2082" t="s">
        <v>1185</v>
      </c>
      <c r="F55" s="2082"/>
      <c r="G55" s="2082"/>
      <c r="H55" s="2082"/>
      <c r="I55" s="2082"/>
      <c r="J55" s="2082"/>
      <c r="K55" s="2082"/>
      <c r="L55" s="2082"/>
      <c r="M55" s="2082"/>
      <c r="N55" s="2082"/>
      <c r="O55" s="2082"/>
      <c r="P55" s="2082"/>
      <c r="Q55" s="2082"/>
      <c r="R55" s="2082"/>
      <c r="S55" s="2082"/>
      <c r="T55" s="2082"/>
      <c r="U55" s="2082"/>
      <c r="V55" s="2082"/>
      <c r="W55" s="2082"/>
      <c r="X55" s="2082"/>
      <c r="Y55" s="2082"/>
      <c r="Z55" s="2082"/>
      <c r="AA55" s="2082"/>
      <c r="AB55" s="2082"/>
      <c r="AC55" s="2082"/>
      <c r="AD55" s="2082"/>
      <c r="AE55" s="2082"/>
      <c r="AF55" s="2082"/>
      <c r="AG55" s="2082"/>
      <c r="AH55" s="2082"/>
      <c r="AI55" s="2082"/>
      <c r="AJ55" s="2082"/>
      <c r="AK55" s="2082"/>
      <c r="AL55" s="2082"/>
      <c r="AM55" s="2082"/>
      <c r="AN55" s="2082"/>
      <c r="AO55" s="2072">
        <v>800</v>
      </c>
      <c r="AP55" s="2072"/>
      <c r="AQ55" s="2072"/>
      <c r="AR55" s="2072"/>
      <c r="AS55" s="2072"/>
      <c r="AT55" s="2072"/>
      <c r="AU55" s="2072"/>
      <c r="AV55" s="2072"/>
      <c r="AW55" s="2072"/>
      <c r="AX55" s="2072"/>
      <c r="AY55" s="2072"/>
      <c r="AZ55" s="2072"/>
      <c r="BA55" s="2072"/>
      <c r="BB55" s="2072"/>
      <c r="BC55" s="2072"/>
      <c r="BD55" s="1838">
        <v>12</v>
      </c>
      <c r="BE55" s="1838"/>
      <c r="BF55" s="1838"/>
      <c r="BG55" s="1838"/>
      <c r="BH55" s="1838"/>
      <c r="BI55" s="1838"/>
      <c r="BJ55" s="1838"/>
      <c r="BK55" s="1838"/>
      <c r="BL55" s="1838"/>
      <c r="BM55" s="1838"/>
      <c r="BN55" s="2072">
        <f>AO55*BD55</f>
        <v>9600</v>
      </c>
      <c r="BO55" s="2072"/>
      <c r="BP55" s="2072"/>
      <c r="BQ55" s="2072"/>
      <c r="BR55" s="2072"/>
      <c r="BS55" s="2072"/>
      <c r="BT55" s="2072"/>
      <c r="BU55" s="2072"/>
      <c r="BV55" s="2072"/>
      <c r="BW55" s="2072"/>
      <c r="BX55" s="2072"/>
      <c r="BY55" s="2072"/>
      <c r="BZ55" s="2072"/>
      <c r="CA55" s="2072"/>
      <c r="CB55" s="2072"/>
      <c r="CC55" s="138"/>
      <c r="CD55" s="138">
        <f t="shared" si="2"/>
        <v>9600</v>
      </c>
      <c r="CE55" s="582"/>
      <c r="CF55" s="138"/>
      <c r="CG55" s="138"/>
      <c r="CH55" s="138"/>
    </row>
    <row r="56" spans="1:86" s="287" customFormat="1" ht="15" x14ac:dyDescent="0.25">
      <c r="A56" s="2119">
        <v>9</v>
      </c>
      <c r="B56" s="2120"/>
      <c r="C56" s="2120"/>
      <c r="D56" s="2164"/>
      <c r="E56" s="1772" t="s">
        <v>1194</v>
      </c>
      <c r="F56" s="1882"/>
      <c r="G56" s="1882"/>
      <c r="H56" s="1882"/>
      <c r="I56" s="1882"/>
      <c r="J56" s="1882"/>
      <c r="K56" s="1882"/>
      <c r="L56" s="1882"/>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c r="AN56" s="1773"/>
      <c r="AO56" s="2060">
        <v>13500</v>
      </c>
      <c r="AP56" s="2061"/>
      <c r="AQ56" s="2061"/>
      <c r="AR56" s="2061"/>
      <c r="AS56" s="2061"/>
      <c r="AT56" s="2061"/>
      <c r="AU56" s="2061"/>
      <c r="AV56" s="2061"/>
      <c r="AW56" s="2061"/>
      <c r="AX56" s="2061"/>
      <c r="AY56" s="2061"/>
      <c r="AZ56" s="2061"/>
      <c r="BA56" s="2061"/>
      <c r="BB56" s="2061"/>
      <c r="BC56" s="2062"/>
      <c r="BD56" s="2079">
        <v>1</v>
      </c>
      <c r="BE56" s="2080"/>
      <c r="BF56" s="2080"/>
      <c r="BG56" s="2080"/>
      <c r="BH56" s="2080"/>
      <c r="BI56" s="2080"/>
      <c r="BJ56" s="2080"/>
      <c r="BK56" s="2080"/>
      <c r="BL56" s="2080"/>
      <c r="BM56" s="2081"/>
      <c r="BN56" s="2060">
        <f>AO56*BD56</f>
        <v>13500</v>
      </c>
      <c r="BO56" s="2061"/>
      <c r="BP56" s="2061"/>
      <c r="BQ56" s="2061"/>
      <c r="BR56" s="2061"/>
      <c r="BS56" s="2061"/>
      <c r="BT56" s="2061"/>
      <c r="BU56" s="2061"/>
      <c r="BV56" s="2061"/>
      <c r="BW56" s="2061"/>
      <c r="BX56" s="2061"/>
      <c r="BY56" s="2061"/>
      <c r="BZ56" s="2061"/>
      <c r="CA56" s="2061"/>
      <c r="CB56" s="2062"/>
      <c r="CC56" s="138"/>
      <c r="CD56" s="138">
        <f t="shared" si="2"/>
        <v>13500</v>
      </c>
      <c r="CE56" s="582"/>
      <c r="CF56" s="138"/>
      <c r="CG56" s="138"/>
      <c r="CH56" s="138"/>
    </row>
    <row r="57" spans="1:86" s="287" customFormat="1" ht="15" x14ac:dyDescent="0.25">
      <c r="A57" s="2108">
        <v>10</v>
      </c>
      <c r="B57" s="2108"/>
      <c r="C57" s="2108"/>
      <c r="D57" s="2108"/>
      <c r="E57" s="2082" t="s">
        <v>1223</v>
      </c>
      <c r="F57" s="2082"/>
      <c r="G57" s="2082"/>
      <c r="H57" s="2082"/>
      <c r="I57" s="2082"/>
      <c r="J57" s="2082"/>
      <c r="K57" s="2082"/>
      <c r="L57" s="2082"/>
      <c r="M57" s="2082"/>
      <c r="N57" s="2082"/>
      <c r="O57" s="2082"/>
      <c r="P57" s="2082"/>
      <c r="Q57" s="2082"/>
      <c r="R57" s="2082"/>
      <c r="S57" s="2082"/>
      <c r="T57" s="2082"/>
      <c r="U57" s="2082"/>
      <c r="V57" s="2082"/>
      <c r="W57" s="2082"/>
      <c r="X57" s="2082"/>
      <c r="Y57" s="2082"/>
      <c r="Z57" s="2082"/>
      <c r="AA57" s="2082"/>
      <c r="AB57" s="2082"/>
      <c r="AC57" s="2082"/>
      <c r="AD57" s="2082"/>
      <c r="AE57" s="2082"/>
      <c r="AF57" s="2082"/>
      <c r="AG57" s="2082"/>
      <c r="AH57" s="2082"/>
      <c r="AI57" s="2082"/>
      <c r="AJ57" s="2082"/>
      <c r="AK57" s="2082"/>
      <c r="AL57" s="2082"/>
      <c r="AM57" s="2082"/>
      <c r="AN57" s="2082"/>
      <c r="AO57" s="2072">
        <v>14900</v>
      </c>
      <c r="AP57" s="2072"/>
      <c r="AQ57" s="2072"/>
      <c r="AR57" s="2072"/>
      <c r="AS57" s="2072"/>
      <c r="AT57" s="2072"/>
      <c r="AU57" s="2072"/>
      <c r="AV57" s="2072"/>
      <c r="AW57" s="2072"/>
      <c r="AX57" s="2072"/>
      <c r="AY57" s="2072"/>
      <c r="AZ57" s="2072"/>
      <c r="BA57" s="2072"/>
      <c r="BB57" s="2072"/>
      <c r="BC57" s="2072"/>
      <c r="BD57" s="1838">
        <v>1</v>
      </c>
      <c r="BE57" s="1838"/>
      <c r="BF57" s="1838"/>
      <c r="BG57" s="1838"/>
      <c r="BH57" s="1838"/>
      <c r="BI57" s="1838"/>
      <c r="BJ57" s="1838"/>
      <c r="BK57" s="1838"/>
      <c r="BL57" s="1838"/>
      <c r="BM57" s="1838"/>
      <c r="BN57" s="2072">
        <f>AO57*BD57</f>
        <v>14900</v>
      </c>
      <c r="BO57" s="2072"/>
      <c r="BP57" s="2072"/>
      <c r="BQ57" s="2072"/>
      <c r="BR57" s="2072"/>
      <c r="BS57" s="2072"/>
      <c r="BT57" s="2072"/>
      <c r="BU57" s="2072"/>
      <c r="BV57" s="2072"/>
      <c r="BW57" s="2072"/>
      <c r="BX57" s="2072"/>
      <c r="BY57" s="2072"/>
      <c r="BZ57" s="2072"/>
      <c r="CA57" s="2072"/>
      <c r="CB57" s="2072"/>
      <c r="CC57" s="138"/>
      <c r="CD57" s="138">
        <f t="shared" si="2"/>
        <v>14900</v>
      </c>
      <c r="CE57" s="582"/>
      <c r="CF57" s="138"/>
      <c r="CG57" s="138"/>
      <c r="CH57" s="138"/>
    </row>
    <row r="58" spans="1:86" s="287" customFormat="1" ht="15" x14ac:dyDescent="0.25">
      <c r="A58" s="2108">
        <v>11</v>
      </c>
      <c r="B58" s="2108"/>
      <c r="C58" s="2108"/>
      <c r="D58" s="2108"/>
      <c r="E58" s="2082" t="s">
        <v>1289</v>
      </c>
      <c r="F58" s="2082"/>
      <c r="G58" s="2082"/>
      <c r="H58" s="2082"/>
      <c r="I58" s="2082"/>
      <c r="J58" s="2082"/>
      <c r="K58" s="2082"/>
      <c r="L58" s="2082"/>
      <c r="M58" s="2082"/>
      <c r="N58" s="2082"/>
      <c r="O58" s="2082"/>
      <c r="P58" s="2082"/>
      <c r="Q58" s="2082"/>
      <c r="R58" s="2082"/>
      <c r="S58" s="2082"/>
      <c r="T58" s="2082"/>
      <c r="U58" s="2082"/>
      <c r="V58" s="2082"/>
      <c r="W58" s="2082"/>
      <c r="X58" s="2082"/>
      <c r="Y58" s="2082"/>
      <c r="Z58" s="2082"/>
      <c r="AA58" s="2082"/>
      <c r="AB58" s="2082"/>
      <c r="AC58" s="2082"/>
      <c r="AD58" s="2082"/>
      <c r="AE58" s="2082"/>
      <c r="AF58" s="2082"/>
      <c r="AG58" s="2082"/>
      <c r="AH58" s="2082"/>
      <c r="AI58" s="2082"/>
      <c r="AJ58" s="2082"/>
      <c r="AK58" s="2082"/>
      <c r="AL58" s="2082"/>
      <c r="AM58" s="2082"/>
      <c r="AN58" s="2082"/>
      <c r="AO58" s="2072">
        <f>BN58</f>
        <v>11320</v>
      </c>
      <c r="AP58" s="2072"/>
      <c r="AQ58" s="2072"/>
      <c r="AR58" s="2072"/>
      <c r="AS58" s="2072"/>
      <c r="AT58" s="2072"/>
      <c r="AU58" s="2072"/>
      <c r="AV58" s="2072"/>
      <c r="AW58" s="2072"/>
      <c r="AX58" s="2072"/>
      <c r="AY58" s="2072"/>
      <c r="AZ58" s="2072"/>
      <c r="BA58" s="2072"/>
      <c r="BB58" s="2072"/>
      <c r="BC58" s="2072"/>
      <c r="BD58" s="1838">
        <v>1</v>
      </c>
      <c r="BE58" s="1838"/>
      <c r="BF58" s="1838"/>
      <c r="BG58" s="1838"/>
      <c r="BH58" s="1838"/>
      <c r="BI58" s="1838"/>
      <c r="BJ58" s="1838"/>
      <c r="BK58" s="1838"/>
      <c r="BL58" s="1838"/>
      <c r="BM58" s="1838"/>
      <c r="BN58" s="2072">
        <f>CD58</f>
        <v>11320</v>
      </c>
      <c r="BO58" s="2072"/>
      <c r="BP58" s="2072"/>
      <c r="BQ58" s="2072"/>
      <c r="BR58" s="2072"/>
      <c r="BS58" s="2072"/>
      <c r="BT58" s="2072"/>
      <c r="BU58" s="2072"/>
      <c r="BV58" s="2072"/>
      <c r="BW58" s="2072"/>
      <c r="BX58" s="2072"/>
      <c r="BY58" s="2072"/>
      <c r="BZ58" s="2072"/>
      <c r="CA58" s="2072"/>
      <c r="CB58" s="2072"/>
      <c r="CC58" s="138"/>
      <c r="CD58" s="138">
        <v>11320</v>
      </c>
      <c r="CE58" s="582"/>
      <c r="CF58" s="138"/>
      <c r="CG58" s="138"/>
      <c r="CH58" s="138"/>
    </row>
    <row r="59" spans="1:86" s="289" customFormat="1" ht="14.25" x14ac:dyDescent="0.2">
      <c r="A59" s="1774" t="s">
        <v>159</v>
      </c>
      <c r="B59" s="1775"/>
      <c r="C59" s="1775"/>
      <c r="D59" s="1775"/>
      <c r="E59" s="1775"/>
      <c r="F59" s="1775"/>
      <c r="G59" s="1775"/>
      <c r="H59" s="1775"/>
      <c r="I59" s="1775"/>
      <c r="J59" s="1775"/>
      <c r="K59" s="1775"/>
      <c r="L59" s="1775"/>
      <c r="M59" s="1775"/>
      <c r="N59" s="1775"/>
      <c r="O59" s="1775"/>
      <c r="P59" s="1775"/>
      <c r="Q59" s="1775"/>
      <c r="R59" s="1775"/>
      <c r="S59" s="1775"/>
      <c r="T59" s="1775"/>
      <c r="U59" s="1775"/>
      <c r="V59" s="1775"/>
      <c r="W59" s="1775"/>
      <c r="X59" s="1775"/>
      <c r="Y59" s="1775"/>
      <c r="Z59" s="1775"/>
      <c r="AA59" s="1775"/>
      <c r="AB59" s="1775"/>
      <c r="AC59" s="1775"/>
      <c r="AD59" s="1775"/>
      <c r="AE59" s="1775"/>
      <c r="AF59" s="1775"/>
      <c r="AG59" s="1775"/>
      <c r="AH59" s="1775"/>
      <c r="AI59" s="1775"/>
      <c r="AJ59" s="1775"/>
      <c r="AK59" s="1775"/>
      <c r="AL59" s="1775"/>
      <c r="AM59" s="1775"/>
      <c r="AN59" s="1776"/>
      <c r="AO59" s="2069"/>
      <c r="AP59" s="2070"/>
      <c r="AQ59" s="2070"/>
      <c r="AR59" s="2070"/>
      <c r="AS59" s="2070"/>
      <c r="AT59" s="2070"/>
      <c r="AU59" s="2070"/>
      <c r="AV59" s="2070"/>
      <c r="AW59" s="2070"/>
      <c r="AX59" s="2070"/>
      <c r="AY59" s="2070"/>
      <c r="AZ59" s="2070"/>
      <c r="BA59" s="2070"/>
      <c r="BB59" s="2070"/>
      <c r="BC59" s="2071"/>
      <c r="BD59" s="2069" t="s">
        <v>3</v>
      </c>
      <c r="BE59" s="2070"/>
      <c r="BF59" s="2070"/>
      <c r="BG59" s="2070"/>
      <c r="BH59" s="2070"/>
      <c r="BI59" s="2070"/>
      <c r="BJ59" s="2070"/>
      <c r="BK59" s="2070"/>
      <c r="BL59" s="2070"/>
      <c r="BM59" s="2071"/>
      <c r="BN59" s="2069">
        <f>CC59+CD59+CG59</f>
        <v>443550.92</v>
      </c>
      <c r="BO59" s="2070"/>
      <c r="BP59" s="2070"/>
      <c r="BQ59" s="2070"/>
      <c r="BR59" s="2070"/>
      <c r="BS59" s="2070"/>
      <c r="BT59" s="2070"/>
      <c r="BU59" s="2070"/>
      <c r="BV59" s="2070"/>
      <c r="BW59" s="2070"/>
      <c r="BX59" s="2070"/>
      <c r="BY59" s="2070"/>
      <c r="BZ59" s="2070"/>
      <c r="CA59" s="2070"/>
      <c r="CB59" s="2071"/>
      <c r="CC59" s="139">
        <f>SUM(CC49:CC58)</f>
        <v>0</v>
      </c>
      <c r="CD59" s="139">
        <f>SUM(CD48:CD58)</f>
        <v>443550.92</v>
      </c>
      <c r="CE59" s="139"/>
      <c r="CF59" s="139"/>
      <c r="CG59" s="139"/>
      <c r="CH59" s="139"/>
    </row>
    <row r="60" spans="1:86" ht="15.7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1:86" s="289" customFormat="1" ht="14.25" x14ac:dyDescent="0.2">
      <c r="A61" s="286" t="s">
        <v>636</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c r="CG61" s="286"/>
      <c r="CH61" s="286"/>
    </row>
    <row r="62" spans="1:86" s="287" customFormat="1" ht="15" x14ac:dyDescent="0.25">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9"/>
      <c r="CD62" s="289"/>
      <c r="CE62" s="289"/>
      <c r="CF62" s="289"/>
      <c r="CG62" s="289"/>
      <c r="CH62" s="289"/>
    </row>
    <row r="63" spans="1:86" s="287" customFormat="1" ht="15" x14ac:dyDescent="0.25">
      <c r="A63" s="2137" t="s">
        <v>38</v>
      </c>
      <c r="B63" s="2137"/>
      <c r="C63" s="2137"/>
      <c r="D63" s="2137"/>
      <c r="E63" s="2168" t="s">
        <v>4</v>
      </c>
      <c r="F63" s="2168"/>
      <c r="G63" s="2168"/>
      <c r="H63" s="2168"/>
      <c r="I63" s="2168"/>
      <c r="J63" s="2168"/>
      <c r="K63" s="2168"/>
      <c r="L63" s="2168"/>
      <c r="M63" s="2168"/>
      <c r="N63" s="2168"/>
      <c r="O63" s="2168"/>
      <c r="P63" s="2168"/>
      <c r="Q63" s="2168"/>
      <c r="R63" s="2168"/>
      <c r="S63" s="2168"/>
      <c r="T63" s="2168"/>
      <c r="U63" s="2168"/>
      <c r="V63" s="2168"/>
      <c r="W63" s="2168"/>
      <c r="X63" s="2168"/>
      <c r="Y63" s="2168"/>
      <c r="Z63" s="2168"/>
      <c r="AA63" s="2168"/>
      <c r="AB63" s="2168"/>
      <c r="AC63" s="2168"/>
      <c r="AD63" s="2168"/>
      <c r="AE63" s="2168"/>
      <c r="AF63" s="2168"/>
      <c r="AG63" s="2168"/>
      <c r="AH63" s="2168"/>
      <c r="AI63" s="2168"/>
      <c r="AJ63" s="2168"/>
      <c r="AK63" s="2168"/>
      <c r="AL63" s="2168"/>
      <c r="AM63" s="2168"/>
      <c r="AN63" s="2168"/>
      <c r="AO63" s="2171" t="s">
        <v>139</v>
      </c>
      <c r="AP63" s="2172"/>
      <c r="AQ63" s="2172"/>
      <c r="AR63" s="2172"/>
      <c r="AS63" s="2172"/>
      <c r="AT63" s="2172"/>
      <c r="AU63" s="2172"/>
      <c r="AV63" s="2172"/>
      <c r="AW63" s="2172"/>
      <c r="AX63" s="2172"/>
      <c r="AY63" s="2172"/>
      <c r="AZ63" s="2172"/>
      <c r="BA63" s="2172"/>
      <c r="BB63" s="2172"/>
      <c r="BC63" s="2173"/>
      <c r="BD63" s="2171" t="s">
        <v>140</v>
      </c>
      <c r="BE63" s="2172"/>
      <c r="BF63" s="2172"/>
      <c r="BG63" s="2172"/>
      <c r="BH63" s="2172"/>
      <c r="BI63" s="2172"/>
      <c r="BJ63" s="2172"/>
      <c r="BK63" s="2172"/>
      <c r="BL63" s="2172"/>
      <c r="BM63" s="2173"/>
      <c r="BN63" s="2171" t="s">
        <v>624</v>
      </c>
      <c r="BO63" s="2172"/>
      <c r="BP63" s="2172"/>
      <c r="BQ63" s="2172"/>
      <c r="BR63" s="2172"/>
      <c r="BS63" s="2172"/>
      <c r="BT63" s="2172"/>
      <c r="BU63" s="2172"/>
      <c r="BV63" s="2172"/>
      <c r="BW63" s="2172"/>
      <c r="BX63" s="2172"/>
      <c r="BY63" s="2172"/>
      <c r="BZ63" s="2172"/>
      <c r="CA63" s="2172"/>
      <c r="CB63" s="2173"/>
      <c r="CC63" s="2136" t="s">
        <v>52</v>
      </c>
      <c r="CD63" s="2136"/>
      <c r="CE63" s="2136"/>
      <c r="CF63" s="2136"/>
      <c r="CG63" s="2136"/>
      <c r="CH63" s="2136"/>
    </row>
    <row r="64" spans="1:86" s="287" customFormat="1" ht="15" x14ac:dyDescent="0.25">
      <c r="A64" s="2137"/>
      <c r="B64" s="2137"/>
      <c r="C64" s="2137"/>
      <c r="D64" s="2137"/>
      <c r="E64" s="2168"/>
      <c r="F64" s="2168"/>
      <c r="G64" s="2168"/>
      <c r="H64" s="2168"/>
      <c r="I64" s="2168"/>
      <c r="J64" s="2168"/>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74"/>
      <c r="AP64" s="2175"/>
      <c r="AQ64" s="2175"/>
      <c r="AR64" s="2175"/>
      <c r="AS64" s="2175"/>
      <c r="AT64" s="2175"/>
      <c r="AU64" s="2175"/>
      <c r="AV64" s="2175"/>
      <c r="AW64" s="2175"/>
      <c r="AX64" s="2175"/>
      <c r="AY64" s="2175"/>
      <c r="AZ64" s="2175"/>
      <c r="BA64" s="2175"/>
      <c r="BB64" s="2175"/>
      <c r="BC64" s="2176"/>
      <c r="BD64" s="2174"/>
      <c r="BE64" s="2175"/>
      <c r="BF64" s="2175"/>
      <c r="BG64" s="2175"/>
      <c r="BH64" s="2175"/>
      <c r="BI64" s="2175"/>
      <c r="BJ64" s="2175"/>
      <c r="BK64" s="2175"/>
      <c r="BL64" s="2175"/>
      <c r="BM64" s="2176"/>
      <c r="BN64" s="2174"/>
      <c r="BO64" s="2175"/>
      <c r="BP64" s="2175"/>
      <c r="BQ64" s="2175"/>
      <c r="BR64" s="2175"/>
      <c r="BS64" s="2175"/>
      <c r="BT64" s="2175"/>
      <c r="BU64" s="2175"/>
      <c r="BV64" s="2175"/>
      <c r="BW64" s="2175"/>
      <c r="BX64" s="2175"/>
      <c r="BY64" s="2175"/>
      <c r="BZ64" s="2175"/>
      <c r="CA64" s="2175"/>
      <c r="CB64" s="2176"/>
      <c r="CC64" s="2137" t="s">
        <v>35</v>
      </c>
      <c r="CD64" s="2137"/>
      <c r="CE64" s="2138" t="s">
        <v>45</v>
      </c>
      <c r="CF64" s="2139"/>
      <c r="CG64" s="2140"/>
      <c r="CH64" s="2141" t="s">
        <v>46</v>
      </c>
    </row>
    <row r="65" spans="1:86" s="287" customFormat="1" ht="15" x14ac:dyDescent="0.25">
      <c r="A65" s="2137"/>
      <c r="B65" s="2137"/>
      <c r="C65" s="2137"/>
      <c r="D65" s="2137"/>
      <c r="E65" s="2168"/>
      <c r="F65" s="2168"/>
      <c r="G65" s="2168"/>
      <c r="H65" s="2168"/>
      <c r="I65" s="2168"/>
      <c r="J65" s="2168"/>
      <c r="K65" s="2168"/>
      <c r="L65" s="2168"/>
      <c r="M65" s="2168"/>
      <c r="N65" s="2168"/>
      <c r="O65" s="2168"/>
      <c r="P65" s="2168"/>
      <c r="Q65" s="2168"/>
      <c r="R65" s="2168"/>
      <c r="S65" s="2168"/>
      <c r="T65" s="2168"/>
      <c r="U65" s="2168"/>
      <c r="V65" s="2168"/>
      <c r="W65" s="2168"/>
      <c r="X65" s="2168"/>
      <c r="Y65" s="2168"/>
      <c r="Z65" s="2168"/>
      <c r="AA65" s="2168"/>
      <c r="AB65" s="2168"/>
      <c r="AC65" s="2168"/>
      <c r="AD65" s="2168"/>
      <c r="AE65" s="2168"/>
      <c r="AF65" s="2168"/>
      <c r="AG65" s="2168"/>
      <c r="AH65" s="2168"/>
      <c r="AI65" s="2168"/>
      <c r="AJ65" s="2168"/>
      <c r="AK65" s="2168"/>
      <c r="AL65" s="2168"/>
      <c r="AM65" s="2168"/>
      <c r="AN65" s="2168"/>
      <c r="AO65" s="2174"/>
      <c r="AP65" s="2175"/>
      <c r="AQ65" s="2175"/>
      <c r="AR65" s="2175"/>
      <c r="AS65" s="2175"/>
      <c r="AT65" s="2175"/>
      <c r="AU65" s="2175"/>
      <c r="AV65" s="2175"/>
      <c r="AW65" s="2175"/>
      <c r="AX65" s="2175"/>
      <c r="AY65" s="2175"/>
      <c r="AZ65" s="2175"/>
      <c r="BA65" s="2175"/>
      <c r="BB65" s="2175"/>
      <c r="BC65" s="2176"/>
      <c r="BD65" s="2174"/>
      <c r="BE65" s="2175"/>
      <c r="BF65" s="2175"/>
      <c r="BG65" s="2175"/>
      <c r="BH65" s="2175"/>
      <c r="BI65" s="2175"/>
      <c r="BJ65" s="2175"/>
      <c r="BK65" s="2175"/>
      <c r="BL65" s="2175"/>
      <c r="BM65" s="2176"/>
      <c r="BN65" s="2174"/>
      <c r="BO65" s="2175"/>
      <c r="BP65" s="2175"/>
      <c r="BQ65" s="2175"/>
      <c r="BR65" s="2175"/>
      <c r="BS65" s="2175"/>
      <c r="BT65" s="2175"/>
      <c r="BU65" s="2175"/>
      <c r="BV65" s="2175"/>
      <c r="BW65" s="2175"/>
      <c r="BX65" s="2175"/>
      <c r="BY65" s="2175"/>
      <c r="BZ65" s="2175"/>
      <c r="CA65" s="2175"/>
      <c r="CB65" s="2176"/>
      <c r="CC65" s="2144" t="s">
        <v>43</v>
      </c>
      <c r="CD65" s="2144" t="s">
        <v>44</v>
      </c>
      <c r="CE65" s="2145" t="s">
        <v>55</v>
      </c>
      <c r="CF65" s="2144" t="s">
        <v>43</v>
      </c>
      <c r="CG65" s="2144" t="s">
        <v>44</v>
      </c>
      <c r="CH65" s="2142"/>
    </row>
    <row r="66" spans="1:86" s="287" customFormat="1" ht="15" x14ac:dyDescent="0.25">
      <c r="A66" s="2137"/>
      <c r="B66" s="2137"/>
      <c r="C66" s="2137"/>
      <c r="D66" s="2137"/>
      <c r="E66" s="2168"/>
      <c r="F66" s="2168"/>
      <c r="G66" s="2168"/>
      <c r="H66" s="2168"/>
      <c r="I66" s="2168"/>
      <c r="J66" s="2168"/>
      <c r="K66" s="2168"/>
      <c r="L66" s="2168"/>
      <c r="M66" s="2168"/>
      <c r="N66" s="2168"/>
      <c r="O66" s="2168"/>
      <c r="P66" s="2168"/>
      <c r="Q66" s="2168"/>
      <c r="R66" s="2168"/>
      <c r="S66" s="2168"/>
      <c r="T66" s="2168"/>
      <c r="U66" s="2168"/>
      <c r="V66" s="2168"/>
      <c r="W66" s="2168"/>
      <c r="X66" s="2168"/>
      <c r="Y66" s="2168"/>
      <c r="Z66" s="2168"/>
      <c r="AA66" s="2168"/>
      <c r="AB66" s="2168"/>
      <c r="AC66" s="2168"/>
      <c r="AD66" s="2168"/>
      <c r="AE66" s="2168"/>
      <c r="AF66" s="2168"/>
      <c r="AG66" s="2168"/>
      <c r="AH66" s="2168"/>
      <c r="AI66" s="2168"/>
      <c r="AJ66" s="2168"/>
      <c r="AK66" s="2168"/>
      <c r="AL66" s="2168"/>
      <c r="AM66" s="2168"/>
      <c r="AN66" s="2168"/>
      <c r="AO66" s="2177"/>
      <c r="AP66" s="2178"/>
      <c r="AQ66" s="2178"/>
      <c r="AR66" s="2178"/>
      <c r="AS66" s="2178"/>
      <c r="AT66" s="2178"/>
      <c r="AU66" s="2178"/>
      <c r="AV66" s="2178"/>
      <c r="AW66" s="2178"/>
      <c r="AX66" s="2178"/>
      <c r="AY66" s="2178"/>
      <c r="AZ66" s="2178"/>
      <c r="BA66" s="2178"/>
      <c r="BB66" s="2178"/>
      <c r="BC66" s="2179"/>
      <c r="BD66" s="2177"/>
      <c r="BE66" s="2178"/>
      <c r="BF66" s="2178"/>
      <c r="BG66" s="2178"/>
      <c r="BH66" s="2178"/>
      <c r="BI66" s="2178"/>
      <c r="BJ66" s="2178"/>
      <c r="BK66" s="2178"/>
      <c r="BL66" s="2178"/>
      <c r="BM66" s="2179"/>
      <c r="BN66" s="2177"/>
      <c r="BO66" s="2178"/>
      <c r="BP66" s="2178"/>
      <c r="BQ66" s="2178"/>
      <c r="BR66" s="2178"/>
      <c r="BS66" s="2178"/>
      <c r="BT66" s="2178"/>
      <c r="BU66" s="2178"/>
      <c r="BV66" s="2178"/>
      <c r="BW66" s="2178"/>
      <c r="BX66" s="2178"/>
      <c r="BY66" s="2178"/>
      <c r="BZ66" s="2178"/>
      <c r="CA66" s="2178"/>
      <c r="CB66" s="2179"/>
      <c r="CC66" s="2144"/>
      <c r="CD66" s="2144"/>
      <c r="CE66" s="2146"/>
      <c r="CF66" s="2144"/>
      <c r="CG66" s="2144"/>
      <c r="CH66" s="2143"/>
    </row>
    <row r="67" spans="1:86" s="579" customFormat="1" ht="15" x14ac:dyDescent="0.25">
      <c r="A67" s="2168">
        <v>1</v>
      </c>
      <c r="B67" s="2168"/>
      <c r="C67" s="2168"/>
      <c r="D67" s="2168"/>
      <c r="E67" s="2168">
        <v>2</v>
      </c>
      <c r="F67" s="2168"/>
      <c r="G67" s="2168"/>
      <c r="H67" s="2168"/>
      <c r="I67" s="2168"/>
      <c r="J67" s="2168"/>
      <c r="K67" s="2168"/>
      <c r="L67" s="2168"/>
      <c r="M67" s="2168"/>
      <c r="N67" s="2168"/>
      <c r="O67" s="2168"/>
      <c r="P67" s="2168"/>
      <c r="Q67" s="2168"/>
      <c r="R67" s="2168"/>
      <c r="S67" s="2168"/>
      <c r="T67" s="2168"/>
      <c r="U67" s="2168"/>
      <c r="V67" s="2168"/>
      <c r="W67" s="2168"/>
      <c r="X67" s="2168"/>
      <c r="Y67" s="2168"/>
      <c r="Z67" s="2168"/>
      <c r="AA67" s="2168"/>
      <c r="AB67" s="2168"/>
      <c r="AC67" s="2168"/>
      <c r="AD67" s="2168"/>
      <c r="AE67" s="2168"/>
      <c r="AF67" s="2168"/>
      <c r="AG67" s="2168"/>
      <c r="AH67" s="2168"/>
      <c r="AI67" s="2168"/>
      <c r="AJ67" s="2168"/>
      <c r="AK67" s="2168"/>
      <c r="AL67" s="2168"/>
      <c r="AM67" s="2168"/>
      <c r="AN67" s="2168"/>
      <c r="AO67" s="2168">
        <v>3</v>
      </c>
      <c r="AP67" s="2168"/>
      <c r="AQ67" s="2168"/>
      <c r="AR67" s="2168"/>
      <c r="AS67" s="2168"/>
      <c r="AT67" s="2168"/>
      <c r="AU67" s="2168"/>
      <c r="AV67" s="2168"/>
      <c r="AW67" s="2168"/>
      <c r="AX67" s="2168"/>
      <c r="AY67" s="2168"/>
      <c r="AZ67" s="2168"/>
      <c r="BA67" s="2168"/>
      <c r="BB67" s="2168"/>
      <c r="BC67" s="2168"/>
      <c r="BD67" s="2168">
        <v>4</v>
      </c>
      <c r="BE67" s="2168"/>
      <c r="BF67" s="2168"/>
      <c r="BG67" s="2168"/>
      <c r="BH67" s="2168"/>
      <c r="BI67" s="2168"/>
      <c r="BJ67" s="2168"/>
      <c r="BK67" s="2168"/>
      <c r="BL67" s="2168"/>
      <c r="BM67" s="2168"/>
      <c r="BN67" s="2168" t="s">
        <v>49</v>
      </c>
      <c r="BO67" s="2168"/>
      <c r="BP67" s="2168"/>
      <c r="BQ67" s="2168"/>
      <c r="BR67" s="2168"/>
      <c r="BS67" s="2168"/>
      <c r="BT67" s="2168"/>
      <c r="BU67" s="2168"/>
      <c r="BV67" s="2168"/>
      <c r="BW67" s="2168"/>
      <c r="BX67" s="2168"/>
      <c r="BY67" s="2168"/>
      <c r="BZ67" s="2168"/>
      <c r="CA67" s="2168"/>
      <c r="CB67" s="2168"/>
      <c r="CC67" s="290">
        <v>6</v>
      </c>
      <c r="CD67" s="290">
        <v>7</v>
      </c>
      <c r="CE67" s="290">
        <v>8</v>
      </c>
      <c r="CF67" s="290">
        <v>9</v>
      </c>
      <c r="CG67" s="290">
        <v>10</v>
      </c>
      <c r="CH67" s="290">
        <v>11</v>
      </c>
    </row>
    <row r="68" spans="1:86" s="580" customFormat="1" ht="15" x14ac:dyDescent="0.25">
      <c r="A68" s="2115">
        <v>1</v>
      </c>
      <c r="B68" s="2115"/>
      <c r="C68" s="2115"/>
      <c r="D68" s="2115"/>
      <c r="E68" s="2115" t="s">
        <v>637</v>
      </c>
      <c r="F68" s="2115"/>
      <c r="G68" s="2115"/>
      <c r="H68" s="2115"/>
      <c r="I68" s="2115"/>
      <c r="J68" s="2115"/>
      <c r="K68" s="2115"/>
      <c r="L68" s="2115"/>
      <c r="M68" s="2115"/>
      <c r="N68" s="2115"/>
      <c r="O68" s="2115"/>
      <c r="P68" s="2115"/>
      <c r="Q68" s="2115"/>
      <c r="R68" s="2115"/>
      <c r="S68" s="2115"/>
      <c r="T68" s="2115"/>
      <c r="U68" s="2115"/>
      <c r="V68" s="2115"/>
      <c r="W68" s="2115"/>
      <c r="X68" s="2115"/>
      <c r="Y68" s="2115"/>
      <c r="Z68" s="2115"/>
      <c r="AA68" s="2115"/>
      <c r="AB68" s="2115"/>
      <c r="AC68" s="2115"/>
      <c r="AD68" s="2115"/>
      <c r="AE68" s="2115"/>
      <c r="AF68" s="2115"/>
      <c r="AG68" s="2115"/>
      <c r="AH68" s="2115"/>
      <c r="AI68" s="2115"/>
      <c r="AJ68" s="2115"/>
      <c r="AK68" s="2115"/>
      <c r="AL68" s="2115"/>
      <c r="AM68" s="2115"/>
      <c r="AN68" s="2115"/>
      <c r="AO68" s="2182">
        <v>10000</v>
      </c>
      <c r="AP68" s="2182"/>
      <c r="AQ68" s="2182"/>
      <c r="AR68" s="2182"/>
      <c r="AS68" s="2182"/>
      <c r="AT68" s="2182"/>
      <c r="AU68" s="2182"/>
      <c r="AV68" s="2182"/>
      <c r="AW68" s="2182"/>
      <c r="AX68" s="2182"/>
      <c r="AY68" s="2182"/>
      <c r="AZ68" s="2182"/>
      <c r="BA68" s="2182"/>
      <c r="BB68" s="2182"/>
      <c r="BC68" s="2182"/>
      <c r="BD68" s="2194">
        <v>1</v>
      </c>
      <c r="BE68" s="2194"/>
      <c r="BF68" s="2194"/>
      <c r="BG68" s="2194"/>
      <c r="BH68" s="2194"/>
      <c r="BI68" s="2194"/>
      <c r="BJ68" s="2194"/>
      <c r="BK68" s="2194"/>
      <c r="BL68" s="2194"/>
      <c r="BM68" s="2194"/>
      <c r="BN68" s="2180">
        <f>AO68</f>
        <v>10000</v>
      </c>
      <c r="BO68" s="2180"/>
      <c r="BP68" s="2180"/>
      <c r="BQ68" s="2180"/>
      <c r="BR68" s="2180"/>
      <c r="BS68" s="2180"/>
      <c r="BT68" s="2180"/>
      <c r="BU68" s="2180"/>
      <c r="BV68" s="2180"/>
      <c r="BW68" s="2180"/>
      <c r="BX68" s="2180"/>
      <c r="BY68" s="2180"/>
      <c r="BZ68" s="2180"/>
      <c r="CA68" s="2180"/>
      <c r="CB68" s="2180"/>
      <c r="CC68" s="291"/>
      <c r="CD68" s="292">
        <f>BN68</f>
        <v>10000</v>
      </c>
      <c r="CE68" s="291"/>
      <c r="CF68" s="291"/>
      <c r="CG68" s="291"/>
      <c r="CH68" s="291"/>
    </row>
    <row r="69" spans="1:86" ht="14.25" x14ac:dyDescent="0.2">
      <c r="A69" s="2109" t="s">
        <v>638</v>
      </c>
      <c r="B69" s="2110"/>
      <c r="C69" s="2110"/>
      <c r="D69" s="2110"/>
      <c r="E69" s="2110"/>
      <c r="F69" s="2110"/>
      <c r="G69" s="2110"/>
      <c r="H69" s="2110"/>
      <c r="I69" s="2110"/>
      <c r="J69" s="2110"/>
      <c r="K69" s="2110"/>
      <c r="L69" s="2110"/>
      <c r="M69" s="2110"/>
      <c r="N69" s="2110"/>
      <c r="O69" s="2110"/>
      <c r="P69" s="2110"/>
      <c r="Q69" s="2110"/>
      <c r="R69" s="2110"/>
      <c r="S69" s="2110"/>
      <c r="T69" s="2110"/>
      <c r="U69" s="2110"/>
      <c r="V69" s="2110"/>
      <c r="W69" s="2110"/>
      <c r="X69" s="2110"/>
      <c r="Y69" s="2110"/>
      <c r="Z69" s="2110"/>
      <c r="AA69" s="2110"/>
      <c r="AB69" s="2110"/>
      <c r="AC69" s="2110"/>
      <c r="AD69" s="2110"/>
      <c r="AE69" s="2110"/>
      <c r="AF69" s="2110"/>
      <c r="AG69" s="2110"/>
      <c r="AH69" s="2110"/>
      <c r="AI69" s="2110"/>
      <c r="AJ69" s="2110"/>
      <c r="AK69" s="2110"/>
      <c r="AL69" s="2110"/>
      <c r="AM69" s="2110"/>
      <c r="AN69" s="2111"/>
      <c r="AO69" s="2112"/>
      <c r="AP69" s="2112"/>
      <c r="AQ69" s="2112"/>
      <c r="AR69" s="2112"/>
      <c r="AS69" s="2112"/>
      <c r="AT69" s="2112"/>
      <c r="AU69" s="2112"/>
      <c r="AV69" s="2112"/>
      <c r="AW69" s="2112"/>
      <c r="AX69" s="2112"/>
      <c r="AY69" s="2112"/>
      <c r="AZ69" s="2112"/>
      <c r="BA69" s="2112"/>
      <c r="BB69" s="2112"/>
      <c r="BC69" s="2112"/>
      <c r="BD69" s="2112" t="s">
        <v>3</v>
      </c>
      <c r="BE69" s="2112"/>
      <c r="BF69" s="2112"/>
      <c r="BG69" s="2112"/>
      <c r="BH69" s="2112"/>
      <c r="BI69" s="2112"/>
      <c r="BJ69" s="2112"/>
      <c r="BK69" s="2112"/>
      <c r="BL69" s="2112"/>
      <c r="BM69" s="2112"/>
      <c r="BN69" s="2113">
        <f>BN68</f>
        <v>10000</v>
      </c>
      <c r="BO69" s="2114"/>
      <c r="BP69" s="2114"/>
      <c r="BQ69" s="2114"/>
      <c r="BR69" s="2114"/>
      <c r="BS69" s="2114"/>
      <c r="BT69" s="2114"/>
      <c r="BU69" s="2114"/>
      <c r="BV69" s="2114"/>
      <c r="BW69" s="2114"/>
      <c r="BX69" s="2114"/>
      <c r="BY69" s="2114"/>
      <c r="BZ69" s="2114"/>
      <c r="CA69" s="2114"/>
      <c r="CB69" s="2114"/>
      <c r="CC69" s="293"/>
      <c r="CD69" s="294">
        <f>CD68</f>
        <v>10000</v>
      </c>
      <c r="CE69" s="293"/>
      <c r="CF69" s="293"/>
      <c r="CG69" s="293"/>
      <c r="CH69" s="293"/>
    </row>
    <row r="71" spans="1:86" ht="14.25" x14ac:dyDescent="0.2">
      <c r="A71" s="286" t="s">
        <v>160</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row>
    <row r="72" spans="1:86" ht="65.25" customHeight="1" x14ac:dyDescent="0.25">
      <c r="A72" s="2137" t="s">
        <v>38</v>
      </c>
      <c r="B72" s="2137"/>
      <c r="C72" s="2137"/>
      <c r="D72" s="2137"/>
      <c r="E72" s="2168" t="s">
        <v>4</v>
      </c>
      <c r="F72" s="2168"/>
      <c r="G72" s="2168"/>
      <c r="H72" s="2168"/>
      <c r="I72" s="2168"/>
      <c r="J72" s="2168"/>
      <c r="K72" s="2168"/>
      <c r="L72" s="2168"/>
      <c r="M72" s="2168"/>
      <c r="N72" s="2168"/>
      <c r="O72" s="2168"/>
      <c r="P72" s="2168"/>
      <c r="Q72" s="2168"/>
      <c r="R72" s="2168"/>
      <c r="S72" s="2168"/>
      <c r="T72" s="2168"/>
      <c r="U72" s="2168"/>
      <c r="V72" s="2168"/>
      <c r="W72" s="2168"/>
      <c r="X72" s="2168"/>
      <c r="Y72" s="2168"/>
      <c r="Z72" s="2168"/>
      <c r="AA72" s="2168"/>
      <c r="AB72" s="2168"/>
      <c r="AC72" s="2168"/>
      <c r="AD72" s="2168"/>
      <c r="AE72" s="2168"/>
      <c r="AF72" s="2168"/>
      <c r="AG72" s="2168"/>
      <c r="AH72" s="2168"/>
      <c r="AI72" s="2168"/>
      <c r="AJ72" s="2168"/>
      <c r="AK72" s="2168"/>
      <c r="AL72" s="2168"/>
      <c r="AM72" s="2168"/>
      <c r="AN72" s="2168"/>
      <c r="AO72" s="2168"/>
      <c r="AP72" s="2168"/>
      <c r="AQ72" s="2168"/>
      <c r="AR72" s="2168"/>
      <c r="AS72" s="2168" t="s">
        <v>5</v>
      </c>
      <c r="AT72" s="2168"/>
      <c r="AU72" s="2168"/>
      <c r="AV72" s="2168"/>
      <c r="AW72" s="2168"/>
      <c r="AX72" s="2168"/>
      <c r="AY72" s="2168"/>
      <c r="AZ72" s="2168"/>
      <c r="BA72" s="2168"/>
      <c r="BB72" s="2168"/>
      <c r="BC72" s="2137" t="s">
        <v>758</v>
      </c>
      <c r="BD72" s="2137"/>
      <c r="BE72" s="2137"/>
      <c r="BF72" s="2137"/>
      <c r="BG72" s="2137"/>
      <c r="BH72" s="2137"/>
      <c r="BI72" s="2137"/>
      <c r="BJ72" s="2137"/>
      <c r="BK72" s="2137"/>
      <c r="BL72" s="2137"/>
      <c r="BM72" s="2137"/>
      <c r="BN72" s="2168" t="s">
        <v>6</v>
      </c>
      <c r="BO72" s="2168"/>
      <c r="BP72" s="2168"/>
      <c r="BQ72" s="2168"/>
      <c r="BR72" s="2168"/>
      <c r="BS72" s="2168"/>
      <c r="BT72" s="2168"/>
      <c r="BU72" s="2168"/>
      <c r="BV72" s="2168"/>
      <c r="BW72" s="2168"/>
      <c r="BX72" s="2168"/>
      <c r="BY72" s="2168"/>
      <c r="BZ72" s="2168"/>
      <c r="CA72" s="2168"/>
      <c r="CB72" s="2168"/>
      <c r="CC72" s="2136" t="s">
        <v>52</v>
      </c>
      <c r="CD72" s="2136"/>
      <c r="CE72" s="2136"/>
      <c r="CF72" s="2136"/>
      <c r="CG72" s="2136"/>
      <c r="CH72" s="2136"/>
    </row>
    <row r="73" spans="1:86" ht="12.75" customHeight="1" x14ac:dyDescent="0.2">
      <c r="A73" s="2137"/>
      <c r="B73" s="2137"/>
      <c r="C73" s="2137"/>
      <c r="D73" s="2137"/>
      <c r="E73" s="2168"/>
      <c r="F73" s="2168"/>
      <c r="G73" s="2168"/>
      <c r="H73" s="2168"/>
      <c r="I73" s="2168"/>
      <c r="J73" s="2168"/>
      <c r="K73" s="2168"/>
      <c r="L73" s="2168"/>
      <c r="M73" s="2168"/>
      <c r="N73" s="2168"/>
      <c r="O73" s="2168"/>
      <c r="P73" s="2168"/>
      <c r="Q73" s="2168"/>
      <c r="R73" s="2168"/>
      <c r="S73" s="2168"/>
      <c r="T73" s="2168"/>
      <c r="U73" s="2168"/>
      <c r="V73" s="2168"/>
      <c r="W73" s="2168"/>
      <c r="X73" s="2168"/>
      <c r="Y73" s="2168"/>
      <c r="Z73" s="2168"/>
      <c r="AA73" s="2168"/>
      <c r="AB73" s="2168"/>
      <c r="AC73" s="2168"/>
      <c r="AD73" s="2168"/>
      <c r="AE73" s="2168"/>
      <c r="AF73" s="2168"/>
      <c r="AG73" s="2168"/>
      <c r="AH73" s="2168"/>
      <c r="AI73" s="2168"/>
      <c r="AJ73" s="2168"/>
      <c r="AK73" s="2168"/>
      <c r="AL73" s="2168"/>
      <c r="AM73" s="2168"/>
      <c r="AN73" s="2168"/>
      <c r="AO73" s="2168"/>
      <c r="AP73" s="2168"/>
      <c r="AQ73" s="2168"/>
      <c r="AR73" s="2168"/>
      <c r="AS73" s="2168"/>
      <c r="AT73" s="2168"/>
      <c r="AU73" s="2168"/>
      <c r="AV73" s="2168"/>
      <c r="AW73" s="2168"/>
      <c r="AX73" s="2168"/>
      <c r="AY73" s="2168"/>
      <c r="AZ73" s="2168"/>
      <c r="BA73" s="2168"/>
      <c r="BB73" s="2168"/>
      <c r="BC73" s="2137"/>
      <c r="BD73" s="2137"/>
      <c r="BE73" s="2137"/>
      <c r="BF73" s="2137"/>
      <c r="BG73" s="2137"/>
      <c r="BH73" s="2137"/>
      <c r="BI73" s="2137"/>
      <c r="BJ73" s="2137"/>
      <c r="BK73" s="2137"/>
      <c r="BL73" s="2137"/>
      <c r="BM73" s="2137"/>
      <c r="BN73" s="2168"/>
      <c r="BO73" s="2168"/>
      <c r="BP73" s="2168"/>
      <c r="BQ73" s="2168"/>
      <c r="BR73" s="2168"/>
      <c r="BS73" s="2168"/>
      <c r="BT73" s="2168"/>
      <c r="BU73" s="2168"/>
      <c r="BV73" s="2168"/>
      <c r="BW73" s="2168"/>
      <c r="BX73" s="2168"/>
      <c r="BY73" s="2168"/>
      <c r="BZ73" s="2168"/>
      <c r="CA73" s="2168"/>
      <c r="CB73" s="2168"/>
      <c r="CC73" s="2137" t="s">
        <v>35</v>
      </c>
      <c r="CD73" s="2137"/>
      <c r="CE73" s="2138" t="s">
        <v>45</v>
      </c>
      <c r="CF73" s="2139"/>
      <c r="CG73" s="2140"/>
      <c r="CH73" s="2141" t="s">
        <v>46</v>
      </c>
    </row>
    <row r="74" spans="1:86" x14ac:dyDescent="0.2">
      <c r="A74" s="2137"/>
      <c r="B74" s="2137"/>
      <c r="C74" s="2137"/>
      <c r="D74" s="2137"/>
      <c r="E74" s="2168"/>
      <c r="F74" s="2168"/>
      <c r="G74" s="2168"/>
      <c r="H74" s="2168"/>
      <c r="I74" s="2168"/>
      <c r="J74" s="2168"/>
      <c r="K74" s="2168"/>
      <c r="L74" s="2168"/>
      <c r="M74" s="2168"/>
      <c r="N74" s="2168"/>
      <c r="O74" s="2168"/>
      <c r="P74" s="2168"/>
      <c r="Q74" s="2168"/>
      <c r="R74" s="2168"/>
      <c r="S74" s="2168"/>
      <c r="T74" s="2168"/>
      <c r="U74" s="2168"/>
      <c r="V74" s="2168"/>
      <c r="W74" s="2168"/>
      <c r="X74" s="2168"/>
      <c r="Y74" s="2168"/>
      <c r="Z74" s="2168"/>
      <c r="AA74" s="2168"/>
      <c r="AB74" s="2168"/>
      <c r="AC74" s="2168"/>
      <c r="AD74" s="2168"/>
      <c r="AE74" s="2168"/>
      <c r="AF74" s="2168"/>
      <c r="AG74" s="2168"/>
      <c r="AH74" s="2168"/>
      <c r="AI74" s="2168"/>
      <c r="AJ74" s="2168"/>
      <c r="AK74" s="2168"/>
      <c r="AL74" s="2168"/>
      <c r="AM74" s="2168"/>
      <c r="AN74" s="2168"/>
      <c r="AO74" s="2168"/>
      <c r="AP74" s="2168"/>
      <c r="AQ74" s="2168"/>
      <c r="AR74" s="2168"/>
      <c r="AS74" s="2168"/>
      <c r="AT74" s="2168"/>
      <c r="AU74" s="2168"/>
      <c r="AV74" s="2168"/>
      <c r="AW74" s="2168"/>
      <c r="AX74" s="2168"/>
      <c r="AY74" s="2168"/>
      <c r="AZ74" s="2168"/>
      <c r="BA74" s="2168"/>
      <c r="BB74" s="2168"/>
      <c r="BC74" s="2137"/>
      <c r="BD74" s="2137"/>
      <c r="BE74" s="2137"/>
      <c r="BF74" s="2137"/>
      <c r="BG74" s="2137"/>
      <c r="BH74" s="2137"/>
      <c r="BI74" s="2137"/>
      <c r="BJ74" s="2137"/>
      <c r="BK74" s="2137"/>
      <c r="BL74" s="2137"/>
      <c r="BM74" s="2137"/>
      <c r="BN74" s="2168"/>
      <c r="BO74" s="2168"/>
      <c r="BP74" s="2168"/>
      <c r="BQ74" s="2168"/>
      <c r="BR74" s="2168"/>
      <c r="BS74" s="2168"/>
      <c r="BT74" s="2168"/>
      <c r="BU74" s="2168"/>
      <c r="BV74" s="2168"/>
      <c r="BW74" s="2168"/>
      <c r="BX74" s="2168"/>
      <c r="BY74" s="2168"/>
      <c r="BZ74" s="2168"/>
      <c r="CA74" s="2168"/>
      <c r="CB74" s="2168"/>
      <c r="CC74" s="2144" t="s">
        <v>43</v>
      </c>
      <c r="CD74" s="2144" t="s">
        <v>44</v>
      </c>
      <c r="CE74" s="2145" t="s">
        <v>55</v>
      </c>
      <c r="CF74" s="2144" t="s">
        <v>43</v>
      </c>
      <c r="CG74" s="2144" t="s">
        <v>44</v>
      </c>
      <c r="CH74" s="2142"/>
    </row>
    <row r="75" spans="1:86" x14ac:dyDescent="0.2">
      <c r="A75" s="2137"/>
      <c r="B75" s="2137"/>
      <c r="C75" s="2137"/>
      <c r="D75" s="2137"/>
      <c r="E75" s="2168"/>
      <c r="F75" s="2168"/>
      <c r="G75" s="2168"/>
      <c r="H75" s="2168"/>
      <c r="I75" s="2168"/>
      <c r="J75" s="2168"/>
      <c r="K75" s="2168"/>
      <c r="L75" s="2168"/>
      <c r="M75" s="2168"/>
      <c r="N75" s="2168"/>
      <c r="O75" s="2168"/>
      <c r="P75" s="2168"/>
      <c r="Q75" s="2168"/>
      <c r="R75" s="2168"/>
      <c r="S75" s="2168"/>
      <c r="T75" s="2168"/>
      <c r="U75" s="2168"/>
      <c r="V75" s="2168"/>
      <c r="W75" s="2168"/>
      <c r="X75" s="2168"/>
      <c r="Y75" s="2168"/>
      <c r="Z75" s="2168"/>
      <c r="AA75" s="2168"/>
      <c r="AB75" s="2168"/>
      <c r="AC75" s="2168"/>
      <c r="AD75" s="2168"/>
      <c r="AE75" s="2168"/>
      <c r="AF75" s="2168"/>
      <c r="AG75" s="2168"/>
      <c r="AH75" s="2168"/>
      <c r="AI75" s="2168"/>
      <c r="AJ75" s="2168"/>
      <c r="AK75" s="2168"/>
      <c r="AL75" s="2168"/>
      <c r="AM75" s="2168"/>
      <c r="AN75" s="2168"/>
      <c r="AO75" s="2168"/>
      <c r="AP75" s="2168"/>
      <c r="AQ75" s="2168"/>
      <c r="AR75" s="2168"/>
      <c r="AS75" s="2168"/>
      <c r="AT75" s="2168"/>
      <c r="AU75" s="2168"/>
      <c r="AV75" s="2168"/>
      <c r="AW75" s="2168"/>
      <c r="AX75" s="2168"/>
      <c r="AY75" s="2168"/>
      <c r="AZ75" s="2168"/>
      <c r="BA75" s="2168"/>
      <c r="BB75" s="2168"/>
      <c r="BC75" s="2137"/>
      <c r="BD75" s="2137"/>
      <c r="BE75" s="2137"/>
      <c r="BF75" s="2137"/>
      <c r="BG75" s="2137"/>
      <c r="BH75" s="2137"/>
      <c r="BI75" s="2137"/>
      <c r="BJ75" s="2137"/>
      <c r="BK75" s="2137"/>
      <c r="BL75" s="2137"/>
      <c r="BM75" s="2137"/>
      <c r="BN75" s="2168"/>
      <c r="BO75" s="2168"/>
      <c r="BP75" s="2168"/>
      <c r="BQ75" s="2168"/>
      <c r="BR75" s="2168"/>
      <c r="BS75" s="2168"/>
      <c r="BT75" s="2168"/>
      <c r="BU75" s="2168"/>
      <c r="BV75" s="2168"/>
      <c r="BW75" s="2168"/>
      <c r="BX75" s="2168"/>
      <c r="BY75" s="2168"/>
      <c r="BZ75" s="2168"/>
      <c r="CA75" s="2168"/>
      <c r="CB75" s="2168"/>
      <c r="CC75" s="2144"/>
      <c r="CD75" s="2144"/>
      <c r="CE75" s="2146"/>
      <c r="CF75" s="2144"/>
      <c r="CG75" s="2144"/>
      <c r="CH75" s="2143"/>
    </row>
    <row r="76" spans="1:86" ht="15" x14ac:dyDescent="0.25">
      <c r="A76" s="2168">
        <v>1</v>
      </c>
      <c r="B76" s="2168"/>
      <c r="C76" s="2168"/>
      <c r="D76" s="2168"/>
      <c r="E76" s="2168">
        <v>2</v>
      </c>
      <c r="F76" s="2168"/>
      <c r="G76" s="2168"/>
      <c r="H76" s="2168"/>
      <c r="I76" s="2168"/>
      <c r="J76" s="2168"/>
      <c r="K76" s="2168"/>
      <c r="L76" s="2168"/>
      <c r="M76" s="2168"/>
      <c r="N76" s="2168"/>
      <c r="O76" s="2168"/>
      <c r="P76" s="2168"/>
      <c r="Q76" s="2168"/>
      <c r="R76" s="2168"/>
      <c r="S76" s="2168"/>
      <c r="T76" s="2168"/>
      <c r="U76" s="2168"/>
      <c r="V76" s="2168"/>
      <c r="W76" s="2168"/>
      <c r="X76" s="2168"/>
      <c r="Y76" s="2168"/>
      <c r="Z76" s="2168"/>
      <c r="AA76" s="2168"/>
      <c r="AB76" s="2168"/>
      <c r="AC76" s="2168"/>
      <c r="AD76" s="2168"/>
      <c r="AE76" s="2168"/>
      <c r="AF76" s="2168"/>
      <c r="AG76" s="2168"/>
      <c r="AH76" s="2168"/>
      <c r="AI76" s="2168"/>
      <c r="AJ76" s="2168"/>
      <c r="AK76" s="2168"/>
      <c r="AL76" s="2168"/>
      <c r="AM76" s="2168"/>
      <c r="AN76" s="2168"/>
      <c r="AO76" s="2168"/>
      <c r="AP76" s="2168"/>
      <c r="AQ76" s="2168"/>
      <c r="AR76" s="2168"/>
      <c r="AS76" s="2168">
        <v>3</v>
      </c>
      <c r="AT76" s="2168"/>
      <c r="AU76" s="2168"/>
      <c r="AV76" s="2168"/>
      <c r="AW76" s="2168"/>
      <c r="AX76" s="2168"/>
      <c r="AY76" s="2168"/>
      <c r="AZ76" s="2168"/>
      <c r="BA76" s="2168"/>
      <c r="BB76" s="2168"/>
      <c r="BC76" s="2168">
        <v>4</v>
      </c>
      <c r="BD76" s="2168"/>
      <c r="BE76" s="2168"/>
      <c r="BF76" s="2168"/>
      <c r="BG76" s="2168"/>
      <c r="BH76" s="2168"/>
      <c r="BI76" s="2168"/>
      <c r="BJ76" s="2168"/>
      <c r="BK76" s="2168"/>
      <c r="BL76" s="2168"/>
      <c r="BM76" s="2168"/>
      <c r="BN76" s="2168" t="s">
        <v>49</v>
      </c>
      <c r="BO76" s="2168"/>
      <c r="BP76" s="2168"/>
      <c r="BQ76" s="2168"/>
      <c r="BR76" s="2168"/>
      <c r="BS76" s="2168"/>
      <c r="BT76" s="2168"/>
      <c r="BU76" s="2168"/>
      <c r="BV76" s="2168"/>
      <c r="BW76" s="2168"/>
      <c r="BX76" s="2168"/>
      <c r="BY76" s="2168"/>
      <c r="BZ76" s="2168"/>
      <c r="CA76" s="2168"/>
      <c r="CB76" s="2168"/>
      <c r="CC76" s="290">
        <v>6</v>
      </c>
      <c r="CD76" s="290">
        <v>7</v>
      </c>
      <c r="CE76" s="290">
        <v>8</v>
      </c>
      <c r="CF76" s="290">
        <v>9</v>
      </c>
      <c r="CG76" s="290">
        <v>10</v>
      </c>
      <c r="CH76" s="290">
        <v>11</v>
      </c>
    </row>
    <row r="77" spans="1:86" s="29" customFormat="1" ht="15" x14ac:dyDescent="0.2">
      <c r="A77" s="2137">
        <v>1</v>
      </c>
      <c r="B77" s="2137"/>
      <c r="C77" s="2137"/>
      <c r="D77" s="2137"/>
      <c r="E77" s="2191" t="s">
        <v>1282</v>
      </c>
      <c r="F77" s="2191"/>
      <c r="G77" s="2191"/>
      <c r="H77" s="2191"/>
      <c r="I77" s="2191"/>
      <c r="J77" s="2191"/>
      <c r="K77" s="2191"/>
      <c r="L77" s="2191"/>
      <c r="M77" s="2191"/>
      <c r="N77" s="2191"/>
      <c r="O77" s="2191"/>
      <c r="P77" s="2191"/>
      <c r="Q77" s="2191"/>
      <c r="R77" s="2191"/>
      <c r="S77" s="2191"/>
      <c r="T77" s="2191"/>
      <c r="U77" s="2191"/>
      <c r="V77" s="2191"/>
      <c r="W77" s="2191"/>
      <c r="X77" s="2191"/>
      <c r="Y77" s="2191"/>
      <c r="Z77" s="2191"/>
      <c r="AA77" s="2191"/>
      <c r="AB77" s="2191"/>
      <c r="AC77" s="2191"/>
      <c r="AD77" s="2191"/>
      <c r="AE77" s="2191"/>
      <c r="AF77" s="2191"/>
      <c r="AG77" s="2191"/>
      <c r="AH77" s="2191"/>
      <c r="AI77" s="2191"/>
      <c r="AJ77" s="2191"/>
      <c r="AK77" s="2191"/>
      <c r="AL77" s="2191"/>
      <c r="AM77" s="2191"/>
      <c r="AN77" s="2191"/>
      <c r="AO77" s="2191"/>
      <c r="AP77" s="2191"/>
      <c r="AQ77" s="2191"/>
      <c r="AR77" s="2191"/>
      <c r="AS77" s="2192">
        <v>600</v>
      </c>
      <c r="AT77" s="2192"/>
      <c r="AU77" s="2192"/>
      <c r="AV77" s="2192"/>
      <c r="AW77" s="2192"/>
      <c r="AX77" s="2192"/>
      <c r="AY77" s="2192"/>
      <c r="AZ77" s="2192"/>
      <c r="BA77" s="2192"/>
      <c r="BB77" s="2192"/>
      <c r="BC77" s="2193">
        <f>CC77/AS77</f>
        <v>1261.6666666666667</v>
      </c>
      <c r="BD77" s="2193"/>
      <c r="BE77" s="2193"/>
      <c r="BF77" s="2193"/>
      <c r="BG77" s="2193"/>
      <c r="BH77" s="2193"/>
      <c r="BI77" s="2193"/>
      <c r="BJ77" s="2193"/>
      <c r="BK77" s="2193"/>
      <c r="BL77" s="2193"/>
      <c r="BM77" s="2193"/>
      <c r="BN77" s="2193">
        <f>CC77</f>
        <v>757000</v>
      </c>
      <c r="BO77" s="2193"/>
      <c r="BP77" s="2193"/>
      <c r="BQ77" s="2193"/>
      <c r="BR77" s="2193"/>
      <c r="BS77" s="2193"/>
      <c r="BT77" s="2193"/>
      <c r="BU77" s="2193"/>
      <c r="BV77" s="2193"/>
      <c r="BW77" s="2193"/>
      <c r="BX77" s="2193"/>
      <c r="BY77" s="2193"/>
      <c r="BZ77" s="2193"/>
      <c r="CA77" s="2193"/>
      <c r="CB77" s="2193"/>
      <c r="CC77" s="583">
        <v>757000</v>
      </c>
      <c r="CD77" s="583"/>
      <c r="CE77" s="583"/>
      <c r="CF77" s="583"/>
      <c r="CG77" s="583"/>
      <c r="CH77" s="583"/>
    </row>
    <row r="78" spans="1:86" ht="27.75" customHeight="1" x14ac:dyDescent="0.2">
      <c r="A78" s="2186" t="s">
        <v>162</v>
      </c>
      <c r="B78" s="2187"/>
      <c r="C78" s="2187"/>
      <c r="D78" s="2187"/>
      <c r="E78" s="2187"/>
      <c r="F78" s="2187"/>
      <c r="G78" s="2187"/>
      <c r="H78" s="2187"/>
      <c r="I78" s="2187"/>
      <c r="J78" s="2187"/>
      <c r="K78" s="2187"/>
      <c r="L78" s="2187"/>
      <c r="M78" s="2187"/>
      <c r="N78" s="2187"/>
      <c r="O78" s="2187"/>
      <c r="P78" s="2187"/>
      <c r="Q78" s="2187"/>
      <c r="R78" s="2187"/>
      <c r="S78" s="2187"/>
      <c r="T78" s="2187"/>
      <c r="U78" s="2187"/>
      <c r="V78" s="2187"/>
      <c r="W78" s="2187"/>
      <c r="X78" s="2187"/>
      <c r="Y78" s="2187"/>
      <c r="Z78" s="2187"/>
      <c r="AA78" s="2187"/>
      <c r="AB78" s="2187"/>
      <c r="AC78" s="2187"/>
      <c r="AD78" s="2187"/>
      <c r="AE78" s="2187"/>
      <c r="AF78" s="2187"/>
      <c r="AG78" s="2187"/>
      <c r="AH78" s="2187"/>
      <c r="AI78" s="2187"/>
      <c r="AJ78" s="2187"/>
      <c r="AK78" s="2187"/>
      <c r="AL78" s="2187"/>
      <c r="AM78" s="2187"/>
      <c r="AN78" s="2187"/>
      <c r="AO78" s="2187"/>
      <c r="AP78" s="2187"/>
      <c r="AQ78" s="2187"/>
      <c r="AR78" s="2188"/>
      <c r="AS78" s="2189" t="s">
        <v>3</v>
      </c>
      <c r="AT78" s="2189"/>
      <c r="AU78" s="2189"/>
      <c r="AV78" s="2189"/>
      <c r="AW78" s="2189"/>
      <c r="AX78" s="2189"/>
      <c r="AY78" s="2189"/>
      <c r="AZ78" s="2189"/>
      <c r="BA78" s="2189"/>
      <c r="BB78" s="2189"/>
      <c r="BC78" s="2190" t="s">
        <v>3</v>
      </c>
      <c r="BD78" s="2190"/>
      <c r="BE78" s="2190"/>
      <c r="BF78" s="2190"/>
      <c r="BG78" s="2190"/>
      <c r="BH78" s="2190"/>
      <c r="BI78" s="2190"/>
      <c r="BJ78" s="2190"/>
      <c r="BK78" s="2190"/>
      <c r="BL78" s="2190"/>
      <c r="BM78" s="2190"/>
      <c r="BN78" s="2190">
        <f>SUM(BN77:CB77)</f>
        <v>757000</v>
      </c>
      <c r="BO78" s="2190"/>
      <c r="BP78" s="2190"/>
      <c r="BQ78" s="2190"/>
      <c r="BR78" s="2190"/>
      <c r="BS78" s="2190"/>
      <c r="BT78" s="2190"/>
      <c r="BU78" s="2190"/>
      <c r="BV78" s="2190"/>
      <c r="BW78" s="2190"/>
      <c r="BX78" s="2190"/>
      <c r="BY78" s="2190"/>
      <c r="BZ78" s="2190"/>
      <c r="CA78" s="2190"/>
      <c r="CB78" s="2190"/>
      <c r="CC78" s="584">
        <f>SUM(CC77:CC77)</f>
        <v>757000</v>
      </c>
      <c r="CD78" s="584"/>
      <c r="CE78" s="584"/>
      <c r="CF78" s="584"/>
      <c r="CG78" s="584"/>
      <c r="CH78" s="584">
        <f>SUM(CH77)</f>
        <v>0</v>
      </c>
    </row>
    <row r="79" spans="1:86" s="29" customFormat="1" ht="15.75" x14ac:dyDescent="0.25">
      <c r="A79" s="19" t="s">
        <v>60</v>
      </c>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row>
    <row r="80" spans="1:86" x14ac:dyDescent="0.2">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7"/>
      <c r="CD80" s="7"/>
      <c r="CE80" s="7"/>
      <c r="CF80" s="7"/>
      <c r="CG80" s="7"/>
      <c r="CH80" s="7"/>
    </row>
    <row r="81" spans="1:86" s="29" customFormat="1" x14ac:dyDescent="0.2">
      <c r="A81" s="1810" t="s">
        <v>38</v>
      </c>
      <c r="B81" s="1810"/>
      <c r="C81" s="1810"/>
      <c r="D81" s="1810"/>
      <c r="E81" s="1830" t="s">
        <v>4</v>
      </c>
      <c r="F81" s="1830"/>
      <c r="G81" s="1830"/>
      <c r="H81" s="1830"/>
      <c r="I81" s="1830"/>
      <c r="J81" s="1830"/>
      <c r="K81" s="1830"/>
      <c r="L81" s="1830"/>
      <c r="M81" s="1830"/>
      <c r="N81" s="1830"/>
      <c r="O81" s="1830"/>
      <c r="P81" s="1830"/>
      <c r="Q81" s="1830"/>
      <c r="R81" s="1830"/>
      <c r="S81" s="1830"/>
      <c r="T81" s="1830"/>
      <c r="U81" s="1830"/>
      <c r="V81" s="1830"/>
      <c r="W81" s="1830"/>
      <c r="X81" s="1830"/>
      <c r="Y81" s="1830"/>
      <c r="Z81" s="1830"/>
      <c r="AA81" s="1830"/>
      <c r="AB81" s="1830"/>
      <c r="AC81" s="1830"/>
      <c r="AD81" s="1830"/>
      <c r="AE81" s="1830"/>
      <c r="AF81" s="1830"/>
      <c r="AG81" s="1830"/>
      <c r="AH81" s="1830"/>
      <c r="AI81" s="1830"/>
      <c r="AJ81" s="1830"/>
      <c r="AK81" s="1830"/>
      <c r="AL81" s="1830"/>
      <c r="AM81" s="1830"/>
      <c r="AN81" s="1830"/>
      <c r="AO81" s="1830"/>
      <c r="AP81" s="1830"/>
      <c r="AQ81" s="1830"/>
      <c r="AR81" s="1830"/>
      <c r="AS81" s="1830" t="s">
        <v>5</v>
      </c>
      <c r="AT81" s="1830"/>
      <c r="AU81" s="1830"/>
      <c r="AV81" s="1830"/>
      <c r="AW81" s="1830"/>
      <c r="AX81" s="1830"/>
      <c r="AY81" s="1830"/>
      <c r="AZ81" s="1830"/>
      <c r="BA81" s="1830"/>
      <c r="BB81" s="1830"/>
      <c r="BC81" s="1810" t="s">
        <v>758</v>
      </c>
      <c r="BD81" s="1810"/>
      <c r="BE81" s="1810"/>
      <c r="BF81" s="1810"/>
      <c r="BG81" s="1810"/>
      <c r="BH81" s="1810"/>
      <c r="BI81" s="1810"/>
      <c r="BJ81" s="1810"/>
      <c r="BK81" s="1810"/>
      <c r="BL81" s="1810"/>
      <c r="BM81" s="1810"/>
      <c r="BN81" s="1830" t="s">
        <v>6</v>
      </c>
      <c r="BO81" s="1830"/>
      <c r="BP81" s="1830"/>
      <c r="BQ81" s="1830"/>
      <c r="BR81" s="1830"/>
      <c r="BS81" s="1830"/>
      <c r="BT81" s="1830"/>
      <c r="BU81" s="1830"/>
      <c r="BV81" s="1830"/>
      <c r="BW81" s="1830"/>
      <c r="BX81" s="1830"/>
      <c r="BY81" s="1830"/>
      <c r="BZ81" s="1830"/>
      <c r="CA81" s="1830"/>
      <c r="CB81" s="1830"/>
      <c r="CC81" s="1806" t="s">
        <v>52</v>
      </c>
      <c r="CD81" s="1806"/>
      <c r="CE81" s="1806"/>
      <c r="CF81" s="1806"/>
      <c r="CG81" s="1806"/>
      <c r="CH81" s="1806"/>
    </row>
    <row r="82" spans="1:86" s="234" customFormat="1" x14ac:dyDescent="0.2">
      <c r="A82" s="1810"/>
      <c r="B82" s="1810"/>
      <c r="C82" s="1810"/>
      <c r="D82" s="1810"/>
      <c r="E82" s="1830"/>
      <c r="F82" s="1830"/>
      <c r="G82" s="1830"/>
      <c r="H82" s="1830"/>
      <c r="I82" s="1830"/>
      <c r="J82" s="1830"/>
      <c r="K82" s="1830"/>
      <c r="L82" s="1830"/>
      <c r="M82" s="1830"/>
      <c r="N82" s="1830"/>
      <c r="O82" s="1830"/>
      <c r="P82" s="1830"/>
      <c r="Q82" s="1830"/>
      <c r="R82" s="1830"/>
      <c r="S82" s="1830"/>
      <c r="T82" s="1830"/>
      <c r="U82" s="1830"/>
      <c r="V82" s="1830"/>
      <c r="W82" s="1830"/>
      <c r="X82" s="1830"/>
      <c r="Y82" s="1830"/>
      <c r="Z82" s="1830"/>
      <c r="AA82" s="1830"/>
      <c r="AB82" s="1830"/>
      <c r="AC82" s="1830"/>
      <c r="AD82" s="1830"/>
      <c r="AE82" s="1830"/>
      <c r="AF82" s="1830"/>
      <c r="AG82" s="1830"/>
      <c r="AH82" s="1830"/>
      <c r="AI82" s="1830"/>
      <c r="AJ82" s="1830"/>
      <c r="AK82" s="1830"/>
      <c r="AL82" s="1830"/>
      <c r="AM82" s="1830"/>
      <c r="AN82" s="1830"/>
      <c r="AO82" s="1830"/>
      <c r="AP82" s="1830"/>
      <c r="AQ82" s="1830"/>
      <c r="AR82" s="1830"/>
      <c r="AS82" s="1830"/>
      <c r="AT82" s="1830"/>
      <c r="AU82" s="1830"/>
      <c r="AV82" s="1830"/>
      <c r="AW82" s="1830"/>
      <c r="AX82" s="1830"/>
      <c r="AY82" s="1830"/>
      <c r="AZ82" s="1830"/>
      <c r="BA82" s="1830"/>
      <c r="BB82" s="1830"/>
      <c r="BC82" s="1810"/>
      <c r="BD82" s="1810"/>
      <c r="BE82" s="1810"/>
      <c r="BF82" s="1810"/>
      <c r="BG82" s="1810"/>
      <c r="BH82" s="1810"/>
      <c r="BI82" s="1810"/>
      <c r="BJ82" s="1810"/>
      <c r="BK82" s="1810"/>
      <c r="BL82" s="1810"/>
      <c r="BM82" s="1810"/>
      <c r="BN82" s="1830"/>
      <c r="BO82" s="1830"/>
      <c r="BP82" s="1830"/>
      <c r="BQ82" s="1830"/>
      <c r="BR82" s="1830"/>
      <c r="BS82" s="1830"/>
      <c r="BT82" s="1830"/>
      <c r="BU82" s="1830"/>
      <c r="BV82" s="1830"/>
      <c r="BW82" s="1830"/>
      <c r="BX82" s="1830"/>
      <c r="BY82" s="1830"/>
      <c r="BZ82" s="1830"/>
      <c r="CA82" s="1830"/>
      <c r="CB82" s="1830"/>
      <c r="CC82" s="1810" t="s">
        <v>35</v>
      </c>
      <c r="CD82" s="1810"/>
      <c r="CE82" s="1788" t="s">
        <v>45</v>
      </c>
      <c r="CF82" s="1790"/>
      <c r="CG82" s="1789"/>
      <c r="CH82" s="1778" t="s">
        <v>46</v>
      </c>
    </row>
    <row r="83" spans="1:86" s="234" customFormat="1" x14ac:dyDescent="0.2">
      <c r="A83" s="1810"/>
      <c r="B83" s="1810"/>
      <c r="C83" s="1810"/>
      <c r="D83" s="1810"/>
      <c r="E83" s="1830"/>
      <c r="F83" s="1830"/>
      <c r="G83" s="1830"/>
      <c r="H83" s="1830"/>
      <c r="I83" s="1830"/>
      <c r="J83" s="1830"/>
      <c r="K83" s="1830"/>
      <c r="L83" s="1830"/>
      <c r="M83" s="1830"/>
      <c r="N83" s="1830"/>
      <c r="O83" s="1830"/>
      <c r="P83" s="1830"/>
      <c r="Q83" s="1830"/>
      <c r="R83" s="1830"/>
      <c r="S83" s="1830"/>
      <c r="T83" s="1830"/>
      <c r="U83" s="1830"/>
      <c r="V83" s="1830"/>
      <c r="W83" s="1830"/>
      <c r="X83" s="1830"/>
      <c r="Y83" s="1830"/>
      <c r="Z83" s="1830"/>
      <c r="AA83" s="1830"/>
      <c r="AB83" s="1830"/>
      <c r="AC83" s="1830"/>
      <c r="AD83" s="1830"/>
      <c r="AE83" s="1830"/>
      <c r="AF83" s="1830"/>
      <c r="AG83" s="1830"/>
      <c r="AH83" s="1830"/>
      <c r="AI83" s="1830"/>
      <c r="AJ83" s="1830"/>
      <c r="AK83" s="1830"/>
      <c r="AL83" s="1830"/>
      <c r="AM83" s="1830"/>
      <c r="AN83" s="1830"/>
      <c r="AO83" s="1830"/>
      <c r="AP83" s="1830"/>
      <c r="AQ83" s="1830"/>
      <c r="AR83" s="1830"/>
      <c r="AS83" s="1830"/>
      <c r="AT83" s="1830"/>
      <c r="AU83" s="1830"/>
      <c r="AV83" s="1830"/>
      <c r="AW83" s="1830"/>
      <c r="AX83" s="1830"/>
      <c r="AY83" s="1830"/>
      <c r="AZ83" s="1830"/>
      <c r="BA83" s="1830"/>
      <c r="BB83" s="1830"/>
      <c r="BC83" s="1810"/>
      <c r="BD83" s="1810"/>
      <c r="BE83" s="1810"/>
      <c r="BF83" s="1810"/>
      <c r="BG83" s="1810"/>
      <c r="BH83" s="1810"/>
      <c r="BI83" s="1810"/>
      <c r="BJ83" s="1810"/>
      <c r="BK83" s="1810"/>
      <c r="BL83" s="1810"/>
      <c r="BM83" s="1810"/>
      <c r="BN83" s="1830"/>
      <c r="BO83" s="1830"/>
      <c r="BP83" s="1830"/>
      <c r="BQ83" s="1830"/>
      <c r="BR83" s="1830"/>
      <c r="BS83" s="1830"/>
      <c r="BT83" s="1830"/>
      <c r="BU83" s="1830"/>
      <c r="BV83" s="1830"/>
      <c r="BW83" s="1830"/>
      <c r="BX83" s="1830"/>
      <c r="BY83" s="1830"/>
      <c r="BZ83" s="1830"/>
      <c r="CA83" s="1830"/>
      <c r="CB83" s="1830"/>
      <c r="CC83" s="1811" t="s">
        <v>43</v>
      </c>
      <c r="CD83" s="1811" t="s">
        <v>44</v>
      </c>
      <c r="CE83" s="1812" t="s">
        <v>55</v>
      </c>
      <c r="CF83" s="1811" t="s">
        <v>43</v>
      </c>
      <c r="CG83" s="1811" t="s">
        <v>44</v>
      </c>
      <c r="CH83" s="1779"/>
    </row>
    <row r="84" spans="1:86" s="234" customFormat="1" x14ac:dyDescent="0.2">
      <c r="A84" s="1810"/>
      <c r="B84" s="1810"/>
      <c r="C84" s="1810"/>
      <c r="D84" s="1810"/>
      <c r="E84" s="1830"/>
      <c r="F84" s="1830"/>
      <c r="G84" s="1830"/>
      <c r="H84" s="1830"/>
      <c r="I84" s="1830"/>
      <c r="J84" s="1830"/>
      <c r="K84" s="1830"/>
      <c r="L84" s="1830"/>
      <c r="M84" s="1830"/>
      <c r="N84" s="1830"/>
      <c r="O84" s="1830"/>
      <c r="P84" s="1830"/>
      <c r="Q84" s="1830"/>
      <c r="R84" s="1830"/>
      <c r="S84" s="1830"/>
      <c r="T84" s="1830"/>
      <c r="U84" s="1830"/>
      <c r="V84" s="1830"/>
      <c r="W84" s="1830"/>
      <c r="X84" s="1830"/>
      <c r="Y84" s="1830"/>
      <c r="Z84" s="1830"/>
      <c r="AA84" s="1830"/>
      <c r="AB84" s="1830"/>
      <c r="AC84" s="1830"/>
      <c r="AD84" s="1830"/>
      <c r="AE84" s="1830"/>
      <c r="AF84" s="1830"/>
      <c r="AG84" s="1830"/>
      <c r="AH84" s="1830"/>
      <c r="AI84" s="1830"/>
      <c r="AJ84" s="1830"/>
      <c r="AK84" s="1830"/>
      <c r="AL84" s="1830"/>
      <c r="AM84" s="1830"/>
      <c r="AN84" s="1830"/>
      <c r="AO84" s="1830"/>
      <c r="AP84" s="1830"/>
      <c r="AQ84" s="1830"/>
      <c r="AR84" s="1830"/>
      <c r="AS84" s="1830"/>
      <c r="AT84" s="1830"/>
      <c r="AU84" s="1830"/>
      <c r="AV84" s="1830"/>
      <c r="AW84" s="1830"/>
      <c r="AX84" s="1830"/>
      <c r="AY84" s="1830"/>
      <c r="AZ84" s="1830"/>
      <c r="BA84" s="1830"/>
      <c r="BB84" s="1830"/>
      <c r="BC84" s="1810"/>
      <c r="BD84" s="1810"/>
      <c r="BE84" s="1810"/>
      <c r="BF84" s="1810"/>
      <c r="BG84" s="1810"/>
      <c r="BH84" s="1810"/>
      <c r="BI84" s="1810"/>
      <c r="BJ84" s="1810"/>
      <c r="BK84" s="1810"/>
      <c r="BL84" s="1810"/>
      <c r="BM84" s="1810"/>
      <c r="BN84" s="1830"/>
      <c r="BO84" s="1830"/>
      <c r="BP84" s="1830"/>
      <c r="BQ84" s="1830"/>
      <c r="BR84" s="1830"/>
      <c r="BS84" s="1830"/>
      <c r="BT84" s="1830"/>
      <c r="BU84" s="1830"/>
      <c r="BV84" s="1830"/>
      <c r="BW84" s="1830"/>
      <c r="BX84" s="1830"/>
      <c r="BY84" s="1830"/>
      <c r="BZ84" s="1830"/>
      <c r="CA84" s="1830"/>
      <c r="CB84" s="1830"/>
      <c r="CC84" s="1811"/>
      <c r="CD84" s="1811"/>
      <c r="CE84" s="1813"/>
      <c r="CF84" s="1811"/>
      <c r="CG84" s="1811"/>
      <c r="CH84" s="1780"/>
    </row>
    <row r="85" spans="1:86" s="234" customFormat="1" x14ac:dyDescent="0.2">
      <c r="A85" s="1830">
        <v>1</v>
      </c>
      <c r="B85" s="1830"/>
      <c r="C85" s="1830"/>
      <c r="D85" s="1830"/>
      <c r="E85" s="1830">
        <v>2</v>
      </c>
      <c r="F85" s="1830"/>
      <c r="G85" s="1830"/>
      <c r="H85" s="1830"/>
      <c r="I85" s="1830"/>
      <c r="J85" s="1830"/>
      <c r="K85" s="1830"/>
      <c r="L85" s="1830"/>
      <c r="M85" s="1830"/>
      <c r="N85" s="1830"/>
      <c r="O85" s="1830"/>
      <c r="P85" s="1830"/>
      <c r="Q85" s="1830"/>
      <c r="R85" s="1830"/>
      <c r="S85" s="1830"/>
      <c r="T85" s="1830"/>
      <c r="U85" s="1830"/>
      <c r="V85" s="1830"/>
      <c r="W85" s="1830"/>
      <c r="X85" s="1830"/>
      <c r="Y85" s="1830"/>
      <c r="Z85" s="1830"/>
      <c r="AA85" s="1830"/>
      <c r="AB85" s="1830"/>
      <c r="AC85" s="1830"/>
      <c r="AD85" s="1830"/>
      <c r="AE85" s="1830"/>
      <c r="AF85" s="1830"/>
      <c r="AG85" s="1830"/>
      <c r="AH85" s="1830"/>
      <c r="AI85" s="1830"/>
      <c r="AJ85" s="1830"/>
      <c r="AK85" s="1830"/>
      <c r="AL85" s="1830"/>
      <c r="AM85" s="1830"/>
      <c r="AN85" s="1830"/>
      <c r="AO85" s="1830"/>
      <c r="AP85" s="1830"/>
      <c r="AQ85" s="1830"/>
      <c r="AR85" s="1830"/>
      <c r="AS85" s="1830">
        <v>3</v>
      </c>
      <c r="AT85" s="1830"/>
      <c r="AU85" s="1830"/>
      <c r="AV85" s="1830"/>
      <c r="AW85" s="1830"/>
      <c r="AX85" s="1830"/>
      <c r="AY85" s="1830"/>
      <c r="AZ85" s="1830"/>
      <c r="BA85" s="1830"/>
      <c r="BB85" s="1830"/>
      <c r="BC85" s="1830">
        <v>4</v>
      </c>
      <c r="BD85" s="1830"/>
      <c r="BE85" s="1830"/>
      <c r="BF85" s="1830"/>
      <c r="BG85" s="1830"/>
      <c r="BH85" s="1830"/>
      <c r="BI85" s="1830"/>
      <c r="BJ85" s="1830"/>
      <c r="BK85" s="1830"/>
      <c r="BL85" s="1830"/>
      <c r="BM85" s="1830"/>
      <c r="BN85" s="1830" t="s">
        <v>49</v>
      </c>
      <c r="BO85" s="1830"/>
      <c r="BP85" s="1830"/>
      <c r="BQ85" s="1830"/>
      <c r="BR85" s="1830"/>
      <c r="BS85" s="1830"/>
      <c r="BT85" s="1830"/>
      <c r="BU85" s="1830"/>
      <c r="BV85" s="1830"/>
      <c r="BW85" s="1830"/>
      <c r="BX85" s="1830"/>
      <c r="BY85" s="1830"/>
      <c r="BZ85" s="1830"/>
      <c r="CA85" s="1830"/>
      <c r="CB85" s="1830"/>
      <c r="CC85" s="15">
        <v>6</v>
      </c>
      <c r="CD85" s="15">
        <v>7</v>
      </c>
      <c r="CE85" s="15">
        <v>8</v>
      </c>
      <c r="CF85" s="15">
        <v>9</v>
      </c>
      <c r="CG85" s="15">
        <v>10</v>
      </c>
      <c r="CH85" s="15">
        <v>11</v>
      </c>
    </row>
    <row r="86" spans="1:86" s="234" customFormat="1" x14ac:dyDescent="0.2">
      <c r="A86" s="1973">
        <v>1</v>
      </c>
      <c r="B86" s="1973"/>
      <c r="C86" s="1973"/>
      <c r="D86" s="1973"/>
      <c r="E86" s="1973" t="s">
        <v>588</v>
      </c>
      <c r="F86" s="1973"/>
      <c r="G86" s="1973"/>
      <c r="H86" s="1973"/>
      <c r="I86" s="1973"/>
      <c r="J86" s="1973"/>
      <c r="K86" s="1973"/>
      <c r="L86" s="1973"/>
      <c r="M86" s="1973"/>
      <c r="N86" s="1973"/>
      <c r="O86" s="1973"/>
      <c r="P86" s="1973"/>
      <c r="Q86" s="1973"/>
      <c r="R86" s="1973"/>
      <c r="S86" s="1973"/>
      <c r="T86" s="1973"/>
      <c r="U86" s="1973"/>
      <c r="V86" s="1973"/>
      <c r="W86" s="1973"/>
      <c r="X86" s="1973"/>
      <c r="Y86" s="1973"/>
      <c r="Z86" s="1973"/>
      <c r="AA86" s="1973"/>
      <c r="AB86" s="1973"/>
      <c r="AC86" s="1973"/>
      <c r="AD86" s="1973"/>
      <c r="AE86" s="1973"/>
      <c r="AF86" s="1973"/>
      <c r="AG86" s="1973"/>
      <c r="AH86" s="1973"/>
      <c r="AI86" s="1973"/>
      <c r="AJ86" s="1973"/>
      <c r="AK86" s="1973"/>
      <c r="AL86" s="1973"/>
      <c r="AM86" s="1973"/>
      <c r="AN86" s="1973"/>
      <c r="AO86" s="1973"/>
      <c r="AP86" s="1973"/>
      <c r="AQ86" s="1973"/>
      <c r="AR86" s="1973"/>
      <c r="AS86" s="2098"/>
      <c r="AT86" s="2098"/>
      <c r="AU86" s="2098"/>
      <c r="AV86" s="2098"/>
      <c r="AW86" s="2098"/>
      <c r="AX86" s="2098"/>
      <c r="AY86" s="2098"/>
      <c r="AZ86" s="2098"/>
      <c r="BA86" s="2098"/>
      <c r="BB86" s="2098"/>
      <c r="BC86" s="2099"/>
      <c r="BD86" s="2098"/>
      <c r="BE86" s="2098"/>
      <c r="BF86" s="2098"/>
      <c r="BG86" s="2098"/>
      <c r="BH86" s="2098"/>
      <c r="BI86" s="2098"/>
      <c r="BJ86" s="2098"/>
      <c r="BK86" s="2098"/>
      <c r="BL86" s="2098"/>
      <c r="BM86" s="2098"/>
      <c r="BN86" s="1977">
        <f>CD86</f>
        <v>10000</v>
      </c>
      <c r="BO86" s="1977"/>
      <c r="BP86" s="1977"/>
      <c r="BQ86" s="1977"/>
      <c r="BR86" s="1977"/>
      <c r="BS86" s="1977"/>
      <c r="BT86" s="1977"/>
      <c r="BU86" s="1977"/>
      <c r="BV86" s="1977"/>
      <c r="BW86" s="1977"/>
      <c r="BX86" s="1977"/>
      <c r="BY86" s="1977"/>
      <c r="BZ86" s="1977"/>
      <c r="CA86" s="1977"/>
      <c r="CB86" s="1977"/>
      <c r="CC86" s="17"/>
      <c r="CD86" s="223">
        <v>10000</v>
      </c>
      <c r="CE86" s="17"/>
      <c r="CF86" s="17"/>
      <c r="CG86" s="17"/>
      <c r="CH86" s="17"/>
    </row>
    <row r="87" spans="1:86" s="29" customFormat="1" x14ac:dyDescent="0.2">
      <c r="A87" s="1831" t="s">
        <v>622</v>
      </c>
      <c r="B87" s="1832"/>
      <c r="C87" s="1832"/>
      <c r="D87" s="1832"/>
      <c r="E87" s="1832"/>
      <c r="F87" s="1832"/>
      <c r="G87" s="1832"/>
      <c r="H87" s="1832"/>
      <c r="I87" s="1832"/>
      <c r="J87" s="1832"/>
      <c r="K87" s="1832"/>
      <c r="L87" s="1832"/>
      <c r="M87" s="1832"/>
      <c r="N87" s="1832"/>
      <c r="O87" s="1832"/>
      <c r="P87" s="1832"/>
      <c r="Q87" s="1832"/>
      <c r="R87" s="1832"/>
      <c r="S87" s="1832"/>
      <c r="T87" s="1832"/>
      <c r="U87" s="1832"/>
      <c r="V87" s="1832"/>
      <c r="W87" s="1832"/>
      <c r="X87" s="1832"/>
      <c r="Y87" s="1832"/>
      <c r="Z87" s="1832"/>
      <c r="AA87" s="1832"/>
      <c r="AB87" s="1832"/>
      <c r="AC87" s="1832"/>
      <c r="AD87" s="1832"/>
      <c r="AE87" s="1832"/>
      <c r="AF87" s="1832"/>
      <c r="AG87" s="1832"/>
      <c r="AH87" s="1832"/>
      <c r="AI87" s="1832"/>
      <c r="AJ87" s="1832"/>
      <c r="AK87" s="1832"/>
      <c r="AL87" s="1832"/>
      <c r="AM87" s="1832"/>
      <c r="AN87" s="1832"/>
      <c r="AO87" s="1832"/>
      <c r="AP87" s="1832"/>
      <c r="AQ87" s="1832"/>
      <c r="AR87" s="1833"/>
      <c r="AS87" s="1913" t="s">
        <v>3</v>
      </c>
      <c r="AT87" s="1913"/>
      <c r="AU87" s="1913"/>
      <c r="AV87" s="1913"/>
      <c r="AW87" s="1913"/>
      <c r="AX87" s="1913"/>
      <c r="AY87" s="1913"/>
      <c r="AZ87" s="1913"/>
      <c r="BA87" s="1913"/>
      <c r="BB87" s="1913"/>
      <c r="BC87" s="1971" t="s">
        <v>3</v>
      </c>
      <c r="BD87" s="1971"/>
      <c r="BE87" s="1971"/>
      <c r="BF87" s="1971"/>
      <c r="BG87" s="1971"/>
      <c r="BH87" s="1971"/>
      <c r="BI87" s="1971"/>
      <c r="BJ87" s="1971"/>
      <c r="BK87" s="1971"/>
      <c r="BL87" s="1971"/>
      <c r="BM87" s="1971"/>
      <c r="BN87" s="1971">
        <f>BN86</f>
        <v>10000</v>
      </c>
      <c r="BO87" s="1971"/>
      <c r="BP87" s="1971"/>
      <c r="BQ87" s="1971"/>
      <c r="BR87" s="1971"/>
      <c r="BS87" s="1971"/>
      <c r="BT87" s="1971"/>
      <c r="BU87" s="1971"/>
      <c r="BV87" s="1971"/>
      <c r="BW87" s="1971"/>
      <c r="BX87" s="1971"/>
      <c r="BY87" s="1971"/>
      <c r="BZ87" s="1971"/>
      <c r="CA87" s="1971"/>
      <c r="CB87" s="1971"/>
      <c r="CC87" s="239"/>
      <c r="CD87" s="239">
        <f>CD86</f>
        <v>10000</v>
      </c>
      <c r="CE87" s="239"/>
      <c r="CF87" s="239"/>
      <c r="CG87" s="239"/>
      <c r="CH87" s="239"/>
    </row>
    <row r="88" spans="1:86" x14ac:dyDescent="0.2">
      <c r="A88" s="1973">
        <v>1</v>
      </c>
      <c r="B88" s="1973"/>
      <c r="C88" s="1973"/>
      <c r="D88" s="1973"/>
      <c r="E88" s="2154" t="s">
        <v>1144</v>
      </c>
      <c r="F88" s="2154"/>
      <c r="G88" s="2154"/>
      <c r="H88" s="2154"/>
      <c r="I88" s="2154"/>
      <c r="J88" s="2154"/>
      <c r="K88" s="2154"/>
      <c r="L88" s="2154"/>
      <c r="M88" s="2154"/>
      <c r="N88" s="2154"/>
      <c r="O88" s="2154"/>
      <c r="P88" s="2154"/>
      <c r="Q88" s="2154"/>
      <c r="R88" s="2154"/>
      <c r="S88" s="2154"/>
      <c r="T88" s="2154"/>
      <c r="U88" s="2154"/>
      <c r="V88" s="2154"/>
      <c r="W88" s="2154"/>
      <c r="X88" s="2154"/>
      <c r="Y88" s="2154"/>
      <c r="Z88" s="2154"/>
      <c r="AA88" s="2154"/>
      <c r="AB88" s="2154"/>
      <c r="AC88" s="2154"/>
      <c r="AD88" s="2154"/>
      <c r="AE88" s="2154"/>
      <c r="AF88" s="2154"/>
      <c r="AG88" s="2154"/>
      <c r="AH88" s="2154"/>
      <c r="AI88" s="2154"/>
      <c r="AJ88" s="2154"/>
      <c r="AK88" s="2154"/>
      <c r="AL88" s="2154"/>
      <c r="AM88" s="2154"/>
      <c r="AN88" s="2154"/>
      <c r="AO88" s="2154"/>
      <c r="AP88" s="2154"/>
      <c r="AQ88" s="2154"/>
      <c r="AR88" s="2154"/>
      <c r="AS88" s="1974"/>
      <c r="AT88" s="1974"/>
      <c r="AU88" s="1974"/>
      <c r="AV88" s="1974"/>
      <c r="AW88" s="1974"/>
      <c r="AX88" s="1974"/>
      <c r="AY88" s="1974"/>
      <c r="AZ88" s="1974"/>
      <c r="BA88" s="1974"/>
      <c r="BB88" s="1974"/>
      <c r="BC88" s="1977"/>
      <c r="BD88" s="1977"/>
      <c r="BE88" s="1977"/>
      <c r="BF88" s="1977"/>
      <c r="BG88" s="1977"/>
      <c r="BH88" s="1977"/>
      <c r="BI88" s="1977"/>
      <c r="BJ88" s="1977"/>
      <c r="BK88" s="1977"/>
      <c r="BL88" s="1977"/>
      <c r="BM88" s="1977"/>
      <c r="BN88" s="1977">
        <f>CC88+CD88</f>
        <v>210000</v>
      </c>
      <c r="BO88" s="1977"/>
      <c r="BP88" s="1977"/>
      <c r="BQ88" s="1977"/>
      <c r="BR88" s="1977"/>
      <c r="BS88" s="1977"/>
      <c r="BT88" s="1977"/>
      <c r="BU88" s="1977"/>
      <c r="BV88" s="1977"/>
      <c r="BW88" s="1977"/>
      <c r="BX88" s="1977"/>
      <c r="BY88" s="1977"/>
      <c r="BZ88" s="1977"/>
      <c r="CA88" s="1977"/>
      <c r="CB88" s="1977"/>
      <c r="CC88" s="223">
        <v>200000</v>
      </c>
      <c r="CD88" s="223">
        <f>3000+7000</f>
        <v>10000</v>
      </c>
      <c r="CE88" s="223"/>
      <c r="CF88" s="223"/>
      <c r="CG88" s="223"/>
      <c r="CH88" s="223"/>
    </row>
    <row r="89" spans="1:86" s="29" customFormat="1" x14ac:dyDescent="0.2">
      <c r="A89" s="1831" t="s">
        <v>620</v>
      </c>
      <c r="B89" s="1832"/>
      <c r="C89" s="1832"/>
      <c r="D89" s="1832"/>
      <c r="E89" s="1832"/>
      <c r="F89" s="1832"/>
      <c r="G89" s="1832"/>
      <c r="H89" s="1832"/>
      <c r="I89" s="1832"/>
      <c r="J89" s="1832"/>
      <c r="K89" s="1832"/>
      <c r="L89" s="1832"/>
      <c r="M89" s="1832"/>
      <c r="N89" s="1832"/>
      <c r="O89" s="1832"/>
      <c r="P89" s="1832"/>
      <c r="Q89" s="1832"/>
      <c r="R89" s="1832"/>
      <c r="S89" s="1832"/>
      <c r="T89" s="1832"/>
      <c r="U89" s="1832"/>
      <c r="V89" s="1832"/>
      <c r="W89" s="1832"/>
      <c r="X89" s="1832"/>
      <c r="Y89" s="1832"/>
      <c r="Z89" s="1832"/>
      <c r="AA89" s="1832"/>
      <c r="AB89" s="1832"/>
      <c r="AC89" s="1832"/>
      <c r="AD89" s="1832"/>
      <c r="AE89" s="1832"/>
      <c r="AF89" s="1832"/>
      <c r="AG89" s="1832"/>
      <c r="AH89" s="1832"/>
      <c r="AI89" s="1832"/>
      <c r="AJ89" s="1832"/>
      <c r="AK89" s="1832"/>
      <c r="AL89" s="1832"/>
      <c r="AM89" s="1832"/>
      <c r="AN89" s="1832"/>
      <c r="AO89" s="1832"/>
      <c r="AP89" s="1832"/>
      <c r="AQ89" s="1832"/>
      <c r="AR89" s="1833"/>
      <c r="AS89" s="1913" t="s">
        <v>3</v>
      </c>
      <c r="AT89" s="1913"/>
      <c r="AU89" s="1913"/>
      <c r="AV89" s="1913"/>
      <c r="AW89" s="1913"/>
      <c r="AX89" s="1913"/>
      <c r="AY89" s="1913"/>
      <c r="AZ89" s="1913"/>
      <c r="BA89" s="1913"/>
      <c r="BB89" s="1913"/>
      <c r="BC89" s="1971" t="s">
        <v>3</v>
      </c>
      <c r="BD89" s="1971"/>
      <c r="BE89" s="1971"/>
      <c r="BF89" s="1971"/>
      <c r="BG89" s="1971"/>
      <c r="BH89" s="1971"/>
      <c r="BI89" s="1971"/>
      <c r="BJ89" s="1971"/>
      <c r="BK89" s="1971"/>
      <c r="BL89" s="1971"/>
      <c r="BM89" s="1971"/>
      <c r="BN89" s="1971">
        <f>BN88</f>
        <v>210000</v>
      </c>
      <c r="BO89" s="1971"/>
      <c r="BP89" s="1971"/>
      <c r="BQ89" s="1971"/>
      <c r="BR89" s="1971"/>
      <c r="BS89" s="1971"/>
      <c r="BT89" s="1971"/>
      <c r="BU89" s="1971"/>
      <c r="BV89" s="1971"/>
      <c r="BW89" s="1971"/>
      <c r="BX89" s="1971"/>
      <c r="BY89" s="1971"/>
      <c r="BZ89" s="1971"/>
      <c r="CA89" s="1971"/>
      <c r="CB89" s="1971"/>
      <c r="CC89" s="239">
        <f>CC88</f>
        <v>200000</v>
      </c>
      <c r="CD89" s="239">
        <f>CD88</f>
        <v>10000</v>
      </c>
      <c r="CE89" s="239"/>
      <c r="CF89" s="239"/>
      <c r="CG89" s="239"/>
      <c r="CH89" s="239"/>
    </row>
    <row r="90" spans="1:86" x14ac:dyDescent="0.2">
      <c r="A90" s="1806">
        <v>1</v>
      </c>
      <c r="B90" s="1806"/>
      <c r="C90" s="1806"/>
      <c r="D90" s="1806"/>
      <c r="E90" s="1973" t="s">
        <v>941</v>
      </c>
      <c r="F90" s="1973"/>
      <c r="G90" s="1973"/>
      <c r="H90" s="1973"/>
      <c r="I90" s="1973"/>
      <c r="J90" s="1973"/>
      <c r="K90" s="1973"/>
      <c r="L90" s="1973"/>
      <c r="M90" s="1973"/>
      <c r="N90" s="1973"/>
      <c r="O90" s="1973"/>
      <c r="P90" s="1973"/>
      <c r="Q90" s="1973"/>
      <c r="R90" s="1973"/>
      <c r="S90" s="1973"/>
      <c r="T90" s="1973"/>
      <c r="U90" s="1973"/>
      <c r="V90" s="1973"/>
      <c r="W90" s="1973"/>
      <c r="X90" s="1973"/>
      <c r="Y90" s="1973"/>
      <c r="Z90" s="1973"/>
      <c r="AA90" s="1973"/>
      <c r="AB90" s="1973"/>
      <c r="AC90" s="1973"/>
      <c r="AD90" s="1973"/>
      <c r="AE90" s="1973"/>
      <c r="AF90" s="1973"/>
      <c r="AG90" s="1973"/>
      <c r="AH90" s="1973"/>
      <c r="AI90" s="1973"/>
      <c r="AJ90" s="1973"/>
      <c r="AK90" s="1973"/>
      <c r="AL90" s="1973"/>
      <c r="AM90" s="1973"/>
      <c r="AN90" s="1973"/>
      <c r="AO90" s="1973"/>
      <c r="AP90" s="1973"/>
      <c r="AQ90" s="1973"/>
      <c r="AR90" s="1973"/>
      <c r="AS90" s="1806"/>
      <c r="AT90" s="1806"/>
      <c r="AU90" s="1806"/>
      <c r="AV90" s="1806"/>
      <c r="AW90" s="1806"/>
      <c r="AX90" s="1806"/>
      <c r="AY90" s="1806"/>
      <c r="AZ90" s="1806"/>
      <c r="BA90" s="1806"/>
      <c r="BB90" s="1806"/>
      <c r="BC90" s="1977"/>
      <c r="BD90" s="1977"/>
      <c r="BE90" s="1977"/>
      <c r="BF90" s="1977"/>
      <c r="BG90" s="1977"/>
      <c r="BH90" s="1977"/>
      <c r="BI90" s="1977"/>
      <c r="BJ90" s="1977"/>
      <c r="BK90" s="1977"/>
      <c r="BL90" s="1977"/>
      <c r="BM90" s="1977"/>
      <c r="BN90" s="1977">
        <f>CH90+CD90</f>
        <v>20000</v>
      </c>
      <c r="BO90" s="1977"/>
      <c r="BP90" s="1977"/>
      <c r="BQ90" s="1977"/>
      <c r="BR90" s="1977"/>
      <c r="BS90" s="1977"/>
      <c r="BT90" s="1977"/>
      <c r="BU90" s="1977"/>
      <c r="BV90" s="1977"/>
      <c r="BW90" s="1977"/>
      <c r="BX90" s="1977"/>
      <c r="BY90" s="1977"/>
      <c r="BZ90" s="1977"/>
      <c r="CA90" s="1977"/>
      <c r="CB90" s="1977"/>
      <c r="CC90" s="223"/>
      <c r="CD90" s="223">
        <v>20000</v>
      </c>
      <c r="CE90" s="223"/>
      <c r="CF90" s="223"/>
      <c r="CG90" s="223"/>
      <c r="CH90" s="223"/>
    </row>
    <row r="91" spans="1:86" x14ac:dyDescent="0.2">
      <c r="A91" s="1831" t="s">
        <v>619</v>
      </c>
      <c r="B91" s="1832"/>
      <c r="C91" s="1832"/>
      <c r="D91" s="1832"/>
      <c r="E91" s="1832"/>
      <c r="F91" s="1832"/>
      <c r="G91" s="1832"/>
      <c r="H91" s="1832"/>
      <c r="I91" s="1832"/>
      <c r="J91" s="1832"/>
      <c r="K91" s="1832"/>
      <c r="L91" s="1832"/>
      <c r="M91" s="1832"/>
      <c r="N91" s="1832"/>
      <c r="O91" s="1832"/>
      <c r="P91" s="1832"/>
      <c r="Q91" s="1832"/>
      <c r="R91" s="1832"/>
      <c r="S91" s="1832"/>
      <c r="T91" s="1832"/>
      <c r="U91" s="1832"/>
      <c r="V91" s="1832"/>
      <c r="W91" s="1832"/>
      <c r="X91" s="1832"/>
      <c r="Y91" s="1832"/>
      <c r="Z91" s="1832"/>
      <c r="AA91" s="1832"/>
      <c r="AB91" s="1832"/>
      <c r="AC91" s="1832"/>
      <c r="AD91" s="1832"/>
      <c r="AE91" s="1832"/>
      <c r="AF91" s="1832"/>
      <c r="AG91" s="1832"/>
      <c r="AH91" s="1832"/>
      <c r="AI91" s="1832"/>
      <c r="AJ91" s="1832"/>
      <c r="AK91" s="1832"/>
      <c r="AL91" s="1832"/>
      <c r="AM91" s="1832"/>
      <c r="AN91" s="1832"/>
      <c r="AO91" s="1832"/>
      <c r="AP91" s="1832"/>
      <c r="AQ91" s="1832"/>
      <c r="AR91" s="1833"/>
      <c r="AS91" s="1913" t="s">
        <v>3</v>
      </c>
      <c r="AT91" s="1913"/>
      <c r="AU91" s="1913"/>
      <c r="AV91" s="1913"/>
      <c r="AW91" s="1913"/>
      <c r="AX91" s="1913"/>
      <c r="AY91" s="1913"/>
      <c r="AZ91" s="1913"/>
      <c r="BA91" s="1913"/>
      <c r="BB91" s="1913"/>
      <c r="BC91" s="1971" t="s">
        <v>3</v>
      </c>
      <c r="BD91" s="1971"/>
      <c r="BE91" s="1971"/>
      <c r="BF91" s="1971"/>
      <c r="BG91" s="1971"/>
      <c r="BH91" s="1971"/>
      <c r="BI91" s="1971"/>
      <c r="BJ91" s="1971"/>
      <c r="BK91" s="1971"/>
      <c r="BL91" s="1971"/>
      <c r="BM91" s="1971"/>
      <c r="BN91" s="1971">
        <f>BN90</f>
        <v>20000</v>
      </c>
      <c r="BO91" s="1971"/>
      <c r="BP91" s="1971"/>
      <c r="BQ91" s="1971"/>
      <c r="BR91" s="1971"/>
      <c r="BS91" s="1971"/>
      <c r="BT91" s="1971"/>
      <c r="BU91" s="1971"/>
      <c r="BV91" s="1971"/>
      <c r="BW91" s="1971"/>
      <c r="BX91" s="1971"/>
      <c r="BY91" s="1971"/>
      <c r="BZ91" s="1971"/>
      <c r="CA91" s="1971"/>
      <c r="CB91" s="1971"/>
      <c r="CC91" s="239"/>
      <c r="CD91" s="239">
        <f>CD90</f>
        <v>20000</v>
      </c>
      <c r="CE91" s="239"/>
      <c r="CF91" s="239"/>
      <c r="CG91" s="239"/>
      <c r="CH91" s="239">
        <f>CH90</f>
        <v>0</v>
      </c>
    </row>
    <row r="92" spans="1:86" x14ac:dyDescent="0.2">
      <c r="A92" s="1810">
        <v>1</v>
      </c>
      <c r="B92" s="1810"/>
      <c r="C92" s="1810"/>
      <c r="D92" s="1810"/>
      <c r="E92" s="2082" t="s">
        <v>1146</v>
      </c>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2"/>
      <c r="AI92" s="2082"/>
      <c r="AJ92" s="2082"/>
      <c r="AK92" s="2082"/>
      <c r="AL92" s="2082"/>
      <c r="AM92" s="2082"/>
      <c r="AN92" s="2082"/>
      <c r="AO92" s="2082"/>
      <c r="AP92" s="2082"/>
      <c r="AQ92" s="2082"/>
      <c r="AR92" s="2082"/>
      <c r="AS92" s="2090"/>
      <c r="AT92" s="2090"/>
      <c r="AU92" s="2090"/>
      <c r="AV92" s="2090"/>
      <c r="AW92" s="2090"/>
      <c r="AX92" s="2090"/>
      <c r="AY92" s="2090"/>
      <c r="AZ92" s="2090"/>
      <c r="BA92" s="2090"/>
      <c r="BB92" s="2090"/>
      <c r="BC92" s="2091"/>
      <c r="BD92" s="2091"/>
      <c r="BE92" s="2091"/>
      <c r="BF92" s="2091"/>
      <c r="BG92" s="2091"/>
      <c r="BH92" s="2091"/>
      <c r="BI92" s="2091"/>
      <c r="BJ92" s="2091"/>
      <c r="BK92" s="2091"/>
      <c r="BL92" s="2091"/>
      <c r="BM92" s="2091"/>
      <c r="BN92" s="2091">
        <f>CD92</f>
        <v>120928.9</v>
      </c>
      <c r="BO92" s="2091"/>
      <c r="BP92" s="2091"/>
      <c r="BQ92" s="2091"/>
      <c r="BR92" s="2091"/>
      <c r="BS92" s="2091"/>
      <c r="BT92" s="2091"/>
      <c r="BU92" s="2091"/>
      <c r="BV92" s="2091"/>
      <c r="BW92" s="2091"/>
      <c r="BX92" s="2091"/>
      <c r="BY92" s="2091"/>
      <c r="BZ92" s="2091"/>
      <c r="CA92" s="2091"/>
      <c r="CB92" s="2091"/>
      <c r="CC92" s="233"/>
      <c r="CD92" s="233">
        <f>227649-200.44+0.01-16572.38-20000-36926.28-1060+10020+1585.4-20800-5900+100-2373.96+810-6644-2900+45641.31+2200+510-600-10322.2-68861.16-30000+6600+50000-1026.4</f>
        <v>120928.9</v>
      </c>
      <c r="CE92" s="233"/>
      <c r="CF92" s="233"/>
      <c r="CG92" s="233"/>
      <c r="CH92" s="233"/>
    </row>
    <row r="93" spans="1:86" x14ac:dyDescent="0.2">
      <c r="A93" s="1810">
        <v>2</v>
      </c>
      <c r="B93" s="1810"/>
      <c r="C93" s="1810"/>
      <c r="D93" s="1810"/>
      <c r="E93" s="2082" t="s">
        <v>617</v>
      </c>
      <c r="F93" s="2082"/>
      <c r="G93" s="2082"/>
      <c r="H93" s="2082"/>
      <c r="I93" s="2082"/>
      <c r="J93" s="2082"/>
      <c r="K93" s="2082"/>
      <c r="L93" s="2082"/>
      <c r="M93" s="2082"/>
      <c r="N93" s="2082"/>
      <c r="O93" s="2082"/>
      <c r="P93" s="2082"/>
      <c r="Q93" s="2082"/>
      <c r="R93" s="2082"/>
      <c r="S93" s="2082"/>
      <c r="T93" s="2082"/>
      <c r="U93" s="2082"/>
      <c r="V93" s="2082"/>
      <c r="W93" s="2082"/>
      <c r="X93" s="2082"/>
      <c r="Y93" s="2082"/>
      <c r="Z93" s="2082"/>
      <c r="AA93" s="2082"/>
      <c r="AB93" s="2082"/>
      <c r="AC93" s="2082"/>
      <c r="AD93" s="2082"/>
      <c r="AE93" s="2082"/>
      <c r="AF93" s="2082"/>
      <c r="AG93" s="2082"/>
      <c r="AH93" s="2082"/>
      <c r="AI93" s="2082"/>
      <c r="AJ93" s="2082"/>
      <c r="AK93" s="2082"/>
      <c r="AL93" s="2082"/>
      <c r="AM93" s="2082"/>
      <c r="AN93" s="2082"/>
      <c r="AO93" s="2082"/>
      <c r="AP93" s="2082"/>
      <c r="AQ93" s="2082"/>
      <c r="AR93" s="2082"/>
      <c r="AS93" s="2090"/>
      <c r="AT93" s="2090"/>
      <c r="AU93" s="2090"/>
      <c r="AV93" s="2090"/>
      <c r="AW93" s="2090"/>
      <c r="AX93" s="2090"/>
      <c r="AY93" s="2090"/>
      <c r="AZ93" s="2090"/>
      <c r="BA93" s="2090"/>
      <c r="BB93" s="2090"/>
      <c r="BC93" s="2091"/>
      <c r="BD93" s="2091"/>
      <c r="BE93" s="2091"/>
      <c r="BF93" s="2091"/>
      <c r="BG93" s="2091"/>
      <c r="BH93" s="2091"/>
      <c r="BI93" s="2091"/>
      <c r="BJ93" s="2091"/>
      <c r="BK93" s="2091"/>
      <c r="BL93" s="2091"/>
      <c r="BM93" s="2091"/>
      <c r="BN93" s="2091">
        <f>CD93</f>
        <v>10000</v>
      </c>
      <c r="BO93" s="2091"/>
      <c r="BP93" s="2091"/>
      <c r="BQ93" s="2091"/>
      <c r="BR93" s="2091"/>
      <c r="BS93" s="2091"/>
      <c r="BT93" s="2091"/>
      <c r="BU93" s="2091"/>
      <c r="BV93" s="2091"/>
      <c r="BW93" s="2091"/>
      <c r="BX93" s="2091"/>
      <c r="BY93" s="2091"/>
      <c r="BZ93" s="2091"/>
      <c r="CA93" s="2091"/>
      <c r="CB93" s="2091"/>
      <c r="CC93" s="233"/>
      <c r="CD93" s="233">
        <v>10000</v>
      </c>
      <c r="CE93" s="233"/>
      <c r="CF93" s="233"/>
      <c r="CG93" s="233"/>
      <c r="CH93" s="233"/>
    </row>
    <row r="94" spans="1:86" x14ac:dyDescent="0.2">
      <c r="A94" s="1810">
        <v>3</v>
      </c>
      <c r="B94" s="1810"/>
      <c r="C94" s="1810"/>
      <c r="D94" s="1810"/>
      <c r="E94" s="2082" t="s">
        <v>1283</v>
      </c>
      <c r="F94" s="2082"/>
      <c r="G94" s="2082"/>
      <c r="H94" s="2082"/>
      <c r="I94" s="2082"/>
      <c r="J94" s="2082"/>
      <c r="K94" s="2082"/>
      <c r="L94" s="2082"/>
      <c r="M94" s="2082"/>
      <c r="N94" s="2082"/>
      <c r="O94" s="2082"/>
      <c r="P94" s="2082"/>
      <c r="Q94" s="2082"/>
      <c r="R94" s="2082"/>
      <c r="S94" s="2082"/>
      <c r="T94" s="2082"/>
      <c r="U94" s="2082"/>
      <c r="V94" s="2082"/>
      <c r="W94" s="2082"/>
      <c r="X94" s="2082"/>
      <c r="Y94" s="2082"/>
      <c r="Z94" s="2082"/>
      <c r="AA94" s="2082"/>
      <c r="AB94" s="2082"/>
      <c r="AC94" s="2082"/>
      <c r="AD94" s="2082"/>
      <c r="AE94" s="2082"/>
      <c r="AF94" s="2082"/>
      <c r="AG94" s="2082"/>
      <c r="AH94" s="2082"/>
      <c r="AI94" s="2082"/>
      <c r="AJ94" s="2082"/>
      <c r="AK94" s="2082"/>
      <c r="AL94" s="2082"/>
      <c r="AM94" s="2082"/>
      <c r="AN94" s="2082"/>
      <c r="AO94" s="2082"/>
      <c r="AP94" s="2082"/>
      <c r="AQ94" s="2082"/>
      <c r="AR94" s="2082"/>
      <c r="AS94" s="2090"/>
      <c r="AT94" s="2090"/>
      <c r="AU94" s="2090"/>
      <c r="AV94" s="2090"/>
      <c r="AW94" s="2090"/>
      <c r="AX94" s="2090"/>
      <c r="AY94" s="2090"/>
      <c r="AZ94" s="2090"/>
      <c r="BA94" s="2090"/>
      <c r="BB94" s="2090"/>
      <c r="BC94" s="2091"/>
      <c r="BD94" s="2091"/>
      <c r="BE94" s="2091"/>
      <c r="BF94" s="2091"/>
      <c r="BG94" s="2091"/>
      <c r="BH94" s="2091"/>
      <c r="BI94" s="2091"/>
      <c r="BJ94" s="2091"/>
      <c r="BK94" s="2091"/>
      <c r="BL94" s="2091"/>
      <c r="BM94" s="2091"/>
      <c r="BN94" s="2091">
        <f>CC94</f>
        <v>10000</v>
      </c>
      <c r="BO94" s="2091"/>
      <c r="BP94" s="2091"/>
      <c r="BQ94" s="2091"/>
      <c r="BR94" s="2091"/>
      <c r="BS94" s="2091"/>
      <c r="BT94" s="2091"/>
      <c r="BU94" s="2091"/>
      <c r="BV94" s="2091"/>
      <c r="BW94" s="2091"/>
      <c r="BX94" s="2091"/>
      <c r="BY94" s="2091"/>
      <c r="BZ94" s="2091"/>
      <c r="CA94" s="2091"/>
      <c r="CB94" s="2091"/>
      <c r="CC94" s="233">
        <v>10000</v>
      </c>
      <c r="CD94" s="233"/>
      <c r="CE94" s="233"/>
      <c r="CF94" s="233"/>
      <c r="CG94" s="233"/>
      <c r="CH94" s="233"/>
    </row>
    <row r="95" spans="1:86" x14ac:dyDescent="0.2">
      <c r="A95" s="1810">
        <v>4</v>
      </c>
      <c r="B95" s="1810"/>
      <c r="C95" s="1810"/>
      <c r="D95" s="1810"/>
      <c r="E95" s="2082" t="s">
        <v>1285</v>
      </c>
      <c r="F95" s="2082"/>
      <c r="G95" s="2082"/>
      <c r="H95" s="2082"/>
      <c r="I95" s="2082"/>
      <c r="J95" s="2082"/>
      <c r="K95" s="2082"/>
      <c r="L95" s="2082"/>
      <c r="M95" s="2082"/>
      <c r="N95" s="2082"/>
      <c r="O95" s="2082"/>
      <c r="P95" s="2082"/>
      <c r="Q95" s="2082"/>
      <c r="R95" s="2082"/>
      <c r="S95" s="2082"/>
      <c r="T95" s="2082"/>
      <c r="U95" s="2082"/>
      <c r="V95" s="2082"/>
      <c r="W95" s="2082"/>
      <c r="X95" s="2082"/>
      <c r="Y95" s="2082"/>
      <c r="Z95" s="2082"/>
      <c r="AA95" s="2082"/>
      <c r="AB95" s="2082"/>
      <c r="AC95" s="2082"/>
      <c r="AD95" s="2082"/>
      <c r="AE95" s="2082"/>
      <c r="AF95" s="2082"/>
      <c r="AG95" s="2082"/>
      <c r="AH95" s="2082"/>
      <c r="AI95" s="2082"/>
      <c r="AJ95" s="2082"/>
      <c r="AK95" s="2082"/>
      <c r="AL95" s="2082"/>
      <c r="AM95" s="2082"/>
      <c r="AN95" s="2082"/>
      <c r="AO95" s="2082"/>
      <c r="AP95" s="2082"/>
      <c r="AQ95" s="2082"/>
      <c r="AR95" s="2082"/>
      <c r="AS95" s="2090"/>
      <c r="AT95" s="2090"/>
      <c r="AU95" s="2090"/>
      <c r="AV95" s="2090"/>
      <c r="AW95" s="2090"/>
      <c r="AX95" s="2090"/>
      <c r="AY95" s="2090"/>
      <c r="AZ95" s="2090"/>
      <c r="BA95" s="2090"/>
      <c r="BB95" s="2090"/>
      <c r="BC95" s="2091"/>
      <c r="BD95" s="2091"/>
      <c r="BE95" s="2091"/>
      <c r="BF95" s="2091"/>
      <c r="BG95" s="2091"/>
      <c r="BH95" s="2091"/>
      <c r="BI95" s="2091"/>
      <c r="BJ95" s="2091"/>
      <c r="BK95" s="2091"/>
      <c r="BL95" s="2091"/>
      <c r="BM95" s="2091"/>
      <c r="BN95" s="2091">
        <f>CC95</f>
        <v>50000</v>
      </c>
      <c r="BO95" s="2091"/>
      <c r="BP95" s="2091"/>
      <c r="BQ95" s="2091"/>
      <c r="BR95" s="2091"/>
      <c r="BS95" s="2091"/>
      <c r="BT95" s="2091"/>
      <c r="BU95" s="2091"/>
      <c r="BV95" s="2091"/>
      <c r="BW95" s="2091"/>
      <c r="BX95" s="2091"/>
      <c r="BY95" s="2091"/>
      <c r="BZ95" s="2091"/>
      <c r="CA95" s="2091"/>
      <c r="CB95" s="2091"/>
      <c r="CC95" s="233">
        <v>50000</v>
      </c>
      <c r="CD95" s="233"/>
      <c r="CE95" s="233"/>
      <c r="CF95" s="233"/>
      <c r="CG95" s="233"/>
      <c r="CH95" s="233"/>
    </row>
    <row r="96" spans="1:86" x14ac:dyDescent="0.2">
      <c r="A96" s="1810">
        <v>5</v>
      </c>
      <c r="B96" s="1810"/>
      <c r="C96" s="1810"/>
      <c r="D96" s="1810"/>
      <c r="E96" s="2082" t="s">
        <v>1286</v>
      </c>
      <c r="F96" s="2082"/>
      <c r="G96" s="2082"/>
      <c r="H96" s="2082"/>
      <c r="I96" s="2082"/>
      <c r="J96" s="2082"/>
      <c r="K96" s="2082"/>
      <c r="L96" s="2082"/>
      <c r="M96" s="2082"/>
      <c r="N96" s="2082"/>
      <c r="O96" s="2082"/>
      <c r="P96" s="2082"/>
      <c r="Q96" s="2082"/>
      <c r="R96" s="2082"/>
      <c r="S96" s="2082"/>
      <c r="T96" s="2082"/>
      <c r="U96" s="2082"/>
      <c r="V96" s="2082"/>
      <c r="W96" s="2082"/>
      <c r="X96" s="2082"/>
      <c r="Y96" s="2082"/>
      <c r="Z96" s="2082"/>
      <c r="AA96" s="2082"/>
      <c r="AB96" s="2082"/>
      <c r="AC96" s="2082"/>
      <c r="AD96" s="2082"/>
      <c r="AE96" s="2082"/>
      <c r="AF96" s="2082"/>
      <c r="AG96" s="2082"/>
      <c r="AH96" s="2082"/>
      <c r="AI96" s="2082"/>
      <c r="AJ96" s="2082"/>
      <c r="AK96" s="2082"/>
      <c r="AL96" s="2082"/>
      <c r="AM96" s="2082"/>
      <c r="AN96" s="2082"/>
      <c r="AO96" s="2082"/>
      <c r="AP96" s="2082"/>
      <c r="AQ96" s="2082"/>
      <c r="AR96" s="2082"/>
      <c r="AS96" s="2090"/>
      <c r="AT96" s="2090"/>
      <c r="AU96" s="2090"/>
      <c r="AV96" s="2090"/>
      <c r="AW96" s="2090"/>
      <c r="AX96" s="2090"/>
      <c r="AY96" s="2090"/>
      <c r="AZ96" s="2090"/>
      <c r="BA96" s="2090"/>
      <c r="BB96" s="2090"/>
      <c r="BC96" s="2091"/>
      <c r="BD96" s="2091"/>
      <c r="BE96" s="2091"/>
      <c r="BF96" s="2091"/>
      <c r="BG96" s="2091"/>
      <c r="BH96" s="2091"/>
      <c r="BI96" s="2091"/>
      <c r="BJ96" s="2091"/>
      <c r="BK96" s="2091"/>
      <c r="BL96" s="2091"/>
      <c r="BM96" s="2091"/>
      <c r="BN96" s="2091">
        <v>12303.79</v>
      </c>
      <c r="BO96" s="2091"/>
      <c r="BP96" s="2091"/>
      <c r="BQ96" s="2091"/>
      <c r="BR96" s="2091"/>
      <c r="BS96" s="2091"/>
      <c r="BT96" s="2091"/>
      <c r="BU96" s="2091"/>
      <c r="BV96" s="2091"/>
      <c r="BW96" s="2091"/>
      <c r="BX96" s="2091"/>
      <c r="BY96" s="2091"/>
      <c r="BZ96" s="2091"/>
      <c r="CA96" s="2091"/>
      <c r="CB96" s="2091"/>
      <c r="CC96" s="233">
        <v>12303.79</v>
      </c>
      <c r="CD96" s="233"/>
      <c r="CE96" s="233"/>
      <c r="CF96" s="233"/>
      <c r="CG96" s="233"/>
      <c r="CH96" s="233"/>
    </row>
    <row r="97" spans="1:86" x14ac:dyDescent="0.2">
      <c r="A97" s="1831" t="s">
        <v>53</v>
      </c>
      <c r="B97" s="1832"/>
      <c r="C97" s="1832"/>
      <c r="D97" s="1832"/>
      <c r="E97" s="1832"/>
      <c r="F97" s="1832"/>
      <c r="G97" s="1832"/>
      <c r="H97" s="1832"/>
      <c r="I97" s="1832"/>
      <c r="J97" s="1832"/>
      <c r="K97" s="1832"/>
      <c r="L97" s="1832"/>
      <c r="M97" s="1832"/>
      <c r="N97" s="1832"/>
      <c r="O97" s="1832"/>
      <c r="P97" s="1832"/>
      <c r="Q97" s="1832"/>
      <c r="R97" s="1832"/>
      <c r="S97" s="1832"/>
      <c r="T97" s="1832"/>
      <c r="U97" s="1832"/>
      <c r="V97" s="1832"/>
      <c r="W97" s="1832"/>
      <c r="X97" s="1832"/>
      <c r="Y97" s="1832"/>
      <c r="Z97" s="1832"/>
      <c r="AA97" s="1832"/>
      <c r="AB97" s="1832"/>
      <c r="AC97" s="1832"/>
      <c r="AD97" s="1832"/>
      <c r="AE97" s="1832"/>
      <c r="AF97" s="1832"/>
      <c r="AG97" s="1832"/>
      <c r="AH97" s="1832"/>
      <c r="AI97" s="1832"/>
      <c r="AJ97" s="1832"/>
      <c r="AK97" s="1832"/>
      <c r="AL97" s="1832"/>
      <c r="AM97" s="1832"/>
      <c r="AN97" s="1832"/>
      <c r="AO97" s="1832"/>
      <c r="AP97" s="1832"/>
      <c r="AQ97" s="1832"/>
      <c r="AR97" s="1833"/>
      <c r="AS97" s="1913" t="s">
        <v>3</v>
      </c>
      <c r="AT97" s="1913"/>
      <c r="AU97" s="1913"/>
      <c r="AV97" s="1913"/>
      <c r="AW97" s="1913"/>
      <c r="AX97" s="1913"/>
      <c r="AY97" s="1913"/>
      <c r="AZ97" s="1913"/>
      <c r="BA97" s="1913"/>
      <c r="BB97" s="1913"/>
      <c r="BC97" s="1971" t="s">
        <v>3</v>
      </c>
      <c r="BD97" s="1971"/>
      <c r="BE97" s="1971"/>
      <c r="BF97" s="1971"/>
      <c r="BG97" s="1971"/>
      <c r="BH97" s="1971"/>
      <c r="BI97" s="1971"/>
      <c r="BJ97" s="1971"/>
      <c r="BK97" s="1971"/>
      <c r="BL97" s="1971"/>
      <c r="BM97" s="1971"/>
      <c r="BN97" s="1971">
        <f>SUM(BN92:CB96)</f>
        <v>203232.69</v>
      </c>
      <c r="BO97" s="1971"/>
      <c r="BP97" s="1971"/>
      <c r="BQ97" s="1971"/>
      <c r="BR97" s="1971"/>
      <c r="BS97" s="1971"/>
      <c r="BT97" s="1971"/>
      <c r="BU97" s="1971"/>
      <c r="BV97" s="1971"/>
      <c r="BW97" s="1971"/>
      <c r="BX97" s="1971"/>
      <c r="BY97" s="1971"/>
      <c r="BZ97" s="1971"/>
      <c r="CA97" s="1971"/>
      <c r="CB97" s="1971"/>
      <c r="CC97" s="239">
        <f>CC96+CC94+CC95</f>
        <v>72303.790000000008</v>
      </c>
      <c r="CD97" s="239">
        <f>SUM(CD92:CD96)</f>
        <v>130928.9</v>
      </c>
      <c r="CE97" s="239"/>
      <c r="CF97" s="239"/>
      <c r="CG97" s="239"/>
      <c r="CH97" s="239"/>
    </row>
    <row r="98" spans="1:86" x14ac:dyDescent="0.2">
      <c r="A98" s="1973">
        <v>1</v>
      </c>
      <c r="B98" s="1973"/>
      <c r="C98" s="1973"/>
      <c r="D98" s="1973"/>
      <c r="E98" s="1973" t="s">
        <v>947</v>
      </c>
      <c r="F98" s="1973"/>
      <c r="G98" s="1973"/>
      <c r="H98" s="1973"/>
      <c r="I98" s="1973"/>
      <c r="J98" s="1973"/>
      <c r="K98" s="1973"/>
      <c r="L98" s="1973"/>
      <c r="M98" s="1973"/>
      <c r="N98" s="1973"/>
      <c r="O98" s="1973"/>
      <c r="P98" s="1973"/>
      <c r="Q98" s="1973"/>
      <c r="R98" s="1973"/>
      <c r="S98" s="1973"/>
      <c r="T98" s="1973"/>
      <c r="U98" s="1973"/>
      <c r="V98" s="1973"/>
      <c r="W98" s="1973"/>
      <c r="X98" s="1973"/>
      <c r="Y98" s="1973"/>
      <c r="Z98" s="1973"/>
      <c r="AA98" s="1973"/>
      <c r="AB98" s="1973"/>
      <c r="AC98" s="1973"/>
      <c r="AD98" s="1973"/>
      <c r="AE98" s="1973"/>
      <c r="AF98" s="1973"/>
      <c r="AG98" s="1973"/>
      <c r="AH98" s="1973"/>
      <c r="AI98" s="1973"/>
      <c r="AJ98" s="1973"/>
      <c r="AK98" s="1973"/>
      <c r="AL98" s="1973"/>
      <c r="AM98" s="1973"/>
      <c r="AN98" s="1973"/>
      <c r="AO98" s="1973"/>
      <c r="AP98" s="1973"/>
      <c r="AQ98" s="1973"/>
      <c r="AR98" s="1973"/>
      <c r="AS98" s="1806">
        <v>20</v>
      </c>
      <c r="AT98" s="1806"/>
      <c r="AU98" s="1806"/>
      <c r="AV98" s="1806"/>
      <c r="AW98" s="1806"/>
      <c r="AX98" s="1806"/>
      <c r="AY98" s="1806"/>
      <c r="AZ98" s="1806"/>
      <c r="BA98" s="1806"/>
      <c r="BB98" s="1806"/>
      <c r="BC98" s="1977">
        <f>CC98/AS98</f>
        <v>300</v>
      </c>
      <c r="BD98" s="1977"/>
      <c r="BE98" s="1977"/>
      <c r="BF98" s="1977"/>
      <c r="BG98" s="1977"/>
      <c r="BH98" s="1977"/>
      <c r="BI98" s="1977"/>
      <c r="BJ98" s="1977"/>
      <c r="BK98" s="1977"/>
      <c r="BL98" s="1977"/>
      <c r="BM98" s="1977"/>
      <c r="BN98" s="1977">
        <f>CC98</f>
        <v>6000</v>
      </c>
      <c r="BO98" s="1977"/>
      <c r="BP98" s="1977"/>
      <c r="BQ98" s="1977"/>
      <c r="BR98" s="1977"/>
      <c r="BS98" s="1977"/>
      <c r="BT98" s="1977"/>
      <c r="BU98" s="1977"/>
      <c r="BV98" s="1977"/>
      <c r="BW98" s="1977"/>
      <c r="BX98" s="1977"/>
      <c r="BY98" s="1977"/>
      <c r="BZ98" s="1977"/>
      <c r="CA98" s="1977"/>
      <c r="CB98" s="1977"/>
      <c r="CC98" s="223">
        <v>6000</v>
      </c>
      <c r="CD98" s="223"/>
      <c r="CE98" s="223"/>
      <c r="CF98" s="223"/>
      <c r="CG98" s="223"/>
      <c r="CH98" s="223"/>
    </row>
    <row r="99" spans="1:86" x14ac:dyDescent="0.2">
      <c r="A99" s="1831" t="s">
        <v>616</v>
      </c>
      <c r="B99" s="1832"/>
      <c r="C99" s="1832"/>
      <c r="D99" s="1832"/>
      <c r="E99" s="1832"/>
      <c r="F99" s="1832"/>
      <c r="G99" s="1832"/>
      <c r="H99" s="1832"/>
      <c r="I99" s="1832"/>
      <c r="J99" s="1832"/>
      <c r="K99" s="1832"/>
      <c r="L99" s="1832"/>
      <c r="M99" s="1832"/>
      <c r="N99" s="1832"/>
      <c r="O99" s="1832"/>
      <c r="P99" s="1832"/>
      <c r="Q99" s="1832"/>
      <c r="R99" s="1832"/>
      <c r="S99" s="1832"/>
      <c r="T99" s="1832"/>
      <c r="U99" s="1832"/>
      <c r="V99" s="1832"/>
      <c r="W99" s="1832"/>
      <c r="X99" s="1832"/>
      <c r="Y99" s="1832"/>
      <c r="Z99" s="1832"/>
      <c r="AA99" s="1832"/>
      <c r="AB99" s="1832"/>
      <c r="AC99" s="1832"/>
      <c r="AD99" s="1832"/>
      <c r="AE99" s="1832"/>
      <c r="AF99" s="1832"/>
      <c r="AG99" s="1832"/>
      <c r="AH99" s="1832"/>
      <c r="AI99" s="1832"/>
      <c r="AJ99" s="1832"/>
      <c r="AK99" s="1832"/>
      <c r="AL99" s="1832"/>
      <c r="AM99" s="1832"/>
      <c r="AN99" s="1832"/>
      <c r="AO99" s="1832"/>
      <c r="AP99" s="1832"/>
      <c r="AQ99" s="1832"/>
      <c r="AR99" s="1833"/>
      <c r="AS99" s="1913" t="s">
        <v>3</v>
      </c>
      <c r="AT99" s="1913"/>
      <c r="AU99" s="1913"/>
      <c r="AV99" s="1913"/>
      <c r="AW99" s="1913"/>
      <c r="AX99" s="1913"/>
      <c r="AY99" s="1913"/>
      <c r="AZ99" s="1913"/>
      <c r="BA99" s="1913"/>
      <c r="BB99" s="1913"/>
      <c r="BC99" s="1971" t="s">
        <v>3</v>
      </c>
      <c r="BD99" s="1971"/>
      <c r="BE99" s="1971"/>
      <c r="BF99" s="1971"/>
      <c r="BG99" s="1971"/>
      <c r="BH99" s="1971"/>
      <c r="BI99" s="1971"/>
      <c r="BJ99" s="1971"/>
      <c r="BK99" s="1971"/>
      <c r="BL99" s="1971"/>
      <c r="BM99" s="1971"/>
      <c r="BN99" s="1971">
        <f>CC99</f>
        <v>6000</v>
      </c>
      <c r="BO99" s="1971"/>
      <c r="BP99" s="1971"/>
      <c r="BQ99" s="1971"/>
      <c r="BR99" s="1971"/>
      <c r="BS99" s="1971"/>
      <c r="BT99" s="1971"/>
      <c r="BU99" s="1971"/>
      <c r="BV99" s="1971"/>
      <c r="BW99" s="1971"/>
      <c r="BX99" s="1971"/>
      <c r="BY99" s="1971"/>
      <c r="BZ99" s="1971"/>
      <c r="CA99" s="1971"/>
      <c r="CB99" s="1971"/>
      <c r="CC99" s="239">
        <f>CC98</f>
        <v>6000</v>
      </c>
      <c r="CD99" s="239"/>
      <c r="CE99" s="239"/>
      <c r="CF99" s="239"/>
      <c r="CG99" s="239"/>
      <c r="CH99" s="239"/>
    </row>
    <row r="101" spans="1:86" x14ac:dyDescent="0.2">
      <c r="CD101" s="142">
        <f>'0702 221, 223'!CD11+'0702 221, 223'!CD37+'0702 225,226,227,310,346 (25г)'!CD39+'0702 225,226,227,310,346 (25г)'!CD59+'0702 225,226,227,310,346 (25г)'!CD69+'0702 225,226,227,310,346 (25г)'!CD87+'0702 225,226,227,310,346 (25г)'!CD89+'0702 225,226,227,310,346 (25г)'!CD91+'0702 225,226,227,310,346 (25г)'!CD97</f>
        <v>1321596.1199999999</v>
      </c>
    </row>
    <row r="102" spans="1:86" x14ac:dyDescent="0.2">
      <c r="CC102" s="142">
        <f>CC99+CC97+CC89+CC78</f>
        <v>1035303.79</v>
      </c>
      <c r="CD102" s="142">
        <v>1297176.6299999999</v>
      </c>
    </row>
    <row r="103" spans="1:86" x14ac:dyDescent="0.2">
      <c r="CD103" s="142">
        <f>CD102-CD101</f>
        <v>-24419.489999999991</v>
      </c>
      <c r="CE103" s="142"/>
      <c r="CG103" s="142"/>
    </row>
    <row r="105" spans="1:86" x14ac:dyDescent="0.2">
      <c r="CD105" s="142"/>
      <c r="CE105" s="142"/>
      <c r="CF105" s="142"/>
    </row>
    <row r="106" spans="1:86" x14ac:dyDescent="0.2">
      <c r="CD106" s="142"/>
    </row>
  </sheetData>
  <mergeCells count="369">
    <mergeCell ref="CD16:CD17"/>
    <mergeCell ref="CE16:CE17"/>
    <mergeCell ref="CF16:CF17"/>
    <mergeCell ref="CG16:CG17"/>
    <mergeCell ref="A18:D18"/>
    <mergeCell ref="E18:AM18"/>
    <mergeCell ref="AN18:BC18"/>
    <mergeCell ref="BD18:BM18"/>
    <mergeCell ref="BN18:CB18"/>
    <mergeCell ref="A14:D17"/>
    <mergeCell ref="E14:AM17"/>
    <mergeCell ref="AN14:BC17"/>
    <mergeCell ref="BD14:BM17"/>
    <mergeCell ref="BN14:CB17"/>
    <mergeCell ref="CC14:CH14"/>
    <mergeCell ref="CC15:CD15"/>
    <mergeCell ref="CE15:CG15"/>
    <mergeCell ref="CH15:CH17"/>
    <mergeCell ref="CC16:CC17"/>
    <mergeCell ref="A19:D19"/>
    <mergeCell ref="E19:AM19"/>
    <mergeCell ref="AN19:BC19"/>
    <mergeCell ref="BD19:BM19"/>
    <mergeCell ref="BN19:CB19"/>
    <mergeCell ref="A20:D20"/>
    <mergeCell ref="E20:AM20"/>
    <mergeCell ref="AN20:BC20"/>
    <mergeCell ref="BD20:BM20"/>
    <mergeCell ref="BN20:CB20"/>
    <mergeCell ref="A21:D21"/>
    <mergeCell ref="E21:AM21"/>
    <mergeCell ref="AN21:BC21"/>
    <mergeCell ref="BD21:BM21"/>
    <mergeCell ref="BN21:CB21"/>
    <mergeCell ref="A22:D22"/>
    <mergeCell ref="E22:AM22"/>
    <mergeCell ref="AN22:BC22"/>
    <mergeCell ref="BD22:BM22"/>
    <mergeCell ref="BN22:CB22"/>
    <mergeCell ref="A23:D23"/>
    <mergeCell ref="E23:AM23"/>
    <mergeCell ref="AN23:BC23"/>
    <mergeCell ref="BD23:BM23"/>
    <mergeCell ref="BN23:CB23"/>
    <mergeCell ref="A24:D24"/>
    <mergeCell ref="E24:AM24"/>
    <mergeCell ref="AN24:BC24"/>
    <mergeCell ref="BD24:BM24"/>
    <mergeCell ref="BN24:CB24"/>
    <mergeCell ref="A25:D25"/>
    <mergeCell ref="E25:AM25"/>
    <mergeCell ref="AN25:BC25"/>
    <mergeCell ref="BD25:BM25"/>
    <mergeCell ref="BN25:CB25"/>
    <mergeCell ref="A26:D26"/>
    <mergeCell ref="E26:AM26"/>
    <mergeCell ref="AN26:BC26"/>
    <mergeCell ref="BD26:BM26"/>
    <mergeCell ref="BN26:CB26"/>
    <mergeCell ref="A27:D27"/>
    <mergeCell ref="E27:AM27"/>
    <mergeCell ref="AN27:BC27"/>
    <mergeCell ref="BD27:BM27"/>
    <mergeCell ref="BN27:CB27"/>
    <mergeCell ref="A28:D28"/>
    <mergeCell ref="E28:AM28"/>
    <mergeCell ref="AN28:BC28"/>
    <mergeCell ref="BD28:BM28"/>
    <mergeCell ref="BN28:CB28"/>
    <mergeCell ref="A29:D29"/>
    <mergeCell ref="E29:AM29"/>
    <mergeCell ref="AN29:BC29"/>
    <mergeCell ref="BD29:BM29"/>
    <mergeCell ref="BN29:CB29"/>
    <mergeCell ref="A30:D30"/>
    <mergeCell ref="E30:AM30"/>
    <mergeCell ref="AN30:BC30"/>
    <mergeCell ref="BD30:BM30"/>
    <mergeCell ref="BN30:CB30"/>
    <mergeCell ref="A31:D31"/>
    <mergeCell ref="E31:AM31"/>
    <mergeCell ref="AN31:BC31"/>
    <mergeCell ref="BD31:BM31"/>
    <mergeCell ref="BN31:CB31"/>
    <mergeCell ref="A32:D32"/>
    <mergeCell ref="E32:AM32"/>
    <mergeCell ref="AN32:BC32"/>
    <mergeCell ref="BD32:BM32"/>
    <mergeCell ref="BN32:CB32"/>
    <mergeCell ref="A33:D33"/>
    <mergeCell ref="E33:AM33"/>
    <mergeCell ref="AN33:BC33"/>
    <mergeCell ref="BD33:BM33"/>
    <mergeCell ref="BN33:CB33"/>
    <mergeCell ref="A34:D34"/>
    <mergeCell ref="E34:AM34"/>
    <mergeCell ref="AN34:BC34"/>
    <mergeCell ref="BD34:BM34"/>
    <mergeCell ref="BN34:CB34"/>
    <mergeCell ref="A37:D37"/>
    <mergeCell ref="E37:AM37"/>
    <mergeCell ref="AN37:BC37"/>
    <mergeCell ref="BD37:BM37"/>
    <mergeCell ref="BN37:CB37"/>
    <mergeCell ref="A35:D35"/>
    <mergeCell ref="E35:AM35"/>
    <mergeCell ref="AN35:BC35"/>
    <mergeCell ref="BD35:BM35"/>
    <mergeCell ref="BN35:CB35"/>
    <mergeCell ref="A36:D36"/>
    <mergeCell ref="E36:AM36"/>
    <mergeCell ref="AN36:BC36"/>
    <mergeCell ref="BD36:BM36"/>
    <mergeCell ref="BN36:CB36"/>
    <mergeCell ref="A39:AM39"/>
    <mergeCell ref="AN39:BC39"/>
    <mergeCell ref="BD39:BM39"/>
    <mergeCell ref="BN39:CB39"/>
    <mergeCell ref="A43:D46"/>
    <mergeCell ref="E43:AN46"/>
    <mergeCell ref="AO43:BC46"/>
    <mergeCell ref="BD43:BM46"/>
    <mergeCell ref="BN43:CB46"/>
    <mergeCell ref="CC43:CH43"/>
    <mergeCell ref="CC44:CD44"/>
    <mergeCell ref="CE44:CG44"/>
    <mergeCell ref="CH44:CH46"/>
    <mergeCell ref="CC45:CC46"/>
    <mergeCell ref="CD45:CD46"/>
    <mergeCell ref="CE45:CE46"/>
    <mergeCell ref="CF45:CF46"/>
    <mergeCell ref="CG45:CG46"/>
    <mergeCell ref="A47:D47"/>
    <mergeCell ref="E47:AN47"/>
    <mergeCell ref="AO47:BC47"/>
    <mergeCell ref="BD47:BM47"/>
    <mergeCell ref="BN47:CB47"/>
    <mergeCell ref="A48:D48"/>
    <mergeCell ref="E48:AN48"/>
    <mergeCell ref="AO48:BC48"/>
    <mergeCell ref="BD48:BM48"/>
    <mergeCell ref="BN48:CB48"/>
    <mergeCell ref="A49:D49"/>
    <mergeCell ref="E49:AN49"/>
    <mergeCell ref="AO49:BC49"/>
    <mergeCell ref="BD49:BM49"/>
    <mergeCell ref="BN49:CB49"/>
    <mergeCell ref="A50:D50"/>
    <mergeCell ref="E50:AN50"/>
    <mergeCell ref="AO50:BC50"/>
    <mergeCell ref="BD50:BM50"/>
    <mergeCell ref="BN50:CB50"/>
    <mergeCell ref="A51:D51"/>
    <mergeCell ref="E51:AN51"/>
    <mergeCell ref="AO51:BC51"/>
    <mergeCell ref="BD51:BM51"/>
    <mergeCell ref="BN51:CB51"/>
    <mergeCell ref="A52:D52"/>
    <mergeCell ref="E52:AN52"/>
    <mergeCell ref="AO52:BC52"/>
    <mergeCell ref="BD52:BM52"/>
    <mergeCell ref="BN52:CB52"/>
    <mergeCell ref="A53:D53"/>
    <mergeCell ref="E53:AN53"/>
    <mergeCell ref="AO53:BC53"/>
    <mergeCell ref="BD53:BM53"/>
    <mergeCell ref="BN53:CB53"/>
    <mergeCell ref="A54:D54"/>
    <mergeCell ref="E54:AN54"/>
    <mergeCell ref="AO54:BC54"/>
    <mergeCell ref="BD54:BM54"/>
    <mergeCell ref="BN54:CB54"/>
    <mergeCell ref="A55:D55"/>
    <mergeCell ref="E55:AN55"/>
    <mergeCell ref="AO55:BC55"/>
    <mergeCell ref="BD55:BM55"/>
    <mergeCell ref="BN55:CB55"/>
    <mergeCell ref="A56:D56"/>
    <mergeCell ref="E56:AN56"/>
    <mergeCell ref="AO56:BC56"/>
    <mergeCell ref="BD56:BM56"/>
    <mergeCell ref="BN56:CB56"/>
    <mergeCell ref="A57:D57"/>
    <mergeCell ref="E57:AN57"/>
    <mergeCell ref="AO57:BC57"/>
    <mergeCell ref="BD57:BM57"/>
    <mergeCell ref="BN57:CB57"/>
    <mergeCell ref="A58:D58"/>
    <mergeCell ref="E58:AN58"/>
    <mergeCell ref="AO58:BC58"/>
    <mergeCell ref="BD58:BM58"/>
    <mergeCell ref="BN58:CB58"/>
    <mergeCell ref="A59:AN59"/>
    <mergeCell ref="AO59:BC59"/>
    <mergeCell ref="BD59:BM59"/>
    <mergeCell ref="BN59:CB59"/>
    <mergeCell ref="A63:D66"/>
    <mergeCell ref="E63:AN66"/>
    <mergeCell ref="AO63:BC66"/>
    <mergeCell ref="BD63:BM66"/>
    <mergeCell ref="BN63:CB66"/>
    <mergeCell ref="CC63:CH63"/>
    <mergeCell ref="CC64:CD64"/>
    <mergeCell ref="CE64:CG64"/>
    <mergeCell ref="CH64:CH66"/>
    <mergeCell ref="CC65:CC66"/>
    <mergeCell ref="CD65:CD66"/>
    <mergeCell ref="CE65:CE66"/>
    <mergeCell ref="CF65:CF66"/>
    <mergeCell ref="CG65:CG66"/>
    <mergeCell ref="A67:D67"/>
    <mergeCell ref="E67:AN67"/>
    <mergeCell ref="AO67:BC67"/>
    <mergeCell ref="BD67:BM67"/>
    <mergeCell ref="BN67:CB67"/>
    <mergeCell ref="A68:D68"/>
    <mergeCell ref="E68:AN68"/>
    <mergeCell ref="AO68:BC68"/>
    <mergeCell ref="BD68:BM68"/>
    <mergeCell ref="BN68:CB68"/>
    <mergeCell ref="A69:AN69"/>
    <mergeCell ref="AO69:BC69"/>
    <mergeCell ref="BD69:BM69"/>
    <mergeCell ref="BN69:CB69"/>
    <mergeCell ref="A72:D75"/>
    <mergeCell ref="E72:AR75"/>
    <mergeCell ref="AS72:BB75"/>
    <mergeCell ref="BC72:BM75"/>
    <mergeCell ref="BN72:CB75"/>
    <mergeCell ref="CC72:CH72"/>
    <mergeCell ref="CC73:CD73"/>
    <mergeCell ref="CE73:CG73"/>
    <mergeCell ref="CH73:CH75"/>
    <mergeCell ref="CC74:CC75"/>
    <mergeCell ref="CD74:CD75"/>
    <mergeCell ref="CE74:CE75"/>
    <mergeCell ref="CF74:CF75"/>
    <mergeCell ref="CG74:CG75"/>
    <mergeCell ref="A77:D77"/>
    <mergeCell ref="E77:AR77"/>
    <mergeCell ref="AS77:BB77"/>
    <mergeCell ref="BC77:BM77"/>
    <mergeCell ref="BN77:CB77"/>
    <mergeCell ref="A76:D76"/>
    <mergeCell ref="E76:AR76"/>
    <mergeCell ref="AS76:BB76"/>
    <mergeCell ref="BC76:BM76"/>
    <mergeCell ref="BN76:CB76"/>
    <mergeCell ref="A78:AR78"/>
    <mergeCell ref="AS78:BB78"/>
    <mergeCell ref="BC78:BM78"/>
    <mergeCell ref="BN78:CB78"/>
    <mergeCell ref="A81:D84"/>
    <mergeCell ref="E81:AR84"/>
    <mergeCell ref="AS81:BB84"/>
    <mergeCell ref="BC81:BM84"/>
    <mergeCell ref="BN81:CB84"/>
    <mergeCell ref="CC81:CH81"/>
    <mergeCell ref="CC82:CD82"/>
    <mergeCell ref="CE82:CG82"/>
    <mergeCell ref="CH82:CH84"/>
    <mergeCell ref="CC83:CC84"/>
    <mergeCell ref="CD83:CD84"/>
    <mergeCell ref="CE83:CE84"/>
    <mergeCell ref="CF83:CF84"/>
    <mergeCell ref="CG83:CG84"/>
    <mergeCell ref="A85:D85"/>
    <mergeCell ref="E85:AR85"/>
    <mergeCell ref="AS85:BB85"/>
    <mergeCell ref="BC85:BM85"/>
    <mergeCell ref="BN85:CB85"/>
    <mergeCell ref="A86:D86"/>
    <mergeCell ref="E86:AR86"/>
    <mergeCell ref="AS86:BB86"/>
    <mergeCell ref="BC86:BM86"/>
    <mergeCell ref="BN86:CB86"/>
    <mergeCell ref="A87:AR87"/>
    <mergeCell ref="AS87:BB87"/>
    <mergeCell ref="BC87:BM87"/>
    <mergeCell ref="BN87:CB87"/>
    <mergeCell ref="A88:D88"/>
    <mergeCell ref="E88:AR88"/>
    <mergeCell ref="AS88:BB88"/>
    <mergeCell ref="BC88:BM88"/>
    <mergeCell ref="BN88:CB88"/>
    <mergeCell ref="A89:AR89"/>
    <mergeCell ref="AS89:BB89"/>
    <mergeCell ref="BC89:BM89"/>
    <mergeCell ref="BN89:CB89"/>
    <mergeCell ref="A90:D90"/>
    <mergeCell ref="E90:AR90"/>
    <mergeCell ref="AS90:BB90"/>
    <mergeCell ref="BC90:BM90"/>
    <mergeCell ref="BN90:CB90"/>
    <mergeCell ref="A91:AR91"/>
    <mergeCell ref="AS91:BB91"/>
    <mergeCell ref="BC91:BM91"/>
    <mergeCell ref="BN91:CB91"/>
    <mergeCell ref="A92:D92"/>
    <mergeCell ref="E92:AR92"/>
    <mergeCell ref="AS92:BB92"/>
    <mergeCell ref="BC92:BM92"/>
    <mergeCell ref="BN92:CB92"/>
    <mergeCell ref="E96:AR96"/>
    <mergeCell ref="AS96:BB96"/>
    <mergeCell ref="BC96:BM96"/>
    <mergeCell ref="BN96:CB96"/>
    <mergeCell ref="A93:D93"/>
    <mergeCell ref="E93:AR93"/>
    <mergeCell ref="AS93:BB93"/>
    <mergeCell ref="BC93:BM93"/>
    <mergeCell ref="BN93:CB93"/>
    <mergeCell ref="A94:D94"/>
    <mergeCell ref="E94:AR94"/>
    <mergeCell ref="AS94:BB94"/>
    <mergeCell ref="BC94:BM94"/>
    <mergeCell ref="BN94:CB94"/>
    <mergeCell ref="A99:AR99"/>
    <mergeCell ref="AS99:BB99"/>
    <mergeCell ref="BC99:BM99"/>
    <mergeCell ref="BN99:CB99"/>
    <mergeCell ref="A38:D38"/>
    <mergeCell ref="E38:AM38"/>
    <mergeCell ref="AN38:BC38"/>
    <mergeCell ref="BD38:BM38"/>
    <mergeCell ref="BN38:CB38"/>
    <mergeCell ref="A97:AR97"/>
    <mergeCell ref="AS97:BB97"/>
    <mergeCell ref="BC97:BM97"/>
    <mergeCell ref="BN97:CB97"/>
    <mergeCell ref="A98:D98"/>
    <mergeCell ref="E98:AR98"/>
    <mergeCell ref="AS98:BB98"/>
    <mergeCell ref="BC98:BM98"/>
    <mergeCell ref="BN98:CB98"/>
    <mergeCell ref="A95:D95"/>
    <mergeCell ref="E95:AR95"/>
    <mergeCell ref="AS95:BB95"/>
    <mergeCell ref="BC95:BM95"/>
    <mergeCell ref="BN95:CB95"/>
    <mergeCell ref="A96:D96"/>
    <mergeCell ref="A4:D7"/>
    <mergeCell ref="E4:AM7"/>
    <mergeCell ref="AN4:BC7"/>
    <mergeCell ref="BD4:BM7"/>
    <mergeCell ref="BN4:CB7"/>
    <mergeCell ref="CC4:CH4"/>
    <mergeCell ref="CC5:CD5"/>
    <mergeCell ref="CE5:CG5"/>
    <mergeCell ref="CH5:CH7"/>
    <mergeCell ref="CC6:CC7"/>
    <mergeCell ref="CD6:CD7"/>
    <mergeCell ref="CE6:CE7"/>
    <mergeCell ref="CF6:CF7"/>
    <mergeCell ref="CG6:CG7"/>
    <mergeCell ref="A10:AM10"/>
    <mergeCell ref="AN10:BC10"/>
    <mergeCell ref="BD10:BM10"/>
    <mergeCell ref="BN10:CB10"/>
    <mergeCell ref="A8:D8"/>
    <mergeCell ref="E8:AM8"/>
    <mergeCell ref="AN8:BC8"/>
    <mergeCell ref="BD8:BM8"/>
    <mergeCell ref="BN8:CB8"/>
    <mergeCell ref="A9:D9"/>
    <mergeCell ref="E9:AM9"/>
    <mergeCell ref="AN9:BC9"/>
    <mergeCell ref="BD9:BM9"/>
    <mergeCell ref="BN9:CB9"/>
  </mergeCells>
  <printOptions horizontalCentered="1"/>
  <pageMargins left="0.78740157480314965" right="0.39370078740157483" top="0.59055118110236227" bottom="0.39370078740157483" header="0.27559055118110237" footer="0.27559055118110237"/>
  <pageSetup paperSize="9" scale="77" fitToHeight="0" orientation="landscape" r:id="rId1"/>
  <headerFooter alignWithMargins="0"/>
  <rowBreaks count="2" manualBreakCount="2">
    <brk id="39" max="85" man="1"/>
    <brk id="60" max="8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3B1DEF"/>
    <pageSetUpPr fitToPage="1"/>
  </sheetPr>
  <dimension ref="A1:N161"/>
  <sheetViews>
    <sheetView view="pageBreakPreview" zoomScale="60" zoomScaleNormal="100" workbookViewId="0">
      <selection activeCell="K18" sqref="K18"/>
    </sheetView>
  </sheetViews>
  <sheetFormatPr defaultColWidth="1.140625" defaultRowHeight="15.75" x14ac:dyDescent="0.25"/>
  <cols>
    <col min="1" max="1" width="4" style="1" customWidth="1"/>
    <col min="2" max="2" width="19.85546875" style="1" customWidth="1"/>
    <col min="3" max="3" width="12.85546875" style="1" customWidth="1"/>
    <col min="4" max="4" width="11.140625" style="1" customWidth="1"/>
    <col min="5" max="5" width="12.85546875" style="1" customWidth="1"/>
    <col min="6" max="6" width="10.85546875" style="1" customWidth="1"/>
    <col min="7" max="7" width="11.140625" style="1" customWidth="1"/>
    <col min="8" max="8" width="14" style="1" customWidth="1"/>
    <col min="9" max="9" width="9.140625" style="1" customWidth="1"/>
    <col min="10" max="10" width="9.7109375" style="1" customWidth="1"/>
    <col min="11" max="11" width="10.85546875" style="1" customWidth="1"/>
    <col min="12" max="12" width="12.5703125" style="1" customWidth="1"/>
    <col min="13" max="13" width="13.5703125" style="1" customWidth="1"/>
    <col min="14" max="14" width="16.42578125" style="1" customWidth="1"/>
    <col min="15" max="15" width="13.5703125" style="1" customWidth="1"/>
    <col min="16" max="16384" width="1.140625" style="1"/>
  </cols>
  <sheetData>
    <row r="1" spans="1:14" s="2" customFormat="1" x14ac:dyDescent="0.2">
      <c r="N1" s="20" t="s">
        <v>33</v>
      </c>
    </row>
    <row r="2" spans="1:14" s="2" customFormat="1" x14ac:dyDescent="0.2">
      <c r="N2" s="20" t="s">
        <v>59</v>
      </c>
    </row>
    <row r="3" spans="1:14" s="2" customFormat="1" ht="11.25" x14ac:dyDescent="0.2">
      <c r="N3" s="3"/>
    </row>
    <row r="4" spans="1:14" s="10" customFormat="1" ht="12.75" customHeight="1" x14ac:dyDescent="0.2">
      <c r="N4" s="3"/>
    </row>
    <row r="6" spans="1:14" s="4" customFormat="1" x14ac:dyDescent="0.25">
      <c r="A6" s="1817" t="s">
        <v>1224</v>
      </c>
      <c r="B6" s="1817"/>
      <c r="C6" s="1817"/>
      <c r="D6" s="1817"/>
      <c r="E6" s="1817"/>
      <c r="F6" s="1817"/>
      <c r="G6" s="1817"/>
      <c r="H6" s="1817"/>
      <c r="I6" s="1817"/>
      <c r="J6" s="1817"/>
      <c r="K6" s="1817"/>
      <c r="L6" s="1817"/>
      <c r="M6" s="1817"/>
      <c r="N6" s="1817"/>
    </row>
    <row r="7" spans="1:14" s="7" customFormat="1" ht="9.75" x14ac:dyDescent="0.2">
      <c r="A7" s="6"/>
      <c r="B7" s="6"/>
      <c r="C7" s="6"/>
      <c r="D7" s="6"/>
      <c r="E7" s="6"/>
      <c r="F7" s="6"/>
      <c r="G7" s="6"/>
      <c r="H7" s="6"/>
    </row>
    <row r="8" spans="1:14" s="7" customFormat="1" ht="17.25" customHeight="1" x14ac:dyDescent="0.25">
      <c r="A8" s="4" t="s">
        <v>58</v>
      </c>
      <c r="B8" s="6"/>
      <c r="C8" s="6"/>
      <c r="D8" s="6"/>
      <c r="E8" s="6"/>
      <c r="F8" s="21" t="s">
        <v>64</v>
      </c>
      <c r="G8" s="2198" t="s">
        <v>65</v>
      </c>
      <c r="H8" s="2198"/>
      <c r="I8" s="2198"/>
      <c r="J8" s="2198"/>
      <c r="K8" s="2198"/>
      <c r="L8" s="2198"/>
      <c r="M8" s="2198"/>
      <c r="N8" s="2198"/>
    </row>
    <row r="9" spans="1:14" s="7" customFormat="1" ht="15.75" customHeight="1" x14ac:dyDescent="0.2">
      <c r="A9" s="6"/>
      <c r="B9" s="6"/>
      <c r="C9" s="6"/>
      <c r="D9" s="6"/>
      <c r="E9" s="6"/>
      <c r="F9" s="6"/>
      <c r="G9" s="6"/>
      <c r="H9" s="6"/>
    </row>
    <row r="10" spans="1:14" s="4" customFormat="1" x14ac:dyDescent="0.25">
      <c r="A10" s="19" t="s">
        <v>34</v>
      </c>
      <c r="B10" s="19"/>
      <c r="C10" s="19"/>
      <c r="D10" s="19"/>
      <c r="E10" s="19"/>
      <c r="F10" s="19"/>
      <c r="G10" s="19"/>
      <c r="H10" s="19"/>
    </row>
    <row r="11" spans="1:14" s="8" customFormat="1" ht="12.75" x14ac:dyDescent="0.2"/>
    <row r="12" spans="1:14" x14ac:dyDescent="0.25">
      <c r="A12" s="19" t="s">
        <v>48</v>
      </c>
      <c r="B12" s="19"/>
      <c r="C12" s="19"/>
      <c r="D12" s="19"/>
      <c r="E12" s="19"/>
      <c r="F12" s="19"/>
      <c r="G12" s="19"/>
      <c r="H12" s="19"/>
      <c r="I12" s="19"/>
      <c r="J12" s="19"/>
      <c r="K12" s="19"/>
      <c r="L12" s="19"/>
      <c r="M12" s="19"/>
      <c r="N12" s="19"/>
    </row>
    <row r="13" spans="1:14" s="8" customFormat="1" ht="12.75" x14ac:dyDescent="0.2"/>
    <row r="14" spans="1:14" s="8" customFormat="1" ht="28.5" customHeight="1" x14ac:dyDescent="0.2">
      <c r="A14" s="1810" t="s">
        <v>38</v>
      </c>
      <c r="B14" s="2200" t="s">
        <v>36</v>
      </c>
      <c r="C14" s="1810" t="s">
        <v>37</v>
      </c>
      <c r="D14" s="1811" t="s">
        <v>0</v>
      </c>
      <c r="E14" s="1811"/>
      <c r="F14" s="1811"/>
      <c r="G14" s="1811"/>
      <c r="H14" s="1810" t="s">
        <v>42</v>
      </c>
      <c r="I14" s="1806" t="s">
        <v>52</v>
      </c>
      <c r="J14" s="1806"/>
      <c r="K14" s="1806"/>
      <c r="L14" s="1806"/>
      <c r="M14" s="1806"/>
      <c r="N14" s="1806"/>
    </row>
    <row r="15" spans="1:14" s="8" customFormat="1" ht="76.5" customHeight="1" x14ac:dyDescent="0.2">
      <c r="A15" s="1810"/>
      <c r="B15" s="2200"/>
      <c r="C15" s="1810"/>
      <c r="D15" s="1810" t="s">
        <v>1</v>
      </c>
      <c r="E15" s="1810" t="s">
        <v>39</v>
      </c>
      <c r="F15" s="1810" t="s">
        <v>40</v>
      </c>
      <c r="G15" s="1810" t="s">
        <v>41</v>
      </c>
      <c r="H15" s="1810"/>
      <c r="I15" s="1810" t="s">
        <v>35</v>
      </c>
      <c r="J15" s="1810"/>
      <c r="K15" s="1788" t="s">
        <v>45</v>
      </c>
      <c r="L15" s="1790"/>
      <c r="M15" s="1789"/>
      <c r="N15" s="1811" t="s">
        <v>46</v>
      </c>
    </row>
    <row r="16" spans="1:14" s="8" customFormat="1" ht="39" customHeight="1" x14ac:dyDescent="0.2">
      <c r="A16" s="1810"/>
      <c r="B16" s="2200"/>
      <c r="C16" s="1810"/>
      <c r="D16" s="1810"/>
      <c r="E16" s="1810"/>
      <c r="F16" s="1810"/>
      <c r="G16" s="1810"/>
      <c r="H16" s="1810"/>
      <c r="I16" s="14" t="s">
        <v>43</v>
      </c>
      <c r="J16" s="14" t="s">
        <v>44</v>
      </c>
      <c r="K16" s="14" t="s">
        <v>55</v>
      </c>
      <c r="L16" s="14" t="s">
        <v>43</v>
      </c>
      <c r="M16" s="14" t="s">
        <v>44</v>
      </c>
      <c r="N16" s="1811"/>
    </row>
    <row r="17" spans="1:14" s="8" customFormat="1" ht="12.75" x14ac:dyDescent="0.2">
      <c r="A17" s="16">
        <v>1</v>
      </c>
      <c r="B17" s="16">
        <v>2</v>
      </c>
      <c r="C17" s="16">
        <v>3</v>
      </c>
      <c r="D17" s="16" t="s">
        <v>47</v>
      </c>
      <c r="E17" s="16">
        <v>5</v>
      </c>
      <c r="F17" s="16">
        <v>6</v>
      </c>
      <c r="G17" s="16">
        <v>7</v>
      </c>
      <c r="H17" s="16" t="s">
        <v>63</v>
      </c>
      <c r="I17" s="15">
        <v>9</v>
      </c>
      <c r="J17" s="15">
        <v>10</v>
      </c>
      <c r="K17" s="15">
        <v>11</v>
      </c>
      <c r="L17" s="15">
        <v>12</v>
      </c>
      <c r="M17" s="15">
        <v>13</v>
      </c>
      <c r="N17" s="15">
        <v>14</v>
      </c>
    </row>
    <row r="18" spans="1:14" s="8" customFormat="1" ht="12.75" x14ac:dyDescent="0.2">
      <c r="A18" s="17">
        <v>1</v>
      </c>
      <c r="B18" s="17" t="s">
        <v>66</v>
      </c>
      <c r="C18" s="15">
        <v>10</v>
      </c>
      <c r="D18" s="232">
        <v>6439.13</v>
      </c>
      <c r="E18" s="232">
        <v>6439.13</v>
      </c>
      <c r="F18" s="18"/>
      <c r="G18" s="18"/>
      <c r="H18" s="22">
        <f>D18*C18</f>
        <v>64391.3</v>
      </c>
      <c r="I18" s="17"/>
      <c r="J18" s="17"/>
      <c r="K18" s="15">
        <v>963324097</v>
      </c>
      <c r="L18" s="17"/>
      <c r="M18" s="23">
        <f>H18</f>
        <v>64391.3</v>
      </c>
      <c r="N18" s="17"/>
    </row>
    <row r="19" spans="1:14" s="29" customFormat="1" ht="12.75" x14ac:dyDescent="0.2">
      <c r="A19" s="2199" t="s">
        <v>54</v>
      </c>
      <c r="B19" s="2199"/>
      <c r="C19" s="25" t="s">
        <v>3</v>
      </c>
      <c r="D19" s="24"/>
      <c r="E19" s="25" t="s">
        <v>3</v>
      </c>
      <c r="F19" s="25" t="s">
        <v>3</v>
      </c>
      <c r="G19" s="25" t="s">
        <v>3</v>
      </c>
      <c r="H19" s="26">
        <f>H18</f>
        <v>64391.3</v>
      </c>
      <c r="I19" s="27"/>
      <c r="J19" s="27"/>
      <c r="K19" s="27"/>
      <c r="L19" s="27"/>
      <c r="M19" s="28">
        <f>M18</f>
        <v>64391.3</v>
      </c>
      <c r="N19" s="27"/>
    </row>
    <row r="20" spans="1:14" s="8" customFormat="1" ht="12.75" x14ac:dyDescent="0.2"/>
    <row r="21" spans="1:14" s="8" customFormat="1" ht="12.75" x14ac:dyDescent="0.2"/>
    <row r="22" spans="1:14" s="8" customFormat="1" ht="12.75" x14ac:dyDescent="0.2"/>
    <row r="23" spans="1:14" s="8" customFormat="1" ht="12.75" x14ac:dyDescent="0.2"/>
    <row r="24" spans="1:14" s="8" customFormat="1" ht="12.75" x14ac:dyDescent="0.2"/>
    <row r="25" spans="1:14" s="8" customFormat="1" ht="12.75" x14ac:dyDescent="0.2"/>
    <row r="26" spans="1:14" s="8" customFormat="1" ht="12.75" x14ac:dyDescent="0.2"/>
    <row r="27" spans="1:14" s="8" customFormat="1" ht="12.75" x14ac:dyDescent="0.2"/>
    <row r="28" spans="1:14" s="8" customFormat="1" ht="12.75" x14ac:dyDescent="0.2"/>
    <row r="29" spans="1:14" s="8" customFormat="1" ht="12.75" x14ac:dyDescent="0.2"/>
    <row r="30" spans="1:14" s="8" customFormat="1" ht="12.75" x14ac:dyDescent="0.2"/>
    <row r="31" spans="1:14" s="8" customFormat="1" ht="12.75" x14ac:dyDescent="0.2"/>
    <row r="32" spans="1:14" s="8" customFormat="1" ht="12.75" x14ac:dyDescent="0.2"/>
    <row r="33" s="8" customFormat="1" ht="12.75" x14ac:dyDescent="0.2"/>
    <row r="34" s="8" customFormat="1" ht="12.75" x14ac:dyDescent="0.2"/>
    <row r="35" s="8" customFormat="1" ht="12.75" x14ac:dyDescent="0.2"/>
    <row r="36" s="8" customFormat="1" ht="12.75" x14ac:dyDescent="0.2"/>
    <row r="37" s="8" customFormat="1" ht="12.75" x14ac:dyDescent="0.2"/>
    <row r="38" s="8" customFormat="1" ht="12.75" x14ac:dyDescent="0.2"/>
    <row r="39" s="8" customFormat="1" ht="12.75" x14ac:dyDescent="0.2"/>
    <row r="40" s="8" customFormat="1" ht="12.75" x14ac:dyDescent="0.2"/>
    <row r="41" s="8" customFormat="1" ht="12.75" x14ac:dyDescent="0.2"/>
    <row r="42" s="8" customFormat="1" ht="12.75" x14ac:dyDescent="0.2"/>
    <row r="43" s="8" customFormat="1" ht="12.75" x14ac:dyDescent="0.2"/>
    <row r="44" s="8" customFormat="1" ht="12.75" x14ac:dyDescent="0.2"/>
    <row r="45" s="8" customFormat="1" ht="12.75" x14ac:dyDescent="0.2"/>
    <row r="46" s="8" customFormat="1" ht="12.75" x14ac:dyDescent="0.2"/>
    <row r="47" s="8" customFormat="1" ht="12.75" x14ac:dyDescent="0.2"/>
    <row r="48" s="8" customFormat="1" ht="12.75" x14ac:dyDescent="0.2"/>
    <row r="49" s="8" customFormat="1" ht="12.75" x14ac:dyDescent="0.2"/>
    <row r="50" s="8" customFormat="1" ht="12.75" x14ac:dyDescent="0.2"/>
    <row r="51" s="8" customFormat="1" ht="12.75" x14ac:dyDescent="0.2"/>
    <row r="52" s="8" customFormat="1" ht="12.75" x14ac:dyDescent="0.2"/>
    <row r="53" s="8" customFormat="1" ht="12.75" x14ac:dyDescent="0.2"/>
    <row r="54" s="8" customFormat="1" ht="12.75" x14ac:dyDescent="0.2"/>
    <row r="55" s="8" customFormat="1" ht="12.75" x14ac:dyDescent="0.2"/>
    <row r="56" s="8" customFormat="1" ht="12.75" x14ac:dyDescent="0.2"/>
    <row r="57" s="8" customFormat="1" ht="12.75" x14ac:dyDescent="0.2"/>
    <row r="58" s="8" customFormat="1" ht="12.75" x14ac:dyDescent="0.2"/>
    <row r="59" s="8" customFormat="1" ht="12.75" x14ac:dyDescent="0.2"/>
    <row r="60" s="8" customFormat="1" ht="12.75" x14ac:dyDescent="0.2"/>
    <row r="61" s="8" customFormat="1" ht="12.75" x14ac:dyDescent="0.2"/>
    <row r="62" s="8" customFormat="1" ht="12.75" x14ac:dyDescent="0.2"/>
    <row r="63" s="8" customFormat="1" ht="12.75" x14ac:dyDescent="0.2"/>
    <row r="64" s="8" customFormat="1" ht="12.75" x14ac:dyDescent="0.2"/>
    <row r="65" s="8" customFormat="1" ht="12.75" x14ac:dyDescent="0.2"/>
    <row r="66" s="8" customFormat="1" ht="12.75" x14ac:dyDescent="0.2"/>
    <row r="67" s="8" customFormat="1" ht="12.75" x14ac:dyDescent="0.2"/>
    <row r="68" s="8" customFormat="1" ht="12.75" x14ac:dyDescent="0.2"/>
    <row r="69" s="8" customFormat="1" ht="12.75" x14ac:dyDescent="0.2"/>
    <row r="70" s="8" customFormat="1" ht="12.75" x14ac:dyDescent="0.2"/>
    <row r="71" s="8" customFormat="1" ht="12.75" x14ac:dyDescent="0.2"/>
    <row r="72" s="8" customFormat="1" ht="12.75" x14ac:dyDescent="0.2"/>
    <row r="73" s="8" customFormat="1" ht="12.75" x14ac:dyDescent="0.2"/>
    <row r="74" s="8" customFormat="1" ht="12.75" x14ac:dyDescent="0.2"/>
    <row r="75" s="8" customFormat="1" ht="12.75" x14ac:dyDescent="0.2"/>
    <row r="76" s="8" customFormat="1" ht="12.75" x14ac:dyDescent="0.2"/>
    <row r="77" s="8" customFormat="1" ht="12.75" x14ac:dyDescent="0.2"/>
    <row r="78" s="8" customFormat="1" ht="12.75" x14ac:dyDescent="0.2"/>
    <row r="79" s="8" customFormat="1" ht="12.75" x14ac:dyDescent="0.2"/>
    <row r="80" s="8" customFormat="1" ht="12.75" x14ac:dyDescent="0.2"/>
    <row r="81" s="8" customFormat="1" ht="12.75" x14ac:dyDescent="0.2"/>
    <row r="82" s="8" customFormat="1" ht="12.75" x14ac:dyDescent="0.2"/>
    <row r="83" s="8" customFormat="1" ht="12.75" x14ac:dyDescent="0.2"/>
    <row r="84" s="8" customFormat="1" ht="12.75" x14ac:dyDescent="0.2"/>
    <row r="85" s="8" customFormat="1" ht="12.75" x14ac:dyDescent="0.2"/>
    <row r="86" s="8" customFormat="1" ht="12.75" x14ac:dyDescent="0.2"/>
    <row r="87" s="8" customFormat="1" ht="12.75" x14ac:dyDescent="0.2"/>
    <row r="88" s="8" customFormat="1" ht="12.75" x14ac:dyDescent="0.2"/>
    <row r="89" s="8" customFormat="1" ht="12.75" x14ac:dyDescent="0.2"/>
    <row r="90" s="8" customFormat="1" ht="12.75" x14ac:dyDescent="0.2"/>
    <row r="91" s="8" customFormat="1" ht="12.75" x14ac:dyDescent="0.2"/>
    <row r="92" s="8" customFormat="1" ht="12.75" x14ac:dyDescent="0.2"/>
    <row r="93" s="8" customFormat="1" ht="12.75" x14ac:dyDescent="0.2"/>
    <row r="94" s="8" customFormat="1" ht="12.75" x14ac:dyDescent="0.2"/>
    <row r="95" s="8" customFormat="1" ht="12.75" x14ac:dyDescent="0.2"/>
    <row r="96" s="8" customFormat="1" ht="12.75" x14ac:dyDescent="0.2"/>
    <row r="97" s="8" customFormat="1" ht="12.75" x14ac:dyDescent="0.2"/>
    <row r="98" s="8" customFormat="1" ht="12.75" x14ac:dyDescent="0.2"/>
    <row r="99" s="8" customFormat="1" ht="12.75" x14ac:dyDescent="0.2"/>
    <row r="100" s="8" customFormat="1" ht="12.75" x14ac:dyDescent="0.2"/>
    <row r="101" s="8" customFormat="1" ht="12.75" x14ac:dyDescent="0.2"/>
    <row r="102" s="8" customFormat="1" ht="12.75" x14ac:dyDescent="0.2"/>
    <row r="103" s="8" customFormat="1" ht="12.75" x14ac:dyDescent="0.2"/>
    <row r="104" s="8" customFormat="1" ht="12.75" x14ac:dyDescent="0.2"/>
    <row r="105" s="8" customFormat="1" ht="12.75" x14ac:dyDescent="0.2"/>
    <row r="106" s="8" customFormat="1" ht="12.75" x14ac:dyDescent="0.2"/>
    <row r="107" s="8" customFormat="1" ht="12.75" x14ac:dyDescent="0.2"/>
    <row r="108" s="8" customFormat="1" ht="12.75" x14ac:dyDescent="0.2"/>
    <row r="109" s="8" customFormat="1" ht="12.75" x14ac:dyDescent="0.2"/>
    <row r="110" s="8" customFormat="1" ht="12.75" x14ac:dyDescent="0.2"/>
    <row r="111" s="8" customFormat="1" ht="12.75" x14ac:dyDescent="0.2"/>
    <row r="112" s="8" customFormat="1" ht="12.75" x14ac:dyDescent="0.2"/>
    <row r="113" s="8" customFormat="1" ht="12.75" x14ac:dyDescent="0.2"/>
    <row r="114" s="8" customFormat="1" ht="12.75" x14ac:dyDescent="0.2"/>
    <row r="115" s="8" customFormat="1" ht="12.75" x14ac:dyDescent="0.2"/>
    <row r="116" s="8" customFormat="1" ht="12.75" x14ac:dyDescent="0.2"/>
    <row r="117" s="8" customFormat="1" ht="12.75" x14ac:dyDescent="0.2"/>
    <row r="118" s="8" customFormat="1" ht="12.75" x14ac:dyDescent="0.2"/>
    <row r="119" s="8" customFormat="1" ht="12.75" x14ac:dyDescent="0.2"/>
    <row r="120" s="8" customFormat="1" ht="12.75" x14ac:dyDescent="0.2"/>
    <row r="121" s="8" customFormat="1" ht="12.75" x14ac:dyDescent="0.2"/>
    <row r="122" s="8" customFormat="1" ht="12.75" x14ac:dyDescent="0.2"/>
    <row r="123" s="8" customFormat="1" ht="12.75" x14ac:dyDescent="0.2"/>
    <row r="124" s="8" customFormat="1" ht="12.75" x14ac:dyDescent="0.2"/>
    <row r="125" s="8" customFormat="1" ht="12.75" x14ac:dyDescent="0.2"/>
    <row r="126" s="8" customFormat="1" ht="12.75" x14ac:dyDescent="0.2"/>
    <row r="127" s="8" customFormat="1" ht="12.75" x14ac:dyDescent="0.2"/>
    <row r="128" s="8" customFormat="1" ht="12.75" x14ac:dyDescent="0.2"/>
    <row r="129" s="8" customFormat="1" ht="12.75" x14ac:dyDescent="0.2"/>
    <row r="130" s="8" customFormat="1" ht="12.75" x14ac:dyDescent="0.2"/>
    <row r="131" s="8" customFormat="1" ht="12.75" x14ac:dyDescent="0.2"/>
    <row r="132" s="8" customFormat="1" ht="12.75" x14ac:dyDescent="0.2"/>
    <row r="133" s="8" customFormat="1" ht="12.75" x14ac:dyDescent="0.2"/>
    <row r="134" s="8" customFormat="1" ht="12.75" x14ac:dyDescent="0.2"/>
    <row r="135" s="8" customFormat="1" ht="12.75" x14ac:dyDescent="0.2"/>
    <row r="136" s="8" customFormat="1" ht="12.75" x14ac:dyDescent="0.2"/>
    <row r="137" s="8" customFormat="1" ht="12.75" x14ac:dyDescent="0.2"/>
    <row r="138" s="8" customFormat="1" ht="12.75" x14ac:dyDescent="0.2"/>
    <row r="139" s="8" customFormat="1" ht="12.75" x14ac:dyDescent="0.2"/>
    <row r="140" s="8" customFormat="1" ht="12.75" x14ac:dyDescent="0.2"/>
    <row r="141" s="8" customFormat="1" ht="12.75" x14ac:dyDescent="0.2"/>
    <row r="142" s="8" customFormat="1" ht="12.75" x14ac:dyDescent="0.2"/>
    <row r="143" s="8" customFormat="1" ht="12.75" x14ac:dyDescent="0.2"/>
    <row r="144" s="8" customFormat="1" ht="12.75" x14ac:dyDescent="0.2"/>
    <row r="145" s="8" customFormat="1" ht="12.75" x14ac:dyDescent="0.2"/>
    <row r="146" s="8" customFormat="1" ht="12.75" x14ac:dyDescent="0.2"/>
    <row r="147" s="8" customFormat="1" ht="12.75" x14ac:dyDescent="0.2"/>
    <row r="148" s="8" customFormat="1" ht="12.75" x14ac:dyDescent="0.2"/>
    <row r="149" s="8" customFormat="1" ht="12.75" x14ac:dyDescent="0.2"/>
    <row r="150" s="8" customFormat="1" ht="12.75" x14ac:dyDescent="0.2"/>
    <row r="151" s="8" customFormat="1" ht="12.75" x14ac:dyDescent="0.2"/>
    <row r="152" s="8" customFormat="1" ht="12.75" x14ac:dyDescent="0.2"/>
    <row r="153" s="8" customFormat="1" ht="12.75" x14ac:dyDescent="0.2"/>
    <row r="154" s="8" customFormat="1" ht="12.75" x14ac:dyDescent="0.2"/>
    <row r="155" s="8" customFormat="1" ht="12.75" x14ac:dyDescent="0.2"/>
    <row r="156" s="8" customFormat="1" ht="12.75" x14ac:dyDescent="0.2"/>
    <row r="157" s="8" customFormat="1" ht="12.75" x14ac:dyDescent="0.2"/>
    <row r="158" s="8" customFormat="1" ht="12.75" x14ac:dyDescent="0.2"/>
    <row r="159" s="8" customFormat="1" ht="12.75" x14ac:dyDescent="0.2"/>
    <row r="160" s="8" customFormat="1" ht="12.75" x14ac:dyDescent="0.2"/>
    <row r="161" s="8" customFormat="1" ht="12.75" x14ac:dyDescent="0.2"/>
  </sheetData>
  <mergeCells count="16">
    <mergeCell ref="A6:N6"/>
    <mergeCell ref="G8:N8"/>
    <mergeCell ref="A19:B19"/>
    <mergeCell ref="N15:N16"/>
    <mergeCell ref="A14:A16"/>
    <mergeCell ref="B14:B16"/>
    <mergeCell ref="C14:C16"/>
    <mergeCell ref="D15:D16"/>
    <mergeCell ref="E15:E16"/>
    <mergeCell ref="F15:F16"/>
    <mergeCell ref="G15:G16"/>
    <mergeCell ref="I14:N14"/>
    <mergeCell ref="D14:G14"/>
    <mergeCell ref="I15:J15"/>
    <mergeCell ref="H14:H16"/>
    <mergeCell ref="K15:M15"/>
  </mergeCells>
  <phoneticPr fontId="0" type="noConversion"/>
  <pageMargins left="0.25" right="0.25" top="0.75" bottom="0.75" header="0.3" footer="0.3"/>
  <pageSetup paperSize="9" scale="8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I215"/>
  <sheetViews>
    <sheetView view="pageBreakPreview" topLeftCell="A56" zoomScale="70" zoomScaleNormal="70" zoomScaleSheetLayoutView="70" workbookViewId="0">
      <selection activeCell="M114" sqref="M114"/>
    </sheetView>
  </sheetViews>
  <sheetFormatPr defaultColWidth="9.140625" defaultRowHeight="15.75" x14ac:dyDescent="0.25"/>
  <cols>
    <col min="1" max="1" width="88.28515625" style="406" customWidth="1"/>
    <col min="2" max="2" width="9.140625" style="353"/>
    <col min="3" max="5" width="19.42578125" style="353" customWidth="1"/>
    <col min="6" max="6" width="14.140625" style="353" customWidth="1"/>
    <col min="7" max="7" width="15.140625" style="353" customWidth="1"/>
    <col min="8" max="8" width="14.140625" style="353" customWidth="1"/>
    <col min="9" max="9" width="16.140625" style="353" customWidth="1"/>
    <col min="10" max="11" width="16" style="353" customWidth="1"/>
    <col min="12" max="12" width="19.5703125" style="406" customWidth="1"/>
    <col min="13" max="13" width="16.28515625" style="406" customWidth="1"/>
    <col min="14" max="14" width="17.140625" style="406" customWidth="1"/>
    <col min="15" max="15" width="16.140625" style="406" customWidth="1"/>
    <col min="16" max="16" width="13.140625" style="406" customWidth="1"/>
    <col min="17" max="17" width="16.28515625" style="406" customWidth="1"/>
    <col min="18" max="18" width="6.85546875" style="406" customWidth="1"/>
    <col min="19" max="20" width="9.140625" style="406"/>
    <col min="21" max="21" width="12.7109375" style="406" customWidth="1"/>
    <col min="22" max="22" width="11.42578125" style="406" customWidth="1"/>
    <col min="23" max="16384" width="9.140625" style="406"/>
  </cols>
  <sheetData>
    <row r="1" spans="1:5" x14ac:dyDescent="0.25">
      <c r="A1" s="1541" t="s">
        <v>1000</v>
      </c>
      <c r="B1" s="1541"/>
      <c r="C1" s="1541"/>
      <c r="D1" s="1541"/>
      <c r="E1" s="1541"/>
    </row>
    <row r="3" spans="1:5" x14ac:dyDescent="0.25">
      <c r="A3" s="1542" t="s">
        <v>1001</v>
      </c>
      <c r="B3" s="1542"/>
      <c r="C3" s="1542"/>
      <c r="D3" s="1542"/>
      <c r="E3" s="1542"/>
    </row>
    <row r="5" spans="1:5" x14ac:dyDescent="0.25">
      <c r="A5" s="1542" t="s">
        <v>1247</v>
      </c>
      <c r="B5" s="1542"/>
      <c r="C5" s="1542"/>
      <c r="D5" s="1542"/>
      <c r="E5" s="1542"/>
    </row>
    <row r="7" spans="1:5" x14ac:dyDescent="0.25">
      <c r="A7" s="1542" t="s">
        <v>1002</v>
      </c>
      <c r="B7" s="1542"/>
      <c r="C7" s="1542"/>
      <c r="D7" s="1542"/>
      <c r="E7" s="1542"/>
    </row>
    <row r="8" spans="1:5" x14ac:dyDescent="0.25">
      <c r="A8" s="1542" t="s">
        <v>1003</v>
      </c>
      <c r="B8" s="1542"/>
      <c r="C8" s="1542"/>
      <c r="D8" s="1542"/>
      <c r="E8" s="1542"/>
    </row>
    <row r="10" spans="1:5" x14ac:dyDescent="0.25">
      <c r="A10" s="1543" t="s">
        <v>114</v>
      </c>
      <c r="B10" s="1545" t="s">
        <v>233</v>
      </c>
      <c r="C10" s="1262" t="s">
        <v>761</v>
      </c>
      <c r="D10" s="1546"/>
      <c r="E10" s="1547"/>
    </row>
    <row r="11" spans="1:5" x14ac:dyDescent="0.25">
      <c r="A11" s="1544"/>
      <c r="B11" s="1544"/>
      <c r="C11" s="354" t="s">
        <v>776</v>
      </c>
      <c r="D11" s="354" t="s">
        <v>762</v>
      </c>
      <c r="E11" s="354" t="s">
        <v>1246</v>
      </c>
    </row>
    <row r="12" spans="1:5" x14ac:dyDescent="0.25">
      <c r="A12" s="403" t="s">
        <v>245</v>
      </c>
      <c r="B12" s="354" t="s">
        <v>246</v>
      </c>
      <c r="C12" s="354" t="s">
        <v>247</v>
      </c>
      <c r="D12" s="354" t="s">
        <v>248</v>
      </c>
      <c r="E12" s="354" t="s">
        <v>490</v>
      </c>
    </row>
    <row r="13" spans="1:5" x14ac:dyDescent="0.25">
      <c r="A13" s="404" t="s">
        <v>763</v>
      </c>
      <c r="B13" s="354" t="s">
        <v>1004</v>
      </c>
      <c r="C13" s="441"/>
      <c r="D13" s="441"/>
      <c r="E13" s="441"/>
    </row>
    <row r="14" spans="1:5" ht="31.5" x14ac:dyDescent="0.25">
      <c r="A14" s="404" t="s">
        <v>764</v>
      </c>
      <c r="B14" s="354" t="s">
        <v>1005</v>
      </c>
      <c r="C14" s="441"/>
      <c r="D14" s="441"/>
      <c r="E14" s="441"/>
    </row>
    <row r="15" spans="1:5" x14ac:dyDescent="0.25">
      <c r="A15" s="405" t="s">
        <v>1006</v>
      </c>
      <c r="B15" s="354" t="s">
        <v>1007</v>
      </c>
      <c r="C15" s="441">
        <f>C16</f>
        <v>27243.4</v>
      </c>
      <c r="D15" s="441"/>
      <c r="E15" s="441"/>
    </row>
    <row r="16" spans="1:5" ht="31.5" x14ac:dyDescent="0.25">
      <c r="A16" s="404" t="s">
        <v>1008</v>
      </c>
      <c r="B16" s="354" t="s">
        <v>1009</v>
      </c>
      <c r="C16" s="441">
        <f>'Приложение 1'!CB34</f>
        <v>27243.4</v>
      </c>
      <c r="D16" s="441"/>
      <c r="E16" s="441"/>
    </row>
    <row r="17" spans="1:87" x14ac:dyDescent="0.25">
      <c r="A17" s="405" t="s">
        <v>1010</v>
      </c>
      <c r="B17" s="354" t="s">
        <v>1011</v>
      </c>
      <c r="C17" s="441"/>
      <c r="D17" s="441"/>
      <c r="E17" s="441"/>
    </row>
    <row r="18" spans="1:87" ht="31.5" x14ac:dyDescent="0.25">
      <c r="A18" s="404" t="s">
        <v>1012</v>
      </c>
      <c r="B18" s="354" t="s">
        <v>1013</v>
      </c>
      <c r="C18" s="441"/>
      <c r="D18" s="441"/>
      <c r="E18" s="441"/>
    </row>
    <row r="19" spans="1:87" ht="31.5" x14ac:dyDescent="0.25">
      <c r="A19" s="404" t="s">
        <v>1014</v>
      </c>
      <c r="B19" s="354" t="s">
        <v>1015</v>
      </c>
      <c r="C19" s="441"/>
      <c r="D19" s="441"/>
      <c r="E19" s="441"/>
    </row>
    <row r="20" spans="1:87" x14ac:dyDescent="0.25">
      <c r="A20" s="405" t="s">
        <v>1016</v>
      </c>
      <c r="B20" s="354" t="s">
        <v>1017</v>
      </c>
      <c r="C20" s="441"/>
      <c r="D20" s="441"/>
      <c r="E20" s="441"/>
    </row>
    <row r="21" spans="1:87" x14ac:dyDescent="0.25">
      <c r="A21" s="405" t="s">
        <v>1018</v>
      </c>
      <c r="B21" s="354" t="s">
        <v>1019</v>
      </c>
      <c r="C21" s="441"/>
      <c r="D21" s="441"/>
      <c r="E21" s="441"/>
    </row>
    <row r="22" spans="1:87" ht="47.25" x14ac:dyDescent="0.25">
      <c r="A22" s="404" t="s">
        <v>1020</v>
      </c>
      <c r="B22" s="354" t="s">
        <v>1021</v>
      </c>
      <c r="C22" s="441"/>
      <c r="D22" s="441"/>
      <c r="E22" s="441"/>
    </row>
    <row r="23" spans="1:87" ht="31.5" x14ac:dyDescent="0.25">
      <c r="A23" s="404" t="s">
        <v>1022</v>
      </c>
      <c r="B23" s="354" t="s">
        <v>1023</v>
      </c>
      <c r="C23" s="441"/>
      <c r="D23" s="441"/>
      <c r="E23" s="441"/>
    </row>
    <row r="24" spans="1:87" ht="31.5" x14ac:dyDescent="0.25">
      <c r="A24" s="404" t="s">
        <v>1024</v>
      </c>
      <c r="B24" s="354" t="s">
        <v>1025</v>
      </c>
      <c r="C24" s="441"/>
      <c r="D24" s="441"/>
      <c r="E24" s="441"/>
    </row>
    <row r="25" spans="1:87" ht="18" customHeight="1" x14ac:dyDescent="0.25">
      <c r="A25" s="404" t="s">
        <v>768</v>
      </c>
      <c r="B25" s="354" t="s">
        <v>1026</v>
      </c>
      <c r="C25" s="441"/>
      <c r="D25" s="441"/>
      <c r="E25" s="441"/>
    </row>
    <row r="26" spans="1:87" ht="31.5" x14ac:dyDescent="0.25">
      <c r="A26" s="404" t="s">
        <v>769</v>
      </c>
      <c r="B26" s="354" t="s">
        <v>1027</v>
      </c>
      <c r="C26" s="441"/>
      <c r="D26" s="441"/>
      <c r="E26" s="441"/>
    </row>
    <row r="27" spans="1:87" ht="31.5" x14ac:dyDescent="0.25">
      <c r="A27" s="404" t="s">
        <v>1028</v>
      </c>
      <c r="B27" s="354" t="s">
        <v>1029</v>
      </c>
      <c r="C27" s="448">
        <f>C15</f>
        <v>27243.4</v>
      </c>
      <c r="D27" s="441"/>
      <c r="E27" s="441"/>
    </row>
    <row r="29" spans="1:87" ht="15.75" customHeight="1" x14ac:dyDescent="0.25">
      <c r="A29" s="1543" t="s">
        <v>1030</v>
      </c>
      <c r="B29" s="1545" t="s">
        <v>233</v>
      </c>
      <c r="C29" s="1548" t="s">
        <v>1031</v>
      </c>
      <c r="D29" s="1546"/>
      <c r="E29" s="1547"/>
      <c r="F29" s="1548" t="s">
        <v>1032</v>
      </c>
      <c r="G29" s="1546"/>
      <c r="H29" s="1547"/>
      <c r="I29" s="1262" t="s">
        <v>1033</v>
      </c>
      <c r="J29" s="1546"/>
      <c r="K29" s="1547"/>
    </row>
    <row r="30" spans="1:87" x14ac:dyDescent="0.25">
      <c r="A30" s="1544"/>
      <c r="B30" s="1544"/>
      <c r="C30" s="354" t="str">
        <f>C11</f>
        <v>на 2024 год</v>
      </c>
      <c r="D30" s="354" t="str">
        <f>D11</f>
        <v>на 2025 год</v>
      </c>
      <c r="E30" s="354" t="str">
        <f>E11</f>
        <v>на 2026 год</v>
      </c>
      <c r="F30" s="354" t="str">
        <f t="shared" ref="F30:K30" si="0">C30</f>
        <v>на 2024 год</v>
      </c>
      <c r="G30" s="354" t="str">
        <f t="shared" si="0"/>
        <v>на 2025 год</v>
      </c>
      <c r="H30" s="354" t="str">
        <f t="shared" si="0"/>
        <v>на 2026 год</v>
      </c>
      <c r="I30" s="354" t="str">
        <f t="shared" si="0"/>
        <v>на 2024 год</v>
      </c>
      <c r="J30" s="354" t="str">
        <f t="shared" si="0"/>
        <v>на 2025 год</v>
      </c>
      <c r="K30" s="354" t="str">
        <f t="shared" si="0"/>
        <v>на 2026 год</v>
      </c>
    </row>
    <row r="31" spans="1:87" s="407" customFormat="1" x14ac:dyDescent="0.25">
      <c r="A31" s="403" t="s">
        <v>245</v>
      </c>
      <c r="B31" s="354" t="s">
        <v>246</v>
      </c>
      <c r="C31" s="354" t="s">
        <v>247</v>
      </c>
      <c r="D31" s="354" t="s">
        <v>248</v>
      </c>
      <c r="E31" s="354" t="s">
        <v>490</v>
      </c>
      <c r="F31" s="354" t="s">
        <v>249</v>
      </c>
      <c r="G31" s="354" t="s">
        <v>250</v>
      </c>
      <c r="H31" s="354" t="s">
        <v>251</v>
      </c>
      <c r="I31" s="354" t="s">
        <v>252</v>
      </c>
      <c r="J31" s="354" t="s">
        <v>253</v>
      </c>
      <c r="K31" s="354" t="s">
        <v>254</v>
      </c>
      <c r="CI31" s="45" t="s">
        <v>1034</v>
      </c>
    </row>
    <row r="32" spans="1:87" x14ac:dyDescent="0.25">
      <c r="A32" s="408" t="s">
        <v>1035</v>
      </c>
      <c r="B32" s="354" t="s">
        <v>1004</v>
      </c>
      <c r="C32" s="354" t="s">
        <v>3</v>
      </c>
      <c r="D32" s="354" t="s">
        <v>3</v>
      </c>
      <c r="E32" s="354" t="s">
        <v>3</v>
      </c>
      <c r="F32" s="354" t="s">
        <v>3</v>
      </c>
      <c r="G32" s="354" t="s">
        <v>3</v>
      </c>
      <c r="H32" s="354" t="s">
        <v>3</v>
      </c>
      <c r="I32" s="354"/>
      <c r="J32" s="354"/>
      <c r="K32" s="354"/>
      <c r="CI32" s="409" t="s">
        <v>1036</v>
      </c>
    </row>
    <row r="33" spans="1:11" x14ac:dyDescent="0.25">
      <c r="A33" s="357" t="s">
        <v>1105</v>
      </c>
      <c r="B33" s="354" t="s">
        <v>1037</v>
      </c>
      <c r="C33" s="354"/>
      <c r="D33" s="354"/>
      <c r="E33" s="354"/>
      <c r="F33" s="354"/>
      <c r="G33" s="354"/>
      <c r="H33" s="354"/>
      <c r="I33" s="442">
        <f>C27</f>
        <v>27243.4</v>
      </c>
      <c r="J33" s="354"/>
      <c r="K33" s="354"/>
    </row>
    <row r="34" spans="1:11" x14ac:dyDescent="0.25">
      <c r="A34" s="408" t="s">
        <v>1038</v>
      </c>
      <c r="B34" s="354" t="s">
        <v>1005</v>
      </c>
      <c r="C34" s="354" t="s">
        <v>3</v>
      </c>
      <c r="D34" s="354" t="s">
        <v>3</v>
      </c>
      <c r="E34" s="354" t="s">
        <v>3</v>
      </c>
      <c r="F34" s="354" t="s">
        <v>3</v>
      </c>
      <c r="G34" s="354" t="s">
        <v>3</v>
      </c>
      <c r="H34" s="354" t="s">
        <v>3</v>
      </c>
      <c r="I34" s="354"/>
      <c r="J34" s="354"/>
      <c r="K34" s="354"/>
    </row>
    <row r="35" spans="1:11" x14ac:dyDescent="0.25">
      <c r="A35" s="408" t="s">
        <v>2</v>
      </c>
      <c r="B35" s="354" t="s">
        <v>1039</v>
      </c>
      <c r="C35" s="354"/>
      <c r="D35" s="354"/>
      <c r="E35" s="354"/>
      <c r="F35" s="354"/>
      <c r="G35" s="354"/>
      <c r="H35" s="354"/>
      <c r="I35" s="354"/>
      <c r="J35" s="354"/>
      <c r="K35" s="354"/>
    </row>
    <row r="36" spans="1:11" x14ac:dyDescent="0.25">
      <c r="A36" s="408" t="s">
        <v>783</v>
      </c>
      <c r="B36" s="354" t="s">
        <v>912</v>
      </c>
      <c r="C36" s="354" t="s">
        <v>3</v>
      </c>
      <c r="D36" s="354" t="s">
        <v>3</v>
      </c>
      <c r="E36" s="354" t="s">
        <v>3</v>
      </c>
      <c r="F36" s="354" t="s">
        <v>3</v>
      </c>
      <c r="G36" s="354" t="s">
        <v>3</v>
      </c>
      <c r="H36" s="354" t="s">
        <v>3</v>
      </c>
      <c r="I36" s="354"/>
      <c r="J36" s="354"/>
      <c r="K36" s="354"/>
    </row>
    <row r="38" spans="1:11" s="1" customFormat="1" x14ac:dyDescent="0.25">
      <c r="A38" s="1540" t="s">
        <v>1040</v>
      </c>
      <c r="B38" s="1540"/>
      <c r="C38" s="1540"/>
      <c r="D38" s="1540"/>
      <c r="E38" s="1540"/>
      <c r="F38" s="1540"/>
      <c r="G38" s="1540"/>
      <c r="H38" s="1540"/>
      <c r="I38" s="1540"/>
      <c r="J38" s="1540"/>
      <c r="K38" s="1540"/>
    </row>
    <row r="40" spans="1:11" x14ac:dyDescent="0.25">
      <c r="A40" s="410"/>
      <c r="B40" s="354"/>
      <c r="C40" s="1262" t="str">
        <f>C30</f>
        <v>на 2024 год</v>
      </c>
      <c r="D40" s="1546"/>
      <c r="E40" s="1547"/>
      <c r="F40" s="1262" t="str">
        <f>D30</f>
        <v>на 2025 год</v>
      </c>
      <c r="G40" s="1546"/>
      <c r="H40" s="1547"/>
      <c r="I40" s="1262" t="str">
        <f>E30</f>
        <v>на 2026 год</v>
      </c>
      <c r="J40" s="1546"/>
      <c r="K40" s="1547"/>
    </row>
    <row r="41" spans="1:11" ht="94.5" x14ac:dyDescent="0.25">
      <c r="A41" s="355" t="s">
        <v>1041</v>
      </c>
      <c r="B41" s="355" t="s">
        <v>233</v>
      </c>
      <c r="C41" s="355" t="s">
        <v>1042</v>
      </c>
      <c r="D41" s="355" t="s">
        <v>1043</v>
      </c>
      <c r="E41" s="355" t="s">
        <v>1044</v>
      </c>
      <c r="F41" s="355" t="s">
        <v>1042</v>
      </c>
      <c r="G41" s="355" t="s">
        <v>1043</v>
      </c>
      <c r="H41" s="355" t="s">
        <v>1044</v>
      </c>
      <c r="I41" s="355" t="s">
        <v>1042</v>
      </c>
      <c r="J41" s="355" t="s">
        <v>1045</v>
      </c>
      <c r="K41" s="355" t="s">
        <v>1044</v>
      </c>
    </row>
    <row r="42" spans="1:11" s="407" customFormat="1" x14ac:dyDescent="0.25">
      <c r="A42" s="403" t="s">
        <v>245</v>
      </c>
      <c r="B42" s="354" t="s">
        <v>246</v>
      </c>
      <c r="C42" s="354" t="s">
        <v>247</v>
      </c>
      <c r="D42" s="354" t="s">
        <v>248</v>
      </c>
      <c r="E42" s="354" t="s">
        <v>490</v>
      </c>
      <c r="F42" s="354" t="s">
        <v>249</v>
      </c>
      <c r="G42" s="354" t="s">
        <v>250</v>
      </c>
      <c r="H42" s="354" t="s">
        <v>251</v>
      </c>
      <c r="I42" s="354" t="s">
        <v>252</v>
      </c>
      <c r="J42" s="354" t="s">
        <v>253</v>
      </c>
      <c r="K42" s="354" t="s">
        <v>1046</v>
      </c>
    </row>
    <row r="43" spans="1:11" x14ac:dyDescent="0.25">
      <c r="A43" s="410"/>
      <c r="B43" s="354" t="s">
        <v>265</v>
      </c>
      <c r="C43" s="354"/>
      <c r="D43" s="354"/>
      <c r="E43" s="354"/>
      <c r="F43" s="354"/>
      <c r="G43" s="354"/>
      <c r="H43" s="354"/>
      <c r="I43" s="354"/>
      <c r="J43" s="354"/>
      <c r="K43" s="354"/>
    </row>
    <row r="44" spans="1:11" x14ac:dyDescent="0.25">
      <c r="A44" s="408" t="s">
        <v>783</v>
      </c>
      <c r="B44" s="354" t="s">
        <v>912</v>
      </c>
      <c r="C44" s="354" t="s">
        <v>3</v>
      </c>
      <c r="D44" s="354" t="s">
        <v>3</v>
      </c>
      <c r="E44" s="354"/>
      <c r="F44" s="354" t="s">
        <v>3</v>
      </c>
      <c r="G44" s="354" t="s">
        <v>3</v>
      </c>
      <c r="H44" s="354"/>
      <c r="I44" s="354" t="s">
        <v>3</v>
      </c>
      <c r="J44" s="354" t="s">
        <v>3</v>
      </c>
      <c r="K44" s="354"/>
    </row>
    <row r="46" spans="1:11" s="411" customFormat="1" ht="33.75" customHeight="1" x14ac:dyDescent="0.25">
      <c r="A46" s="1549" t="s">
        <v>1047</v>
      </c>
      <c r="B46" s="1549"/>
      <c r="C46" s="1549"/>
      <c r="D46" s="1549"/>
      <c r="E46" s="1549"/>
      <c r="F46" s="1549"/>
      <c r="G46" s="1549"/>
      <c r="H46" s="1549"/>
      <c r="I46" s="1549"/>
      <c r="J46" s="1549"/>
      <c r="K46" s="1549"/>
    </row>
    <row r="48" spans="1:11" ht="15.75" customHeight="1" x14ac:dyDescent="0.25">
      <c r="A48" s="1543" t="s">
        <v>114</v>
      </c>
      <c r="B48" s="1545" t="s">
        <v>233</v>
      </c>
      <c r="C48" s="1548" t="s">
        <v>1048</v>
      </c>
      <c r="D48" s="1546"/>
      <c r="E48" s="1547"/>
      <c r="F48" s="1548" t="s">
        <v>1049</v>
      </c>
      <c r="G48" s="1546"/>
      <c r="H48" s="1547"/>
      <c r="I48" s="1548" t="s">
        <v>1050</v>
      </c>
      <c r="J48" s="1546"/>
      <c r="K48" s="1547"/>
    </row>
    <row r="49" spans="1:13" x14ac:dyDescent="0.25">
      <c r="A49" s="1544"/>
      <c r="B49" s="1544"/>
      <c r="C49" s="354" t="str">
        <f t="shared" ref="C49:K49" si="1">C30</f>
        <v>на 2024 год</v>
      </c>
      <c r="D49" s="354" t="str">
        <f t="shared" si="1"/>
        <v>на 2025 год</v>
      </c>
      <c r="E49" s="354" t="str">
        <f t="shared" si="1"/>
        <v>на 2026 год</v>
      </c>
      <c r="F49" s="354" t="str">
        <f t="shared" si="1"/>
        <v>на 2024 год</v>
      </c>
      <c r="G49" s="354" t="str">
        <f t="shared" si="1"/>
        <v>на 2025 год</v>
      </c>
      <c r="H49" s="354" t="str">
        <f t="shared" si="1"/>
        <v>на 2026 год</v>
      </c>
      <c r="I49" s="354" t="str">
        <f t="shared" si="1"/>
        <v>на 2024 год</v>
      </c>
      <c r="J49" s="354" t="str">
        <f t="shared" si="1"/>
        <v>на 2025 год</v>
      </c>
      <c r="K49" s="354" t="str">
        <f t="shared" si="1"/>
        <v>на 2026 год</v>
      </c>
    </row>
    <row r="50" spans="1:13" s="407" customFormat="1" x14ac:dyDescent="0.25">
      <c r="A50" s="403" t="s">
        <v>245</v>
      </c>
      <c r="B50" s="354" t="s">
        <v>246</v>
      </c>
      <c r="C50" s="354" t="s">
        <v>247</v>
      </c>
      <c r="D50" s="354" t="s">
        <v>248</v>
      </c>
      <c r="E50" s="354" t="s">
        <v>490</v>
      </c>
      <c r="F50" s="354" t="s">
        <v>249</v>
      </c>
      <c r="G50" s="354" t="s">
        <v>250</v>
      </c>
      <c r="H50" s="354" t="s">
        <v>251</v>
      </c>
      <c r="I50" s="354" t="s">
        <v>252</v>
      </c>
      <c r="J50" s="354" t="s">
        <v>253</v>
      </c>
      <c r="K50" s="354" t="s">
        <v>254</v>
      </c>
    </row>
    <row r="51" spans="1:13" ht="47.25" x14ac:dyDescent="0.25">
      <c r="A51" s="404" t="s">
        <v>1051</v>
      </c>
      <c r="B51" s="354" t="s">
        <v>1004</v>
      </c>
      <c r="C51" s="354" t="s">
        <v>1052</v>
      </c>
      <c r="D51" s="354" t="s">
        <v>1052</v>
      </c>
      <c r="E51" s="354" t="s">
        <v>1052</v>
      </c>
      <c r="F51" s="354" t="s">
        <v>1052</v>
      </c>
      <c r="G51" s="354" t="s">
        <v>1052</v>
      </c>
      <c r="H51" s="354" t="s">
        <v>1052</v>
      </c>
      <c r="I51" s="354"/>
      <c r="J51" s="354"/>
      <c r="K51" s="354"/>
    </row>
    <row r="53" spans="1:13" x14ac:dyDescent="0.25">
      <c r="A53" s="1542" t="s">
        <v>1053</v>
      </c>
      <c r="B53" s="1542"/>
      <c r="C53" s="1542"/>
      <c r="D53" s="1542"/>
      <c r="E53" s="1542"/>
    </row>
    <row r="54" spans="1:13" x14ac:dyDescent="0.25">
      <c r="A54" s="1542" t="s">
        <v>1054</v>
      </c>
      <c r="B54" s="1542"/>
      <c r="C54" s="1542"/>
      <c r="D54" s="1542"/>
      <c r="E54" s="1542"/>
    </row>
    <row r="56" spans="1:13" x14ac:dyDescent="0.25">
      <c r="A56" s="1543" t="s">
        <v>114</v>
      </c>
      <c r="B56" s="1545" t="s">
        <v>233</v>
      </c>
      <c r="C56" s="1262" t="s">
        <v>761</v>
      </c>
      <c r="D56" s="1546"/>
      <c r="E56" s="1547"/>
    </row>
    <row r="57" spans="1:13" x14ac:dyDescent="0.25">
      <c r="A57" s="1544"/>
      <c r="B57" s="1544"/>
      <c r="C57" s="354" t="str">
        <f>C11</f>
        <v>на 2024 год</v>
      </c>
      <c r="D57" s="354" t="str">
        <f>D11</f>
        <v>на 2025 год</v>
      </c>
      <c r="E57" s="354" t="str">
        <f>E11</f>
        <v>на 2026 год</v>
      </c>
    </row>
    <row r="58" spans="1:13" s="407" customFormat="1" x14ac:dyDescent="0.25">
      <c r="A58" s="403" t="s">
        <v>245</v>
      </c>
      <c r="B58" s="354" t="s">
        <v>246</v>
      </c>
      <c r="C58" s="354" t="s">
        <v>247</v>
      </c>
      <c r="D58" s="354" t="s">
        <v>248</v>
      </c>
      <c r="E58" s="354" t="s">
        <v>490</v>
      </c>
      <c r="F58" s="353"/>
      <c r="G58" s="353"/>
      <c r="H58" s="353"/>
      <c r="I58" s="353"/>
      <c r="J58" s="353"/>
      <c r="K58" s="353"/>
    </row>
    <row r="59" spans="1:13" x14ac:dyDescent="0.25">
      <c r="A59" s="404" t="s">
        <v>763</v>
      </c>
      <c r="B59" s="354" t="s">
        <v>1004</v>
      </c>
      <c r="C59" s="354"/>
      <c r="D59" s="354"/>
      <c r="E59" s="354"/>
    </row>
    <row r="60" spans="1:13" ht="31.5" x14ac:dyDescent="0.25">
      <c r="A60" s="404" t="s">
        <v>764</v>
      </c>
      <c r="B60" s="354" t="s">
        <v>1005</v>
      </c>
      <c r="C60" s="354"/>
      <c r="D60" s="354"/>
      <c r="E60" s="354"/>
    </row>
    <row r="61" spans="1:13" x14ac:dyDescent="0.25">
      <c r="A61" s="412" t="s">
        <v>1055</v>
      </c>
      <c r="B61" s="413" t="s">
        <v>1007</v>
      </c>
      <c r="C61" s="414">
        <f>C62+C63+C64+C65</f>
        <v>58342901.210000008</v>
      </c>
      <c r="D61" s="414">
        <f>D62+D63+D64+D65</f>
        <v>54806522.690000005</v>
      </c>
      <c r="E61" s="414">
        <f>E62+E63+E64+E65</f>
        <v>54805744.420000002</v>
      </c>
    </row>
    <row r="62" spans="1:13" ht="47.25" x14ac:dyDescent="0.25">
      <c r="A62" s="415" t="s">
        <v>1056</v>
      </c>
      <c r="B62" s="416" t="s">
        <v>1009</v>
      </c>
      <c r="C62" s="417">
        <f>'Приложение 1'!BY36</f>
        <v>56074811.290000007</v>
      </c>
      <c r="D62" s="417">
        <f>'Приложение 1'!CD36</f>
        <v>53556312.690000005</v>
      </c>
      <c r="E62" s="449">
        <f>'Приложение 1'!CI36</f>
        <v>53555534.420000002</v>
      </c>
      <c r="G62" s="451"/>
      <c r="L62" s="406" t="s">
        <v>1057</v>
      </c>
    </row>
    <row r="63" spans="1:13" ht="47.25" x14ac:dyDescent="0.25">
      <c r="A63" s="415" t="s">
        <v>765</v>
      </c>
      <c r="B63" s="416" t="s">
        <v>1011</v>
      </c>
      <c r="C63" s="417">
        <f>'Приложение 1'!CB40+'Приложение 1'!CB41</f>
        <v>1045037</v>
      </c>
      <c r="D63" s="417">
        <f>'Приложение 1'!CG32</f>
        <v>1250210</v>
      </c>
      <c r="E63" s="417">
        <f>'Приложение 1'!CL35</f>
        <v>1250210</v>
      </c>
      <c r="G63" s="1078"/>
      <c r="I63" s="452"/>
      <c r="J63" s="452"/>
      <c r="K63" s="452"/>
      <c r="L63" s="406" t="s">
        <v>1058</v>
      </c>
      <c r="M63" s="1242" t="s">
        <v>1733</v>
      </c>
    </row>
    <row r="64" spans="1:13" x14ac:dyDescent="0.25">
      <c r="A64" s="418" t="s">
        <v>766</v>
      </c>
      <c r="B64" s="416" t="s">
        <v>1013</v>
      </c>
      <c r="C64" s="419"/>
      <c r="D64" s="419"/>
      <c r="E64" s="419"/>
      <c r="L64" s="406" t="s">
        <v>1059</v>
      </c>
    </row>
    <row r="65" spans="1:14" ht="47.25" x14ac:dyDescent="0.25">
      <c r="A65" s="404" t="s">
        <v>767</v>
      </c>
      <c r="B65" s="354" t="s">
        <v>1015</v>
      </c>
      <c r="C65" s="241">
        <f>'Приложение 1'!CB39+'Приложение 1'!CB42</f>
        <v>1223052.9199999997</v>
      </c>
      <c r="D65" s="354"/>
      <c r="E65" s="354"/>
      <c r="L65" s="406" t="s">
        <v>1106</v>
      </c>
    </row>
    <row r="66" spans="1:14" x14ac:dyDescent="0.25">
      <c r="A66" s="404" t="s">
        <v>768</v>
      </c>
      <c r="B66" s="354" t="s">
        <v>1026</v>
      </c>
      <c r="C66" s="354"/>
      <c r="D66" s="354"/>
      <c r="E66" s="354"/>
    </row>
    <row r="67" spans="1:14" ht="31.5" x14ac:dyDescent="0.25">
      <c r="A67" s="404" t="s">
        <v>769</v>
      </c>
      <c r="B67" s="354" t="s">
        <v>1027</v>
      </c>
      <c r="C67" s="354"/>
      <c r="D67" s="354"/>
      <c r="E67" s="354"/>
    </row>
    <row r="68" spans="1:14" ht="11.25" customHeight="1" x14ac:dyDescent="0.25"/>
    <row r="69" spans="1:14" s="1" customFormat="1" hidden="1" x14ac:dyDescent="0.25">
      <c r="A69" s="1540" t="s">
        <v>1060</v>
      </c>
      <c r="B69" s="1540"/>
      <c r="C69" s="1540"/>
      <c r="D69" s="1540"/>
      <c r="E69" s="1540"/>
      <c r="F69" s="1540"/>
      <c r="G69" s="1540"/>
      <c r="H69" s="1540"/>
      <c r="I69" s="1540"/>
      <c r="J69" s="1540"/>
      <c r="K69" s="1540"/>
    </row>
    <row r="70" spans="1:14" hidden="1" x14ac:dyDescent="0.25">
      <c r="A70" s="1540" t="s">
        <v>1061</v>
      </c>
      <c r="B70" s="1540"/>
      <c r="C70" s="1540"/>
      <c r="D70" s="1540"/>
      <c r="E70" s="1540"/>
      <c r="F70" s="1540"/>
      <c r="G70" s="1540"/>
      <c r="H70" s="1540"/>
      <c r="I70" s="1540"/>
      <c r="J70" s="1540"/>
      <c r="K70" s="1540"/>
    </row>
    <row r="71" spans="1:14" hidden="1" x14ac:dyDescent="0.25"/>
    <row r="72" spans="1:14" s="420" customFormat="1" ht="15.75" hidden="1" customHeight="1" x14ac:dyDescent="0.25">
      <c r="A72" s="1550" t="s">
        <v>772</v>
      </c>
      <c r="B72" s="1552" t="s">
        <v>1062</v>
      </c>
      <c r="C72" s="1553" t="s">
        <v>773</v>
      </c>
      <c r="D72" s="1554"/>
      <c r="E72" s="1555"/>
      <c r="F72" s="1553" t="s">
        <v>774</v>
      </c>
      <c r="G72" s="1554"/>
      <c r="H72" s="1555"/>
      <c r="I72" s="1553" t="s">
        <v>775</v>
      </c>
      <c r="J72" s="1554"/>
      <c r="K72" s="1555"/>
    </row>
    <row r="73" spans="1:14" s="420" customFormat="1" hidden="1" x14ac:dyDescent="0.25">
      <c r="A73" s="1551"/>
      <c r="B73" s="1551"/>
      <c r="C73" s="421" t="str">
        <f>C49</f>
        <v>на 2024 год</v>
      </c>
      <c r="D73" s="421" t="str">
        <f t="shared" ref="D73:K73" si="2">D49</f>
        <v>на 2025 год</v>
      </c>
      <c r="E73" s="421" t="str">
        <f t="shared" si="2"/>
        <v>на 2026 год</v>
      </c>
      <c r="F73" s="421" t="str">
        <f t="shared" si="2"/>
        <v>на 2024 год</v>
      </c>
      <c r="G73" s="421" t="str">
        <f t="shared" si="2"/>
        <v>на 2025 год</v>
      </c>
      <c r="H73" s="421" t="str">
        <f t="shared" si="2"/>
        <v>на 2026 год</v>
      </c>
      <c r="I73" s="421" t="str">
        <f t="shared" si="2"/>
        <v>на 2024 год</v>
      </c>
      <c r="J73" s="421" t="str">
        <f t="shared" si="2"/>
        <v>на 2025 год</v>
      </c>
      <c r="K73" s="421" t="str">
        <f t="shared" si="2"/>
        <v>на 2026 год</v>
      </c>
    </row>
    <row r="74" spans="1:14" s="423" customFormat="1" hidden="1" x14ac:dyDescent="0.25">
      <c r="A74" s="422" t="s">
        <v>245</v>
      </c>
      <c r="B74" s="421" t="s">
        <v>246</v>
      </c>
      <c r="C74" s="421" t="s">
        <v>247</v>
      </c>
      <c r="D74" s="421" t="s">
        <v>248</v>
      </c>
      <c r="E74" s="421" t="s">
        <v>490</v>
      </c>
      <c r="F74" s="421" t="s">
        <v>249</v>
      </c>
      <c r="G74" s="421" t="s">
        <v>250</v>
      </c>
      <c r="H74" s="421" t="s">
        <v>251</v>
      </c>
      <c r="I74" s="421" t="s">
        <v>252</v>
      </c>
      <c r="J74" s="421" t="s">
        <v>253</v>
      </c>
      <c r="K74" s="421" t="s">
        <v>254</v>
      </c>
    </row>
    <row r="75" spans="1:14" s="420" customFormat="1" ht="47.25" hidden="1" x14ac:dyDescent="0.25">
      <c r="A75" s="424" t="s">
        <v>1063</v>
      </c>
      <c r="B75" s="421" t="s">
        <v>265</v>
      </c>
      <c r="C75" s="421"/>
      <c r="D75" s="421"/>
      <c r="E75" s="421"/>
      <c r="F75" s="425"/>
      <c r="G75" s="425"/>
      <c r="H75" s="425"/>
      <c r="I75" s="1556"/>
      <c r="J75" s="1557"/>
      <c r="K75" s="1557"/>
      <c r="L75" s="420" t="s">
        <v>1064</v>
      </c>
    </row>
    <row r="76" spans="1:14" s="420" customFormat="1" ht="47.25" hidden="1" x14ac:dyDescent="0.25">
      <c r="A76" s="424" t="s">
        <v>1065</v>
      </c>
      <c r="B76" s="421" t="s">
        <v>267</v>
      </c>
      <c r="C76" s="421"/>
      <c r="D76" s="421"/>
      <c r="E76" s="421"/>
      <c r="F76" s="425"/>
      <c r="G76" s="425"/>
      <c r="H76" s="425"/>
      <c r="I76" s="1556"/>
      <c r="J76" s="1557"/>
      <c r="K76" s="1557"/>
      <c r="L76" s="420" t="s">
        <v>1064</v>
      </c>
    </row>
    <row r="77" spans="1:14" s="420" customFormat="1" hidden="1" x14ac:dyDescent="0.25">
      <c r="A77" s="424" t="s">
        <v>1066</v>
      </c>
      <c r="B77" s="421" t="s">
        <v>1067</v>
      </c>
      <c r="C77" s="421"/>
      <c r="D77" s="421"/>
      <c r="E77" s="426"/>
      <c r="F77" s="421"/>
      <c r="G77" s="425"/>
      <c r="H77" s="425"/>
      <c r="I77" s="1556"/>
      <c r="J77" s="1557"/>
      <c r="K77" s="1557"/>
      <c r="L77" s="420" t="s">
        <v>1064</v>
      </c>
    </row>
    <row r="78" spans="1:14" s="420" customFormat="1" hidden="1" x14ac:dyDescent="0.25">
      <c r="A78" s="424" t="s">
        <v>782</v>
      </c>
      <c r="B78" s="421" t="s">
        <v>1067</v>
      </c>
      <c r="C78" s="421"/>
      <c r="D78" s="421"/>
      <c r="E78" s="421"/>
      <c r="F78" s="421"/>
      <c r="G78" s="425"/>
      <c r="H78" s="425"/>
      <c r="I78" s="427"/>
      <c r="J78" s="427"/>
      <c r="K78" s="427"/>
      <c r="L78" s="420" t="s">
        <v>1064</v>
      </c>
    </row>
    <row r="79" spans="1:14" s="420" customFormat="1" hidden="1" x14ac:dyDescent="0.25">
      <c r="A79" s="428" t="s">
        <v>783</v>
      </c>
      <c r="B79" s="421" t="s">
        <v>912</v>
      </c>
      <c r="C79" s="421" t="s">
        <v>3</v>
      </c>
      <c r="D79" s="421" t="s">
        <v>3</v>
      </c>
      <c r="E79" s="421" t="s">
        <v>3</v>
      </c>
      <c r="F79" s="421" t="s">
        <v>3</v>
      </c>
      <c r="G79" s="421" t="s">
        <v>3</v>
      </c>
      <c r="H79" s="421" t="s">
        <v>3</v>
      </c>
      <c r="I79" s="429">
        <f>SUM(I75:I78)</f>
        <v>0</v>
      </c>
      <c r="J79" s="429">
        <f>SUM(J75:J78)</f>
        <v>0</v>
      </c>
      <c r="K79" s="429">
        <f>SUM(K75:K78)</f>
        <v>0</v>
      </c>
      <c r="L79" s="420" t="s">
        <v>1068</v>
      </c>
    </row>
    <row r="80" spans="1:14" s="420" customFormat="1" hidden="1" x14ac:dyDescent="0.25">
      <c r="B80" s="430"/>
      <c r="C80" s="430"/>
      <c r="D80" s="430"/>
      <c r="E80" s="431"/>
      <c r="F80" s="430"/>
      <c r="G80" s="430"/>
      <c r="H80" s="430"/>
      <c r="I80" s="430"/>
      <c r="J80" s="432"/>
      <c r="K80" s="430"/>
      <c r="L80" s="433">
        <f>C62+C63</f>
        <v>57119848.290000007</v>
      </c>
      <c r="M80" s="433">
        <f>D62+D63</f>
        <v>54806522.690000005</v>
      </c>
      <c r="N80" s="433">
        <f>E62+E63</f>
        <v>54805744.420000002</v>
      </c>
    </row>
    <row r="81" spans="1:14" s="435" customFormat="1" hidden="1" x14ac:dyDescent="0.25">
      <c r="A81" s="1558" t="s">
        <v>1069</v>
      </c>
      <c r="B81" s="1558"/>
      <c r="C81" s="1558"/>
      <c r="D81" s="1558"/>
      <c r="E81" s="1558"/>
      <c r="F81" s="1558"/>
      <c r="G81" s="1558"/>
      <c r="H81" s="1558"/>
      <c r="I81" s="1558"/>
      <c r="J81" s="1558"/>
      <c r="K81" s="1558"/>
      <c r="L81" s="434">
        <f>L80-I79</f>
        <v>57119848.290000007</v>
      </c>
      <c r="M81" s="434">
        <f>M80-J79</f>
        <v>54806522.690000005</v>
      </c>
      <c r="N81" s="434">
        <f>N80-K79</f>
        <v>54805744.420000002</v>
      </c>
    </row>
    <row r="82" spans="1:14" s="420" customFormat="1" hidden="1" x14ac:dyDescent="0.25">
      <c r="A82" s="1558" t="s">
        <v>1070</v>
      </c>
      <c r="B82" s="1558"/>
      <c r="C82" s="1558"/>
      <c r="D82" s="1558"/>
      <c r="E82" s="1558"/>
      <c r="F82" s="1558"/>
      <c r="G82" s="1558"/>
      <c r="H82" s="1558"/>
      <c r="I82" s="1558"/>
      <c r="J82" s="1558"/>
      <c r="K82" s="1558"/>
    </row>
    <row r="83" spans="1:14" s="420" customFormat="1" hidden="1" x14ac:dyDescent="0.25">
      <c r="B83" s="430"/>
      <c r="C83" s="430"/>
      <c r="D83" s="430"/>
      <c r="E83" s="430"/>
      <c r="F83" s="430"/>
      <c r="G83" s="430"/>
      <c r="H83" s="430"/>
      <c r="I83" s="430">
        <v>1871656.88</v>
      </c>
      <c r="J83" s="430"/>
      <c r="K83" s="430"/>
    </row>
    <row r="84" spans="1:14" s="420" customFormat="1" ht="15.75" hidden="1" customHeight="1" x14ac:dyDescent="0.25">
      <c r="A84" s="1550" t="s">
        <v>772</v>
      </c>
      <c r="B84" s="1552" t="s">
        <v>233</v>
      </c>
      <c r="C84" s="1553" t="s">
        <v>773</v>
      </c>
      <c r="D84" s="1554"/>
      <c r="E84" s="1555"/>
      <c r="F84" s="1553" t="s">
        <v>774</v>
      </c>
      <c r="G84" s="1554"/>
      <c r="H84" s="1555"/>
      <c r="I84" s="1553" t="s">
        <v>775</v>
      </c>
      <c r="J84" s="1554"/>
      <c r="K84" s="1555"/>
    </row>
    <row r="85" spans="1:14" s="420" customFormat="1" hidden="1" x14ac:dyDescent="0.25">
      <c r="A85" s="1551"/>
      <c r="B85" s="1551"/>
      <c r="C85" s="421" t="str">
        <f>C73</f>
        <v>на 2024 год</v>
      </c>
      <c r="D85" s="421" t="str">
        <f t="shared" ref="D85:K85" si="3">D73</f>
        <v>на 2025 год</v>
      </c>
      <c r="E85" s="421" t="str">
        <f t="shared" si="3"/>
        <v>на 2026 год</v>
      </c>
      <c r="F85" s="421" t="str">
        <f t="shared" si="3"/>
        <v>на 2024 год</v>
      </c>
      <c r="G85" s="421" t="str">
        <f t="shared" si="3"/>
        <v>на 2025 год</v>
      </c>
      <c r="H85" s="421" t="str">
        <f t="shared" si="3"/>
        <v>на 2026 год</v>
      </c>
      <c r="I85" s="421" t="str">
        <f t="shared" si="3"/>
        <v>на 2024 год</v>
      </c>
      <c r="J85" s="421" t="str">
        <f t="shared" si="3"/>
        <v>на 2025 год</v>
      </c>
      <c r="K85" s="421" t="str">
        <f t="shared" si="3"/>
        <v>на 2026 год</v>
      </c>
    </row>
    <row r="86" spans="1:14" s="423" customFormat="1" hidden="1" x14ac:dyDescent="0.25">
      <c r="A86" s="422" t="s">
        <v>245</v>
      </c>
      <c r="B86" s="421" t="s">
        <v>246</v>
      </c>
      <c r="C86" s="421" t="s">
        <v>247</v>
      </c>
      <c r="D86" s="421" t="s">
        <v>248</v>
      </c>
      <c r="E86" s="421" t="s">
        <v>490</v>
      </c>
      <c r="F86" s="421" t="s">
        <v>249</v>
      </c>
      <c r="G86" s="421" t="s">
        <v>250</v>
      </c>
      <c r="H86" s="421" t="s">
        <v>251</v>
      </c>
      <c r="I86" s="421" t="s">
        <v>252</v>
      </c>
      <c r="J86" s="421" t="s">
        <v>253</v>
      </c>
      <c r="K86" s="421" t="s">
        <v>254</v>
      </c>
    </row>
    <row r="87" spans="1:14" s="420" customFormat="1" ht="30.75" hidden="1" customHeight="1" x14ac:dyDescent="0.25">
      <c r="A87" s="436" t="str">
        <f>'[2]Платные услуги'!C7</f>
        <v>Английский язык для дошколят</v>
      </c>
      <c r="B87" s="421" t="s">
        <v>265</v>
      </c>
      <c r="C87" s="426"/>
      <c r="D87" s="426"/>
      <c r="E87" s="426"/>
      <c r="F87" s="426"/>
      <c r="G87" s="426"/>
      <c r="H87" s="426"/>
      <c r="I87" s="437"/>
      <c r="J87" s="429"/>
      <c r="K87" s="429"/>
      <c r="L87" s="438" t="e">
        <f>#REF!/#REF!</f>
        <v>#REF!</v>
      </c>
    </row>
    <row r="88" spans="1:14" s="420" customFormat="1" ht="27" hidden="1" customHeight="1" x14ac:dyDescent="0.25">
      <c r="A88" s="436" t="str">
        <f>'[2]Платные услуги'!C8</f>
        <v>Английский язык для дошколят</v>
      </c>
      <c r="B88" s="421" t="s">
        <v>1071</v>
      </c>
      <c r="C88" s="426"/>
      <c r="D88" s="426"/>
      <c r="E88" s="426"/>
      <c r="F88" s="426"/>
      <c r="G88" s="426"/>
      <c r="H88" s="426"/>
      <c r="I88" s="437"/>
      <c r="J88" s="429"/>
      <c r="K88" s="429"/>
    </row>
    <row r="89" spans="1:14" s="420" customFormat="1" hidden="1" x14ac:dyDescent="0.25">
      <c r="A89" s="436" t="str">
        <f>'[2]Платные услуги'!C9</f>
        <v>Обучение дошкольников игре в шахматы</v>
      </c>
      <c r="B89" s="421" t="s">
        <v>1072</v>
      </c>
      <c r="C89" s="426"/>
      <c r="D89" s="426"/>
      <c r="E89" s="426"/>
      <c r="F89" s="426"/>
      <c r="G89" s="426"/>
      <c r="H89" s="426"/>
      <c r="I89" s="437"/>
      <c r="J89" s="429"/>
      <c r="K89" s="429"/>
    </row>
    <row r="90" spans="1:14" s="420" customFormat="1" ht="27" hidden="1" customHeight="1" x14ac:dyDescent="0.25">
      <c r="A90" s="436" t="str">
        <f>'[2]Платные услуги'!C10</f>
        <v>Обучение дошкольников игре в шахматы</v>
      </c>
      <c r="B90" s="421" t="s">
        <v>1071</v>
      </c>
      <c r="C90" s="426"/>
      <c r="D90" s="426"/>
      <c r="E90" s="426"/>
      <c r="F90" s="426"/>
      <c r="G90" s="426"/>
      <c r="H90" s="426"/>
      <c r="I90" s="437"/>
      <c r="J90" s="429"/>
      <c r="K90" s="429"/>
    </row>
    <row r="91" spans="1:14" s="420" customFormat="1" ht="27" hidden="1" customHeight="1" x14ac:dyDescent="0.25">
      <c r="A91" s="436" t="str">
        <f>'[2]Платные услуги'!C11</f>
        <v>Обучение детей чтению - Читайка</v>
      </c>
      <c r="B91" s="421" t="s">
        <v>1071</v>
      </c>
      <c r="C91" s="426"/>
      <c r="D91" s="426"/>
      <c r="E91" s="426"/>
      <c r="F91" s="426"/>
      <c r="G91" s="426"/>
      <c r="H91" s="426"/>
      <c r="I91" s="437"/>
      <c r="J91" s="429"/>
      <c r="K91" s="429"/>
    </row>
    <row r="92" spans="1:14" s="420" customFormat="1" hidden="1" x14ac:dyDescent="0.25">
      <c r="A92" s="436" t="str">
        <f>'[2]Платные услуги'!C12</f>
        <v>Обучение детей счету - ментальная арифметика</v>
      </c>
      <c r="B92" s="421" t="s">
        <v>1072</v>
      </c>
      <c r="C92" s="426"/>
      <c r="D92" s="426"/>
      <c r="E92" s="426"/>
      <c r="F92" s="426"/>
      <c r="G92" s="426"/>
      <c r="H92" s="426"/>
      <c r="I92" s="437"/>
      <c r="J92" s="429"/>
      <c r="K92" s="429"/>
    </row>
    <row r="93" spans="1:14" s="420" customFormat="1" hidden="1" x14ac:dyDescent="0.25">
      <c r="A93" s="428" t="s">
        <v>783</v>
      </c>
      <c r="B93" s="421" t="s">
        <v>1073</v>
      </c>
      <c r="C93" s="426"/>
      <c r="D93" s="426"/>
      <c r="E93" s="426"/>
      <c r="F93" s="426"/>
      <c r="G93" s="426"/>
      <c r="H93" s="426"/>
      <c r="I93" s="429"/>
      <c r="J93" s="429"/>
      <c r="K93" s="429"/>
    </row>
    <row r="94" spans="1:14" s="420" customFormat="1" hidden="1" x14ac:dyDescent="0.25">
      <c r="B94" s="430"/>
      <c r="C94" s="430"/>
      <c r="D94" s="430"/>
      <c r="E94" s="430"/>
      <c r="F94" s="430"/>
      <c r="G94" s="430"/>
      <c r="H94" s="430"/>
      <c r="I94" s="430"/>
      <c r="J94" s="430"/>
      <c r="K94" s="430"/>
    </row>
    <row r="95" spans="1:14" s="391" customFormat="1" ht="15" x14ac:dyDescent="0.25">
      <c r="A95" s="1560" t="s">
        <v>770</v>
      </c>
      <c r="B95" s="1560"/>
      <c r="C95" s="1560"/>
      <c r="D95" s="1560"/>
      <c r="E95" s="1560"/>
      <c r="F95" s="1560"/>
      <c r="G95" s="1560"/>
      <c r="H95" s="1560"/>
      <c r="I95" s="1560"/>
      <c r="J95" s="1560"/>
      <c r="K95" s="1560"/>
    </row>
    <row r="96" spans="1:14" s="391" customFormat="1" ht="15" x14ac:dyDescent="0.25">
      <c r="A96" s="1560" t="s">
        <v>771</v>
      </c>
      <c r="B96" s="1560"/>
      <c r="C96" s="1560"/>
      <c r="D96" s="1560"/>
      <c r="E96" s="1560"/>
      <c r="F96" s="1560"/>
      <c r="G96" s="1560"/>
      <c r="H96" s="1560"/>
      <c r="I96" s="1560"/>
      <c r="J96" s="1560"/>
      <c r="K96" s="1560"/>
    </row>
    <row r="97" spans="1:17" s="391" customFormat="1" ht="7.9" customHeight="1" x14ac:dyDescent="0.25">
      <c r="C97" s="392"/>
      <c r="D97" s="392"/>
      <c r="E97" s="392"/>
      <c r="F97" s="392"/>
      <c r="G97" s="392"/>
      <c r="H97" s="392"/>
      <c r="I97" s="392"/>
      <c r="J97" s="392"/>
      <c r="K97" s="392"/>
    </row>
    <row r="98" spans="1:17" s="391" customFormat="1" ht="21.75" customHeight="1" x14ac:dyDescent="0.25">
      <c r="A98" s="1561" t="s">
        <v>772</v>
      </c>
      <c r="B98" s="1562" t="s">
        <v>233</v>
      </c>
      <c r="C98" s="1561" t="s">
        <v>773</v>
      </c>
      <c r="D98" s="1561"/>
      <c r="E98" s="1561"/>
      <c r="F98" s="1561" t="s">
        <v>774</v>
      </c>
      <c r="G98" s="1561"/>
      <c r="H98" s="1561"/>
      <c r="I98" s="1561" t="s">
        <v>775</v>
      </c>
      <c r="J98" s="1561"/>
      <c r="K98" s="1561"/>
      <c r="L98" s="391">
        <v>2023</v>
      </c>
      <c r="M98" s="391">
        <v>2024</v>
      </c>
      <c r="N98" s="391">
        <v>2025</v>
      </c>
    </row>
    <row r="99" spans="1:17" s="391" customFormat="1" ht="8.25" customHeight="1" x14ac:dyDescent="0.25">
      <c r="A99" s="1561"/>
      <c r="B99" s="1563"/>
      <c r="C99" s="1561"/>
      <c r="D99" s="1561"/>
      <c r="E99" s="1561"/>
      <c r="F99" s="1561"/>
      <c r="G99" s="1561"/>
      <c r="H99" s="1561"/>
      <c r="I99" s="1561"/>
      <c r="J99" s="1561"/>
      <c r="K99" s="1561"/>
    </row>
    <row r="100" spans="1:17" s="391" customFormat="1" ht="15" x14ac:dyDescent="0.25">
      <c r="A100" s="1561"/>
      <c r="B100" s="1564"/>
      <c r="C100" s="393" t="s">
        <v>1248</v>
      </c>
      <c r="D100" s="393" t="s">
        <v>762</v>
      </c>
      <c r="E100" s="393" t="s">
        <v>1246</v>
      </c>
      <c r="F100" s="393" t="s">
        <v>776</v>
      </c>
      <c r="G100" s="393" t="s">
        <v>762</v>
      </c>
      <c r="H100" s="393" t="s">
        <v>1246</v>
      </c>
      <c r="I100" s="393" t="s">
        <v>1248</v>
      </c>
      <c r="J100" s="393" t="s">
        <v>762</v>
      </c>
      <c r="K100" s="393" t="s">
        <v>1246</v>
      </c>
    </row>
    <row r="101" spans="1:17" s="392" customFormat="1" ht="15" x14ac:dyDescent="0.25">
      <c r="A101" s="393">
        <v>1</v>
      </c>
      <c r="B101" s="393">
        <v>2</v>
      </c>
      <c r="C101" s="393">
        <v>3</v>
      </c>
      <c r="D101" s="393">
        <v>4</v>
      </c>
      <c r="E101" s="393">
        <v>5</v>
      </c>
      <c r="F101" s="393">
        <v>6</v>
      </c>
      <c r="G101" s="393">
        <v>7</v>
      </c>
      <c r="H101" s="393">
        <v>8</v>
      </c>
      <c r="I101" s="393">
        <v>9</v>
      </c>
      <c r="J101" s="393">
        <v>10</v>
      </c>
      <c r="K101" s="393">
        <v>11</v>
      </c>
      <c r="M101" s="392" t="s">
        <v>999</v>
      </c>
    </row>
    <row r="102" spans="1:17" s="391" customFormat="1" ht="15" x14ac:dyDescent="0.25">
      <c r="A102" s="453" t="s">
        <v>777</v>
      </c>
      <c r="B102" s="454">
        <v>1</v>
      </c>
      <c r="C102" s="455">
        <v>7810.65</v>
      </c>
      <c r="D102" s="455">
        <f>C102</f>
        <v>7810.65</v>
      </c>
      <c r="E102" s="455">
        <f>C102</f>
        <v>7810.65</v>
      </c>
      <c r="F102" s="456">
        <v>79</v>
      </c>
      <c r="G102" s="456">
        <v>81</v>
      </c>
      <c r="H102" s="456">
        <v>78</v>
      </c>
      <c r="I102" s="455">
        <f t="shared" ref="I102:I107" si="4">(C102*F102)*12</f>
        <v>7404496.1999999993</v>
      </c>
      <c r="J102" s="455">
        <f t="shared" ref="J102:K107" si="5">(D102*G102)*12</f>
        <v>7591951.8000000007</v>
      </c>
      <c r="K102" s="455">
        <f t="shared" si="5"/>
        <v>7310768.3999999994</v>
      </c>
      <c r="M102" s="391">
        <v>43.4</v>
      </c>
    </row>
    <row r="103" spans="1:17" s="391" customFormat="1" ht="38.25" x14ac:dyDescent="0.25">
      <c r="A103" s="453" t="s">
        <v>916</v>
      </c>
      <c r="B103" s="454">
        <v>2</v>
      </c>
      <c r="C103" s="455">
        <v>25321.13</v>
      </c>
      <c r="D103" s="455">
        <f t="shared" ref="D103:D117" si="6">C103</f>
        <v>25321.13</v>
      </c>
      <c r="E103" s="455">
        <f t="shared" ref="E103:E117" si="7">C103</f>
        <v>25321.13</v>
      </c>
      <c r="F103" s="456">
        <v>5</v>
      </c>
      <c r="G103" s="456">
        <v>5</v>
      </c>
      <c r="H103" s="456">
        <v>5</v>
      </c>
      <c r="I103" s="455">
        <f t="shared" si="4"/>
        <v>1519267.8</v>
      </c>
      <c r="J103" s="455">
        <f t="shared" si="5"/>
        <v>1519267.8</v>
      </c>
      <c r="K103" s="455">
        <f t="shared" si="5"/>
        <v>1519267.8</v>
      </c>
      <c r="M103" s="391">
        <v>45.3</v>
      </c>
    </row>
    <row r="104" spans="1:17" s="391" customFormat="1" ht="15" x14ac:dyDescent="0.25">
      <c r="A104" s="453" t="s">
        <v>778</v>
      </c>
      <c r="B104" s="454">
        <v>3</v>
      </c>
      <c r="C104" s="455">
        <v>9013.4599999999991</v>
      </c>
      <c r="D104" s="455">
        <f t="shared" si="6"/>
        <v>9013.4599999999991</v>
      </c>
      <c r="E104" s="455">
        <f t="shared" si="7"/>
        <v>9013.4599999999991</v>
      </c>
      <c r="F104" s="456">
        <v>116</v>
      </c>
      <c r="G104" s="456">
        <v>112</v>
      </c>
      <c r="H104" s="456">
        <v>103</v>
      </c>
      <c r="I104" s="455">
        <f t="shared" si="4"/>
        <v>12546736.319999998</v>
      </c>
      <c r="J104" s="455">
        <f t="shared" si="5"/>
        <v>12114090.239999998</v>
      </c>
      <c r="K104" s="455">
        <f t="shared" si="5"/>
        <v>11140636.559999999</v>
      </c>
      <c r="M104" s="391">
        <v>46.4</v>
      </c>
    </row>
    <row r="105" spans="1:17" s="391" customFormat="1" ht="25.5" x14ac:dyDescent="0.25">
      <c r="A105" s="453" t="s">
        <v>940</v>
      </c>
      <c r="B105" s="454">
        <v>4</v>
      </c>
      <c r="C105" s="455">
        <v>33711.629999999997</v>
      </c>
      <c r="D105" s="455">
        <f t="shared" si="6"/>
        <v>33711.629999999997</v>
      </c>
      <c r="E105" s="455">
        <f t="shared" si="7"/>
        <v>33711.629999999997</v>
      </c>
      <c r="F105" s="456">
        <v>1</v>
      </c>
      <c r="G105" s="456">
        <v>1</v>
      </c>
      <c r="H105" s="456">
        <v>1</v>
      </c>
      <c r="I105" s="455">
        <f t="shared" si="4"/>
        <v>404539.55999999994</v>
      </c>
      <c r="J105" s="455">
        <f t="shared" si="5"/>
        <v>404539.55999999994</v>
      </c>
      <c r="K105" s="455">
        <f t="shared" si="5"/>
        <v>404539.55999999994</v>
      </c>
      <c r="M105" s="391">
        <v>48</v>
      </c>
    </row>
    <row r="106" spans="1:17" s="391" customFormat="1" ht="32.25" customHeight="1" x14ac:dyDescent="0.25">
      <c r="A106" s="453" t="s">
        <v>917</v>
      </c>
      <c r="B106" s="454">
        <v>5</v>
      </c>
      <c r="C106" s="455">
        <v>31669.51</v>
      </c>
      <c r="D106" s="455">
        <f t="shared" si="6"/>
        <v>31669.51</v>
      </c>
      <c r="E106" s="455">
        <f t="shared" si="7"/>
        <v>31669.51</v>
      </c>
      <c r="F106" s="456">
        <v>3</v>
      </c>
      <c r="G106" s="456">
        <v>3</v>
      </c>
      <c r="H106" s="456">
        <v>3</v>
      </c>
      <c r="I106" s="455">
        <f t="shared" si="4"/>
        <v>1140102.3599999999</v>
      </c>
      <c r="J106" s="455">
        <f t="shared" si="5"/>
        <v>1140102.3599999999</v>
      </c>
      <c r="K106" s="455">
        <f t="shared" si="5"/>
        <v>1140102.3599999999</v>
      </c>
      <c r="M106" s="391">
        <v>52.3</v>
      </c>
    </row>
    <row r="107" spans="1:17" s="391" customFormat="1" ht="18" customHeight="1" x14ac:dyDescent="0.25">
      <c r="A107" s="453" t="s">
        <v>918</v>
      </c>
      <c r="B107" s="454">
        <v>6</v>
      </c>
      <c r="C107" s="455">
        <v>20699.349999999999</v>
      </c>
      <c r="D107" s="455">
        <f t="shared" si="6"/>
        <v>20699.349999999999</v>
      </c>
      <c r="E107" s="455">
        <f t="shared" si="7"/>
        <v>20699.349999999999</v>
      </c>
      <c r="F107" s="456">
        <v>12</v>
      </c>
      <c r="G107" s="456">
        <v>17</v>
      </c>
      <c r="H107" s="456">
        <v>17</v>
      </c>
      <c r="I107" s="455">
        <f t="shared" si="4"/>
        <v>2980706.4</v>
      </c>
      <c r="J107" s="455">
        <f t="shared" si="5"/>
        <v>4222667.3999999994</v>
      </c>
      <c r="K107" s="455">
        <f t="shared" si="5"/>
        <v>4222667.3999999994</v>
      </c>
      <c r="M107" s="391">
        <v>54.1</v>
      </c>
    </row>
    <row r="108" spans="1:17" s="391" customFormat="1" ht="18" customHeight="1" x14ac:dyDescent="0.25">
      <c r="A108" s="453" t="s">
        <v>779</v>
      </c>
      <c r="B108" s="454">
        <v>7</v>
      </c>
      <c r="C108" s="455">
        <v>1477.18</v>
      </c>
      <c r="D108" s="455">
        <f>C108</f>
        <v>1477.18</v>
      </c>
      <c r="E108" s="455">
        <f>C108</f>
        <v>1477.18</v>
      </c>
      <c r="F108" s="456">
        <v>50</v>
      </c>
      <c r="G108" s="456">
        <v>50</v>
      </c>
      <c r="H108" s="456">
        <v>50</v>
      </c>
      <c r="I108" s="470">
        <v>926500</v>
      </c>
      <c r="J108" s="470">
        <f>I108</f>
        <v>926500</v>
      </c>
      <c r="K108" s="470">
        <f>I108</f>
        <v>926500</v>
      </c>
      <c r="M108" s="391">
        <v>22.1</v>
      </c>
    </row>
    <row r="109" spans="1:17" s="391" customFormat="1" ht="18" customHeight="1" x14ac:dyDescent="0.25">
      <c r="A109" s="453" t="s">
        <v>1142</v>
      </c>
      <c r="B109" s="454">
        <v>8</v>
      </c>
      <c r="C109" s="456"/>
      <c r="D109" s="456"/>
      <c r="E109" s="456"/>
      <c r="F109" s="456"/>
      <c r="G109" s="456"/>
      <c r="H109" s="456"/>
      <c r="I109" s="455">
        <f>L109-I102-I103-I104-I105-I106-I107-I108</f>
        <v>5061416.9500000011</v>
      </c>
      <c r="J109" s="455">
        <f t="shared" ref="J109:K109" si="8">M109-J102-J103-J104-J105-J106-J107-J108</f>
        <v>1147307.8299999991</v>
      </c>
      <c r="K109" s="455">
        <f t="shared" si="8"/>
        <v>2401166.6400000015</v>
      </c>
      <c r="L109" s="529">
        <f>354251.13+23071130+1093680+926500+3620866+1476800+748160+26038.46+182400+210500+273440</f>
        <v>31983765.59</v>
      </c>
      <c r="M109" s="466">
        <f>354251.13+23071130+1093680+926500+3620865.86</f>
        <v>29066426.989999998</v>
      </c>
      <c r="N109" s="466">
        <f>354251.13+23071130+1093680+926500+3620865.86-79421.37-74750+153393.1</f>
        <v>29065648.719999999</v>
      </c>
      <c r="O109" s="395"/>
      <c r="P109" s="395"/>
      <c r="Q109" s="395"/>
    </row>
    <row r="110" spans="1:17" s="391" customFormat="1" ht="15.75" customHeight="1" x14ac:dyDescent="0.25">
      <c r="A110" s="457" t="s">
        <v>781</v>
      </c>
      <c r="B110" s="458">
        <v>9</v>
      </c>
      <c r="C110" s="459">
        <v>3080</v>
      </c>
      <c r="D110" s="459">
        <f t="shared" ref="D110" si="9">C110</f>
        <v>3080</v>
      </c>
      <c r="E110" s="459">
        <f t="shared" ref="E110" si="10">C110</f>
        <v>3080</v>
      </c>
      <c r="F110" s="460">
        <v>26</v>
      </c>
      <c r="G110" s="460">
        <v>26</v>
      </c>
      <c r="H110" s="460">
        <v>26</v>
      </c>
      <c r="I110" s="459">
        <f>(C110*F110)</f>
        <v>80080</v>
      </c>
      <c r="J110" s="459">
        <f t="shared" ref="J110:K111" si="11">(D110*G110)</f>
        <v>80080</v>
      </c>
      <c r="K110" s="459">
        <f t="shared" si="11"/>
        <v>80080</v>
      </c>
      <c r="M110" s="391">
        <v>24.4</v>
      </c>
    </row>
    <row r="111" spans="1:17" s="391" customFormat="1" ht="15.75" customHeight="1" x14ac:dyDescent="0.25">
      <c r="A111" s="457" t="s">
        <v>781</v>
      </c>
      <c r="B111" s="458">
        <v>10</v>
      </c>
      <c r="C111" s="459">
        <v>10593.1</v>
      </c>
      <c r="D111" s="459">
        <f t="shared" ref="D111" si="12">C111</f>
        <v>10593.1</v>
      </c>
      <c r="E111" s="459">
        <f t="shared" ref="E111" si="13">C111</f>
        <v>10593.1</v>
      </c>
      <c r="F111" s="460">
        <v>26</v>
      </c>
      <c r="G111" s="460">
        <v>26</v>
      </c>
      <c r="H111" s="460">
        <v>26</v>
      </c>
      <c r="I111" s="459">
        <f>(C111*F111)</f>
        <v>275420.60000000003</v>
      </c>
      <c r="J111" s="459">
        <f t="shared" si="11"/>
        <v>275420.60000000003</v>
      </c>
      <c r="K111" s="459">
        <f t="shared" si="11"/>
        <v>275420.60000000003</v>
      </c>
      <c r="M111" s="391">
        <v>24.4</v>
      </c>
    </row>
    <row r="112" spans="1:17" s="391" customFormat="1" ht="15.75" customHeight="1" x14ac:dyDescent="0.25">
      <c r="A112" s="457" t="s">
        <v>781</v>
      </c>
      <c r="B112" s="458">
        <v>11</v>
      </c>
      <c r="C112" s="459">
        <v>13673.1</v>
      </c>
      <c r="D112" s="459">
        <f t="shared" si="6"/>
        <v>13673.1</v>
      </c>
      <c r="E112" s="459">
        <f t="shared" si="7"/>
        <v>13673.1</v>
      </c>
      <c r="F112" s="460">
        <v>4</v>
      </c>
      <c r="G112" s="460">
        <v>4</v>
      </c>
      <c r="H112" s="460">
        <v>4</v>
      </c>
      <c r="I112" s="811">
        <f>(C112*F112)+22232.7</f>
        <v>76925.100000000006</v>
      </c>
      <c r="J112" s="459">
        <f>(D112*G112)+22232.7</f>
        <v>76925.100000000006</v>
      </c>
      <c r="K112" s="459">
        <f>(E112*H112)+22232.7</f>
        <v>76925.100000000006</v>
      </c>
      <c r="L112" s="391">
        <f>352345.7+80080</f>
        <v>432425.7</v>
      </c>
      <c r="M112" s="391">
        <v>24.4</v>
      </c>
    </row>
    <row r="113" spans="1:17" s="391" customFormat="1" ht="36" customHeight="1" x14ac:dyDescent="0.25">
      <c r="A113" s="461" t="s">
        <v>919</v>
      </c>
      <c r="B113" s="462">
        <v>12</v>
      </c>
      <c r="C113" s="463">
        <v>13769.2</v>
      </c>
      <c r="D113" s="463">
        <f t="shared" si="6"/>
        <v>13769.2</v>
      </c>
      <c r="E113" s="463">
        <f t="shared" si="7"/>
        <v>13769.2</v>
      </c>
      <c r="F113" s="464">
        <v>26</v>
      </c>
      <c r="G113" s="464">
        <v>25</v>
      </c>
      <c r="H113" s="464">
        <v>25</v>
      </c>
      <c r="I113" s="463">
        <f>(C113*F113)*12</f>
        <v>4295990.4000000004</v>
      </c>
      <c r="J113" s="463">
        <f t="shared" ref="J113:K116" si="14">(D113*G113)*12</f>
        <v>4130760</v>
      </c>
      <c r="K113" s="463">
        <f t="shared" si="14"/>
        <v>4130760</v>
      </c>
      <c r="M113" s="391">
        <v>1.5</v>
      </c>
    </row>
    <row r="114" spans="1:17" s="391" customFormat="1" ht="33" customHeight="1" x14ac:dyDescent="0.25">
      <c r="A114" s="461" t="s">
        <v>920</v>
      </c>
      <c r="B114" s="462">
        <v>13</v>
      </c>
      <c r="C114" s="463">
        <v>11083.17</v>
      </c>
      <c r="D114" s="463">
        <f t="shared" si="6"/>
        <v>11083.17</v>
      </c>
      <c r="E114" s="463">
        <f t="shared" si="7"/>
        <v>11083.17</v>
      </c>
      <c r="F114" s="464">
        <v>48</v>
      </c>
      <c r="G114" s="464">
        <v>50</v>
      </c>
      <c r="H114" s="464">
        <v>50</v>
      </c>
      <c r="I114" s="463">
        <f>(C114*F114)*12</f>
        <v>6383905.9199999999</v>
      </c>
      <c r="J114" s="463">
        <f t="shared" si="14"/>
        <v>6649902</v>
      </c>
      <c r="K114" s="463">
        <f t="shared" si="14"/>
        <v>6649902</v>
      </c>
      <c r="M114" s="391">
        <v>2.5</v>
      </c>
    </row>
    <row r="115" spans="1:17" s="391" customFormat="1" ht="36.75" customHeight="1" x14ac:dyDescent="0.25">
      <c r="A115" s="461" t="s">
        <v>921</v>
      </c>
      <c r="B115" s="462">
        <v>14</v>
      </c>
      <c r="C115" s="463">
        <v>34151.360000000001</v>
      </c>
      <c r="D115" s="463">
        <f t="shared" si="6"/>
        <v>34151.360000000001</v>
      </c>
      <c r="E115" s="463">
        <f t="shared" si="7"/>
        <v>34151.360000000001</v>
      </c>
      <c r="F115" s="464">
        <v>10</v>
      </c>
      <c r="G115" s="464">
        <v>10</v>
      </c>
      <c r="H115" s="464">
        <v>10</v>
      </c>
      <c r="I115" s="463">
        <f>(C115*F115)*12</f>
        <v>4098163.1999999997</v>
      </c>
      <c r="J115" s="463">
        <f t="shared" si="14"/>
        <v>4098163.1999999997</v>
      </c>
      <c r="K115" s="463">
        <f t="shared" si="14"/>
        <v>4098163.1999999997</v>
      </c>
      <c r="M115" s="391">
        <v>3.4</v>
      </c>
    </row>
    <row r="116" spans="1:17" s="391" customFormat="1" ht="16.5" customHeight="1" x14ac:dyDescent="0.25">
      <c r="A116" s="461" t="s">
        <v>922</v>
      </c>
      <c r="B116" s="462">
        <v>15</v>
      </c>
      <c r="C116" s="463">
        <v>16218.53</v>
      </c>
      <c r="D116" s="463">
        <f t="shared" si="6"/>
        <v>16218.53</v>
      </c>
      <c r="E116" s="463">
        <f t="shared" si="7"/>
        <v>16218.53</v>
      </c>
      <c r="F116" s="464">
        <v>15</v>
      </c>
      <c r="G116" s="464">
        <v>15</v>
      </c>
      <c r="H116" s="464">
        <v>15</v>
      </c>
      <c r="I116" s="463">
        <f>(C116*F116)*12</f>
        <v>2919335.4000000004</v>
      </c>
      <c r="J116" s="463">
        <f t="shared" si="14"/>
        <v>2919335.4000000004</v>
      </c>
      <c r="K116" s="463">
        <f t="shared" si="14"/>
        <v>2919335.4000000004</v>
      </c>
      <c r="M116" s="391">
        <v>6.2</v>
      </c>
    </row>
    <row r="117" spans="1:17" s="391" customFormat="1" ht="16.5" customHeight="1" x14ac:dyDescent="0.25">
      <c r="A117" s="461" t="s">
        <v>780</v>
      </c>
      <c r="B117" s="462">
        <v>16</v>
      </c>
      <c r="C117" s="463">
        <v>280.38</v>
      </c>
      <c r="D117" s="463">
        <f t="shared" si="6"/>
        <v>280.38</v>
      </c>
      <c r="E117" s="463">
        <f t="shared" si="7"/>
        <v>280.38</v>
      </c>
      <c r="F117" s="465">
        <v>16830</v>
      </c>
      <c r="G117" s="465">
        <v>17000</v>
      </c>
      <c r="H117" s="465">
        <v>17000</v>
      </c>
      <c r="I117" s="463">
        <f>C117*F117</f>
        <v>4718795.4000000004</v>
      </c>
      <c r="J117" s="463">
        <f>D117*G117</f>
        <v>4766460</v>
      </c>
      <c r="K117" s="463">
        <f>E117*H117</f>
        <v>4766460</v>
      </c>
      <c r="M117" s="391">
        <v>7.1</v>
      </c>
    </row>
    <row r="118" spans="1:17" s="391" customFormat="1" ht="16.5" customHeight="1" x14ac:dyDescent="0.25">
      <c r="A118" s="461" t="s">
        <v>1732</v>
      </c>
      <c r="B118" s="462">
        <v>17</v>
      </c>
      <c r="C118" s="464"/>
      <c r="D118" s="464"/>
      <c r="E118" s="464"/>
      <c r="F118" s="464"/>
      <c r="G118" s="464"/>
      <c r="H118" s="464"/>
      <c r="I118" s="463">
        <f>L118-I113-I114-I115-I116-I117</f>
        <v>2287466.6800000016</v>
      </c>
      <c r="J118" s="463">
        <f t="shared" ref="J118:K118" si="15">M118-J113-J114-J115-J116-J117</f>
        <v>2743049.4000000004</v>
      </c>
      <c r="K118" s="463">
        <f t="shared" si="15"/>
        <v>2743049.4000000004</v>
      </c>
      <c r="L118" s="529">
        <f>6337600+16891100+600000+1170130-90000-205173</f>
        <v>24703657</v>
      </c>
      <c r="M118" s="466">
        <f>6337600+17199940+600000+1170130</f>
        <v>25307670</v>
      </c>
      <c r="N118" s="466">
        <f>6337600+17199940+600000+1170130</f>
        <v>25307670</v>
      </c>
      <c r="O118" s="395"/>
      <c r="P118" s="395"/>
      <c r="Q118" s="395"/>
    </row>
    <row r="119" spans="1:17" s="391" customFormat="1" ht="16.5" customHeight="1" x14ac:dyDescent="0.25">
      <c r="A119" s="396" t="s">
        <v>783</v>
      </c>
      <c r="B119" s="393">
        <v>9000</v>
      </c>
      <c r="C119" s="393" t="s">
        <v>3</v>
      </c>
      <c r="D119" s="393" t="s">
        <v>3</v>
      </c>
      <c r="E119" s="393" t="s">
        <v>3</v>
      </c>
      <c r="F119" s="393" t="s">
        <v>3</v>
      </c>
      <c r="G119" s="393" t="s">
        <v>3</v>
      </c>
      <c r="H119" s="393" t="s">
        <v>3</v>
      </c>
      <c r="I119" s="390">
        <f>SUM(I102:I118)</f>
        <v>57119848.289999999</v>
      </c>
      <c r="J119" s="390">
        <f t="shared" ref="J119" si="16">SUM(J102:J118)</f>
        <v>54806522.689999998</v>
      </c>
      <c r="K119" s="390">
        <f>SUM(K102:K118)</f>
        <v>54805744.420000002</v>
      </c>
    </row>
    <row r="120" spans="1:17" s="467" customFormat="1" ht="20.25" customHeight="1" x14ac:dyDescent="0.2">
      <c r="C120" s="468"/>
      <c r="D120" s="468"/>
      <c r="E120" s="468"/>
      <c r="F120" s="468"/>
      <c r="G120" s="468"/>
      <c r="H120" s="468"/>
      <c r="I120" s="469">
        <f>C62+C63</f>
        <v>57119848.290000007</v>
      </c>
      <c r="J120" s="469">
        <f>D62+D63</f>
        <v>54806522.690000005</v>
      </c>
      <c r="K120" s="469">
        <f>E62+E63</f>
        <v>54805744.420000002</v>
      </c>
      <c r="L120" s="723">
        <f>L109+L118</f>
        <v>56687422.590000004</v>
      </c>
      <c r="M120" s="723">
        <f t="shared" ref="M120" si="17">M109+M118</f>
        <v>54374096.989999995</v>
      </c>
      <c r="N120" s="723">
        <f>N109+N118+L112</f>
        <v>54805744.420000002</v>
      </c>
    </row>
    <row r="121" spans="1:17" s="467" customFormat="1" ht="15" customHeight="1" x14ac:dyDescent="0.2">
      <c r="C121" s="468"/>
      <c r="D121" s="468"/>
      <c r="E121" s="468"/>
      <c r="F121" s="468"/>
      <c r="G121" s="468"/>
      <c r="H121" s="468"/>
      <c r="I121" s="469">
        <f>I120-I119</f>
        <v>0</v>
      </c>
      <c r="J121" s="469">
        <f t="shared" ref="J121" si="18">J120-J119</f>
        <v>0</v>
      </c>
      <c r="K121" s="469">
        <f>K120-K119</f>
        <v>0</v>
      </c>
    </row>
    <row r="122" spans="1:17" s="391" customFormat="1" ht="15" x14ac:dyDescent="0.25">
      <c r="A122" s="1560" t="s">
        <v>784</v>
      </c>
      <c r="B122" s="1560"/>
      <c r="C122" s="1560"/>
      <c r="D122" s="1560"/>
      <c r="E122" s="1560"/>
      <c r="F122" s="1560"/>
      <c r="G122" s="1560"/>
      <c r="H122" s="1560"/>
      <c r="I122" s="1560"/>
      <c r="J122" s="1560"/>
      <c r="K122" s="1560"/>
    </row>
    <row r="123" spans="1:17" s="391" customFormat="1" ht="15" x14ac:dyDescent="0.25">
      <c r="A123" s="1560" t="s">
        <v>785</v>
      </c>
      <c r="B123" s="1560"/>
      <c r="C123" s="1560"/>
      <c r="D123" s="1560"/>
      <c r="E123" s="1560"/>
      <c r="F123" s="1560"/>
      <c r="G123" s="1560"/>
      <c r="H123" s="1560"/>
      <c r="I123" s="1560"/>
      <c r="J123" s="1560"/>
      <c r="K123" s="1560"/>
    </row>
    <row r="124" spans="1:17" s="391" customFormat="1" ht="15" x14ac:dyDescent="0.25">
      <c r="C124" s="392"/>
      <c r="D124" s="392"/>
      <c r="E124" s="392"/>
      <c r="F124" s="392"/>
      <c r="G124" s="392"/>
      <c r="H124" s="392"/>
      <c r="I124" s="392"/>
      <c r="J124" s="392"/>
      <c r="K124" s="392"/>
    </row>
    <row r="125" spans="1:17" s="391" customFormat="1" ht="25.5" customHeight="1" x14ac:dyDescent="0.25">
      <c r="A125" s="1561" t="s">
        <v>772</v>
      </c>
      <c r="B125" s="1562" t="s">
        <v>233</v>
      </c>
      <c r="C125" s="1561" t="s">
        <v>773</v>
      </c>
      <c r="D125" s="1561"/>
      <c r="E125" s="1561"/>
      <c r="F125" s="1561" t="s">
        <v>774</v>
      </c>
      <c r="G125" s="1561"/>
      <c r="H125" s="1561"/>
      <c r="I125" s="1561" t="s">
        <v>775</v>
      </c>
      <c r="J125" s="1561"/>
      <c r="K125" s="1561"/>
    </row>
    <row r="126" spans="1:17" s="391" customFormat="1" ht="15" x14ac:dyDescent="0.25">
      <c r="A126" s="1561"/>
      <c r="B126" s="1563"/>
      <c r="C126" s="1561"/>
      <c r="D126" s="1561"/>
      <c r="E126" s="1561"/>
      <c r="F126" s="1561"/>
      <c r="G126" s="1561"/>
      <c r="H126" s="1561"/>
      <c r="I126" s="1561"/>
      <c r="J126" s="1561"/>
      <c r="K126" s="1561"/>
    </row>
    <row r="127" spans="1:17" s="391" customFormat="1" ht="15" x14ac:dyDescent="0.25">
      <c r="A127" s="1561"/>
      <c r="B127" s="1564"/>
      <c r="C127" s="393" t="s">
        <v>776</v>
      </c>
      <c r="D127" s="393" t="s">
        <v>762</v>
      </c>
      <c r="E127" s="393" t="s">
        <v>1246</v>
      </c>
      <c r="F127" s="393" t="s">
        <v>1248</v>
      </c>
      <c r="G127" s="393" t="s">
        <v>762</v>
      </c>
      <c r="H127" s="393" t="s">
        <v>1246</v>
      </c>
      <c r="I127" s="393" t="s">
        <v>1248</v>
      </c>
      <c r="J127" s="393" t="s">
        <v>762</v>
      </c>
      <c r="K127" s="393" t="s">
        <v>1246</v>
      </c>
    </row>
    <row r="128" spans="1:17" s="392" customFormat="1" ht="15" x14ac:dyDescent="0.25">
      <c r="A128" s="393">
        <v>1</v>
      </c>
      <c r="B128" s="393">
        <v>2</v>
      </c>
      <c r="C128" s="393">
        <v>3</v>
      </c>
      <c r="D128" s="393">
        <v>4</v>
      </c>
      <c r="E128" s="393">
        <v>5</v>
      </c>
      <c r="F128" s="393">
        <v>6</v>
      </c>
      <c r="G128" s="393">
        <v>7</v>
      </c>
      <c r="H128" s="393">
        <v>8</v>
      </c>
      <c r="I128" s="393">
        <v>9</v>
      </c>
      <c r="J128" s="393">
        <v>10</v>
      </c>
      <c r="K128" s="393">
        <v>11</v>
      </c>
    </row>
    <row r="129" spans="1:12" s="391" customFormat="1" ht="16.149999999999999" customHeight="1" x14ac:dyDescent="0.25">
      <c r="A129" s="394" t="s">
        <v>923</v>
      </c>
      <c r="B129" s="393">
        <v>1</v>
      </c>
      <c r="C129" s="390">
        <v>1908.77</v>
      </c>
      <c r="D129" s="390" t="s">
        <v>3</v>
      </c>
      <c r="E129" s="390" t="s">
        <v>3</v>
      </c>
      <c r="F129" s="825">
        <f>100.8+78.75</f>
        <v>179.55</v>
      </c>
      <c r="G129" s="390" t="s">
        <v>3</v>
      </c>
      <c r="H129" s="390" t="s">
        <v>3</v>
      </c>
      <c r="I129" s="390">
        <f>192404.02+150315.64</f>
        <v>342719.66000000003</v>
      </c>
      <c r="J129" s="390">
        <v>0</v>
      </c>
      <c r="K129" s="390">
        <v>0</v>
      </c>
      <c r="L129" s="392"/>
    </row>
    <row r="130" spans="1:12" s="391" customFormat="1" ht="17.45" customHeight="1" x14ac:dyDescent="0.25">
      <c r="A130" s="394" t="s">
        <v>924</v>
      </c>
      <c r="B130" s="393">
        <v>2</v>
      </c>
      <c r="C130" s="390">
        <v>2076.0700000000002</v>
      </c>
      <c r="D130" s="390" t="s">
        <v>3</v>
      </c>
      <c r="E130" s="390" t="s">
        <v>3</v>
      </c>
      <c r="F130" s="825">
        <f>47.25+88.2</f>
        <v>135.44999999999999</v>
      </c>
      <c r="G130" s="390" t="s">
        <v>3</v>
      </c>
      <c r="H130" s="390" t="s">
        <v>3</v>
      </c>
      <c r="I130" s="390">
        <f>98094.31+183109.37</f>
        <v>281203.68</v>
      </c>
      <c r="J130" s="390">
        <v>0</v>
      </c>
      <c r="K130" s="390">
        <v>0</v>
      </c>
      <c r="L130" s="392"/>
    </row>
    <row r="131" spans="1:12" s="391" customFormat="1" ht="27" customHeight="1" x14ac:dyDescent="0.25">
      <c r="A131" s="394" t="s">
        <v>925</v>
      </c>
      <c r="B131" s="393">
        <v>3</v>
      </c>
      <c r="C131" s="390">
        <v>1908.77</v>
      </c>
      <c r="D131" s="390" t="s">
        <v>3</v>
      </c>
      <c r="E131" s="390" t="s">
        <v>3</v>
      </c>
      <c r="F131" s="825">
        <f>3.2+2.5</f>
        <v>5.7</v>
      </c>
      <c r="G131" s="390" t="s">
        <v>3</v>
      </c>
      <c r="H131" s="390" t="s">
        <v>3</v>
      </c>
      <c r="I131" s="390">
        <f>6108.06+4771.93</f>
        <v>10879.990000000002</v>
      </c>
      <c r="J131" s="390">
        <v>0</v>
      </c>
      <c r="K131" s="390">
        <v>0</v>
      </c>
      <c r="L131" s="392"/>
    </row>
    <row r="132" spans="1:12" s="391" customFormat="1" ht="23.45" customHeight="1" x14ac:dyDescent="0.25">
      <c r="A132" s="394" t="s">
        <v>926</v>
      </c>
      <c r="B132" s="393">
        <v>4</v>
      </c>
      <c r="C132" s="390">
        <v>2076.0700000000002</v>
      </c>
      <c r="D132" s="390" t="s">
        <v>3</v>
      </c>
      <c r="E132" s="390" t="s">
        <v>3</v>
      </c>
      <c r="F132" s="825">
        <f>1.5+2.8</f>
        <v>4.3</v>
      </c>
      <c r="G132" s="390" t="s">
        <v>3</v>
      </c>
      <c r="H132" s="390" t="s">
        <v>3</v>
      </c>
      <c r="I132" s="390">
        <f>3114.11+5813</f>
        <v>8927.11</v>
      </c>
      <c r="J132" s="390">
        <v>0</v>
      </c>
      <c r="K132" s="390">
        <v>0</v>
      </c>
      <c r="L132" s="392"/>
    </row>
    <row r="133" spans="1:12" s="391" customFormat="1" ht="30.6" customHeight="1" x14ac:dyDescent="0.25">
      <c r="A133" s="394" t="s">
        <v>927</v>
      </c>
      <c r="B133" s="393">
        <v>5</v>
      </c>
      <c r="C133" s="390">
        <v>78.7</v>
      </c>
      <c r="D133" s="390" t="s">
        <v>3</v>
      </c>
      <c r="E133" s="390" t="s">
        <v>3</v>
      </c>
      <c r="F133" s="825">
        <f>53.44+41.75</f>
        <v>95.19</v>
      </c>
      <c r="G133" s="390" t="s">
        <v>3</v>
      </c>
      <c r="H133" s="390" t="s">
        <v>3</v>
      </c>
      <c r="I133" s="390">
        <f>4205.73+3285.73</f>
        <v>7491.4599999999991</v>
      </c>
      <c r="J133" s="390">
        <v>0</v>
      </c>
      <c r="K133" s="390">
        <v>0</v>
      </c>
      <c r="L133" s="392"/>
    </row>
    <row r="134" spans="1:12" s="391" customFormat="1" ht="23.45" customHeight="1" x14ac:dyDescent="0.25">
      <c r="A134" s="394" t="s">
        <v>928</v>
      </c>
      <c r="B134" s="393">
        <v>6</v>
      </c>
      <c r="C134" s="390">
        <v>104.93</v>
      </c>
      <c r="D134" s="390" t="s">
        <v>3</v>
      </c>
      <c r="E134" s="390" t="s">
        <v>3</v>
      </c>
      <c r="F134" s="825">
        <f>25.05+46.76</f>
        <v>71.81</v>
      </c>
      <c r="G134" s="390" t="s">
        <v>3</v>
      </c>
      <c r="H134" s="390" t="s">
        <v>3</v>
      </c>
      <c r="I134" s="390">
        <f>2628.5+4906.53</f>
        <v>7535.03</v>
      </c>
      <c r="J134" s="390">
        <v>0</v>
      </c>
      <c r="K134" s="390">
        <v>0</v>
      </c>
      <c r="L134" s="392"/>
    </row>
    <row r="135" spans="1:12" s="391" customFormat="1" ht="19.149999999999999" customHeight="1" x14ac:dyDescent="0.25">
      <c r="A135" s="394" t="s">
        <v>929</v>
      </c>
      <c r="B135" s="393">
        <v>7</v>
      </c>
      <c r="C135" s="397">
        <v>13.13</v>
      </c>
      <c r="D135" s="390" t="s">
        <v>3</v>
      </c>
      <c r="E135" s="390" t="s">
        <v>3</v>
      </c>
      <c r="F135" s="825">
        <f>11909.46+9304.25</f>
        <v>21213.71</v>
      </c>
      <c r="G135" s="390" t="s">
        <v>3</v>
      </c>
      <c r="H135" s="390" t="s">
        <v>3</v>
      </c>
      <c r="I135" s="390">
        <f>156371.21+122164.8</f>
        <v>278536.01</v>
      </c>
      <c r="J135" s="390">
        <v>0</v>
      </c>
      <c r="K135" s="390">
        <v>0</v>
      </c>
      <c r="L135" s="392"/>
    </row>
    <row r="136" spans="1:12" s="391" customFormat="1" ht="19.149999999999999" customHeight="1" x14ac:dyDescent="0.25">
      <c r="A136" s="394" t="s">
        <v>930</v>
      </c>
      <c r="B136" s="393">
        <v>8</v>
      </c>
      <c r="C136" s="397">
        <v>13.13</v>
      </c>
      <c r="D136" s="390" t="s">
        <v>3</v>
      </c>
      <c r="E136" s="390" t="s">
        <v>3</v>
      </c>
      <c r="F136" s="825">
        <f>5582.52+10420.77</f>
        <v>16003.29</v>
      </c>
      <c r="G136" s="390" t="s">
        <v>3</v>
      </c>
      <c r="H136" s="390" t="s">
        <v>3</v>
      </c>
      <c r="I136" s="390">
        <f>73298.49+136824.71</f>
        <v>210123.2</v>
      </c>
      <c r="J136" s="390">
        <v>0</v>
      </c>
      <c r="K136" s="390">
        <v>0</v>
      </c>
      <c r="L136" s="392"/>
    </row>
    <row r="137" spans="1:12" s="391" customFormat="1" ht="17.45" customHeight="1" x14ac:dyDescent="0.25">
      <c r="A137" s="394" t="s">
        <v>931</v>
      </c>
      <c r="B137" s="393">
        <v>9</v>
      </c>
      <c r="C137" s="390">
        <v>64.760000000000005</v>
      </c>
      <c r="D137" s="390" t="s">
        <v>3</v>
      </c>
      <c r="E137" s="390" t="s">
        <v>3</v>
      </c>
      <c r="F137" s="825">
        <f>68.16+53.25</f>
        <v>121.41</v>
      </c>
      <c r="G137" s="390" t="s">
        <v>3</v>
      </c>
      <c r="H137" s="390" t="s">
        <v>3</v>
      </c>
      <c r="I137" s="390">
        <f>4414.04+3448.47</f>
        <v>7862.51</v>
      </c>
      <c r="J137" s="390">
        <v>0</v>
      </c>
      <c r="K137" s="390">
        <v>0</v>
      </c>
      <c r="L137" s="392"/>
    </row>
    <row r="138" spans="1:12" s="391" customFormat="1" ht="17.45" customHeight="1" x14ac:dyDescent="0.25">
      <c r="A138" s="394" t="s">
        <v>932</v>
      </c>
      <c r="B138" s="393">
        <v>10</v>
      </c>
      <c r="C138" s="390">
        <v>64.760000000000005</v>
      </c>
      <c r="D138" s="390" t="s">
        <v>3</v>
      </c>
      <c r="E138" s="390" t="s">
        <v>3</v>
      </c>
      <c r="F138" s="825">
        <f>31.95+66.64</f>
        <v>98.59</v>
      </c>
      <c r="G138" s="390" t="s">
        <v>3</v>
      </c>
      <c r="H138" s="390" t="s">
        <v>3</v>
      </c>
      <c r="I138" s="390">
        <f>2069.08+4315.61</f>
        <v>6384.69</v>
      </c>
      <c r="J138" s="390">
        <v>0</v>
      </c>
      <c r="K138" s="390">
        <v>0</v>
      </c>
      <c r="L138" s="392"/>
    </row>
    <row r="139" spans="1:12" s="391" customFormat="1" ht="16.899999999999999" customHeight="1" x14ac:dyDescent="0.25">
      <c r="A139" s="394" t="s">
        <v>933</v>
      </c>
      <c r="B139" s="393">
        <v>11</v>
      </c>
      <c r="C139" s="390">
        <v>77.3</v>
      </c>
      <c r="D139" s="390" t="s">
        <v>3</v>
      </c>
      <c r="E139" s="390" t="s">
        <v>3</v>
      </c>
      <c r="F139" s="825">
        <f>121.6+95</f>
        <v>216.6</v>
      </c>
      <c r="G139" s="390" t="s">
        <v>3</v>
      </c>
      <c r="H139" s="390" t="s">
        <v>3</v>
      </c>
      <c r="I139" s="390">
        <f>9399.68+7343.5</f>
        <v>16743.18</v>
      </c>
      <c r="J139" s="390">
        <v>0</v>
      </c>
      <c r="K139" s="390">
        <v>0</v>
      </c>
      <c r="L139" s="392"/>
    </row>
    <row r="140" spans="1:12" s="391" customFormat="1" ht="17.45" customHeight="1" x14ac:dyDescent="0.25">
      <c r="A140" s="394" t="s">
        <v>934</v>
      </c>
      <c r="B140" s="393">
        <v>12</v>
      </c>
      <c r="C140" s="390">
        <v>77.3</v>
      </c>
      <c r="D140" s="390" t="s">
        <v>3</v>
      </c>
      <c r="E140" s="390" t="s">
        <v>3</v>
      </c>
      <c r="F140" s="825">
        <f>57+113.4</f>
        <v>170.4</v>
      </c>
      <c r="G140" s="390" t="s">
        <v>3</v>
      </c>
      <c r="H140" s="390" t="s">
        <v>3</v>
      </c>
      <c r="I140" s="390">
        <f>4406.1+8765.82</f>
        <v>13171.92</v>
      </c>
      <c r="J140" s="390">
        <v>0</v>
      </c>
      <c r="K140" s="390">
        <v>0</v>
      </c>
      <c r="L140" s="392"/>
    </row>
    <row r="141" spans="1:12" s="391" customFormat="1" ht="49.5" customHeight="1" x14ac:dyDescent="0.25">
      <c r="A141" s="394" t="s">
        <v>935</v>
      </c>
      <c r="B141" s="393">
        <v>13</v>
      </c>
      <c r="C141" s="390">
        <v>38.65</v>
      </c>
      <c r="D141" s="390" t="s">
        <v>3</v>
      </c>
      <c r="E141" s="390" t="s">
        <v>3</v>
      </c>
      <c r="F141" s="825">
        <f>121.6+95</f>
        <v>216.6</v>
      </c>
      <c r="G141" s="390" t="s">
        <v>3</v>
      </c>
      <c r="H141" s="390" t="s">
        <v>3</v>
      </c>
      <c r="I141" s="390">
        <f>4699.84+3671.75</f>
        <v>8371.59</v>
      </c>
      <c r="J141" s="390">
        <v>0</v>
      </c>
      <c r="K141" s="390">
        <v>0</v>
      </c>
      <c r="L141" s="392"/>
    </row>
    <row r="142" spans="1:12" s="391" customFormat="1" ht="49.5" customHeight="1" x14ac:dyDescent="0.25">
      <c r="A142" s="394" t="s">
        <v>936</v>
      </c>
      <c r="B142" s="393">
        <v>14</v>
      </c>
      <c r="C142" s="390">
        <v>38.65</v>
      </c>
      <c r="D142" s="390" t="s">
        <v>3</v>
      </c>
      <c r="E142" s="390" t="s">
        <v>3</v>
      </c>
      <c r="F142" s="825">
        <f>57+113.4</f>
        <v>170.4</v>
      </c>
      <c r="G142" s="390" t="s">
        <v>3</v>
      </c>
      <c r="H142" s="390" t="s">
        <v>3</v>
      </c>
      <c r="I142" s="390">
        <f>2203.05+4382.91</f>
        <v>6585.96</v>
      </c>
      <c r="J142" s="390">
        <v>0</v>
      </c>
      <c r="K142" s="390">
        <v>0</v>
      </c>
      <c r="L142" s="392"/>
    </row>
    <row r="143" spans="1:12" s="391" customFormat="1" ht="17.45" customHeight="1" x14ac:dyDescent="0.25">
      <c r="A143" s="394" t="s">
        <v>937</v>
      </c>
      <c r="B143" s="393">
        <v>15</v>
      </c>
      <c r="C143" s="390" t="s">
        <v>3</v>
      </c>
      <c r="D143" s="390" t="s">
        <v>3</v>
      </c>
      <c r="E143" s="390" t="s">
        <v>3</v>
      </c>
      <c r="F143" s="390" t="s">
        <v>3</v>
      </c>
      <c r="G143" s="390" t="s">
        <v>3</v>
      </c>
      <c r="H143" s="390" t="s">
        <v>3</v>
      </c>
      <c r="I143" s="390">
        <v>1426.95</v>
      </c>
      <c r="J143" s="390">
        <v>0</v>
      </c>
      <c r="K143" s="390">
        <v>0</v>
      </c>
    </row>
    <row r="144" spans="1:12" s="391" customFormat="1" ht="27.75" customHeight="1" x14ac:dyDescent="0.25">
      <c r="A144" s="394" t="s">
        <v>938</v>
      </c>
      <c r="B144" s="393">
        <v>16</v>
      </c>
      <c r="C144" s="390" t="s">
        <v>3</v>
      </c>
      <c r="D144" s="390" t="s">
        <v>3</v>
      </c>
      <c r="E144" s="390" t="s">
        <v>3</v>
      </c>
      <c r="F144" s="390" t="s">
        <v>3</v>
      </c>
      <c r="G144" s="390" t="s">
        <v>3</v>
      </c>
      <c r="H144" s="390" t="s">
        <v>3</v>
      </c>
      <c r="I144" s="390">
        <f>8032.27+7057.71</f>
        <v>15089.98</v>
      </c>
      <c r="J144" s="390">
        <v>0</v>
      </c>
      <c r="K144" s="390">
        <v>0</v>
      </c>
    </row>
    <row r="145" spans="1:11" s="401" customFormat="1" ht="15" x14ac:dyDescent="0.25">
      <c r="A145" s="396" t="s">
        <v>783</v>
      </c>
      <c r="B145" s="398">
        <v>9000</v>
      </c>
      <c r="C145" s="399" t="s">
        <v>3</v>
      </c>
      <c r="D145" s="399" t="s">
        <v>3</v>
      </c>
      <c r="E145" s="399" t="s">
        <v>3</v>
      </c>
      <c r="F145" s="399" t="s">
        <v>3</v>
      </c>
      <c r="G145" s="399" t="s">
        <v>3</v>
      </c>
      <c r="H145" s="399" t="s">
        <v>3</v>
      </c>
      <c r="I145" s="400">
        <f>SUM(I129:I144)</f>
        <v>1223052.92</v>
      </c>
      <c r="J145" s="400">
        <f>SUM(J129:J144)</f>
        <v>0</v>
      </c>
      <c r="K145" s="400">
        <f>SUM(K129:K144)</f>
        <v>0</v>
      </c>
    </row>
    <row r="146" spans="1:11" x14ac:dyDescent="0.25">
      <c r="A146" s="1542" t="s">
        <v>887</v>
      </c>
      <c r="B146" s="1542"/>
      <c r="C146" s="1542"/>
      <c r="D146" s="1542"/>
      <c r="E146" s="1542"/>
      <c r="F146" s="1542"/>
    </row>
    <row r="147" spans="1:11" x14ac:dyDescent="0.25">
      <c r="A147" s="1542" t="str">
        <f>A5</f>
        <v>на 2024 год и плановый период 2025 и 2026 годов</v>
      </c>
      <c r="B147" s="1542"/>
      <c r="C147" s="1542"/>
      <c r="D147" s="1542"/>
      <c r="E147" s="1542"/>
      <c r="F147" s="1542"/>
    </row>
    <row r="149" spans="1:11" x14ac:dyDescent="0.25">
      <c r="A149" s="439" t="s">
        <v>888</v>
      </c>
      <c r="B149" s="1559" t="s">
        <v>204</v>
      </c>
      <c r="C149" s="1559"/>
      <c r="D149" s="1559"/>
      <c r="E149" s="1559"/>
      <c r="F149" s="1559"/>
    </row>
    <row r="150" spans="1:11" x14ac:dyDescent="0.25">
      <c r="A150" s="439" t="s">
        <v>889</v>
      </c>
      <c r="B150" s="1338"/>
      <c r="C150" s="1338"/>
      <c r="D150" s="1338"/>
      <c r="E150" s="1338"/>
      <c r="F150" s="1338"/>
    </row>
    <row r="151" spans="1:11" x14ac:dyDescent="0.25">
      <c r="A151" s="439" t="s">
        <v>230</v>
      </c>
    </row>
    <row r="152" spans="1:11" x14ac:dyDescent="0.25">
      <c r="A152" s="1542" t="s">
        <v>890</v>
      </c>
      <c r="B152" s="1542"/>
      <c r="C152" s="1542"/>
      <c r="D152" s="1542"/>
      <c r="E152" s="1542"/>
      <c r="F152" s="1542"/>
    </row>
    <row r="154" spans="1:11" x14ac:dyDescent="0.25">
      <c r="A154" s="1543" t="s">
        <v>114</v>
      </c>
      <c r="B154" s="1545" t="s">
        <v>233</v>
      </c>
      <c r="C154" s="1262" t="s">
        <v>761</v>
      </c>
      <c r="D154" s="1546"/>
      <c r="E154" s="1546"/>
      <c r="F154" s="1547"/>
    </row>
    <row r="155" spans="1:11" ht="78.75" x14ac:dyDescent="0.25">
      <c r="A155" s="1544"/>
      <c r="B155" s="1544"/>
      <c r="C155" s="355" t="s">
        <v>1074</v>
      </c>
      <c r="D155" s="355" t="s">
        <v>1075</v>
      </c>
      <c r="E155" s="355" t="s">
        <v>1076</v>
      </c>
      <c r="F155" s="355" t="s">
        <v>1077</v>
      </c>
    </row>
    <row r="156" spans="1:11" s="407" customFormat="1" x14ac:dyDescent="0.25">
      <c r="A156" s="403" t="s">
        <v>245</v>
      </c>
      <c r="B156" s="354" t="s">
        <v>246</v>
      </c>
      <c r="C156" s="354" t="s">
        <v>247</v>
      </c>
      <c r="D156" s="354" t="s">
        <v>248</v>
      </c>
      <c r="E156" s="354" t="s">
        <v>490</v>
      </c>
      <c r="F156" s="354" t="s">
        <v>249</v>
      </c>
      <c r="G156" s="353"/>
      <c r="H156" s="353"/>
      <c r="I156" s="353"/>
      <c r="J156" s="353"/>
      <c r="K156" s="353"/>
    </row>
    <row r="157" spans="1:11" x14ac:dyDescent="0.25">
      <c r="A157" s="357" t="s">
        <v>1078</v>
      </c>
      <c r="B157" s="354" t="s">
        <v>453</v>
      </c>
      <c r="C157" s="240">
        <f>C179</f>
        <v>332433.68</v>
      </c>
      <c r="D157" s="354"/>
      <c r="E157" s="354"/>
      <c r="F157" s="354"/>
    </row>
    <row r="159" spans="1:11" x14ac:dyDescent="0.25">
      <c r="A159" s="439" t="s">
        <v>1079</v>
      </c>
    </row>
    <row r="161" spans="1:11" x14ac:dyDescent="0.25">
      <c r="A161" s="1543" t="s">
        <v>114</v>
      </c>
      <c r="B161" s="1545" t="s">
        <v>233</v>
      </c>
      <c r="C161" s="1262" t="s">
        <v>761</v>
      </c>
      <c r="D161" s="1546"/>
      <c r="E161" s="1546"/>
      <c r="F161" s="1547"/>
    </row>
    <row r="162" spans="1:11" ht="78.75" x14ac:dyDescent="0.25">
      <c r="A162" s="1544"/>
      <c r="B162" s="1544"/>
      <c r="C162" s="355" t="s">
        <v>1080</v>
      </c>
      <c r="D162" s="355" t="s">
        <v>1081</v>
      </c>
      <c r="E162" s="355" t="s">
        <v>1076</v>
      </c>
      <c r="F162" s="355" t="s">
        <v>1077</v>
      </c>
    </row>
    <row r="163" spans="1:11" s="407" customFormat="1" x14ac:dyDescent="0.25">
      <c r="A163" s="403" t="s">
        <v>245</v>
      </c>
      <c r="B163" s="354" t="s">
        <v>246</v>
      </c>
      <c r="C163" s="354" t="s">
        <v>247</v>
      </c>
      <c r="D163" s="354" t="s">
        <v>248</v>
      </c>
      <c r="E163" s="354" t="s">
        <v>490</v>
      </c>
      <c r="F163" s="354" t="s">
        <v>249</v>
      </c>
      <c r="G163" s="353"/>
      <c r="H163" s="353"/>
      <c r="I163" s="353"/>
      <c r="J163" s="353"/>
      <c r="K163" s="353"/>
    </row>
    <row r="164" spans="1:11" ht="31.5" x14ac:dyDescent="0.25">
      <c r="A164" s="404" t="s">
        <v>891</v>
      </c>
      <c r="B164" s="354" t="s">
        <v>892</v>
      </c>
      <c r="C164" s="354"/>
      <c r="D164" s="354"/>
      <c r="E164" s="354"/>
      <c r="F164" s="354"/>
    </row>
    <row r="165" spans="1:11" x14ac:dyDescent="0.25">
      <c r="A165" s="410"/>
      <c r="B165" s="354" t="s">
        <v>893</v>
      </c>
      <c r="C165" s="354"/>
      <c r="D165" s="354"/>
      <c r="E165" s="354"/>
      <c r="F165" s="354"/>
    </row>
    <row r="166" spans="1:11" x14ac:dyDescent="0.25">
      <c r="A166" s="410"/>
      <c r="B166" s="354" t="s">
        <v>894</v>
      </c>
      <c r="C166" s="354"/>
      <c r="D166" s="354"/>
      <c r="E166" s="354"/>
      <c r="F166" s="354"/>
    </row>
    <row r="167" spans="1:11" ht="31.5" x14ac:dyDescent="0.25">
      <c r="A167" s="404" t="s">
        <v>895</v>
      </c>
      <c r="B167" s="354" t="s">
        <v>896</v>
      </c>
      <c r="C167" s="354"/>
      <c r="D167" s="354"/>
      <c r="E167" s="354"/>
      <c r="F167" s="354"/>
    </row>
    <row r="168" spans="1:11" x14ac:dyDescent="0.25">
      <c r="A168" s="410"/>
      <c r="B168" s="354" t="s">
        <v>897</v>
      </c>
      <c r="C168" s="354"/>
      <c r="D168" s="354"/>
      <c r="E168" s="354"/>
      <c r="F168" s="354"/>
    </row>
    <row r="169" spans="1:11" x14ac:dyDescent="0.25">
      <c r="A169" s="410"/>
      <c r="B169" s="354" t="s">
        <v>898</v>
      </c>
      <c r="C169" s="354"/>
      <c r="D169" s="354"/>
      <c r="E169" s="354"/>
      <c r="F169" s="354"/>
    </row>
    <row r="170" spans="1:11" ht="31.5" x14ac:dyDescent="0.25">
      <c r="A170" s="404" t="s">
        <v>899</v>
      </c>
      <c r="B170" s="354" t="s">
        <v>900</v>
      </c>
      <c r="C170" s="354"/>
      <c r="D170" s="354"/>
      <c r="E170" s="354"/>
      <c r="F170" s="354"/>
    </row>
    <row r="171" spans="1:11" x14ac:dyDescent="0.25">
      <c r="A171" s="410"/>
      <c r="B171" s="354" t="s">
        <v>901</v>
      </c>
      <c r="C171" s="354"/>
      <c r="D171" s="354"/>
      <c r="E171" s="354"/>
      <c r="F171" s="354"/>
    </row>
    <row r="172" spans="1:11" x14ac:dyDescent="0.25">
      <c r="A172" s="410"/>
      <c r="B172" s="354" t="s">
        <v>902</v>
      </c>
      <c r="C172" s="354"/>
      <c r="D172" s="354"/>
      <c r="E172" s="354"/>
      <c r="F172" s="354"/>
    </row>
    <row r="173" spans="1:11" ht="31.5" x14ac:dyDescent="0.25">
      <c r="A173" s="404" t="s">
        <v>903</v>
      </c>
      <c r="B173" s="354" t="s">
        <v>904</v>
      </c>
      <c r="C173" s="354"/>
      <c r="D173" s="354"/>
      <c r="E173" s="354"/>
      <c r="F173" s="354"/>
    </row>
    <row r="174" spans="1:11" x14ac:dyDescent="0.25">
      <c r="A174" s="410"/>
      <c r="B174" s="354" t="s">
        <v>905</v>
      </c>
      <c r="C174" s="354"/>
      <c r="D174" s="354"/>
      <c r="E174" s="354"/>
      <c r="F174" s="354"/>
    </row>
    <row r="175" spans="1:11" x14ac:dyDescent="0.25">
      <c r="A175" s="410"/>
      <c r="B175" s="354" t="s">
        <v>906</v>
      </c>
      <c r="C175" s="354"/>
      <c r="D175" s="354"/>
      <c r="E175" s="354"/>
      <c r="F175" s="354"/>
    </row>
    <row r="176" spans="1:11" x14ac:dyDescent="0.25">
      <c r="A176" s="405" t="s">
        <v>907</v>
      </c>
      <c r="B176" s="354" t="s">
        <v>908</v>
      </c>
      <c r="C176" s="354"/>
      <c r="D176" s="354"/>
      <c r="E176" s="354"/>
      <c r="F176" s="354"/>
    </row>
    <row r="177" spans="1:11" x14ac:dyDescent="0.25">
      <c r="A177" s="410" t="s">
        <v>1082</v>
      </c>
      <c r="B177" s="354" t="s">
        <v>910</v>
      </c>
      <c r="C177" s="354"/>
      <c r="D177" s="354"/>
      <c r="E177" s="354"/>
      <c r="F177" s="354"/>
    </row>
    <row r="178" spans="1:11" x14ac:dyDescent="0.25">
      <c r="A178" s="410" t="s">
        <v>1083</v>
      </c>
      <c r="B178" s="354" t="s">
        <v>911</v>
      </c>
      <c r="C178" s="241"/>
      <c r="D178" s="354"/>
      <c r="E178" s="354"/>
      <c r="F178" s="354"/>
    </row>
    <row r="179" spans="1:11" x14ac:dyDescent="0.25">
      <c r="A179" s="410"/>
      <c r="B179" s="354" t="s">
        <v>912</v>
      </c>
      <c r="C179" s="240">
        <v>332433.68</v>
      </c>
      <c r="D179" s="354"/>
      <c r="E179" s="354"/>
      <c r="F179" s="354"/>
    </row>
    <row r="180" spans="1:11" x14ac:dyDescent="0.25">
      <c r="A180" s="439" t="s">
        <v>1084</v>
      </c>
    </row>
    <row r="182" spans="1:11" x14ac:dyDescent="0.25">
      <c r="A182" s="1542" t="s">
        <v>1085</v>
      </c>
      <c r="B182" s="1542"/>
      <c r="C182" s="1542"/>
      <c r="D182" s="1542"/>
      <c r="E182" s="1542"/>
    </row>
    <row r="183" spans="1:11" x14ac:dyDescent="0.25">
      <c r="A183" s="1542" t="str">
        <f>A147</f>
        <v>на 2024 год и плановый период 2025 и 2026 годов</v>
      </c>
      <c r="B183" s="1542"/>
      <c r="C183" s="1542"/>
      <c r="D183" s="1542"/>
      <c r="E183" s="1542"/>
    </row>
    <row r="185" spans="1:11" x14ac:dyDescent="0.25">
      <c r="A185" s="439" t="s">
        <v>888</v>
      </c>
      <c r="B185" s="1559" t="str">
        <f>B149</f>
        <v>МОУ "Глажевская СОШ"</v>
      </c>
      <c r="C185" s="1559"/>
      <c r="D185" s="1559"/>
      <c r="E185" s="1559"/>
      <c r="F185" s="440"/>
    </row>
    <row r="186" spans="1:11" x14ac:dyDescent="0.25">
      <c r="A186" s="439" t="s">
        <v>889</v>
      </c>
      <c r="B186" s="1338"/>
      <c r="C186" s="1338"/>
      <c r="D186" s="1338"/>
      <c r="E186" s="1338"/>
      <c r="F186" s="356"/>
    </row>
    <row r="187" spans="1:11" x14ac:dyDescent="0.25">
      <c r="A187" s="439" t="s">
        <v>230</v>
      </c>
    </row>
    <row r="188" spans="1:11" x14ac:dyDescent="0.25">
      <c r="A188" s="1542" t="s">
        <v>1086</v>
      </c>
      <c r="B188" s="1542"/>
      <c r="C188" s="1542"/>
      <c r="D188" s="1542"/>
      <c r="E188" s="1542"/>
    </row>
    <row r="190" spans="1:11" x14ac:dyDescent="0.25">
      <c r="A190" s="1543" t="s">
        <v>114</v>
      </c>
      <c r="B190" s="1545" t="s">
        <v>233</v>
      </c>
      <c r="C190" s="1262" t="s">
        <v>1087</v>
      </c>
      <c r="D190" s="1546"/>
      <c r="E190" s="1547"/>
    </row>
    <row r="191" spans="1:11" x14ac:dyDescent="0.25">
      <c r="A191" s="1544"/>
      <c r="B191" s="1544"/>
      <c r="C191" s="354" t="str">
        <f>C85</f>
        <v>на 2024 год</v>
      </c>
      <c r="D191" s="354" t="str">
        <f>D85</f>
        <v>на 2025 год</v>
      </c>
      <c r="E191" s="354" t="str">
        <f>E85</f>
        <v>на 2026 год</v>
      </c>
    </row>
    <row r="192" spans="1:11" s="407" customFormat="1" x14ac:dyDescent="0.25">
      <c r="A192" s="403" t="s">
        <v>245</v>
      </c>
      <c r="B192" s="354" t="s">
        <v>246</v>
      </c>
      <c r="C192" s="354" t="s">
        <v>247</v>
      </c>
      <c r="D192" s="354" t="s">
        <v>248</v>
      </c>
      <c r="E192" s="354" t="s">
        <v>490</v>
      </c>
      <c r="F192" s="353"/>
      <c r="G192" s="353"/>
      <c r="H192" s="353"/>
      <c r="I192" s="353"/>
      <c r="J192" s="353"/>
      <c r="K192" s="353"/>
    </row>
    <row r="193" spans="1:11" x14ac:dyDescent="0.25">
      <c r="A193" s="357" t="s">
        <v>1088</v>
      </c>
      <c r="B193" s="354" t="s">
        <v>1004</v>
      </c>
      <c r="C193" s="441">
        <f>C205</f>
        <v>142385.88</v>
      </c>
      <c r="D193" s="354"/>
      <c r="E193" s="354"/>
    </row>
    <row r="195" spans="1:11" x14ac:dyDescent="0.25">
      <c r="A195" s="439" t="s">
        <v>1089</v>
      </c>
    </row>
    <row r="197" spans="1:11" ht="31.5" x14ac:dyDescent="0.25">
      <c r="A197" s="354" t="s">
        <v>114</v>
      </c>
      <c r="B197" s="355" t="s">
        <v>233</v>
      </c>
      <c r="C197" s="354" t="str">
        <f>C191</f>
        <v>на 2024 год</v>
      </c>
      <c r="D197" s="354" t="str">
        <f>D191</f>
        <v>на 2025 год</v>
      </c>
      <c r="E197" s="354" t="str">
        <f>E191</f>
        <v>на 2026 год</v>
      </c>
    </row>
    <row r="198" spans="1:11" s="407" customFormat="1" x14ac:dyDescent="0.25">
      <c r="A198" s="403" t="s">
        <v>245</v>
      </c>
      <c r="B198" s="354" t="s">
        <v>246</v>
      </c>
      <c r="C198" s="354" t="s">
        <v>247</v>
      </c>
      <c r="D198" s="354" t="s">
        <v>248</v>
      </c>
      <c r="E198" s="354" t="s">
        <v>490</v>
      </c>
      <c r="F198" s="353"/>
      <c r="G198" s="353"/>
      <c r="H198" s="353"/>
      <c r="I198" s="353"/>
      <c r="J198" s="353"/>
      <c r="K198" s="353"/>
    </row>
    <row r="199" spans="1:11" ht="31.5" x14ac:dyDescent="0.25">
      <c r="A199" s="405" t="s">
        <v>1090</v>
      </c>
      <c r="B199" s="354" t="s">
        <v>1004</v>
      </c>
      <c r="C199" s="354"/>
      <c r="D199" s="354"/>
      <c r="E199" s="354"/>
    </row>
    <row r="200" spans="1:11" x14ac:dyDescent="0.25">
      <c r="A200" s="410"/>
      <c r="B200" s="354" t="s">
        <v>1037</v>
      </c>
      <c r="C200" s="354"/>
      <c r="D200" s="354"/>
      <c r="E200" s="354"/>
    </row>
    <row r="201" spans="1:11" x14ac:dyDescent="0.25">
      <c r="A201" s="405" t="s">
        <v>1091</v>
      </c>
      <c r="B201" s="354" t="s">
        <v>1005</v>
      </c>
      <c r="C201" s="354"/>
      <c r="D201" s="354"/>
      <c r="E201" s="354"/>
    </row>
    <row r="202" spans="1:11" x14ac:dyDescent="0.25">
      <c r="A202" s="410"/>
      <c r="B202" s="354" t="s">
        <v>1039</v>
      </c>
      <c r="C202" s="354"/>
      <c r="D202" s="354"/>
      <c r="E202" s="354"/>
    </row>
    <row r="203" spans="1:11" ht="31.5" x14ac:dyDescent="0.25">
      <c r="A203" s="404" t="s">
        <v>1092</v>
      </c>
      <c r="B203" s="354" t="s">
        <v>1007</v>
      </c>
      <c r="C203" s="354"/>
      <c r="D203" s="354"/>
      <c r="E203" s="354"/>
    </row>
    <row r="204" spans="1:11" x14ac:dyDescent="0.25">
      <c r="A204" s="410"/>
      <c r="B204" s="354" t="s">
        <v>1093</v>
      </c>
      <c r="C204" s="354"/>
      <c r="D204" s="354"/>
      <c r="E204" s="354"/>
    </row>
    <row r="205" spans="1:11" ht="47.25" x14ac:dyDescent="0.25">
      <c r="A205" s="404" t="s">
        <v>1094</v>
      </c>
      <c r="B205" s="354" t="s">
        <v>1026</v>
      </c>
      <c r="C205" s="441">
        <v>142385.88</v>
      </c>
      <c r="D205" s="354"/>
      <c r="E205" s="354"/>
    </row>
    <row r="206" spans="1:11" x14ac:dyDescent="0.25">
      <c r="A206" s="410"/>
      <c r="B206" s="354" t="s">
        <v>1095</v>
      </c>
      <c r="C206" s="354"/>
      <c r="D206" s="354"/>
      <c r="E206" s="354"/>
    </row>
    <row r="207" spans="1:11" ht="31.5" x14ac:dyDescent="0.25">
      <c r="A207" s="404" t="s">
        <v>1096</v>
      </c>
      <c r="B207" s="354" t="s">
        <v>1027</v>
      </c>
      <c r="C207" s="354"/>
      <c r="D207" s="354"/>
      <c r="E207" s="354"/>
    </row>
    <row r="208" spans="1:11" x14ac:dyDescent="0.25">
      <c r="A208" s="410"/>
      <c r="B208" s="354" t="s">
        <v>1097</v>
      </c>
      <c r="C208" s="354"/>
      <c r="D208" s="354"/>
      <c r="E208" s="354"/>
    </row>
    <row r="209" spans="1:87" ht="31.5" x14ac:dyDescent="0.25">
      <c r="A209" s="404" t="s">
        <v>1098</v>
      </c>
      <c r="B209" s="354" t="s">
        <v>1029</v>
      </c>
      <c r="C209" s="354"/>
      <c r="D209" s="354"/>
      <c r="E209" s="354"/>
    </row>
    <row r="210" spans="1:87" x14ac:dyDescent="0.25">
      <c r="A210" s="410"/>
      <c r="B210" s="354" t="s">
        <v>1099</v>
      </c>
      <c r="C210" s="354"/>
      <c r="D210" s="354"/>
      <c r="E210" s="354"/>
    </row>
    <row r="211" spans="1:87" s="353" customFormat="1" ht="31.5" x14ac:dyDescent="0.25">
      <c r="A211" s="404" t="s">
        <v>1100</v>
      </c>
      <c r="B211" s="354" t="s">
        <v>1101</v>
      </c>
      <c r="C211" s="354"/>
      <c r="D211" s="354"/>
      <c r="E211" s="354"/>
      <c r="L211" s="406"/>
      <c r="M211" s="406"/>
      <c r="N211" s="406"/>
      <c r="O211" s="406"/>
      <c r="P211" s="406"/>
      <c r="Q211" s="406"/>
      <c r="R211" s="406"/>
      <c r="S211" s="406"/>
      <c r="T211" s="406"/>
      <c r="U211" s="406"/>
      <c r="V211" s="406"/>
      <c r="W211" s="406"/>
      <c r="X211" s="406"/>
      <c r="Y211" s="406"/>
      <c r="Z211" s="406"/>
      <c r="AA211" s="406"/>
      <c r="AB211" s="406"/>
      <c r="AC211" s="406"/>
      <c r="AD211" s="406"/>
      <c r="AE211" s="406"/>
      <c r="AF211" s="406"/>
      <c r="AG211" s="406"/>
      <c r="AH211" s="406"/>
      <c r="AI211" s="406"/>
      <c r="AJ211" s="406"/>
      <c r="AK211" s="406"/>
      <c r="AL211" s="406"/>
      <c r="AM211" s="406"/>
      <c r="AN211" s="406"/>
      <c r="AO211" s="406"/>
      <c r="AP211" s="406"/>
      <c r="AQ211" s="406"/>
      <c r="AR211" s="406"/>
      <c r="AS211" s="406"/>
      <c r="AT211" s="406"/>
      <c r="AU211" s="406"/>
      <c r="AV211" s="406"/>
      <c r="AW211" s="406"/>
      <c r="AX211" s="406"/>
      <c r="AY211" s="406"/>
      <c r="AZ211" s="406"/>
      <c r="BA211" s="406"/>
      <c r="BB211" s="406"/>
      <c r="BC211" s="406"/>
      <c r="BD211" s="406"/>
      <c r="BE211" s="406"/>
      <c r="BF211" s="406"/>
      <c r="BG211" s="406"/>
      <c r="BH211" s="406"/>
      <c r="BI211" s="406"/>
      <c r="BJ211" s="406"/>
      <c r="BK211" s="406"/>
      <c r="BL211" s="406"/>
      <c r="BM211" s="406"/>
      <c r="BN211" s="406"/>
      <c r="BO211" s="406"/>
      <c r="BP211" s="406"/>
      <c r="BQ211" s="406"/>
      <c r="BR211" s="406"/>
      <c r="BS211" s="406"/>
      <c r="BT211" s="406"/>
      <c r="BU211" s="406"/>
      <c r="BV211" s="406"/>
      <c r="BW211" s="406"/>
      <c r="BX211" s="406"/>
      <c r="BY211" s="406"/>
      <c r="BZ211" s="406"/>
      <c r="CA211" s="406"/>
      <c r="CB211" s="406"/>
      <c r="CC211" s="406"/>
      <c r="CD211" s="406"/>
      <c r="CE211" s="406"/>
      <c r="CF211" s="406"/>
      <c r="CG211" s="406"/>
      <c r="CH211" s="406"/>
      <c r="CI211" s="406"/>
    </row>
    <row r="212" spans="1:87" s="353" customFormat="1" x14ac:dyDescent="0.25">
      <c r="A212" s="410"/>
      <c r="B212" s="354" t="s">
        <v>747</v>
      </c>
      <c r="C212" s="354"/>
      <c r="D212" s="354"/>
      <c r="E212" s="354"/>
      <c r="L212" s="406"/>
      <c r="M212" s="406"/>
      <c r="N212" s="406"/>
      <c r="O212" s="406"/>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406"/>
      <c r="AO212" s="406"/>
      <c r="AP212" s="406"/>
      <c r="AQ212" s="406"/>
      <c r="AR212" s="406"/>
      <c r="AS212" s="406"/>
      <c r="AT212" s="406"/>
      <c r="AU212" s="406"/>
      <c r="AV212" s="406"/>
      <c r="AW212" s="406"/>
      <c r="AX212" s="406"/>
      <c r="AY212" s="406"/>
      <c r="AZ212" s="406"/>
      <c r="BA212" s="406"/>
      <c r="BB212" s="406"/>
      <c r="BC212" s="406"/>
      <c r="BD212" s="406"/>
      <c r="BE212" s="406"/>
      <c r="BF212" s="406"/>
      <c r="BG212" s="406"/>
      <c r="BH212" s="406"/>
      <c r="BI212" s="406"/>
      <c r="BJ212" s="406"/>
      <c r="BK212" s="406"/>
      <c r="BL212" s="406"/>
      <c r="BM212" s="406"/>
      <c r="BN212" s="406"/>
      <c r="BO212" s="406"/>
      <c r="BP212" s="406"/>
      <c r="BQ212" s="406"/>
      <c r="BR212" s="406"/>
      <c r="BS212" s="406"/>
      <c r="BT212" s="406"/>
      <c r="BU212" s="406"/>
      <c r="BV212" s="406"/>
      <c r="BW212" s="406"/>
      <c r="BX212" s="406"/>
      <c r="BY212" s="406"/>
      <c r="BZ212" s="406"/>
      <c r="CA212" s="406"/>
      <c r="CB212" s="406"/>
      <c r="CC212" s="406"/>
      <c r="CD212" s="406"/>
      <c r="CE212" s="406"/>
      <c r="CF212" s="406"/>
      <c r="CG212" s="406"/>
      <c r="CH212" s="406"/>
      <c r="CI212" s="406"/>
    </row>
    <row r="213" spans="1:87" s="353" customFormat="1" x14ac:dyDescent="0.25">
      <c r="A213" s="405" t="s">
        <v>1102</v>
      </c>
      <c r="B213" s="354" t="s">
        <v>1103</v>
      </c>
      <c r="C213" s="354"/>
      <c r="D213" s="354"/>
      <c r="E213" s="354"/>
      <c r="L213" s="406"/>
      <c r="M213" s="406"/>
      <c r="N213" s="406"/>
      <c r="O213" s="406"/>
      <c r="P213" s="406"/>
      <c r="Q213" s="406"/>
      <c r="R213" s="406"/>
      <c r="S213" s="406"/>
      <c r="T213" s="406"/>
      <c r="U213" s="406"/>
      <c r="V213" s="406"/>
      <c r="W213" s="406"/>
      <c r="X213" s="406"/>
      <c r="Y213" s="406"/>
      <c r="Z213" s="406"/>
      <c r="AA213" s="406"/>
      <c r="AB213" s="406"/>
      <c r="AC213" s="406"/>
      <c r="AD213" s="406"/>
      <c r="AE213" s="406"/>
      <c r="AF213" s="406"/>
      <c r="AG213" s="406"/>
      <c r="AH213" s="406"/>
      <c r="AI213" s="406"/>
      <c r="AJ213" s="406"/>
      <c r="AK213" s="406"/>
      <c r="AL213" s="406"/>
      <c r="AM213" s="406"/>
      <c r="AN213" s="406"/>
      <c r="AO213" s="406"/>
      <c r="AP213" s="406"/>
      <c r="AQ213" s="406"/>
      <c r="AR213" s="406"/>
      <c r="AS213" s="406"/>
      <c r="AT213" s="406"/>
      <c r="AU213" s="406"/>
      <c r="AV213" s="406"/>
      <c r="AW213" s="406"/>
      <c r="AX213" s="406"/>
      <c r="AY213" s="406"/>
      <c r="AZ213" s="406"/>
      <c r="BA213" s="406"/>
      <c r="BB213" s="406"/>
      <c r="BC213" s="406"/>
      <c r="BD213" s="406"/>
      <c r="BE213" s="406"/>
      <c r="BF213" s="406"/>
      <c r="BG213" s="406"/>
      <c r="BH213" s="406"/>
      <c r="BI213" s="406"/>
      <c r="BJ213" s="406"/>
      <c r="BK213" s="406"/>
      <c r="BL213" s="406"/>
      <c r="BM213" s="406"/>
      <c r="BN213" s="406"/>
      <c r="BO213" s="406"/>
      <c r="BP213" s="406"/>
      <c r="BQ213" s="406"/>
      <c r="BR213" s="406"/>
      <c r="BS213" s="406"/>
      <c r="BT213" s="406"/>
      <c r="BU213" s="406"/>
      <c r="BV213" s="406"/>
      <c r="BW213" s="406"/>
      <c r="BX213" s="406"/>
      <c r="BY213" s="406"/>
      <c r="BZ213" s="406"/>
      <c r="CA213" s="406"/>
      <c r="CB213" s="406"/>
      <c r="CC213" s="406"/>
      <c r="CD213" s="406"/>
      <c r="CE213" s="406"/>
      <c r="CF213" s="406"/>
      <c r="CG213" s="406"/>
      <c r="CH213" s="406"/>
      <c r="CI213" s="406"/>
    </row>
    <row r="214" spans="1:87" s="353" customFormat="1" ht="16.5" thickBot="1" x14ac:dyDescent="0.3">
      <c r="A214" s="443"/>
      <c r="B214" s="402" t="s">
        <v>1104</v>
      </c>
      <c r="C214" s="402"/>
      <c r="D214" s="402"/>
      <c r="E214" s="402"/>
      <c r="L214" s="406"/>
      <c r="M214" s="406"/>
      <c r="N214" s="406"/>
      <c r="O214" s="406"/>
      <c r="P214" s="406"/>
      <c r="Q214" s="406"/>
      <c r="R214" s="406"/>
      <c r="S214" s="406"/>
      <c r="T214" s="406"/>
      <c r="U214" s="406"/>
      <c r="V214" s="406"/>
      <c r="W214" s="406"/>
      <c r="X214" s="406"/>
      <c r="Y214" s="406"/>
      <c r="Z214" s="406"/>
      <c r="AA214" s="406"/>
      <c r="AB214" s="406"/>
      <c r="AC214" s="406"/>
      <c r="AD214" s="406"/>
      <c r="AE214" s="406"/>
      <c r="AF214" s="406"/>
      <c r="AG214" s="406"/>
      <c r="AH214" s="406"/>
      <c r="AI214" s="406"/>
      <c r="AJ214" s="406"/>
      <c r="AK214" s="406"/>
      <c r="AL214" s="406"/>
      <c r="AM214" s="406"/>
      <c r="AN214" s="406"/>
      <c r="AO214" s="406"/>
      <c r="AP214" s="406"/>
      <c r="AQ214" s="406"/>
      <c r="AR214" s="406"/>
      <c r="AS214" s="406"/>
      <c r="AT214" s="406"/>
      <c r="AU214" s="406"/>
      <c r="AV214" s="406"/>
      <c r="AW214" s="406"/>
      <c r="AX214" s="406"/>
      <c r="AY214" s="406"/>
      <c r="AZ214" s="406"/>
      <c r="BA214" s="406"/>
      <c r="BB214" s="406"/>
      <c r="BC214" s="406"/>
      <c r="BD214" s="406"/>
      <c r="BE214" s="406"/>
      <c r="BF214" s="406"/>
      <c r="BG214" s="406"/>
      <c r="BH214" s="406"/>
      <c r="BI214" s="406"/>
      <c r="BJ214" s="406"/>
      <c r="BK214" s="406"/>
      <c r="BL214" s="406"/>
      <c r="BM214" s="406"/>
      <c r="BN214" s="406"/>
      <c r="BO214" s="406"/>
      <c r="BP214" s="406"/>
      <c r="BQ214" s="406"/>
      <c r="BR214" s="406"/>
      <c r="BS214" s="406"/>
      <c r="BT214" s="406"/>
      <c r="BU214" s="406"/>
      <c r="BV214" s="406"/>
      <c r="BW214" s="406"/>
      <c r="BX214" s="406"/>
      <c r="BY214" s="406"/>
      <c r="BZ214" s="406"/>
      <c r="CA214" s="406"/>
      <c r="CB214" s="406"/>
      <c r="CC214" s="406"/>
      <c r="CD214" s="406"/>
      <c r="CE214" s="406"/>
      <c r="CF214" s="406"/>
      <c r="CG214" s="406"/>
      <c r="CH214" s="406"/>
      <c r="CI214" s="406"/>
    </row>
    <row r="215" spans="1:87" s="353" customFormat="1" ht="16.5" thickBot="1" x14ac:dyDescent="0.3">
      <c r="A215" s="444" t="s">
        <v>783</v>
      </c>
      <c r="B215" s="445" t="s">
        <v>912</v>
      </c>
      <c r="C215" s="446">
        <f>C205</f>
        <v>142385.88</v>
      </c>
      <c r="D215" s="445"/>
      <c r="E215" s="447"/>
      <c r="L215" s="406"/>
      <c r="M215" s="406"/>
      <c r="N215" s="406"/>
      <c r="O215" s="406"/>
      <c r="P215" s="406"/>
      <c r="Q215" s="406"/>
      <c r="R215" s="406"/>
      <c r="S215" s="406"/>
      <c r="T215" s="406"/>
      <c r="U215" s="406"/>
      <c r="V215" s="406"/>
      <c r="W215" s="406"/>
      <c r="X215" s="406"/>
      <c r="Y215" s="406"/>
      <c r="Z215" s="406"/>
      <c r="AA215" s="406"/>
      <c r="AB215" s="406"/>
      <c r="AC215" s="406"/>
      <c r="AD215" s="406"/>
      <c r="AE215" s="406"/>
      <c r="AF215" s="406"/>
      <c r="AG215" s="406"/>
      <c r="AH215" s="406"/>
      <c r="AI215" s="406"/>
      <c r="AJ215" s="406"/>
      <c r="AK215" s="406"/>
      <c r="AL215" s="406"/>
      <c r="AM215" s="406"/>
      <c r="AN215" s="406"/>
      <c r="AO215" s="406"/>
      <c r="AP215" s="406"/>
      <c r="AQ215" s="406"/>
      <c r="AR215" s="406"/>
      <c r="AS215" s="406"/>
      <c r="AT215" s="406"/>
      <c r="AU215" s="406"/>
      <c r="AV215" s="406"/>
      <c r="AW215" s="406"/>
      <c r="AX215" s="406"/>
      <c r="AY215" s="406"/>
      <c r="AZ215" s="406"/>
      <c r="BA215" s="406"/>
      <c r="BB215" s="406"/>
      <c r="BC215" s="406"/>
      <c r="BD215" s="406"/>
      <c r="BE215" s="406"/>
      <c r="BF215" s="406"/>
      <c r="BG215" s="406"/>
      <c r="BH215" s="406"/>
      <c r="BI215" s="406"/>
      <c r="BJ215" s="406"/>
      <c r="BK215" s="406"/>
      <c r="BL215" s="406"/>
      <c r="BM215" s="406"/>
      <c r="BN215" s="406"/>
      <c r="BO215" s="406"/>
      <c r="BP215" s="406"/>
      <c r="BQ215" s="406"/>
      <c r="BR215" s="406"/>
      <c r="BS215" s="406"/>
      <c r="BT215" s="406"/>
      <c r="BU215" s="406"/>
      <c r="BV215" s="406"/>
      <c r="BW215" s="406"/>
      <c r="BX215" s="406"/>
      <c r="BY215" s="406"/>
      <c r="BZ215" s="406"/>
      <c r="CA215" s="406"/>
      <c r="CB215" s="406"/>
      <c r="CC215" s="406"/>
      <c r="CD215" s="406"/>
      <c r="CE215" s="406"/>
      <c r="CF215" s="406"/>
      <c r="CG215" s="406"/>
      <c r="CH215" s="406"/>
      <c r="CI215" s="406"/>
    </row>
  </sheetData>
  <mergeCells count="78">
    <mergeCell ref="A122:K122"/>
    <mergeCell ref="A123:K123"/>
    <mergeCell ref="A125:A127"/>
    <mergeCell ref="B125:B127"/>
    <mergeCell ref="C125:E126"/>
    <mergeCell ref="F125:H126"/>
    <mergeCell ref="I125:K126"/>
    <mergeCell ref="B186:E186"/>
    <mergeCell ref="A188:E188"/>
    <mergeCell ref="A190:A191"/>
    <mergeCell ref="B190:B191"/>
    <mergeCell ref="C190:E190"/>
    <mergeCell ref="A95:K95"/>
    <mergeCell ref="A96:K96"/>
    <mergeCell ref="A98:A100"/>
    <mergeCell ref="B98:B100"/>
    <mergeCell ref="C98:E99"/>
    <mergeCell ref="F98:H99"/>
    <mergeCell ref="I98:K99"/>
    <mergeCell ref="B185:E185"/>
    <mergeCell ref="A146:F146"/>
    <mergeCell ref="A147:F147"/>
    <mergeCell ref="B149:F149"/>
    <mergeCell ref="B150:F150"/>
    <mergeCell ref="A152:F152"/>
    <mergeCell ref="A154:A155"/>
    <mergeCell ref="B154:B155"/>
    <mergeCell ref="C154:F154"/>
    <mergeCell ref="A161:A162"/>
    <mergeCell ref="B161:B162"/>
    <mergeCell ref="C161:F161"/>
    <mergeCell ref="A182:E182"/>
    <mergeCell ref="A183:E183"/>
    <mergeCell ref="I75:I77"/>
    <mergeCell ref="J75:J77"/>
    <mergeCell ref="K75:K77"/>
    <mergeCell ref="A81:K81"/>
    <mergeCell ref="A82:K82"/>
    <mergeCell ref="A84:A85"/>
    <mergeCell ref="B84:B85"/>
    <mergeCell ref="C84:E84"/>
    <mergeCell ref="F84:H84"/>
    <mergeCell ref="I84:K84"/>
    <mergeCell ref="A70:K70"/>
    <mergeCell ref="A72:A73"/>
    <mergeCell ref="B72:B73"/>
    <mergeCell ref="C72:E72"/>
    <mergeCell ref="F72:H72"/>
    <mergeCell ref="I72:K72"/>
    <mergeCell ref="A69:K69"/>
    <mergeCell ref="C40:E40"/>
    <mergeCell ref="F40:H40"/>
    <mergeCell ref="I40:K40"/>
    <mergeCell ref="A46:K46"/>
    <mergeCell ref="A48:A49"/>
    <mergeCell ref="B48:B49"/>
    <mergeCell ref="C48:E48"/>
    <mergeCell ref="F48:H48"/>
    <mergeCell ref="I48:K48"/>
    <mergeCell ref="A53:E53"/>
    <mergeCell ref="A54:E54"/>
    <mergeCell ref="A56:A57"/>
    <mergeCell ref="B56:B57"/>
    <mergeCell ref="C56:E56"/>
    <mergeCell ref="A38:K38"/>
    <mergeCell ref="A1:E1"/>
    <mergeCell ref="A3:E3"/>
    <mergeCell ref="A5:E5"/>
    <mergeCell ref="A7:E7"/>
    <mergeCell ref="A8:E8"/>
    <mergeCell ref="A10:A11"/>
    <mergeCell ref="B10:B11"/>
    <mergeCell ref="C10:E10"/>
    <mergeCell ref="A29:A30"/>
    <mergeCell ref="B29:B30"/>
    <mergeCell ref="C29:E29"/>
    <mergeCell ref="F29:H29"/>
    <mergeCell ref="I29:K29"/>
  </mergeCells>
  <pageMargins left="0.16" right="0.16" top="0.74803149606299213" bottom="0.16" header="0.31496062992125984" footer="0.16"/>
  <pageSetup paperSize="9" scale="59" fitToHeight="0" orientation="landscape" r:id="rId1"/>
  <rowBreaks count="5" manualBreakCount="5">
    <brk id="37" max="16383" man="1"/>
    <brk id="51" max="16383" man="1"/>
    <brk id="120" max="10" man="1"/>
    <brk id="145" max="16383" man="1"/>
    <brk id="18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3B1DEF"/>
    <pageSetUpPr fitToPage="1"/>
  </sheetPr>
  <dimension ref="A1:K27"/>
  <sheetViews>
    <sheetView view="pageBreakPreview" topLeftCell="A10" zoomScale="60" zoomScaleNormal="100" workbookViewId="0">
      <selection activeCell="Q12" sqref="Q12"/>
    </sheetView>
  </sheetViews>
  <sheetFormatPr defaultColWidth="9.140625" defaultRowHeight="15" x14ac:dyDescent="0.25"/>
  <cols>
    <col min="1" max="1" width="8.28515625" style="359" customWidth="1"/>
    <col min="2" max="2" width="56" style="360" customWidth="1"/>
    <col min="3" max="3" width="16.5703125" style="360" customWidth="1"/>
    <col min="4" max="4" width="17" style="360" customWidth="1"/>
    <col min="5" max="6" width="15.140625" style="360" customWidth="1"/>
    <col min="7" max="7" width="12.7109375" style="360" customWidth="1"/>
    <col min="8" max="8" width="11.7109375" style="360" customWidth="1"/>
    <col min="9" max="9" width="12.7109375" style="360" customWidth="1"/>
    <col min="10" max="10" width="9.140625" style="360"/>
    <col min="11" max="11" width="16.42578125" style="360" customWidth="1"/>
    <col min="12" max="16384" width="9.140625" style="360"/>
  </cols>
  <sheetData>
    <row r="1" spans="1:11" s="361" customFormat="1" ht="12.75" customHeight="1" x14ac:dyDescent="0.25">
      <c r="A1" s="1750" t="s">
        <v>953</v>
      </c>
      <c r="B1" s="1750"/>
      <c r="C1" s="1750"/>
      <c r="D1" s="1750"/>
      <c r="E1" s="1750"/>
      <c r="F1" s="1750"/>
      <c r="G1" s="1750"/>
      <c r="H1" s="1750"/>
      <c r="I1" s="1750"/>
      <c r="J1" s="1750"/>
      <c r="K1" s="1750"/>
    </row>
    <row r="2" spans="1:11" s="363" customFormat="1" ht="12.75" customHeight="1" x14ac:dyDescent="0.15">
      <c r="A2" s="362"/>
    </row>
    <row r="3" spans="1:11" s="365" customFormat="1" ht="33.75" customHeight="1" x14ac:dyDescent="0.2">
      <c r="A3" s="1751" t="s">
        <v>38</v>
      </c>
      <c r="B3" s="1754" t="s">
        <v>7</v>
      </c>
      <c r="C3" s="1757" t="s">
        <v>56</v>
      </c>
      <c r="D3" s="1757" t="s">
        <v>57</v>
      </c>
      <c r="E3" s="1760" t="s">
        <v>52</v>
      </c>
      <c r="F3" s="1761"/>
      <c r="G3" s="1761"/>
      <c r="H3" s="1761"/>
      <c r="I3" s="1761"/>
      <c r="J3" s="1761"/>
      <c r="K3" s="1762"/>
    </row>
    <row r="4" spans="1:11" s="365" customFormat="1" ht="87.75" customHeight="1" x14ac:dyDescent="0.2">
      <c r="A4" s="1752"/>
      <c r="B4" s="1755"/>
      <c r="C4" s="1758"/>
      <c r="D4" s="1758"/>
      <c r="E4" s="1763" t="s">
        <v>35</v>
      </c>
      <c r="F4" s="1765"/>
      <c r="G4" s="1764"/>
      <c r="H4" s="1763" t="s">
        <v>45</v>
      </c>
      <c r="I4" s="1765"/>
      <c r="J4" s="1764"/>
      <c r="K4" s="1766" t="s">
        <v>46</v>
      </c>
    </row>
    <row r="5" spans="1:11" s="365" customFormat="1" ht="12.75" customHeight="1" x14ac:dyDescent="0.2">
      <c r="A5" s="1752"/>
      <c r="B5" s="1755"/>
      <c r="C5" s="1758"/>
      <c r="D5" s="1758"/>
      <c r="E5" s="1766" t="s">
        <v>43</v>
      </c>
      <c r="F5" s="1766" t="s">
        <v>592</v>
      </c>
      <c r="G5" s="1766" t="s">
        <v>44</v>
      </c>
      <c r="H5" s="1766" t="s">
        <v>55</v>
      </c>
      <c r="I5" s="1766" t="s">
        <v>43</v>
      </c>
      <c r="J5" s="1766" t="s">
        <v>44</v>
      </c>
      <c r="K5" s="1767"/>
    </row>
    <row r="6" spans="1:11" s="365" customFormat="1" ht="30.75" customHeight="1" x14ac:dyDescent="0.2">
      <c r="A6" s="1753"/>
      <c r="B6" s="1756"/>
      <c r="C6" s="1759"/>
      <c r="D6" s="1759"/>
      <c r="E6" s="1768"/>
      <c r="F6" s="1768"/>
      <c r="G6" s="1768"/>
      <c r="H6" s="1768"/>
      <c r="I6" s="1768"/>
      <c r="J6" s="1768"/>
      <c r="K6" s="1768"/>
    </row>
    <row r="7" spans="1:11" s="365" customFormat="1" ht="12.75" x14ac:dyDescent="0.2">
      <c r="A7" s="366">
        <v>1</v>
      </c>
      <c r="B7" s="364">
        <v>2</v>
      </c>
      <c r="C7" s="367">
        <v>3</v>
      </c>
      <c r="D7" s="364">
        <v>4</v>
      </c>
      <c r="E7" s="368">
        <v>5</v>
      </c>
      <c r="F7" s="368">
        <v>6</v>
      </c>
      <c r="G7" s="368">
        <v>7</v>
      </c>
      <c r="H7" s="368">
        <v>8</v>
      </c>
      <c r="I7" s="368">
        <v>9</v>
      </c>
      <c r="J7" s="368">
        <v>10</v>
      </c>
      <c r="K7" s="368">
        <v>11</v>
      </c>
    </row>
    <row r="8" spans="1:11" s="365" customFormat="1" ht="51" x14ac:dyDescent="0.2">
      <c r="A8" s="366">
        <v>1</v>
      </c>
      <c r="B8" s="369" t="s">
        <v>954</v>
      </c>
      <c r="C8" s="366" t="s">
        <v>3</v>
      </c>
      <c r="D8" s="377">
        <f>D9</f>
        <v>19317.22</v>
      </c>
      <c r="E8" s="377"/>
      <c r="F8" s="377"/>
      <c r="G8" s="377"/>
      <c r="H8" s="371">
        <v>963324097</v>
      </c>
      <c r="I8" s="385">
        <f>I9</f>
        <v>19317.22</v>
      </c>
      <c r="J8" s="371"/>
      <c r="K8" s="371"/>
    </row>
    <row r="9" spans="1:11" s="365" customFormat="1" ht="51" x14ac:dyDescent="0.2">
      <c r="A9" s="366" t="s">
        <v>8</v>
      </c>
      <c r="B9" s="369" t="s">
        <v>955</v>
      </c>
      <c r="C9" s="375">
        <f>'0707 211'!H19</f>
        <v>64391.3</v>
      </c>
      <c r="D9" s="377">
        <f>D23-D17</f>
        <v>19317.22</v>
      </c>
      <c r="E9" s="377"/>
      <c r="F9" s="377"/>
      <c r="G9" s="377"/>
      <c r="H9" s="366">
        <f>H8</f>
        <v>963324097</v>
      </c>
      <c r="I9" s="384">
        <f>I23-I18</f>
        <v>19317.22</v>
      </c>
      <c r="J9" s="366"/>
      <c r="K9" s="366"/>
    </row>
    <row r="10" spans="1:11" s="365" customFormat="1" ht="25.5" x14ac:dyDescent="0.2">
      <c r="A10" s="366" t="s">
        <v>12</v>
      </c>
      <c r="B10" s="369" t="s">
        <v>956</v>
      </c>
      <c r="C10" s="370"/>
      <c r="D10" s="370"/>
      <c r="E10" s="371"/>
      <c r="F10" s="371"/>
      <c r="G10" s="371"/>
      <c r="H10" s="371"/>
      <c r="I10" s="371"/>
      <c r="J10" s="371"/>
      <c r="K10" s="371"/>
    </row>
    <row r="11" spans="1:11" s="365" customFormat="1" ht="25.5" x14ac:dyDescent="0.2">
      <c r="A11" s="366" t="s">
        <v>13</v>
      </c>
      <c r="B11" s="369" t="s">
        <v>957</v>
      </c>
      <c r="C11" s="370"/>
      <c r="D11" s="370"/>
      <c r="E11" s="366"/>
      <c r="F11" s="366"/>
      <c r="G11" s="366"/>
      <c r="H11" s="366"/>
      <c r="I11" s="366"/>
      <c r="J11" s="366"/>
      <c r="K11" s="366"/>
    </row>
    <row r="12" spans="1:11" s="365" customFormat="1" ht="38.25" x14ac:dyDescent="0.2">
      <c r="A12" s="372" t="s">
        <v>502</v>
      </c>
      <c r="B12" s="369" t="s">
        <v>958</v>
      </c>
      <c r="C12" s="366" t="s">
        <v>3</v>
      </c>
      <c r="D12" s="366"/>
      <c r="E12" s="366"/>
      <c r="F12" s="366"/>
      <c r="G12" s="366"/>
      <c r="H12" s="366"/>
      <c r="I12" s="366"/>
      <c r="J12" s="366"/>
      <c r="K12" s="366"/>
    </row>
    <row r="13" spans="1:11" s="365" customFormat="1" ht="12.75" x14ac:dyDescent="0.2">
      <c r="A13" s="366"/>
      <c r="B13" s="371"/>
      <c r="C13" s="366"/>
      <c r="D13" s="366"/>
      <c r="E13" s="366"/>
      <c r="F13" s="366"/>
      <c r="G13" s="366"/>
      <c r="H13" s="366"/>
      <c r="I13" s="366"/>
      <c r="J13" s="366"/>
      <c r="K13" s="366"/>
    </row>
    <row r="14" spans="1:11" s="365" customFormat="1" ht="25.5" x14ac:dyDescent="0.2">
      <c r="A14" s="372" t="s">
        <v>512</v>
      </c>
      <c r="B14" s="369" t="s">
        <v>959</v>
      </c>
      <c r="C14" s="373"/>
      <c r="D14" s="373"/>
      <c r="E14" s="373"/>
      <c r="F14" s="373"/>
      <c r="G14" s="373"/>
      <c r="H14" s="373"/>
      <c r="I14" s="373"/>
      <c r="J14" s="373"/>
      <c r="K14" s="373"/>
    </row>
    <row r="15" spans="1:11" s="365" customFormat="1" ht="38.25" x14ac:dyDescent="0.2">
      <c r="A15" s="372" t="s">
        <v>515</v>
      </c>
      <c r="B15" s="369" t="s">
        <v>958</v>
      </c>
      <c r="C15" s="373"/>
      <c r="D15" s="373"/>
      <c r="E15" s="373"/>
      <c r="F15" s="373"/>
      <c r="G15" s="373"/>
      <c r="H15" s="373"/>
      <c r="I15" s="373"/>
      <c r="J15" s="373"/>
      <c r="K15" s="373"/>
    </row>
    <row r="16" spans="1:11" s="365" customFormat="1" ht="12.75" x14ac:dyDescent="0.2">
      <c r="A16" s="366"/>
      <c r="B16" s="371"/>
      <c r="C16" s="373"/>
      <c r="D16" s="373"/>
      <c r="E16" s="373"/>
      <c r="F16" s="373"/>
      <c r="G16" s="373"/>
      <c r="H16" s="373"/>
      <c r="I16" s="373"/>
      <c r="J16" s="373"/>
      <c r="K16" s="373"/>
    </row>
    <row r="17" spans="1:11" s="365" customFormat="1" ht="38.25" x14ac:dyDescent="0.2">
      <c r="A17" s="366" t="s">
        <v>960</v>
      </c>
      <c r="B17" s="369" t="s">
        <v>961</v>
      </c>
      <c r="C17" s="376">
        <f>C18</f>
        <v>64391.3</v>
      </c>
      <c r="D17" s="376">
        <f t="shared" ref="D17" si="0">D18</f>
        <v>128.78</v>
      </c>
      <c r="E17" s="376"/>
      <c r="F17" s="376"/>
      <c r="G17" s="376"/>
      <c r="H17" s="366">
        <f>H9</f>
        <v>963324097</v>
      </c>
      <c r="I17" s="366">
        <f>I18</f>
        <v>128.78</v>
      </c>
      <c r="J17" s="366"/>
      <c r="K17" s="366"/>
    </row>
    <row r="18" spans="1:11" s="365" customFormat="1" ht="51" x14ac:dyDescent="0.2">
      <c r="A18" s="372" t="s">
        <v>962</v>
      </c>
      <c r="B18" s="369" t="s">
        <v>963</v>
      </c>
      <c r="C18" s="375">
        <f>C9</f>
        <v>64391.3</v>
      </c>
      <c r="D18" s="375">
        <f>I18</f>
        <v>128.78</v>
      </c>
      <c r="E18" s="358"/>
      <c r="F18" s="358"/>
      <c r="G18" s="358"/>
      <c r="H18" s="366">
        <f>H17</f>
        <v>963324097</v>
      </c>
      <c r="I18" s="366">
        <v>128.78</v>
      </c>
      <c r="J18" s="366"/>
      <c r="K18" s="366"/>
    </row>
    <row r="19" spans="1:11" s="365" customFormat="1" ht="25.5" x14ac:dyDescent="0.2">
      <c r="A19" s="372" t="s">
        <v>964</v>
      </c>
      <c r="B19" s="369" t="s">
        <v>965</v>
      </c>
      <c r="C19" s="370"/>
      <c r="D19" s="370"/>
      <c r="E19" s="366"/>
      <c r="F19" s="366"/>
      <c r="G19" s="366"/>
      <c r="H19" s="366"/>
      <c r="I19" s="366"/>
      <c r="J19" s="366"/>
      <c r="K19" s="366"/>
    </row>
    <row r="20" spans="1:11" s="365" customFormat="1" ht="25.5" x14ac:dyDescent="0.2">
      <c r="A20" s="372" t="s">
        <v>966</v>
      </c>
      <c r="B20" s="369" t="s">
        <v>967</v>
      </c>
      <c r="C20" s="370"/>
      <c r="D20" s="370"/>
      <c r="E20" s="366"/>
      <c r="F20" s="366"/>
      <c r="G20" s="366"/>
      <c r="H20" s="366"/>
      <c r="I20" s="366"/>
      <c r="J20" s="366"/>
      <c r="K20" s="366"/>
    </row>
    <row r="21" spans="1:11" s="365" customFormat="1" ht="38.25" x14ac:dyDescent="0.2">
      <c r="A21" s="372" t="s">
        <v>968</v>
      </c>
      <c r="B21" s="369" t="s">
        <v>969</v>
      </c>
      <c r="C21" s="370"/>
      <c r="D21" s="370"/>
      <c r="E21" s="366"/>
      <c r="F21" s="366"/>
      <c r="G21" s="366"/>
      <c r="H21" s="366"/>
      <c r="I21" s="366"/>
      <c r="J21" s="366"/>
      <c r="K21" s="366"/>
    </row>
    <row r="22" spans="1:11" s="365" customFormat="1" ht="25.5" customHeight="1" x14ac:dyDescent="0.2">
      <c r="A22" s="372" t="s">
        <v>970</v>
      </c>
      <c r="B22" s="369" t="s">
        <v>971</v>
      </c>
      <c r="C22" s="370"/>
      <c r="D22" s="370"/>
      <c r="E22" s="366"/>
      <c r="F22" s="366"/>
      <c r="G22" s="366"/>
      <c r="H22" s="366"/>
      <c r="I22" s="366"/>
      <c r="J22" s="366"/>
      <c r="K22" s="366"/>
    </row>
    <row r="23" spans="1:11" s="383" customFormat="1" ht="24" customHeight="1" x14ac:dyDescent="0.2">
      <c r="A23" s="378"/>
      <c r="B23" s="379" t="s">
        <v>61</v>
      </c>
      <c r="C23" s="380" t="s">
        <v>3</v>
      </c>
      <c r="D23" s="381">
        <f>I23</f>
        <v>19446</v>
      </c>
      <c r="E23" s="337"/>
      <c r="F23" s="337"/>
      <c r="G23" s="337"/>
      <c r="H23" s="380" t="s">
        <v>3</v>
      </c>
      <c r="I23" s="337">
        <v>19446</v>
      </c>
      <c r="J23" s="382"/>
      <c r="K23" s="382"/>
    </row>
    <row r="24" spans="1:11" s="365" customFormat="1" ht="12.75" x14ac:dyDescent="0.2">
      <c r="A24" s="374"/>
    </row>
    <row r="26" spans="1:11" ht="56.25" customHeight="1" x14ac:dyDescent="0.25">
      <c r="A26" s="1769" t="s">
        <v>972</v>
      </c>
      <c r="B26" s="1769"/>
      <c r="C26" s="1769"/>
      <c r="D26" s="1769"/>
      <c r="E26" s="1769"/>
      <c r="F26" s="1769"/>
      <c r="G26" s="1769"/>
      <c r="H26" s="1769"/>
      <c r="I26" s="1769"/>
      <c r="J26" s="1769"/>
      <c r="K26" s="1769"/>
    </row>
    <row r="27" spans="1:11" ht="55.5" customHeight="1" x14ac:dyDescent="0.25">
      <c r="A27" s="1749" t="s">
        <v>973</v>
      </c>
      <c r="B27" s="1749"/>
      <c r="C27" s="1749"/>
      <c r="D27" s="1749"/>
      <c r="E27" s="1749"/>
      <c r="F27" s="1749"/>
      <c r="G27" s="1749"/>
      <c r="H27" s="1749"/>
      <c r="I27" s="1749"/>
      <c r="J27" s="1749"/>
      <c r="K27" s="1749"/>
    </row>
  </sheetData>
  <mergeCells count="17">
    <mergeCell ref="A27:K27"/>
    <mergeCell ref="F5:F6"/>
    <mergeCell ref="G5:G6"/>
    <mergeCell ref="H5:H6"/>
    <mergeCell ref="I5:I6"/>
    <mergeCell ref="J5:J6"/>
    <mergeCell ref="A26:K26"/>
    <mergeCell ref="A1:K1"/>
    <mergeCell ref="A3:A6"/>
    <mergeCell ref="B3:B6"/>
    <mergeCell ref="C3:C6"/>
    <mergeCell ref="D3:D6"/>
    <mergeCell ref="E3:K3"/>
    <mergeCell ref="E4:G4"/>
    <mergeCell ref="H4:J4"/>
    <mergeCell ref="K4:K6"/>
    <mergeCell ref="E5:E6"/>
  </mergeCells>
  <pageMargins left="0.70866141732283472" right="0.70866141732283472" top="0.27" bottom="0.19" header="0.31496062992125984" footer="0.31496062992125984"/>
  <pageSetup paperSize="9" scale="6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3819EF"/>
  </sheetPr>
  <dimension ref="A1:CH18"/>
  <sheetViews>
    <sheetView view="pageBreakPreview" zoomScale="81" zoomScaleNormal="100" zoomScaleSheetLayoutView="81" workbookViewId="0">
      <selection activeCell="CE8" sqref="CE8"/>
    </sheetView>
  </sheetViews>
  <sheetFormatPr defaultColWidth="1.140625" defaultRowHeight="12.75" x14ac:dyDescent="0.2"/>
  <cols>
    <col min="1" max="80" width="1.140625" style="8"/>
    <col min="81" max="82" width="9.42578125" style="8" customWidth="1"/>
    <col min="83" max="83" width="13" style="8" customWidth="1"/>
    <col min="84" max="84" width="9.140625" style="8" customWidth="1"/>
    <col min="85" max="85" width="10.28515625" style="8" customWidth="1"/>
    <col min="86" max="86" width="15.140625" style="8" customWidth="1"/>
    <col min="87" max="16384" width="1.140625" style="8"/>
  </cols>
  <sheetData>
    <row r="1" spans="1:86" ht="15.75" x14ac:dyDescent="0.25">
      <c r="A1" s="19" t="s">
        <v>60</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7"/>
      <c r="CD2" s="7"/>
      <c r="CE2" s="7"/>
      <c r="CF2" s="7"/>
      <c r="CG2" s="7"/>
      <c r="CH2" s="7"/>
    </row>
    <row r="3" spans="1:86" x14ac:dyDescent="0.2">
      <c r="A3" s="1810" t="s">
        <v>38</v>
      </c>
      <c r="B3" s="1810"/>
      <c r="C3" s="1810"/>
      <c r="D3" s="1810"/>
      <c r="E3" s="1830" t="s">
        <v>4</v>
      </c>
      <c r="F3" s="1830"/>
      <c r="G3" s="1830"/>
      <c r="H3" s="1830"/>
      <c r="I3" s="1830"/>
      <c r="J3" s="1830"/>
      <c r="K3" s="1830"/>
      <c r="L3" s="1830"/>
      <c r="M3" s="1830"/>
      <c r="N3" s="1830"/>
      <c r="O3" s="1830"/>
      <c r="P3" s="1830"/>
      <c r="Q3" s="1830"/>
      <c r="R3" s="1830"/>
      <c r="S3" s="1830"/>
      <c r="T3" s="1830"/>
      <c r="U3" s="1830"/>
      <c r="V3" s="1830"/>
      <c r="W3" s="1830"/>
      <c r="X3" s="1830"/>
      <c r="Y3" s="1830"/>
      <c r="Z3" s="1830"/>
      <c r="AA3" s="1830"/>
      <c r="AB3" s="1830"/>
      <c r="AC3" s="1830"/>
      <c r="AD3" s="1830"/>
      <c r="AE3" s="1830"/>
      <c r="AF3" s="1830"/>
      <c r="AG3" s="1830"/>
      <c r="AH3" s="1830"/>
      <c r="AI3" s="1830"/>
      <c r="AJ3" s="1830"/>
      <c r="AK3" s="1830"/>
      <c r="AL3" s="1830"/>
      <c r="AM3" s="1830"/>
      <c r="AN3" s="1830"/>
      <c r="AO3" s="1830"/>
      <c r="AP3" s="1830"/>
      <c r="AQ3" s="1830"/>
      <c r="AR3" s="1830"/>
      <c r="AS3" s="1830" t="s">
        <v>5</v>
      </c>
      <c r="AT3" s="1830"/>
      <c r="AU3" s="1830"/>
      <c r="AV3" s="1830"/>
      <c r="AW3" s="1830"/>
      <c r="AX3" s="1830"/>
      <c r="AY3" s="1830"/>
      <c r="AZ3" s="1830"/>
      <c r="BA3" s="1830"/>
      <c r="BB3" s="1830"/>
      <c r="BC3" s="1810" t="s">
        <v>758</v>
      </c>
      <c r="BD3" s="1810"/>
      <c r="BE3" s="1810"/>
      <c r="BF3" s="1810"/>
      <c r="BG3" s="1810"/>
      <c r="BH3" s="1810"/>
      <c r="BI3" s="1810"/>
      <c r="BJ3" s="1810"/>
      <c r="BK3" s="1810"/>
      <c r="BL3" s="1810"/>
      <c r="BM3" s="1810"/>
      <c r="BN3" s="1830" t="s">
        <v>6</v>
      </c>
      <c r="BO3" s="1830"/>
      <c r="BP3" s="1830"/>
      <c r="BQ3" s="1830"/>
      <c r="BR3" s="1830"/>
      <c r="BS3" s="1830"/>
      <c r="BT3" s="1830"/>
      <c r="BU3" s="1830"/>
      <c r="BV3" s="1830"/>
      <c r="BW3" s="1830"/>
      <c r="BX3" s="1830"/>
      <c r="BY3" s="1830"/>
      <c r="BZ3" s="1830"/>
      <c r="CA3" s="1830"/>
      <c r="CB3" s="1830"/>
      <c r="CC3" s="1806" t="s">
        <v>52</v>
      </c>
      <c r="CD3" s="1806"/>
      <c r="CE3" s="1806"/>
      <c r="CF3" s="1806"/>
      <c r="CG3" s="1806"/>
      <c r="CH3" s="1806"/>
    </row>
    <row r="4" spans="1:86" ht="79.5" customHeight="1" x14ac:dyDescent="0.2">
      <c r="A4" s="1810"/>
      <c r="B4" s="1810"/>
      <c r="C4" s="1810"/>
      <c r="D4" s="1810"/>
      <c r="E4" s="1830"/>
      <c r="F4" s="1830"/>
      <c r="G4" s="1830"/>
      <c r="H4" s="1830"/>
      <c r="I4" s="1830"/>
      <c r="J4" s="1830"/>
      <c r="K4" s="1830"/>
      <c r="L4" s="1830"/>
      <c r="M4" s="1830"/>
      <c r="N4" s="1830"/>
      <c r="O4" s="1830"/>
      <c r="P4" s="1830"/>
      <c r="Q4" s="1830"/>
      <c r="R4" s="1830"/>
      <c r="S4" s="1830"/>
      <c r="T4" s="1830"/>
      <c r="U4" s="1830"/>
      <c r="V4" s="1830"/>
      <c r="W4" s="1830"/>
      <c r="X4" s="1830"/>
      <c r="Y4" s="1830"/>
      <c r="Z4" s="1830"/>
      <c r="AA4" s="1830"/>
      <c r="AB4" s="1830"/>
      <c r="AC4" s="1830"/>
      <c r="AD4" s="1830"/>
      <c r="AE4" s="1830"/>
      <c r="AF4" s="1830"/>
      <c r="AG4" s="1830"/>
      <c r="AH4" s="1830"/>
      <c r="AI4" s="1830"/>
      <c r="AJ4" s="1830"/>
      <c r="AK4" s="1830"/>
      <c r="AL4" s="1830"/>
      <c r="AM4" s="1830"/>
      <c r="AN4" s="1830"/>
      <c r="AO4" s="1830"/>
      <c r="AP4" s="1830"/>
      <c r="AQ4" s="1830"/>
      <c r="AR4" s="1830"/>
      <c r="AS4" s="1830"/>
      <c r="AT4" s="1830"/>
      <c r="AU4" s="1830"/>
      <c r="AV4" s="1830"/>
      <c r="AW4" s="1830"/>
      <c r="AX4" s="1830"/>
      <c r="AY4" s="1830"/>
      <c r="AZ4" s="1830"/>
      <c r="BA4" s="1830"/>
      <c r="BB4" s="1830"/>
      <c r="BC4" s="1810"/>
      <c r="BD4" s="1810"/>
      <c r="BE4" s="1810"/>
      <c r="BF4" s="1810"/>
      <c r="BG4" s="1810"/>
      <c r="BH4" s="1810"/>
      <c r="BI4" s="1810"/>
      <c r="BJ4" s="1810"/>
      <c r="BK4" s="1810"/>
      <c r="BL4" s="1810"/>
      <c r="BM4" s="1810"/>
      <c r="BN4" s="1830"/>
      <c r="BO4" s="1830"/>
      <c r="BP4" s="1830"/>
      <c r="BQ4" s="1830"/>
      <c r="BR4" s="1830"/>
      <c r="BS4" s="1830"/>
      <c r="BT4" s="1830"/>
      <c r="BU4" s="1830"/>
      <c r="BV4" s="1830"/>
      <c r="BW4" s="1830"/>
      <c r="BX4" s="1830"/>
      <c r="BY4" s="1830"/>
      <c r="BZ4" s="1830"/>
      <c r="CA4" s="1830"/>
      <c r="CB4" s="1830"/>
      <c r="CC4" s="1810" t="s">
        <v>35</v>
      </c>
      <c r="CD4" s="1810"/>
      <c r="CE4" s="1788" t="s">
        <v>45</v>
      </c>
      <c r="CF4" s="1790"/>
      <c r="CG4" s="1789"/>
      <c r="CH4" s="1778" t="s">
        <v>46</v>
      </c>
    </row>
    <row r="5" spans="1:86" ht="12.75" customHeight="1" x14ac:dyDescent="0.2">
      <c r="A5" s="1810"/>
      <c r="B5" s="1810"/>
      <c r="C5" s="1810"/>
      <c r="D5" s="1810"/>
      <c r="E5" s="1830"/>
      <c r="F5" s="1830"/>
      <c r="G5" s="1830"/>
      <c r="H5" s="1830"/>
      <c r="I5" s="1830"/>
      <c r="J5" s="1830"/>
      <c r="K5" s="1830"/>
      <c r="L5" s="1830"/>
      <c r="M5" s="1830"/>
      <c r="N5" s="1830"/>
      <c r="O5" s="1830"/>
      <c r="P5" s="1830"/>
      <c r="Q5" s="1830"/>
      <c r="R5" s="1830"/>
      <c r="S5" s="1830"/>
      <c r="T5" s="1830"/>
      <c r="U5" s="1830"/>
      <c r="V5" s="1830"/>
      <c r="W5" s="1830"/>
      <c r="X5" s="1830"/>
      <c r="Y5" s="1830"/>
      <c r="Z5" s="1830"/>
      <c r="AA5" s="1830"/>
      <c r="AB5" s="1830"/>
      <c r="AC5" s="1830"/>
      <c r="AD5" s="1830"/>
      <c r="AE5" s="1830"/>
      <c r="AF5" s="1830"/>
      <c r="AG5" s="1830"/>
      <c r="AH5" s="1830"/>
      <c r="AI5" s="1830"/>
      <c r="AJ5" s="1830"/>
      <c r="AK5" s="1830"/>
      <c r="AL5" s="1830"/>
      <c r="AM5" s="1830"/>
      <c r="AN5" s="1830"/>
      <c r="AO5" s="1830"/>
      <c r="AP5" s="1830"/>
      <c r="AQ5" s="1830"/>
      <c r="AR5" s="1830"/>
      <c r="AS5" s="1830"/>
      <c r="AT5" s="1830"/>
      <c r="AU5" s="1830"/>
      <c r="AV5" s="1830"/>
      <c r="AW5" s="1830"/>
      <c r="AX5" s="1830"/>
      <c r="AY5" s="1830"/>
      <c r="AZ5" s="1830"/>
      <c r="BA5" s="1830"/>
      <c r="BB5" s="1830"/>
      <c r="BC5" s="1810"/>
      <c r="BD5" s="1810"/>
      <c r="BE5" s="1810"/>
      <c r="BF5" s="1810"/>
      <c r="BG5" s="1810"/>
      <c r="BH5" s="1810"/>
      <c r="BI5" s="1810"/>
      <c r="BJ5" s="1810"/>
      <c r="BK5" s="1810"/>
      <c r="BL5" s="1810"/>
      <c r="BM5" s="1810"/>
      <c r="BN5" s="1830"/>
      <c r="BO5" s="1830"/>
      <c r="BP5" s="1830"/>
      <c r="BQ5" s="1830"/>
      <c r="BR5" s="1830"/>
      <c r="BS5" s="1830"/>
      <c r="BT5" s="1830"/>
      <c r="BU5" s="1830"/>
      <c r="BV5" s="1830"/>
      <c r="BW5" s="1830"/>
      <c r="BX5" s="1830"/>
      <c r="BY5" s="1830"/>
      <c r="BZ5" s="1830"/>
      <c r="CA5" s="1830"/>
      <c r="CB5" s="1830"/>
      <c r="CC5" s="1811" t="s">
        <v>43</v>
      </c>
      <c r="CD5" s="1811" t="s">
        <v>44</v>
      </c>
      <c r="CE5" s="1812" t="s">
        <v>55</v>
      </c>
      <c r="CF5" s="1811" t="s">
        <v>43</v>
      </c>
      <c r="CG5" s="1811" t="s">
        <v>44</v>
      </c>
      <c r="CH5" s="1779"/>
    </row>
    <row r="6" spans="1:86" x14ac:dyDescent="0.2">
      <c r="A6" s="1810"/>
      <c r="B6" s="1810"/>
      <c r="C6" s="1810"/>
      <c r="D6" s="1810"/>
      <c r="E6" s="1830"/>
      <c r="F6" s="1830"/>
      <c r="G6" s="1830"/>
      <c r="H6" s="1830"/>
      <c r="I6" s="1830"/>
      <c r="J6" s="1830"/>
      <c r="K6" s="1830"/>
      <c r="L6" s="1830"/>
      <c r="M6" s="1830"/>
      <c r="N6" s="1830"/>
      <c r="O6" s="1830"/>
      <c r="P6" s="1830"/>
      <c r="Q6" s="1830"/>
      <c r="R6" s="1830"/>
      <c r="S6" s="1830"/>
      <c r="T6" s="1830"/>
      <c r="U6" s="1830"/>
      <c r="V6" s="1830"/>
      <c r="W6" s="1830"/>
      <c r="X6" s="1830"/>
      <c r="Y6" s="1830"/>
      <c r="Z6" s="1830"/>
      <c r="AA6" s="1830"/>
      <c r="AB6" s="1830"/>
      <c r="AC6" s="1830"/>
      <c r="AD6" s="1830"/>
      <c r="AE6" s="1830"/>
      <c r="AF6" s="1830"/>
      <c r="AG6" s="1830"/>
      <c r="AH6" s="1830"/>
      <c r="AI6" s="1830"/>
      <c r="AJ6" s="1830"/>
      <c r="AK6" s="1830"/>
      <c r="AL6" s="1830"/>
      <c r="AM6" s="1830"/>
      <c r="AN6" s="1830"/>
      <c r="AO6" s="1830"/>
      <c r="AP6" s="1830"/>
      <c r="AQ6" s="1830"/>
      <c r="AR6" s="1830"/>
      <c r="AS6" s="1830"/>
      <c r="AT6" s="1830"/>
      <c r="AU6" s="1830"/>
      <c r="AV6" s="1830"/>
      <c r="AW6" s="1830"/>
      <c r="AX6" s="1830"/>
      <c r="AY6" s="1830"/>
      <c r="AZ6" s="1830"/>
      <c r="BA6" s="1830"/>
      <c r="BB6" s="1830"/>
      <c r="BC6" s="1810"/>
      <c r="BD6" s="1810"/>
      <c r="BE6" s="1810"/>
      <c r="BF6" s="1810"/>
      <c r="BG6" s="1810"/>
      <c r="BH6" s="1810"/>
      <c r="BI6" s="1810"/>
      <c r="BJ6" s="1810"/>
      <c r="BK6" s="1810"/>
      <c r="BL6" s="1810"/>
      <c r="BM6" s="1810"/>
      <c r="BN6" s="1830"/>
      <c r="BO6" s="1830"/>
      <c r="BP6" s="1830"/>
      <c r="BQ6" s="1830"/>
      <c r="BR6" s="1830"/>
      <c r="BS6" s="1830"/>
      <c r="BT6" s="1830"/>
      <c r="BU6" s="1830"/>
      <c r="BV6" s="1830"/>
      <c r="BW6" s="1830"/>
      <c r="BX6" s="1830"/>
      <c r="BY6" s="1830"/>
      <c r="BZ6" s="1830"/>
      <c r="CA6" s="1830"/>
      <c r="CB6" s="1830"/>
      <c r="CC6" s="1811"/>
      <c r="CD6" s="1811"/>
      <c r="CE6" s="1813"/>
      <c r="CF6" s="1811"/>
      <c r="CG6" s="1811"/>
      <c r="CH6" s="1780"/>
    </row>
    <row r="7" spans="1:86" x14ac:dyDescent="0.2">
      <c r="A7" s="1830">
        <v>1</v>
      </c>
      <c r="B7" s="1830"/>
      <c r="C7" s="1830"/>
      <c r="D7" s="1830"/>
      <c r="E7" s="1830">
        <v>2</v>
      </c>
      <c r="F7" s="1830"/>
      <c r="G7" s="1830"/>
      <c r="H7" s="1830"/>
      <c r="I7" s="1830"/>
      <c r="J7" s="1830"/>
      <c r="K7" s="1830"/>
      <c r="L7" s="1830"/>
      <c r="M7" s="1830"/>
      <c r="N7" s="1830"/>
      <c r="O7" s="1830"/>
      <c r="P7" s="1830"/>
      <c r="Q7" s="1830"/>
      <c r="R7" s="1830"/>
      <c r="S7" s="1830"/>
      <c r="T7" s="1830"/>
      <c r="U7" s="1830"/>
      <c r="V7" s="1830"/>
      <c r="W7" s="1830"/>
      <c r="X7" s="1830"/>
      <c r="Y7" s="1830"/>
      <c r="Z7" s="1830"/>
      <c r="AA7" s="1830"/>
      <c r="AB7" s="1830"/>
      <c r="AC7" s="1830"/>
      <c r="AD7" s="1830"/>
      <c r="AE7" s="1830"/>
      <c r="AF7" s="1830"/>
      <c r="AG7" s="1830"/>
      <c r="AH7" s="1830"/>
      <c r="AI7" s="1830"/>
      <c r="AJ7" s="1830"/>
      <c r="AK7" s="1830"/>
      <c r="AL7" s="1830"/>
      <c r="AM7" s="1830"/>
      <c r="AN7" s="1830"/>
      <c r="AO7" s="1830"/>
      <c r="AP7" s="1830"/>
      <c r="AQ7" s="1830"/>
      <c r="AR7" s="1830"/>
      <c r="AS7" s="1830">
        <v>3</v>
      </c>
      <c r="AT7" s="1830"/>
      <c r="AU7" s="1830"/>
      <c r="AV7" s="1830"/>
      <c r="AW7" s="1830"/>
      <c r="AX7" s="1830"/>
      <c r="AY7" s="1830"/>
      <c r="AZ7" s="1830"/>
      <c r="BA7" s="1830"/>
      <c r="BB7" s="1830"/>
      <c r="BC7" s="1830">
        <v>4</v>
      </c>
      <c r="BD7" s="1830"/>
      <c r="BE7" s="1830"/>
      <c r="BF7" s="1830"/>
      <c r="BG7" s="1830"/>
      <c r="BH7" s="1830"/>
      <c r="BI7" s="1830"/>
      <c r="BJ7" s="1830"/>
      <c r="BK7" s="1830"/>
      <c r="BL7" s="1830"/>
      <c r="BM7" s="1830"/>
      <c r="BN7" s="1830" t="s">
        <v>49</v>
      </c>
      <c r="BO7" s="1830"/>
      <c r="BP7" s="1830"/>
      <c r="BQ7" s="1830"/>
      <c r="BR7" s="1830"/>
      <c r="BS7" s="1830"/>
      <c r="BT7" s="1830"/>
      <c r="BU7" s="1830"/>
      <c r="BV7" s="1830"/>
      <c r="BW7" s="1830"/>
      <c r="BX7" s="1830"/>
      <c r="BY7" s="1830"/>
      <c r="BZ7" s="1830"/>
      <c r="CA7" s="1830"/>
      <c r="CB7" s="1830"/>
      <c r="CC7" s="15">
        <v>6</v>
      </c>
      <c r="CD7" s="15">
        <v>7</v>
      </c>
      <c r="CE7" s="15">
        <v>8</v>
      </c>
      <c r="CF7" s="15">
        <v>9</v>
      </c>
      <c r="CG7" s="15">
        <v>10</v>
      </c>
      <c r="CH7" s="15">
        <v>11</v>
      </c>
    </row>
    <row r="8" spans="1:86" x14ac:dyDescent="0.2">
      <c r="A8" s="1973">
        <v>1</v>
      </c>
      <c r="B8" s="1973"/>
      <c r="C8" s="1973"/>
      <c r="D8" s="1973"/>
      <c r="E8" s="1973" t="s">
        <v>67</v>
      </c>
      <c r="F8" s="1973"/>
      <c r="G8" s="1973"/>
      <c r="H8" s="1973"/>
      <c r="I8" s="1973"/>
      <c r="J8" s="1973"/>
      <c r="K8" s="1973"/>
      <c r="L8" s="1973"/>
      <c r="M8" s="1973"/>
      <c r="N8" s="1973"/>
      <c r="O8" s="1973"/>
      <c r="P8" s="1973"/>
      <c r="Q8" s="1973"/>
      <c r="R8" s="1973"/>
      <c r="S8" s="1973"/>
      <c r="T8" s="1973"/>
      <c r="U8" s="1973"/>
      <c r="V8" s="1973"/>
      <c r="W8" s="1973"/>
      <c r="X8" s="1973"/>
      <c r="Y8" s="1973"/>
      <c r="Z8" s="1973"/>
      <c r="AA8" s="1973"/>
      <c r="AB8" s="1973"/>
      <c r="AC8" s="1973"/>
      <c r="AD8" s="1973"/>
      <c r="AE8" s="1973"/>
      <c r="AF8" s="1973"/>
      <c r="AG8" s="1973"/>
      <c r="AH8" s="1973"/>
      <c r="AI8" s="1973"/>
      <c r="AJ8" s="1973"/>
      <c r="AK8" s="1973"/>
      <c r="AL8" s="1973"/>
      <c r="AM8" s="1973"/>
      <c r="AN8" s="1973"/>
      <c r="AO8" s="1973"/>
      <c r="AP8" s="1973"/>
      <c r="AQ8" s="1973"/>
      <c r="AR8" s="1973"/>
      <c r="AS8" s="1806">
        <v>10</v>
      </c>
      <c r="AT8" s="1806"/>
      <c r="AU8" s="1806"/>
      <c r="AV8" s="1806"/>
      <c r="AW8" s="1806"/>
      <c r="AX8" s="1806"/>
      <c r="AY8" s="1806"/>
      <c r="AZ8" s="1806"/>
      <c r="BA8" s="1806"/>
      <c r="BB8" s="1806"/>
      <c r="BC8" s="2147">
        <v>320</v>
      </c>
      <c r="BD8" s="1806"/>
      <c r="BE8" s="1806"/>
      <c r="BF8" s="1806"/>
      <c r="BG8" s="1806"/>
      <c r="BH8" s="1806"/>
      <c r="BI8" s="1806"/>
      <c r="BJ8" s="1806"/>
      <c r="BK8" s="1806"/>
      <c r="BL8" s="1806"/>
      <c r="BM8" s="1806"/>
      <c r="BN8" s="1977">
        <f>CG8</f>
        <v>3200</v>
      </c>
      <c r="BO8" s="1806"/>
      <c r="BP8" s="1806"/>
      <c r="BQ8" s="1806"/>
      <c r="BR8" s="1806"/>
      <c r="BS8" s="1806"/>
      <c r="BT8" s="1806"/>
      <c r="BU8" s="1806"/>
      <c r="BV8" s="1806"/>
      <c r="BW8" s="1806"/>
      <c r="BX8" s="1806"/>
      <c r="BY8" s="1806"/>
      <c r="BZ8" s="1806"/>
      <c r="CA8" s="1806"/>
      <c r="CB8" s="1806"/>
      <c r="CC8" s="17"/>
      <c r="CD8" s="17"/>
      <c r="CE8" s="15">
        <v>963324097</v>
      </c>
      <c r="CF8" s="17"/>
      <c r="CG8" s="223">
        <v>3200</v>
      </c>
      <c r="CH8" s="17"/>
    </row>
    <row r="9" spans="1:86" s="29" customFormat="1" x14ac:dyDescent="0.2">
      <c r="A9" s="1831" t="s">
        <v>53</v>
      </c>
      <c r="B9" s="1832"/>
      <c r="C9" s="1832"/>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1832"/>
      <c r="AM9" s="1832"/>
      <c r="AN9" s="1832"/>
      <c r="AO9" s="1832"/>
      <c r="AP9" s="1832"/>
      <c r="AQ9" s="1832"/>
      <c r="AR9" s="1833"/>
      <c r="AS9" s="1913" t="s">
        <v>3</v>
      </c>
      <c r="AT9" s="1913"/>
      <c r="AU9" s="1913"/>
      <c r="AV9" s="1913"/>
      <c r="AW9" s="1913"/>
      <c r="AX9" s="1913"/>
      <c r="AY9" s="1913"/>
      <c r="AZ9" s="1913"/>
      <c r="BA9" s="1913"/>
      <c r="BB9" s="1913"/>
      <c r="BC9" s="1913" t="s">
        <v>3</v>
      </c>
      <c r="BD9" s="1913"/>
      <c r="BE9" s="1913"/>
      <c r="BF9" s="1913"/>
      <c r="BG9" s="1913"/>
      <c r="BH9" s="1913"/>
      <c r="BI9" s="1913"/>
      <c r="BJ9" s="1913"/>
      <c r="BK9" s="1913"/>
      <c r="BL9" s="1913"/>
      <c r="BM9" s="1913"/>
      <c r="BN9" s="1971">
        <f>BN8</f>
        <v>3200</v>
      </c>
      <c r="BO9" s="1913"/>
      <c r="BP9" s="1913"/>
      <c r="BQ9" s="1913"/>
      <c r="BR9" s="1913"/>
      <c r="BS9" s="1913"/>
      <c r="BT9" s="1913"/>
      <c r="BU9" s="1913"/>
      <c r="BV9" s="1913"/>
      <c r="BW9" s="1913"/>
      <c r="BX9" s="1913"/>
      <c r="BY9" s="1913"/>
      <c r="BZ9" s="1913"/>
      <c r="CA9" s="1913"/>
      <c r="CB9" s="1913"/>
      <c r="CC9" s="27"/>
      <c r="CD9" s="27"/>
      <c r="CE9" s="27"/>
      <c r="CF9" s="27"/>
      <c r="CG9" s="239">
        <f>CG8</f>
        <v>3200</v>
      </c>
      <c r="CH9" s="27"/>
    </row>
    <row r="12" spans="1:86" x14ac:dyDescent="0.2">
      <c r="CG12" s="142">
        <v>87037.3</v>
      </c>
    </row>
    <row r="13" spans="1:86" x14ac:dyDescent="0.2">
      <c r="CG13" s="142">
        <f>CG9+'0707 213 нов'!I23+'0707 211'!H19</f>
        <v>87037.3</v>
      </c>
    </row>
    <row r="14" spans="1:86" x14ac:dyDescent="0.2">
      <c r="CG14" s="142">
        <f>CG12-CG13</f>
        <v>0</v>
      </c>
    </row>
    <row r="18" spans="86:86" x14ac:dyDescent="0.2">
      <c r="CH18" s="142"/>
    </row>
  </sheetData>
  <mergeCells count="28">
    <mergeCell ref="CC5:CC6"/>
    <mergeCell ref="CE4:CG4"/>
    <mergeCell ref="CE5:CE6"/>
    <mergeCell ref="CD5:CD6"/>
    <mergeCell ref="CF5:CF6"/>
    <mergeCell ref="CG5:CG6"/>
    <mergeCell ref="BN3:CB6"/>
    <mergeCell ref="A7:D7"/>
    <mergeCell ref="E7:AR7"/>
    <mergeCell ref="AS7:BB7"/>
    <mergeCell ref="BC7:BM7"/>
    <mergeCell ref="BN7:CB7"/>
    <mergeCell ref="CC3:CH3"/>
    <mergeCell ref="CC4:CD4"/>
    <mergeCell ref="CH4:CH6"/>
    <mergeCell ref="A9:AR9"/>
    <mergeCell ref="AS9:BB9"/>
    <mergeCell ref="BC9:BM9"/>
    <mergeCell ref="BN9:CB9"/>
    <mergeCell ref="A8:D8"/>
    <mergeCell ref="E8:AR8"/>
    <mergeCell ref="AS8:BB8"/>
    <mergeCell ref="BC8:BM8"/>
    <mergeCell ref="BN8:CB8"/>
    <mergeCell ref="A3:D6"/>
    <mergeCell ref="E3:AR6"/>
    <mergeCell ref="AS3:BB6"/>
    <mergeCell ref="BC3:BM6"/>
  </mergeCells>
  <pageMargins left="0.78740157480314965" right="0.39370078740157483" top="0.59055118110236227" bottom="0.39370078740157483" header="0.27559055118110237" footer="0.27559055118110237"/>
  <pageSetup paperSize="9" scale="8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pageSetUpPr fitToPage="1"/>
  </sheetPr>
  <dimension ref="A1:N161"/>
  <sheetViews>
    <sheetView view="pageBreakPreview" zoomScale="60" zoomScaleNormal="100" workbookViewId="0">
      <selection activeCell="G8" sqref="G8:N8"/>
    </sheetView>
  </sheetViews>
  <sheetFormatPr defaultColWidth="1.140625" defaultRowHeight="15.75" x14ac:dyDescent="0.25"/>
  <cols>
    <col min="1" max="1" width="4" style="1" customWidth="1"/>
    <col min="2" max="2" width="19.85546875" style="1" customWidth="1"/>
    <col min="3" max="3" width="12.85546875" style="1" customWidth="1"/>
    <col min="4" max="4" width="15" style="1" customWidth="1"/>
    <col min="5" max="5" width="17.85546875" style="1" customWidth="1"/>
    <col min="6" max="6" width="16.28515625" style="1" customWidth="1"/>
    <col min="7" max="7" width="15" style="1" customWidth="1"/>
    <col min="8" max="8" width="14" style="1" customWidth="1"/>
    <col min="9" max="9" width="10.85546875" style="1" customWidth="1"/>
    <col min="10" max="10" width="12" style="1" customWidth="1"/>
    <col min="11" max="11" width="8.85546875" style="1" customWidth="1"/>
    <col min="12" max="12" width="12.5703125" style="1" customWidth="1"/>
    <col min="13" max="13" width="13.5703125" style="1" customWidth="1"/>
    <col min="14" max="14" width="19.140625" style="1" customWidth="1"/>
    <col min="15" max="15" width="13.5703125" style="1" customWidth="1"/>
    <col min="16" max="16384" width="1.140625" style="1"/>
  </cols>
  <sheetData>
    <row r="1" spans="1:14" s="2" customFormat="1" x14ac:dyDescent="0.2">
      <c r="N1" s="20" t="s">
        <v>33</v>
      </c>
    </row>
    <row r="2" spans="1:14" s="2" customFormat="1" x14ac:dyDescent="0.2">
      <c r="N2" s="20" t="s">
        <v>59</v>
      </c>
    </row>
    <row r="3" spans="1:14" s="2" customFormat="1" ht="11.25" x14ac:dyDescent="0.2">
      <c r="N3" s="3"/>
    </row>
    <row r="4" spans="1:14" s="10" customFormat="1" ht="12.75" customHeight="1" x14ac:dyDescent="0.2">
      <c r="N4" s="3"/>
    </row>
    <row r="6" spans="1:14" s="4" customFormat="1" x14ac:dyDescent="0.25">
      <c r="A6" s="1817" t="s">
        <v>1206</v>
      </c>
      <c r="B6" s="1817"/>
      <c r="C6" s="1817"/>
      <c r="D6" s="1817"/>
      <c r="E6" s="1817"/>
      <c r="F6" s="1817"/>
      <c r="G6" s="1817"/>
      <c r="H6" s="1817"/>
      <c r="I6" s="1817"/>
      <c r="J6" s="1817"/>
      <c r="K6" s="1817"/>
      <c r="L6" s="1817"/>
      <c r="M6" s="1817"/>
      <c r="N6" s="1817"/>
    </row>
    <row r="7" spans="1:14" s="7" customFormat="1" ht="9.75" x14ac:dyDescent="0.2">
      <c r="A7" s="6"/>
      <c r="B7" s="6"/>
      <c r="C7" s="6"/>
      <c r="D7" s="6"/>
      <c r="E7" s="6"/>
      <c r="F7" s="6"/>
      <c r="G7" s="6"/>
      <c r="H7" s="6"/>
    </row>
    <row r="8" spans="1:14" s="7" customFormat="1" ht="17.25" customHeight="1" x14ac:dyDescent="0.25">
      <c r="A8" s="4" t="s">
        <v>58</v>
      </c>
      <c r="B8" s="6"/>
      <c r="C8" s="6"/>
      <c r="D8" s="6"/>
      <c r="E8" s="6"/>
      <c r="F8" s="21" t="s">
        <v>691</v>
      </c>
      <c r="G8" s="2198" t="s">
        <v>692</v>
      </c>
      <c r="H8" s="2198"/>
      <c r="I8" s="2198"/>
      <c r="J8" s="2198"/>
      <c r="K8" s="2198"/>
      <c r="L8" s="2198"/>
      <c r="M8" s="2198"/>
      <c r="N8" s="2198"/>
    </row>
    <row r="9" spans="1:14" s="7" customFormat="1" ht="15.75" customHeight="1" x14ac:dyDescent="0.2">
      <c r="A9" s="6"/>
      <c r="B9" s="6"/>
      <c r="C9" s="6"/>
      <c r="D9" s="6"/>
      <c r="E9" s="6"/>
      <c r="F9" s="6"/>
      <c r="G9" s="6"/>
      <c r="H9" s="6"/>
    </row>
    <row r="10" spans="1:14" s="4" customFormat="1" x14ac:dyDescent="0.25">
      <c r="A10" s="19" t="s">
        <v>34</v>
      </c>
      <c r="B10" s="19"/>
      <c r="C10" s="19"/>
      <c r="D10" s="19"/>
      <c r="E10" s="19"/>
      <c r="F10" s="19"/>
      <c r="G10" s="19"/>
      <c r="H10" s="19"/>
    </row>
    <row r="11" spans="1:14" s="8" customFormat="1" ht="12.75" x14ac:dyDescent="0.2"/>
    <row r="12" spans="1:14" x14ac:dyDescent="0.25">
      <c r="A12" s="19" t="s">
        <v>48</v>
      </c>
      <c r="B12" s="19"/>
      <c r="C12" s="19"/>
      <c r="D12" s="19"/>
      <c r="E12" s="19"/>
      <c r="F12" s="19"/>
      <c r="G12" s="19"/>
      <c r="H12" s="19"/>
      <c r="I12" s="19"/>
      <c r="J12" s="19"/>
      <c r="K12" s="19"/>
      <c r="L12" s="19"/>
      <c r="M12" s="19"/>
      <c r="N12" s="19"/>
    </row>
    <row r="13" spans="1:14" s="8" customFormat="1" ht="12.75" x14ac:dyDescent="0.2"/>
    <row r="14" spans="1:14" s="8" customFormat="1" ht="12.75" customHeight="1" x14ac:dyDescent="0.2">
      <c r="A14" s="1810" t="s">
        <v>38</v>
      </c>
      <c r="B14" s="2200" t="s">
        <v>36</v>
      </c>
      <c r="C14" s="1810" t="s">
        <v>37</v>
      </c>
      <c r="D14" s="1806" t="s">
        <v>0</v>
      </c>
      <c r="E14" s="1806"/>
      <c r="F14" s="1806"/>
      <c r="G14" s="1806"/>
      <c r="H14" s="1810" t="s">
        <v>42</v>
      </c>
      <c r="I14" s="1806" t="s">
        <v>52</v>
      </c>
      <c r="J14" s="1806"/>
      <c r="K14" s="1806"/>
      <c r="L14" s="1806"/>
      <c r="M14" s="1806"/>
      <c r="N14" s="1806"/>
    </row>
    <row r="15" spans="1:14" s="8" customFormat="1" ht="76.5" customHeight="1" x14ac:dyDescent="0.2">
      <c r="A15" s="1810"/>
      <c r="B15" s="2200"/>
      <c r="C15" s="1810"/>
      <c r="D15" s="1810" t="s">
        <v>1</v>
      </c>
      <c r="E15" s="1810" t="s">
        <v>39</v>
      </c>
      <c r="F15" s="1810" t="s">
        <v>40</v>
      </c>
      <c r="G15" s="1810" t="s">
        <v>41</v>
      </c>
      <c r="H15" s="1810"/>
      <c r="I15" s="1810" t="s">
        <v>35</v>
      </c>
      <c r="J15" s="1810"/>
      <c r="K15" s="1788" t="s">
        <v>45</v>
      </c>
      <c r="L15" s="1790"/>
      <c r="M15" s="1789"/>
      <c r="N15" s="1811" t="s">
        <v>46</v>
      </c>
    </row>
    <row r="16" spans="1:14" s="8" customFormat="1" ht="39" customHeight="1" x14ac:dyDescent="0.2">
      <c r="A16" s="1810"/>
      <c r="B16" s="2200"/>
      <c r="C16" s="1810"/>
      <c r="D16" s="1810"/>
      <c r="E16" s="1810"/>
      <c r="F16" s="1810"/>
      <c r="G16" s="1810"/>
      <c r="H16" s="1810"/>
      <c r="I16" s="14" t="s">
        <v>43</v>
      </c>
      <c r="J16" s="14" t="s">
        <v>44</v>
      </c>
      <c r="K16" s="14" t="s">
        <v>55</v>
      </c>
      <c r="L16" s="14" t="s">
        <v>43</v>
      </c>
      <c r="M16" s="14" t="s">
        <v>44</v>
      </c>
      <c r="N16" s="1811"/>
    </row>
    <row r="17" spans="1:14" s="8" customFormat="1" ht="12.75" x14ac:dyDescent="0.2">
      <c r="A17" s="16">
        <v>1</v>
      </c>
      <c r="B17" s="16">
        <v>2</v>
      </c>
      <c r="C17" s="16">
        <v>3</v>
      </c>
      <c r="D17" s="16" t="s">
        <v>47</v>
      </c>
      <c r="E17" s="16">
        <v>5</v>
      </c>
      <c r="F17" s="16">
        <v>6</v>
      </c>
      <c r="G17" s="16">
        <v>7</v>
      </c>
      <c r="H17" s="16" t="s">
        <v>63</v>
      </c>
      <c r="I17" s="15">
        <v>9</v>
      </c>
      <c r="J17" s="15">
        <v>10</v>
      </c>
      <c r="K17" s="15">
        <v>11</v>
      </c>
      <c r="L17" s="15">
        <v>12</v>
      </c>
      <c r="M17" s="15">
        <v>13</v>
      </c>
      <c r="N17" s="15">
        <v>14</v>
      </c>
    </row>
    <row r="18" spans="1:14" s="8" customFormat="1" ht="12.75" x14ac:dyDescent="0.2">
      <c r="A18" s="17">
        <v>1</v>
      </c>
      <c r="B18" s="17" t="s">
        <v>693</v>
      </c>
      <c r="C18" s="18">
        <v>1</v>
      </c>
      <c r="D18" s="351">
        <f>H18</f>
        <v>56017.74</v>
      </c>
      <c r="E18" s="351">
        <f>H18</f>
        <v>56017.74</v>
      </c>
      <c r="F18" s="18"/>
      <c r="G18" s="18"/>
      <c r="H18" s="22">
        <f>I18+J18+N18</f>
        <v>56017.74</v>
      </c>
      <c r="I18" s="222"/>
      <c r="J18" s="222">
        <v>47558.6</v>
      </c>
      <c r="K18" s="17"/>
      <c r="L18" s="17"/>
      <c r="M18" s="23"/>
      <c r="N18" s="232">
        <v>8459.14</v>
      </c>
    </row>
    <row r="19" spans="1:14" s="29" customFormat="1" ht="12.75" x14ac:dyDescent="0.2">
      <c r="A19" s="2199" t="s">
        <v>54</v>
      </c>
      <c r="B19" s="2199"/>
      <c r="C19" s="25" t="s">
        <v>3</v>
      </c>
      <c r="D19" s="24"/>
      <c r="E19" s="25" t="s">
        <v>3</v>
      </c>
      <c r="F19" s="25" t="s">
        <v>3</v>
      </c>
      <c r="G19" s="25" t="s">
        <v>3</v>
      </c>
      <c r="H19" s="26">
        <f>H18</f>
        <v>56017.74</v>
      </c>
      <c r="I19" s="28">
        <f>I18</f>
        <v>0</v>
      </c>
      <c r="J19" s="28">
        <f>J18</f>
        <v>47558.6</v>
      </c>
      <c r="K19" s="27"/>
      <c r="L19" s="27"/>
      <c r="M19" s="28">
        <f>M18</f>
        <v>0</v>
      </c>
      <c r="N19" s="28">
        <f>N18</f>
        <v>8459.14</v>
      </c>
    </row>
    <row r="20" spans="1:14" s="8" customFormat="1" ht="12.75" x14ac:dyDescent="0.2"/>
    <row r="21" spans="1:14" s="8" customFormat="1" ht="12.75" x14ac:dyDescent="0.2"/>
    <row r="22" spans="1:14" s="8" customFormat="1" ht="12.75" x14ac:dyDescent="0.2"/>
    <row r="23" spans="1:14" s="8" customFormat="1" ht="12.75" x14ac:dyDescent="0.2"/>
    <row r="24" spans="1:14" s="8" customFormat="1" ht="12.75" x14ac:dyDescent="0.2"/>
    <row r="25" spans="1:14" s="8" customFormat="1" ht="12.75" x14ac:dyDescent="0.2"/>
    <row r="26" spans="1:14" s="8" customFormat="1" ht="12.75" x14ac:dyDescent="0.2"/>
    <row r="27" spans="1:14" s="8" customFormat="1" ht="12.75" x14ac:dyDescent="0.2"/>
    <row r="28" spans="1:14" s="8" customFormat="1" ht="12.75" x14ac:dyDescent="0.2"/>
    <row r="29" spans="1:14" s="8" customFormat="1" ht="12.75" x14ac:dyDescent="0.2"/>
    <row r="30" spans="1:14" s="8" customFormat="1" ht="12.75" x14ac:dyDescent="0.2"/>
    <row r="31" spans="1:14" s="8" customFormat="1" ht="12.75" x14ac:dyDescent="0.2"/>
    <row r="32" spans="1:14" s="8" customFormat="1" ht="12.75" x14ac:dyDescent="0.2"/>
    <row r="33" s="8" customFormat="1" ht="12.75" x14ac:dyDescent="0.2"/>
    <row r="34" s="8" customFormat="1" ht="12.75" x14ac:dyDescent="0.2"/>
    <row r="35" s="8" customFormat="1" ht="12.75" x14ac:dyDescent="0.2"/>
    <row r="36" s="8" customFormat="1" ht="12.75" x14ac:dyDescent="0.2"/>
    <row r="37" s="8" customFormat="1" ht="12.75" x14ac:dyDescent="0.2"/>
    <row r="38" s="8" customFormat="1" ht="12.75" x14ac:dyDescent="0.2"/>
    <row r="39" s="8" customFormat="1" ht="12.75" x14ac:dyDescent="0.2"/>
    <row r="40" s="8" customFormat="1" ht="12.75" x14ac:dyDescent="0.2"/>
    <row r="41" s="8" customFormat="1" ht="12.75" x14ac:dyDescent="0.2"/>
    <row r="42" s="8" customFormat="1" ht="12.75" x14ac:dyDescent="0.2"/>
    <row r="43" s="8" customFormat="1" ht="12.75" x14ac:dyDescent="0.2"/>
    <row r="44" s="8" customFormat="1" ht="12.75" x14ac:dyDescent="0.2"/>
    <row r="45" s="8" customFormat="1" ht="12.75" x14ac:dyDescent="0.2"/>
    <row r="46" s="8" customFormat="1" ht="12.75" x14ac:dyDescent="0.2"/>
    <row r="47" s="8" customFormat="1" ht="12.75" x14ac:dyDescent="0.2"/>
    <row r="48" s="8" customFormat="1" ht="12.75" x14ac:dyDescent="0.2"/>
    <row r="49" s="8" customFormat="1" ht="12.75" x14ac:dyDescent="0.2"/>
    <row r="50" s="8" customFormat="1" ht="12.75" x14ac:dyDescent="0.2"/>
    <row r="51" s="8" customFormat="1" ht="12.75" x14ac:dyDescent="0.2"/>
    <row r="52" s="8" customFormat="1" ht="12.75" x14ac:dyDescent="0.2"/>
    <row r="53" s="8" customFormat="1" ht="12.75" x14ac:dyDescent="0.2"/>
    <row r="54" s="8" customFormat="1" ht="12.75" x14ac:dyDescent="0.2"/>
    <row r="55" s="8" customFormat="1" ht="12.75" x14ac:dyDescent="0.2"/>
    <row r="56" s="8" customFormat="1" ht="12.75" x14ac:dyDescent="0.2"/>
    <row r="57" s="8" customFormat="1" ht="12.75" x14ac:dyDescent="0.2"/>
    <row r="58" s="8" customFormat="1" ht="12.75" x14ac:dyDescent="0.2"/>
    <row r="59" s="8" customFormat="1" ht="12.75" x14ac:dyDescent="0.2"/>
    <row r="60" s="8" customFormat="1" ht="12.75" x14ac:dyDescent="0.2"/>
    <row r="61" s="8" customFormat="1" ht="12.75" x14ac:dyDescent="0.2"/>
    <row r="62" s="8" customFormat="1" ht="12.75" x14ac:dyDescent="0.2"/>
    <row r="63" s="8" customFormat="1" ht="12.75" x14ac:dyDescent="0.2"/>
    <row r="64" s="8" customFormat="1" ht="12.75" x14ac:dyDescent="0.2"/>
    <row r="65" s="8" customFormat="1" ht="12.75" x14ac:dyDescent="0.2"/>
    <row r="66" s="8" customFormat="1" ht="12.75" x14ac:dyDescent="0.2"/>
    <row r="67" s="8" customFormat="1" ht="12.75" x14ac:dyDescent="0.2"/>
    <row r="68" s="8" customFormat="1" ht="12.75" x14ac:dyDescent="0.2"/>
    <row r="69" s="8" customFormat="1" ht="12.75" x14ac:dyDescent="0.2"/>
    <row r="70" s="8" customFormat="1" ht="12.75" x14ac:dyDescent="0.2"/>
    <row r="71" s="8" customFormat="1" ht="12.75" x14ac:dyDescent="0.2"/>
    <row r="72" s="8" customFormat="1" ht="12.75" x14ac:dyDescent="0.2"/>
    <row r="73" s="8" customFormat="1" ht="12.75" x14ac:dyDescent="0.2"/>
    <row r="74" s="8" customFormat="1" ht="12.75" x14ac:dyDescent="0.2"/>
    <row r="75" s="8" customFormat="1" ht="12.75" x14ac:dyDescent="0.2"/>
    <row r="76" s="8" customFormat="1" ht="12.75" x14ac:dyDescent="0.2"/>
    <row r="77" s="8" customFormat="1" ht="12.75" x14ac:dyDescent="0.2"/>
    <row r="78" s="8" customFormat="1" ht="12.75" x14ac:dyDescent="0.2"/>
    <row r="79" s="8" customFormat="1" ht="12.75" x14ac:dyDescent="0.2"/>
    <row r="80" s="8" customFormat="1" ht="12.75" x14ac:dyDescent="0.2"/>
    <row r="81" s="8" customFormat="1" ht="12.75" x14ac:dyDescent="0.2"/>
    <row r="82" s="8" customFormat="1" ht="12.75" x14ac:dyDescent="0.2"/>
    <row r="83" s="8" customFormat="1" ht="12.75" x14ac:dyDescent="0.2"/>
    <row r="84" s="8" customFormat="1" ht="12.75" x14ac:dyDescent="0.2"/>
    <row r="85" s="8" customFormat="1" ht="12.75" x14ac:dyDescent="0.2"/>
    <row r="86" s="8" customFormat="1" ht="12.75" x14ac:dyDescent="0.2"/>
    <row r="87" s="8" customFormat="1" ht="12.75" x14ac:dyDescent="0.2"/>
    <row r="88" s="8" customFormat="1" ht="12.75" x14ac:dyDescent="0.2"/>
    <row r="89" s="8" customFormat="1" ht="12.75" x14ac:dyDescent="0.2"/>
    <row r="90" s="8" customFormat="1" ht="12.75" x14ac:dyDescent="0.2"/>
    <row r="91" s="8" customFormat="1" ht="12.75" x14ac:dyDescent="0.2"/>
    <row r="92" s="8" customFormat="1" ht="12.75" x14ac:dyDescent="0.2"/>
    <row r="93" s="8" customFormat="1" ht="12.75" x14ac:dyDescent="0.2"/>
    <row r="94" s="8" customFormat="1" ht="12.75" x14ac:dyDescent="0.2"/>
    <row r="95" s="8" customFormat="1" ht="12.75" x14ac:dyDescent="0.2"/>
    <row r="96" s="8" customFormat="1" ht="12.75" x14ac:dyDescent="0.2"/>
    <row r="97" s="8" customFormat="1" ht="12.75" x14ac:dyDescent="0.2"/>
    <row r="98" s="8" customFormat="1" ht="12.75" x14ac:dyDescent="0.2"/>
    <row r="99" s="8" customFormat="1" ht="12.75" x14ac:dyDescent="0.2"/>
    <row r="100" s="8" customFormat="1" ht="12.75" x14ac:dyDescent="0.2"/>
    <row r="101" s="8" customFormat="1" ht="12.75" x14ac:dyDescent="0.2"/>
    <row r="102" s="8" customFormat="1" ht="12.75" x14ac:dyDescent="0.2"/>
    <row r="103" s="8" customFormat="1" ht="12.75" x14ac:dyDescent="0.2"/>
    <row r="104" s="8" customFormat="1" ht="12.75" x14ac:dyDescent="0.2"/>
    <row r="105" s="8" customFormat="1" ht="12.75" x14ac:dyDescent="0.2"/>
    <row r="106" s="8" customFormat="1" ht="12.75" x14ac:dyDescent="0.2"/>
    <row r="107" s="8" customFormat="1" ht="12.75" x14ac:dyDescent="0.2"/>
    <row r="108" s="8" customFormat="1" ht="12.75" x14ac:dyDescent="0.2"/>
    <row r="109" s="8" customFormat="1" ht="12.75" x14ac:dyDescent="0.2"/>
    <row r="110" s="8" customFormat="1" ht="12.75" x14ac:dyDescent="0.2"/>
    <row r="111" s="8" customFormat="1" ht="12.75" x14ac:dyDescent="0.2"/>
    <row r="112" s="8" customFormat="1" ht="12.75" x14ac:dyDescent="0.2"/>
    <row r="113" s="8" customFormat="1" ht="12.75" x14ac:dyDescent="0.2"/>
    <row r="114" s="8" customFormat="1" ht="12.75" x14ac:dyDescent="0.2"/>
    <row r="115" s="8" customFormat="1" ht="12.75" x14ac:dyDescent="0.2"/>
    <row r="116" s="8" customFormat="1" ht="12.75" x14ac:dyDescent="0.2"/>
    <row r="117" s="8" customFormat="1" ht="12.75" x14ac:dyDescent="0.2"/>
    <row r="118" s="8" customFormat="1" ht="12.75" x14ac:dyDescent="0.2"/>
    <row r="119" s="8" customFormat="1" ht="12.75" x14ac:dyDescent="0.2"/>
    <row r="120" s="8" customFormat="1" ht="12.75" x14ac:dyDescent="0.2"/>
    <row r="121" s="8" customFormat="1" ht="12.75" x14ac:dyDescent="0.2"/>
    <row r="122" s="8" customFormat="1" ht="12.75" x14ac:dyDescent="0.2"/>
    <row r="123" s="8" customFormat="1" ht="12.75" x14ac:dyDescent="0.2"/>
    <row r="124" s="8" customFormat="1" ht="12.75" x14ac:dyDescent="0.2"/>
    <row r="125" s="8" customFormat="1" ht="12.75" x14ac:dyDescent="0.2"/>
    <row r="126" s="8" customFormat="1" ht="12.75" x14ac:dyDescent="0.2"/>
    <row r="127" s="8" customFormat="1" ht="12.75" x14ac:dyDescent="0.2"/>
    <row r="128" s="8" customFormat="1" ht="12.75" x14ac:dyDescent="0.2"/>
    <row r="129" s="8" customFormat="1" ht="12.75" x14ac:dyDescent="0.2"/>
    <row r="130" s="8" customFormat="1" ht="12.75" x14ac:dyDescent="0.2"/>
    <row r="131" s="8" customFormat="1" ht="12.75" x14ac:dyDescent="0.2"/>
    <row r="132" s="8" customFormat="1" ht="12.75" x14ac:dyDescent="0.2"/>
    <row r="133" s="8" customFormat="1" ht="12.75" x14ac:dyDescent="0.2"/>
    <row r="134" s="8" customFormat="1" ht="12.75" x14ac:dyDescent="0.2"/>
    <row r="135" s="8" customFormat="1" ht="12.75" x14ac:dyDescent="0.2"/>
    <row r="136" s="8" customFormat="1" ht="12.75" x14ac:dyDescent="0.2"/>
    <row r="137" s="8" customFormat="1" ht="12.75" x14ac:dyDescent="0.2"/>
    <row r="138" s="8" customFormat="1" ht="12.75" x14ac:dyDescent="0.2"/>
    <row r="139" s="8" customFormat="1" ht="12.75" x14ac:dyDescent="0.2"/>
    <row r="140" s="8" customFormat="1" ht="12.75" x14ac:dyDescent="0.2"/>
    <row r="141" s="8" customFormat="1" ht="12.75" x14ac:dyDescent="0.2"/>
    <row r="142" s="8" customFormat="1" ht="12.75" x14ac:dyDescent="0.2"/>
    <row r="143" s="8" customFormat="1" ht="12.75" x14ac:dyDescent="0.2"/>
    <row r="144" s="8" customFormat="1" ht="12.75" x14ac:dyDescent="0.2"/>
    <row r="145" s="8" customFormat="1" ht="12.75" x14ac:dyDescent="0.2"/>
    <row r="146" s="8" customFormat="1" ht="12.75" x14ac:dyDescent="0.2"/>
    <row r="147" s="8" customFormat="1" ht="12.75" x14ac:dyDescent="0.2"/>
    <row r="148" s="8" customFormat="1" ht="12.75" x14ac:dyDescent="0.2"/>
    <row r="149" s="8" customFormat="1" ht="12.75" x14ac:dyDescent="0.2"/>
    <row r="150" s="8" customFormat="1" ht="12.75" x14ac:dyDescent="0.2"/>
    <row r="151" s="8" customFormat="1" ht="12.75" x14ac:dyDescent="0.2"/>
    <row r="152" s="8" customFormat="1" ht="12.75" x14ac:dyDescent="0.2"/>
    <row r="153" s="8" customFormat="1" ht="12.75" x14ac:dyDescent="0.2"/>
    <row r="154" s="8" customFormat="1" ht="12.75" x14ac:dyDescent="0.2"/>
    <row r="155" s="8" customFormat="1" ht="12.75" x14ac:dyDescent="0.2"/>
    <row r="156" s="8" customFormat="1" ht="12.75" x14ac:dyDescent="0.2"/>
    <row r="157" s="8" customFormat="1" ht="12.75" x14ac:dyDescent="0.2"/>
    <row r="158" s="8" customFormat="1" ht="12.75" x14ac:dyDescent="0.2"/>
    <row r="159" s="8" customFormat="1" ht="12.75" x14ac:dyDescent="0.2"/>
    <row r="160" s="8" customFormat="1" ht="12.75" x14ac:dyDescent="0.2"/>
    <row r="161" s="8" customFormat="1" ht="12.75" x14ac:dyDescent="0.2"/>
  </sheetData>
  <mergeCells count="16">
    <mergeCell ref="A19:B19"/>
    <mergeCell ref="A6:N6"/>
    <mergeCell ref="G8:N8"/>
    <mergeCell ref="A14:A16"/>
    <mergeCell ref="B14:B16"/>
    <mergeCell ref="C14:C16"/>
    <mergeCell ref="D14:G14"/>
    <mergeCell ref="H14:H16"/>
    <mergeCell ref="I14:N14"/>
    <mergeCell ref="D15:D16"/>
    <mergeCell ref="E15:E16"/>
    <mergeCell ref="F15:F16"/>
    <mergeCell ref="G15:G16"/>
    <mergeCell ref="I15:J15"/>
    <mergeCell ref="K15:M15"/>
    <mergeCell ref="N15:N16"/>
  </mergeCells>
  <pageMargins left="0.25" right="0.25" top="0.75" bottom="0.75" header="0.3" footer="0.3"/>
  <pageSetup paperSize="9" scale="7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pageSetUpPr fitToPage="1"/>
  </sheetPr>
  <dimension ref="A1:J27"/>
  <sheetViews>
    <sheetView view="pageBreakPreview" topLeftCell="A7" zoomScale="60" zoomScaleNormal="100" workbookViewId="0">
      <selection activeCell="X25" sqref="X25:X26"/>
    </sheetView>
  </sheetViews>
  <sheetFormatPr defaultColWidth="9.140625" defaultRowHeight="15" x14ac:dyDescent="0.25"/>
  <cols>
    <col min="1" max="1" width="8.28515625" style="359" customWidth="1"/>
    <col min="2" max="2" width="56" style="360" customWidth="1"/>
    <col min="3" max="3" width="16.5703125" style="360" customWidth="1"/>
    <col min="4" max="4" width="17" style="360" customWidth="1"/>
    <col min="5" max="5" width="15.140625" style="360" customWidth="1"/>
    <col min="6" max="6" width="12.7109375" style="360" customWidth="1"/>
    <col min="7" max="7" width="9.140625" style="360"/>
    <col min="8" max="8" width="11.7109375" style="360" bestFit="1" customWidth="1"/>
    <col min="9" max="9" width="9.140625" style="360"/>
    <col min="10" max="10" width="16.42578125" style="360" customWidth="1"/>
    <col min="11" max="16384" width="9.140625" style="360"/>
  </cols>
  <sheetData>
    <row r="1" spans="1:10" s="361" customFormat="1" ht="12.75" customHeight="1" x14ac:dyDescent="0.25">
      <c r="A1" s="1750" t="s">
        <v>953</v>
      </c>
      <c r="B1" s="1750"/>
      <c r="C1" s="1750"/>
      <c r="D1" s="1750"/>
      <c r="E1" s="1750"/>
      <c r="F1" s="1750"/>
      <c r="G1" s="1750"/>
      <c r="H1" s="1750"/>
      <c r="I1" s="1750"/>
      <c r="J1" s="1750"/>
    </row>
    <row r="2" spans="1:10" s="363" customFormat="1" ht="12.75" customHeight="1" x14ac:dyDescent="0.15">
      <c r="A2" s="362"/>
    </row>
    <row r="3" spans="1:10" s="365" customFormat="1" ht="33.75" customHeight="1" x14ac:dyDescent="0.2">
      <c r="A3" s="1751" t="s">
        <v>38</v>
      </c>
      <c r="B3" s="1754" t="s">
        <v>7</v>
      </c>
      <c r="C3" s="1757" t="s">
        <v>56</v>
      </c>
      <c r="D3" s="1757" t="s">
        <v>57</v>
      </c>
      <c r="E3" s="1760" t="s">
        <v>52</v>
      </c>
      <c r="F3" s="1761"/>
      <c r="G3" s="1761"/>
      <c r="H3" s="1761"/>
      <c r="I3" s="1761"/>
      <c r="J3" s="1762"/>
    </row>
    <row r="4" spans="1:10" s="365" customFormat="1" ht="87.75" customHeight="1" x14ac:dyDescent="0.2">
      <c r="A4" s="1752"/>
      <c r="B4" s="1755"/>
      <c r="C4" s="1758"/>
      <c r="D4" s="1758"/>
      <c r="E4" s="1763" t="s">
        <v>35</v>
      </c>
      <c r="F4" s="1764"/>
      <c r="G4" s="1763" t="s">
        <v>45</v>
      </c>
      <c r="H4" s="1765"/>
      <c r="I4" s="1764"/>
      <c r="J4" s="1766" t="s">
        <v>46</v>
      </c>
    </row>
    <row r="5" spans="1:10" s="365" customFormat="1" ht="12.75" customHeight="1" x14ac:dyDescent="0.2">
      <c r="A5" s="1752"/>
      <c r="B5" s="1755"/>
      <c r="C5" s="1758"/>
      <c r="D5" s="1758"/>
      <c r="E5" s="1766" t="s">
        <v>43</v>
      </c>
      <c r="F5" s="1766" t="s">
        <v>44</v>
      </c>
      <c r="G5" s="1766" t="s">
        <v>55</v>
      </c>
      <c r="H5" s="1766" t="s">
        <v>43</v>
      </c>
      <c r="I5" s="1766" t="s">
        <v>44</v>
      </c>
      <c r="J5" s="1767"/>
    </row>
    <row r="6" spans="1:10" s="365" customFormat="1" ht="30.75" customHeight="1" x14ac:dyDescent="0.2">
      <c r="A6" s="1753"/>
      <c r="B6" s="1756"/>
      <c r="C6" s="1759"/>
      <c r="D6" s="1759"/>
      <c r="E6" s="1768"/>
      <c r="F6" s="1768"/>
      <c r="G6" s="1768"/>
      <c r="H6" s="1768"/>
      <c r="I6" s="1768"/>
      <c r="J6" s="1768"/>
    </row>
    <row r="7" spans="1:10" s="365" customFormat="1" ht="12.75" x14ac:dyDescent="0.2">
      <c r="A7" s="366">
        <v>1</v>
      </c>
      <c r="B7" s="364">
        <v>2</v>
      </c>
      <c r="C7" s="367">
        <v>3</v>
      </c>
      <c r="D7" s="364">
        <v>4</v>
      </c>
      <c r="E7" s="368">
        <v>5</v>
      </c>
      <c r="F7" s="368">
        <v>6</v>
      </c>
      <c r="G7" s="368">
        <v>7</v>
      </c>
      <c r="H7" s="368">
        <v>8</v>
      </c>
      <c r="I7" s="368">
        <v>9</v>
      </c>
      <c r="J7" s="368">
        <v>10</v>
      </c>
    </row>
    <row r="8" spans="1:10" s="365" customFormat="1" ht="51" x14ac:dyDescent="0.2">
      <c r="A8" s="366">
        <v>1</v>
      </c>
      <c r="B8" s="369" t="s">
        <v>954</v>
      </c>
      <c r="C8" s="366" t="s">
        <v>3</v>
      </c>
      <c r="D8" s="377">
        <f>D9</f>
        <v>16826.46</v>
      </c>
      <c r="E8" s="377"/>
      <c r="F8" s="377">
        <f t="shared" ref="F8:J8" si="0">F9</f>
        <v>14288.720000000001</v>
      </c>
      <c r="G8" s="377"/>
      <c r="H8" s="377"/>
      <c r="I8" s="377"/>
      <c r="J8" s="377">
        <f t="shared" si="0"/>
        <v>2537.7399999999998</v>
      </c>
    </row>
    <row r="9" spans="1:10" s="365" customFormat="1" ht="51" x14ac:dyDescent="0.2">
      <c r="A9" s="366" t="s">
        <v>8</v>
      </c>
      <c r="B9" s="369" t="s">
        <v>955</v>
      </c>
      <c r="C9" s="375">
        <f>C18</f>
        <v>56017.74</v>
      </c>
      <c r="D9" s="377">
        <f>D23-D17</f>
        <v>16826.46</v>
      </c>
      <c r="E9" s="377"/>
      <c r="F9" s="377">
        <f>F23-F17</f>
        <v>14288.720000000001</v>
      </c>
      <c r="G9" s="377"/>
      <c r="H9" s="377"/>
      <c r="I9" s="377"/>
      <c r="J9" s="377">
        <f>J23-J17</f>
        <v>2537.7399999999998</v>
      </c>
    </row>
    <row r="10" spans="1:10" s="365" customFormat="1" ht="25.5" x14ac:dyDescent="0.2">
      <c r="A10" s="366" t="s">
        <v>12</v>
      </c>
      <c r="B10" s="369" t="s">
        <v>956</v>
      </c>
      <c r="C10" s="370"/>
      <c r="D10" s="370"/>
      <c r="E10" s="371"/>
      <c r="F10" s="371"/>
      <c r="G10" s="371"/>
      <c r="H10" s="371"/>
      <c r="I10" s="371"/>
      <c r="J10" s="371"/>
    </row>
    <row r="11" spans="1:10" s="365" customFormat="1" ht="25.5" x14ac:dyDescent="0.2">
      <c r="A11" s="366" t="s">
        <v>13</v>
      </c>
      <c r="B11" s="369" t="s">
        <v>957</v>
      </c>
      <c r="C11" s="370"/>
      <c r="D11" s="370"/>
      <c r="E11" s="366"/>
      <c r="F11" s="366"/>
      <c r="G11" s="366"/>
      <c r="H11" s="366"/>
      <c r="I11" s="366"/>
      <c r="J11" s="366"/>
    </row>
    <row r="12" spans="1:10" s="365" customFormat="1" ht="38.25" x14ac:dyDescent="0.2">
      <c r="A12" s="372" t="s">
        <v>502</v>
      </c>
      <c r="B12" s="369" t="s">
        <v>958</v>
      </c>
      <c r="C12" s="366" t="s">
        <v>3</v>
      </c>
      <c r="D12" s="366"/>
      <c r="E12" s="366"/>
      <c r="F12" s="366"/>
      <c r="G12" s="366"/>
      <c r="H12" s="366"/>
      <c r="I12" s="366"/>
      <c r="J12" s="366"/>
    </row>
    <row r="13" spans="1:10" s="365" customFormat="1" ht="12.75" x14ac:dyDescent="0.2">
      <c r="A13" s="366"/>
      <c r="B13" s="371"/>
      <c r="C13" s="366"/>
      <c r="D13" s="366"/>
      <c r="E13" s="366"/>
      <c r="F13" s="366"/>
      <c r="G13" s="366"/>
      <c r="H13" s="366"/>
      <c r="I13" s="366"/>
      <c r="J13" s="366"/>
    </row>
    <row r="14" spans="1:10" s="365" customFormat="1" ht="25.5" x14ac:dyDescent="0.2">
      <c r="A14" s="372" t="s">
        <v>512</v>
      </c>
      <c r="B14" s="369" t="s">
        <v>959</v>
      </c>
      <c r="C14" s="373"/>
      <c r="D14" s="373"/>
      <c r="E14" s="373"/>
      <c r="F14" s="373"/>
      <c r="G14" s="373"/>
      <c r="H14" s="373"/>
      <c r="I14" s="373"/>
      <c r="J14" s="373"/>
    </row>
    <row r="15" spans="1:10" s="365" customFormat="1" ht="38.25" x14ac:dyDescent="0.2">
      <c r="A15" s="372" t="s">
        <v>515</v>
      </c>
      <c r="B15" s="369" t="s">
        <v>958</v>
      </c>
      <c r="C15" s="373"/>
      <c r="D15" s="373"/>
      <c r="E15" s="373"/>
      <c r="F15" s="373"/>
      <c r="G15" s="373"/>
      <c r="H15" s="373"/>
      <c r="I15" s="373"/>
      <c r="J15" s="373"/>
    </row>
    <row r="16" spans="1:10" s="365" customFormat="1" ht="12.75" x14ac:dyDescent="0.2">
      <c r="A16" s="366"/>
      <c r="B16" s="371"/>
      <c r="C16" s="373"/>
      <c r="D16" s="373"/>
      <c r="E16" s="373"/>
      <c r="F16" s="373"/>
      <c r="G16" s="373"/>
      <c r="H16" s="373"/>
      <c r="I16" s="373"/>
      <c r="J16" s="373"/>
    </row>
    <row r="17" spans="1:10" s="365" customFormat="1" ht="38.25" x14ac:dyDescent="0.2">
      <c r="A17" s="366" t="s">
        <v>960</v>
      </c>
      <c r="B17" s="369" t="s">
        <v>961</v>
      </c>
      <c r="C17" s="376">
        <f>C18</f>
        <v>56017.74</v>
      </c>
      <c r="D17" s="376">
        <f t="shared" ref="D17" si="1">D18</f>
        <v>90.9</v>
      </c>
      <c r="E17" s="376"/>
      <c r="F17" s="376">
        <f t="shared" ref="F17" si="2">F18</f>
        <v>73.98</v>
      </c>
      <c r="G17" s="376"/>
      <c r="H17" s="376"/>
      <c r="I17" s="376"/>
      <c r="J17" s="376">
        <f t="shared" ref="J17" si="3">J18</f>
        <v>16.920000000000002</v>
      </c>
    </row>
    <row r="18" spans="1:10" s="365" customFormat="1" ht="51" x14ac:dyDescent="0.2">
      <c r="A18" s="372" t="s">
        <v>962</v>
      </c>
      <c r="B18" s="369" t="s">
        <v>963</v>
      </c>
      <c r="C18" s="375">
        <v>56017.74</v>
      </c>
      <c r="D18" s="375">
        <f>E18+F18+J18</f>
        <v>90.9</v>
      </c>
      <c r="E18" s="358"/>
      <c r="F18" s="358">
        <v>73.98</v>
      </c>
      <c r="G18" s="366"/>
      <c r="H18" s="366"/>
      <c r="I18" s="366"/>
      <c r="J18" s="366">
        <v>16.920000000000002</v>
      </c>
    </row>
    <row r="19" spans="1:10" s="365" customFormat="1" ht="25.5" x14ac:dyDescent="0.2">
      <c r="A19" s="372" t="s">
        <v>964</v>
      </c>
      <c r="B19" s="369" t="s">
        <v>965</v>
      </c>
      <c r="C19" s="370"/>
      <c r="D19" s="370"/>
      <c r="E19" s="366"/>
      <c r="F19" s="366"/>
      <c r="G19" s="366"/>
      <c r="H19" s="366"/>
      <c r="I19" s="366"/>
      <c r="J19" s="366"/>
    </row>
    <row r="20" spans="1:10" s="365" customFormat="1" ht="25.5" x14ac:dyDescent="0.2">
      <c r="A20" s="372" t="s">
        <v>966</v>
      </c>
      <c r="B20" s="369" t="s">
        <v>967</v>
      </c>
      <c r="C20" s="370"/>
      <c r="D20" s="370"/>
      <c r="E20" s="366"/>
      <c r="F20" s="366"/>
      <c r="G20" s="366"/>
      <c r="H20" s="366"/>
      <c r="I20" s="366"/>
      <c r="J20" s="366"/>
    </row>
    <row r="21" spans="1:10" s="365" customFormat="1" ht="38.25" x14ac:dyDescent="0.2">
      <c r="A21" s="372" t="s">
        <v>968</v>
      </c>
      <c r="B21" s="369" t="s">
        <v>969</v>
      </c>
      <c r="C21" s="370"/>
      <c r="D21" s="370"/>
      <c r="E21" s="366"/>
      <c r="F21" s="366"/>
      <c r="G21" s="366"/>
      <c r="H21" s="366"/>
      <c r="I21" s="366"/>
      <c r="J21" s="366"/>
    </row>
    <row r="22" spans="1:10" s="365" customFormat="1" ht="25.5" customHeight="1" x14ac:dyDescent="0.2">
      <c r="A22" s="372" t="s">
        <v>970</v>
      </c>
      <c r="B22" s="369" t="s">
        <v>971</v>
      </c>
      <c r="C22" s="370"/>
      <c r="D22" s="370"/>
      <c r="E22" s="366"/>
      <c r="F22" s="366"/>
      <c r="G22" s="366"/>
      <c r="H22" s="366"/>
      <c r="I22" s="366"/>
      <c r="J22" s="366"/>
    </row>
    <row r="23" spans="1:10" s="389" customFormat="1" ht="24" customHeight="1" x14ac:dyDescent="0.2">
      <c r="A23" s="386"/>
      <c r="B23" s="387" t="s">
        <v>61</v>
      </c>
      <c r="C23" s="380" t="s">
        <v>3</v>
      </c>
      <c r="D23" s="388">
        <f>F23+J23</f>
        <v>16917.36</v>
      </c>
      <c r="E23" s="388"/>
      <c r="F23" s="388">
        <v>14362.7</v>
      </c>
      <c r="G23" s="380" t="s">
        <v>3</v>
      </c>
      <c r="H23" s="388"/>
      <c r="I23" s="387"/>
      <c r="J23" s="388">
        <v>2554.66</v>
      </c>
    </row>
    <row r="24" spans="1:10" s="365" customFormat="1" ht="12.75" x14ac:dyDescent="0.2">
      <c r="A24" s="374"/>
    </row>
    <row r="26" spans="1:10" ht="56.25" customHeight="1" x14ac:dyDescent="0.25">
      <c r="A26" s="1769" t="s">
        <v>972</v>
      </c>
      <c r="B26" s="1769"/>
      <c r="C26" s="1769"/>
      <c r="D26" s="1769"/>
      <c r="E26" s="1769"/>
      <c r="F26" s="1769"/>
      <c r="G26" s="1769"/>
      <c r="H26" s="1769"/>
      <c r="I26" s="1769"/>
      <c r="J26" s="1769"/>
    </row>
    <row r="27" spans="1:10" ht="55.5" customHeight="1" x14ac:dyDescent="0.25">
      <c r="A27" s="1749" t="s">
        <v>973</v>
      </c>
      <c r="B27" s="1749"/>
      <c r="C27" s="1749"/>
      <c r="D27" s="1749"/>
      <c r="E27" s="1749"/>
      <c r="F27" s="1749"/>
      <c r="G27" s="1749"/>
      <c r="H27" s="1749"/>
      <c r="I27" s="1749"/>
      <c r="J27" s="1749"/>
    </row>
  </sheetData>
  <mergeCells count="16">
    <mergeCell ref="A27:J27"/>
    <mergeCell ref="F5:F6"/>
    <mergeCell ref="G5:G6"/>
    <mergeCell ref="H5:H6"/>
    <mergeCell ref="I5:I6"/>
    <mergeCell ref="A26:J26"/>
    <mergeCell ref="A1:J1"/>
    <mergeCell ref="A3:A6"/>
    <mergeCell ref="B3:B6"/>
    <mergeCell ref="C3:C6"/>
    <mergeCell ref="D3:D6"/>
    <mergeCell ref="E3:J3"/>
    <mergeCell ref="E4:F4"/>
    <mergeCell ref="G4:I4"/>
    <mergeCell ref="J4:J6"/>
    <mergeCell ref="E5:E6"/>
  </mergeCells>
  <pageMargins left="0.70866141732283472" right="0.70866141732283472" top="0.27" bottom="0.19" header="0.31496062992125984" footer="0.31496062992125984"/>
  <pageSetup paperSize="9" scale="67"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ED129"/>
  <sheetViews>
    <sheetView view="pageBreakPreview" topLeftCell="A60" zoomScaleNormal="100" zoomScaleSheetLayoutView="100" workbookViewId="0">
      <selection activeCell="BW129" sqref="BW129"/>
    </sheetView>
  </sheetViews>
  <sheetFormatPr defaultColWidth="1.140625" defaultRowHeight="12.75" x14ac:dyDescent="0.2"/>
  <cols>
    <col min="1" max="38" width="1.140625" style="8"/>
    <col min="39" max="39" width="1.5703125" style="8" customWidth="1"/>
    <col min="40" max="74" width="1.140625" style="8"/>
    <col min="75" max="75" width="13.140625" style="8" bestFit="1" customWidth="1"/>
    <col min="76" max="76" width="1.140625" style="8"/>
    <col min="77" max="77" width="3.5703125" style="8" bestFit="1" customWidth="1"/>
    <col min="78" max="80" width="1.140625" style="8"/>
    <col min="81" max="81" width="13.140625" style="8" customWidth="1"/>
    <col min="82" max="82" width="13.85546875" style="8" customWidth="1"/>
    <col min="83" max="83" width="11.5703125" style="8" customWidth="1"/>
    <col min="84" max="84" width="9.140625" style="8" customWidth="1"/>
    <col min="85" max="85" width="11.42578125" style="8" customWidth="1"/>
    <col min="86" max="86" width="16.140625" style="8" customWidth="1"/>
    <col min="87" max="91" width="1.140625" style="8"/>
    <col min="92" max="92" width="8.7109375" style="8" customWidth="1"/>
    <col min="93" max="93" width="16.28515625" style="8" customWidth="1"/>
    <col min="94" max="95" width="1.140625" style="8"/>
    <col min="96" max="96" width="12.140625" style="8" customWidth="1"/>
    <col min="97" max="105" width="1.140625" style="8"/>
    <col min="106" max="106" width="12.140625" style="8" customWidth="1"/>
    <col min="107" max="16384" width="1.140625" style="8"/>
  </cols>
  <sheetData>
    <row r="1" spans="1:86" ht="15.75" x14ac:dyDescent="0.25">
      <c r="A1" s="19" t="s">
        <v>1254</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7"/>
      <c r="CD2" s="7"/>
      <c r="CE2" s="7"/>
      <c r="CF2" s="7"/>
      <c r="CG2" s="7"/>
      <c r="CH2" s="7"/>
    </row>
    <row r="3" spans="1:86" x14ac:dyDescent="0.2">
      <c r="A3" s="1781" t="s">
        <v>38</v>
      </c>
      <c r="B3" s="1925"/>
      <c r="C3" s="1925"/>
      <c r="D3" s="1782"/>
      <c r="E3" s="1818" t="s">
        <v>4</v>
      </c>
      <c r="F3" s="1819"/>
      <c r="G3" s="1819"/>
      <c r="H3" s="1819"/>
      <c r="I3" s="1819"/>
      <c r="J3" s="1819"/>
      <c r="K3" s="1819"/>
      <c r="L3" s="1819"/>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20"/>
      <c r="AN3" s="1781" t="s">
        <v>139</v>
      </c>
      <c r="AO3" s="1925"/>
      <c r="AP3" s="1925"/>
      <c r="AQ3" s="1925"/>
      <c r="AR3" s="1925"/>
      <c r="AS3" s="1925"/>
      <c r="AT3" s="1925"/>
      <c r="AU3" s="1925"/>
      <c r="AV3" s="1925"/>
      <c r="AW3" s="1925"/>
      <c r="AX3" s="1925"/>
      <c r="AY3" s="1925"/>
      <c r="AZ3" s="1925"/>
      <c r="BA3" s="1925"/>
      <c r="BB3" s="1925"/>
      <c r="BC3" s="1782"/>
      <c r="BD3" s="1781" t="s">
        <v>140</v>
      </c>
      <c r="BE3" s="1925"/>
      <c r="BF3" s="1925"/>
      <c r="BG3" s="1925"/>
      <c r="BH3" s="1925"/>
      <c r="BI3" s="1925"/>
      <c r="BJ3" s="1925"/>
      <c r="BK3" s="1925"/>
      <c r="BL3" s="1925"/>
      <c r="BM3" s="1782"/>
      <c r="BN3" s="1781" t="s">
        <v>624</v>
      </c>
      <c r="BO3" s="1925"/>
      <c r="BP3" s="1925"/>
      <c r="BQ3" s="1925"/>
      <c r="BR3" s="1925"/>
      <c r="BS3" s="1925"/>
      <c r="BT3" s="1925"/>
      <c r="BU3" s="1925"/>
      <c r="BV3" s="1925"/>
      <c r="BW3" s="1925"/>
      <c r="BX3" s="1925"/>
      <c r="BY3" s="1925"/>
      <c r="BZ3" s="1925"/>
      <c r="CA3" s="1925"/>
      <c r="CB3" s="1782"/>
      <c r="CC3" s="1806" t="s">
        <v>52</v>
      </c>
      <c r="CD3" s="1806"/>
      <c r="CE3" s="1806"/>
      <c r="CF3" s="1806"/>
      <c r="CG3" s="1806"/>
      <c r="CH3" s="1806"/>
    </row>
    <row r="4" spans="1:86" x14ac:dyDescent="0.2">
      <c r="A4" s="1783"/>
      <c r="B4" s="1926"/>
      <c r="C4" s="1926"/>
      <c r="D4" s="1784"/>
      <c r="E4" s="1807"/>
      <c r="F4" s="1808"/>
      <c r="G4" s="1808"/>
      <c r="H4" s="1808"/>
      <c r="I4" s="1808"/>
      <c r="J4" s="1808"/>
      <c r="K4" s="1808"/>
      <c r="L4" s="1808"/>
      <c r="M4" s="1808"/>
      <c r="N4" s="1808"/>
      <c r="O4" s="1808"/>
      <c r="P4" s="1808"/>
      <c r="Q4" s="1808"/>
      <c r="R4" s="1808"/>
      <c r="S4" s="1808"/>
      <c r="T4" s="1808"/>
      <c r="U4" s="1808"/>
      <c r="V4" s="1808"/>
      <c r="W4" s="1808"/>
      <c r="X4" s="1808"/>
      <c r="Y4" s="1808"/>
      <c r="Z4" s="1808"/>
      <c r="AA4" s="1808"/>
      <c r="AB4" s="1808"/>
      <c r="AC4" s="1808"/>
      <c r="AD4" s="1808"/>
      <c r="AE4" s="1808"/>
      <c r="AF4" s="1808"/>
      <c r="AG4" s="1808"/>
      <c r="AH4" s="1808"/>
      <c r="AI4" s="1808"/>
      <c r="AJ4" s="1808"/>
      <c r="AK4" s="1808"/>
      <c r="AL4" s="1808"/>
      <c r="AM4" s="1809"/>
      <c r="AN4" s="1783"/>
      <c r="AO4" s="1926"/>
      <c r="AP4" s="1926"/>
      <c r="AQ4" s="1926"/>
      <c r="AR4" s="1926"/>
      <c r="AS4" s="1926"/>
      <c r="AT4" s="1926"/>
      <c r="AU4" s="1926"/>
      <c r="AV4" s="1926"/>
      <c r="AW4" s="1926"/>
      <c r="AX4" s="1926"/>
      <c r="AY4" s="1926"/>
      <c r="AZ4" s="1926"/>
      <c r="BA4" s="1926"/>
      <c r="BB4" s="1926"/>
      <c r="BC4" s="1784"/>
      <c r="BD4" s="1783"/>
      <c r="BE4" s="1926"/>
      <c r="BF4" s="1926"/>
      <c r="BG4" s="1926"/>
      <c r="BH4" s="1926"/>
      <c r="BI4" s="1926"/>
      <c r="BJ4" s="1926"/>
      <c r="BK4" s="1926"/>
      <c r="BL4" s="1926"/>
      <c r="BM4" s="1784"/>
      <c r="BN4" s="1783"/>
      <c r="BO4" s="1926"/>
      <c r="BP4" s="1926"/>
      <c r="BQ4" s="1926"/>
      <c r="BR4" s="1926"/>
      <c r="BS4" s="1926"/>
      <c r="BT4" s="1926"/>
      <c r="BU4" s="1926"/>
      <c r="BV4" s="1926"/>
      <c r="BW4" s="1926"/>
      <c r="BX4" s="1926"/>
      <c r="BY4" s="1926"/>
      <c r="BZ4" s="1926"/>
      <c r="CA4" s="1926"/>
      <c r="CB4" s="1784"/>
      <c r="CC4" s="1810" t="s">
        <v>35</v>
      </c>
      <c r="CD4" s="1810"/>
      <c r="CE4" s="1788" t="s">
        <v>45</v>
      </c>
      <c r="CF4" s="1790"/>
      <c r="CG4" s="1789"/>
      <c r="CH4" s="1778" t="s">
        <v>46</v>
      </c>
    </row>
    <row r="5" spans="1:86" x14ac:dyDescent="0.2">
      <c r="A5" s="1783"/>
      <c r="B5" s="1926"/>
      <c r="C5" s="1926"/>
      <c r="D5" s="1784"/>
      <c r="E5" s="1807"/>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8"/>
      <c r="AJ5" s="1808"/>
      <c r="AK5" s="1808"/>
      <c r="AL5" s="1808"/>
      <c r="AM5" s="1809"/>
      <c r="AN5" s="1783"/>
      <c r="AO5" s="1926"/>
      <c r="AP5" s="1926"/>
      <c r="AQ5" s="1926"/>
      <c r="AR5" s="1926"/>
      <c r="AS5" s="1926"/>
      <c r="AT5" s="1926"/>
      <c r="AU5" s="1926"/>
      <c r="AV5" s="1926"/>
      <c r="AW5" s="1926"/>
      <c r="AX5" s="1926"/>
      <c r="AY5" s="1926"/>
      <c r="AZ5" s="1926"/>
      <c r="BA5" s="1926"/>
      <c r="BB5" s="1926"/>
      <c r="BC5" s="1784"/>
      <c r="BD5" s="1783"/>
      <c r="BE5" s="1926"/>
      <c r="BF5" s="1926"/>
      <c r="BG5" s="1926"/>
      <c r="BH5" s="1926"/>
      <c r="BI5" s="1926"/>
      <c r="BJ5" s="1926"/>
      <c r="BK5" s="1926"/>
      <c r="BL5" s="1926"/>
      <c r="BM5" s="1784"/>
      <c r="BN5" s="1783"/>
      <c r="BO5" s="1926"/>
      <c r="BP5" s="1926"/>
      <c r="BQ5" s="1926"/>
      <c r="BR5" s="1926"/>
      <c r="BS5" s="1926"/>
      <c r="BT5" s="1926"/>
      <c r="BU5" s="1926"/>
      <c r="BV5" s="1926"/>
      <c r="BW5" s="1926"/>
      <c r="BX5" s="1926"/>
      <c r="BY5" s="1926"/>
      <c r="BZ5" s="1926"/>
      <c r="CA5" s="1926"/>
      <c r="CB5" s="1784"/>
      <c r="CC5" s="1811" t="s">
        <v>43</v>
      </c>
      <c r="CD5" s="1811" t="s">
        <v>44</v>
      </c>
      <c r="CE5" s="1812" t="s">
        <v>55</v>
      </c>
      <c r="CF5" s="1811" t="s">
        <v>43</v>
      </c>
      <c r="CG5" s="1811" t="s">
        <v>44</v>
      </c>
      <c r="CH5" s="1779"/>
    </row>
    <row r="6" spans="1:86" x14ac:dyDescent="0.2">
      <c r="A6" s="1785"/>
      <c r="B6" s="1927"/>
      <c r="C6" s="1927"/>
      <c r="D6" s="1786"/>
      <c r="E6" s="1814"/>
      <c r="F6" s="1815"/>
      <c r="G6" s="1815"/>
      <c r="H6" s="1815"/>
      <c r="I6" s="1815"/>
      <c r="J6" s="1815"/>
      <c r="K6" s="1815"/>
      <c r="L6" s="1815"/>
      <c r="M6" s="1815"/>
      <c r="N6" s="1815"/>
      <c r="O6" s="1815"/>
      <c r="P6" s="1815"/>
      <c r="Q6" s="1815"/>
      <c r="R6" s="1815"/>
      <c r="S6" s="1815"/>
      <c r="T6" s="1815"/>
      <c r="U6" s="1815"/>
      <c r="V6" s="1815"/>
      <c r="W6" s="1815"/>
      <c r="X6" s="1815"/>
      <c r="Y6" s="1815"/>
      <c r="Z6" s="1815"/>
      <c r="AA6" s="1815"/>
      <c r="AB6" s="1815"/>
      <c r="AC6" s="1815"/>
      <c r="AD6" s="1815"/>
      <c r="AE6" s="1815"/>
      <c r="AF6" s="1815"/>
      <c r="AG6" s="1815"/>
      <c r="AH6" s="1815"/>
      <c r="AI6" s="1815"/>
      <c r="AJ6" s="1815"/>
      <c r="AK6" s="1815"/>
      <c r="AL6" s="1815"/>
      <c r="AM6" s="1816"/>
      <c r="AN6" s="1785"/>
      <c r="AO6" s="1927"/>
      <c r="AP6" s="1927"/>
      <c r="AQ6" s="1927"/>
      <c r="AR6" s="1927"/>
      <c r="AS6" s="1927"/>
      <c r="AT6" s="1927"/>
      <c r="AU6" s="1927"/>
      <c r="AV6" s="1927"/>
      <c r="AW6" s="1927"/>
      <c r="AX6" s="1927"/>
      <c r="AY6" s="1927"/>
      <c r="AZ6" s="1927"/>
      <c r="BA6" s="1927"/>
      <c r="BB6" s="1927"/>
      <c r="BC6" s="1786"/>
      <c r="BD6" s="1785"/>
      <c r="BE6" s="1927"/>
      <c r="BF6" s="1927"/>
      <c r="BG6" s="1927"/>
      <c r="BH6" s="1927"/>
      <c r="BI6" s="1927"/>
      <c r="BJ6" s="1927"/>
      <c r="BK6" s="1927"/>
      <c r="BL6" s="1927"/>
      <c r="BM6" s="1786"/>
      <c r="BN6" s="1785"/>
      <c r="BO6" s="1927"/>
      <c r="BP6" s="1927"/>
      <c r="BQ6" s="1927"/>
      <c r="BR6" s="1927"/>
      <c r="BS6" s="1927"/>
      <c r="BT6" s="1927"/>
      <c r="BU6" s="1927"/>
      <c r="BV6" s="1927"/>
      <c r="BW6" s="1927"/>
      <c r="BX6" s="1927"/>
      <c r="BY6" s="1927"/>
      <c r="BZ6" s="1927"/>
      <c r="CA6" s="1927"/>
      <c r="CB6" s="1786"/>
      <c r="CC6" s="1811"/>
      <c r="CD6" s="1811"/>
      <c r="CE6" s="1813"/>
      <c r="CF6" s="1811"/>
      <c r="CG6" s="1811"/>
      <c r="CH6" s="1780"/>
    </row>
    <row r="7" spans="1:86" x14ac:dyDescent="0.2">
      <c r="A7" s="1830">
        <v>1</v>
      </c>
      <c r="B7" s="1830"/>
      <c r="C7" s="1830"/>
      <c r="D7" s="1830"/>
      <c r="E7" s="1830">
        <v>2</v>
      </c>
      <c r="F7" s="1830"/>
      <c r="G7" s="1830"/>
      <c r="H7" s="1830"/>
      <c r="I7" s="1830"/>
      <c r="J7" s="1830"/>
      <c r="K7" s="1830"/>
      <c r="L7" s="1830"/>
      <c r="M7" s="1830"/>
      <c r="N7" s="1830"/>
      <c r="O7" s="1830"/>
      <c r="P7" s="1830"/>
      <c r="Q7" s="1830"/>
      <c r="R7" s="1830"/>
      <c r="S7" s="1830"/>
      <c r="T7" s="1830"/>
      <c r="U7" s="1830"/>
      <c r="V7" s="1830"/>
      <c r="W7" s="1830"/>
      <c r="X7" s="1830"/>
      <c r="Y7" s="1830"/>
      <c r="Z7" s="1830"/>
      <c r="AA7" s="1830"/>
      <c r="AB7" s="1830"/>
      <c r="AC7" s="1830"/>
      <c r="AD7" s="1830"/>
      <c r="AE7" s="1830"/>
      <c r="AF7" s="1830"/>
      <c r="AG7" s="1830"/>
      <c r="AH7" s="1830"/>
      <c r="AI7" s="1830"/>
      <c r="AJ7" s="1830"/>
      <c r="AK7" s="1830"/>
      <c r="AL7" s="1830"/>
      <c r="AM7" s="1830"/>
      <c r="AN7" s="1830">
        <v>3</v>
      </c>
      <c r="AO7" s="1830"/>
      <c r="AP7" s="1830"/>
      <c r="AQ7" s="1830"/>
      <c r="AR7" s="1830"/>
      <c r="AS7" s="1830"/>
      <c r="AT7" s="1830"/>
      <c r="AU7" s="1830"/>
      <c r="AV7" s="1830"/>
      <c r="AW7" s="1830"/>
      <c r="AX7" s="1830"/>
      <c r="AY7" s="1830"/>
      <c r="AZ7" s="1830"/>
      <c r="BA7" s="1830"/>
      <c r="BB7" s="1830"/>
      <c r="BC7" s="1830"/>
      <c r="BD7" s="1830">
        <v>4</v>
      </c>
      <c r="BE7" s="1830"/>
      <c r="BF7" s="1830"/>
      <c r="BG7" s="1830"/>
      <c r="BH7" s="1830"/>
      <c r="BI7" s="1830"/>
      <c r="BJ7" s="1830"/>
      <c r="BK7" s="1830"/>
      <c r="BL7" s="1830"/>
      <c r="BM7" s="1830"/>
      <c r="BN7" s="1830" t="s">
        <v>49</v>
      </c>
      <c r="BO7" s="1830"/>
      <c r="BP7" s="1830"/>
      <c r="BQ7" s="1830"/>
      <c r="BR7" s="1830"/>
      <c r="BS7" s="1830"/>
      <c r="BT7" s="1830"/>
      <c r="BU7" s="1830"/>
      <c r="BV7" s="1830"/>
      <c r="BW7" s="1830"/>
      <c r="BX7" s="1830"/>
      <c r="BY7" s="1830"/>
      <c r="BZ7" s="1830"/>
      <c r="CA7" s="1830"/>
      <c r="CB7" s="1830"/>
      <c r="CC7" s="15">
        <v>6</v>
      </c>
      <c r="CD7" s="15">
        <v>7</v>
      </c>
      <c r="CE7" s="15">
        <v>8</v>
      </c>
      <c r="CF7" s="15">
        <v>9</v>
      </c>
      <c r="CG7" s="15">
        <v>10</v>
      </c>
      <c r="CH7" s="15">
        <v>11</v>
      </c>
    </row>
    <row r="8" spans="1:86" s="234" customFormat="1" ht="20.25" customHeight="1" x14ac:dyDescent="0.2">
      <c r="A8" s="1810">
        <v>1</v>
      </c>
      <c r="B8" s="1810"/>
      <c r="C8" s="1810"/>
      <c r="D8" s="1810"/>
      <c r="E8" s="2082" t="s">
        <v>702</v>
      </c>
      <c r="F8" s="2082"/>
      <c r="G8" s="2082"/>
      <c r="H8" s="2082"/>
      <c r="I8" s="2082"/>
      <c r="J8" s="2082"/>
      <c r="K8" s="2082"/>
      <c r="L8" s="2082"/>
      <c r="M8" s="2082"/>
      <c r="N8" s="2082"/>
      <c r="O8" s="2082"/>
      <c r="P8" s="2082"/>
      <c r="Q8" s="2082"/>
      <c r="R8" s="2082"/>
      <c r="S8" s="2082"/>
      <c r="T8" s="2082"/>
      <c r="U8" s="2082"/>
      <c r="V8" s="2082"/>
      <c r="W8" s="2082"/>
      <c r="X8" s="2082"/>
      <c r="Y8" s="2082"/>
      <c r="Z8" s="2082"/>
      <c r="AA8" s="2082"/>
      <c r="AB8" s="2082"/>
      <c r="AC8" s="2082"/>
      <c r="AD8" s="2082"/>
      <c r="AE8" s="2082"/>
      <c r="AF8" s="2082"/>
      <c r="AG8" s="2082"/>
      <c r="AH8" s="2082"/>
      <c r="AI8" s="2082"/>
      <c r="AJ8" s="2082"/>
      <c r="AK8" s="2082"/>
      <c r="AL8" s="2082"/>
      <c r="AM8" s="2082"/>
      <c r="AN8" s="2091">
        <f>BN8</f>
        <v>0</v>
      </c>
      <c r="AO8" s="2091"/>
      <c r="AP8" s="2091"/>
      <c r="AQ8" s="2091"/>
      <c r="AR8" s="2091"/>
      <c r="AS8" s="2091"/>
      <c r="AT8" s="2091"/>
      <c r="AU8" s="2091"/>
      <c r="AV8" s="2091"/>
      <c r="AW8" s="2091"/>
      <c r="AX8" s="2091"/>
      <c r="AY8" s="2091"/>
      <c r="AZ8" s="2091"/>
      <c r="BA8" s="2091"/>
      <c r="BB8" s="2091"/>
      <c r="BC8" s="2091"/>
      <c r="BD8" s="1810">
        <v>1</v>
      </c>
      <c r="BE8" s="1810"/>
      <c r="BF8" s="1810"/>
      <c r="BG8" s="1810"/>
      <c r="BH8" s="1810"/>
      <c r="BI8" s="1810"/>
      <c r="BJ8" s="1810"/>
      <c r="BK8" s="1810"/>
      <c r="BL8" s="1810"/>
      <c r="BM8" s="1810"/>
      <c r="BN8" s="2091">
        <v>0</v>
      </c>
      <c r="BO8" s="2091"/>
      <c r="BP8" s="2091"/>
      <c r="BQ8" s="2091"/>
      <c r="BR8" s="2091"/>
      <c r="BS8" s="2091"/>
      <c r="BT8" s="2091"/>
      <c r="BU8" s="2091"/>
      <c r="BV8" s="2091"/>
      <c r="BW8" s="2091"/>
      <c r="BX8" s="2091"/>
      <c r="BY8" s="2091"/>
      <c r="BZ8" s="2091"/>
      <c r="CA8" s="2091"/>
      <c r="CB8" s="2091"/>
      <c r="CC8" s="233"/>
      <c r="CD8" s="233">
        <v>0</v>
      </c>
      <c r="CE8" s="233"/>
      <c r="CF8" s="233"/>
      <c r="CG8" s="233"/>
      <c r="CH8" s="233">
        <v>0</v>
      </c>
    </row>
    <row r="9" spans="1:86" s="234" customFormat="1" hidden="1" x14ac:dyDescent="0.2">
      <c r="A9" s="1810">
        <v>19</v>
      </c>
      <c r="B9" s="1810"/>
      <c r="C9" s="1810"/>
      <c r="D9" s="1810"/>
      <c r="E9" s="2082"/>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2082"/>
      <c r="AN9" s="2091"/>
      <c r="AO9" s="2091"/>
      <c r="AP9" s="2091"/>
      <c r="AQ9" s="2091"/>
      <c r="AR9" s="2091"/>
      <c r="AS9" s="2091"/>
      <c r="AT9" s="2091"/>
      <c r="AU9" s="2091"/>
      <c r="AV9" s="2091"/>
      <c r="AW9" s="2091"/>
      <c r="AX9" s="2091"/>
      <c r="AY9" s="2091"/>
      <c r="AZ9" s="2091"/>
      <c r="BA9" s="2091"/>
      <c r="BB9" s="2091"/>
      <c r="BC9" s="2091"/>
      <c r="BD9" s="1810"/>
      <c r="BE9" s="1810"/>
      <c r="BF9" s="1810"/>
      <c r="BG9" s="1810"/>
      <c r="BH9" s="1810"/>
      <c r="BI9" s="1810"/>
      <c r="BJ9" s="1810"/>
      <c r="BK9" s="1810"/>
      <c r="BL9" s="1810"/>
      <c r="BM9" s="1810"/>
      <c r="BN9" s="2091">
        <f t="shared" ref="BN9:BN22" si="0">ROUND(AN9*BD9,2)</f>
        <v>0</v>
      </c>
      <c r="BO9" s="2091"/>
      <c r="BP9" s="2091"/>
      <c r="BQ9" s="2091"/>
      <c r="BR9" s="2091"/>
      <c r="BS9" s="2091"/>
      <c r="BT9" s="2091"/>
      <c r="BU9" s="2091"/>
      <c r="BV9" s="2091"/>
      <c r="BW9" s="2091"/>
      <c r="BX9" s="2091"/>
      <c r="BY9" s="2091"/>
      <c r="BZ9" s="2091"/>
      <c r="CA9" s="2091"/>
      <c r="CB9" s="2091"/>
      <c r="CC9" s="233"/>
      <c r="CD9" s="233">
        <f t="shared" ref="CD9:CD22" si="1">BN9</f>
        <v>0</v>
      </c>
      <c r="CE9" s="233"/>
      <c r="CF9" s="233"/>
      <c r="CG9" s="233"/>
      <c r="CH9" s="233"/>
    </row>
    <row r="10" spans="1:86" s="234" customFormat="1" hidden="1" x14ac:dyDescent="0.2">
      <c r="A10" s="1810">
        <v>20</v>
      </c>
      <c r="B10" s="1810"/>
      <c r="C10" s="1810"/>
      <c r="D10" s="1810"/>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c r="AM10" s="2082"/>
      <c r="AN10" s="2091"/>
      <c r="AO10" s="2091"/>
      <c r="AP10" s="2091"/>
      <c r="AQ10" s="2091"/>
      <c r="AR10" s="2091"/>
      <c r="AS10" s="2091"/>
      <c r="AT10" s="2091"/>
      <c r="AU10" s="2091"/>
      <c r="AV10" s="2091"/>
      <c r="AW10" s="2091"/>
      <c r="AX10" s="2091"/>
      <c r="AY10" s="2091"/>
      <c r="AZ10" s="2091"/>
      <c r="BA10" s="2091"/>
      <c r="BB10" s="2091"/>
      <c r="BC10" s="2091"/>
      <c r="BD10" s="1810"/>
      <c r="BE10" s="1810"/>
      <c r="BF10" s="1810"/>
      <c r="BG10" s="1810"/>
      <c r="BH10" s="1810"/>
      <c r="BI10" s="1810"/>
      <c r="BJ10" s="1810"/>
      <c r="BK10" s="1810"/>
      <c r="BL10" s="1810"/>
      <c r="BM10" s="1810"/>
      <c r="BN10" s="2091">
        <f t="shared" si="0"/>
        <v>0</v>
      </c>
      <c r="BO10" s="2091"/>
      <c r="BP10" s="2091"/>
      <c r="BQ10" s="2091"/>
      <c r="BR10" s="2091"/>
      <c r="BS10" s="2091"/>
      <c r="BT10" s="2091"/>
      <c r="BU10" s="2091"/>
      <c r="BV10" s="2091"/>
      <c r="BW10" s="2091"/>
      <c r="BX10" s="2091"/>
      <c r="BY10" s="2091"/>
      <c r="BZ10" s="2091"/>
      <c r="CA10" s="2091"/>
      <c r="CB10" s="2091"/>
      <c r="CC10" s="233"/>
      <c r="CD10" s="233">
        <f t="shared" si="1"/>
        <v>0</v>
      </c>
      <c r="CE10" s="233"/>
      <c r="CF10" s="233"/>
      <c r="CG10" s="233"/>
      <c r="CH10" s="233"/>
    </row>
    <row r="11" spans="1:86" s="234" customFormat="1" hidden="1" x14ac:dyDescent="0.2">
      <c r="A11" s="1810">
        <v>21</v>
      </c>
      <c r="B11" s="1810"/>
      <c r="C11" s="1810"/>
      <c r="D11" s="1810"/>
      <c r="E11" s="2082"/>
      <c r="F11" s="2082"/>
      <c r="G11" s="2082"/>
      <c r="H11" s="2082"/>
      <c r="I11" s="2082"/>
      <c r="J11" s="2082"/>
      <c r="K11" s="2082"/>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c r="AH11" s="2082"/>
      <c r="AI11" s="2082"/>
      <c r="AJ11" s="2082"/>
      <c r="AK11" s="2082"/>
      <c r="AL11" s="2082"/>
      <c r="AM11" s="2082"/>
      <c r="AN11" s="2091"/>
      <c r="AO11" s="2091"/>
      <c r="AP11" s="2091"/>
      <c r="AQ11" s="2091"/>
      <c r="AR11" s="2091"/>
      <c r="AS11" s="2091"/>
      <c r="AT11" s="2091"/>
      <c r="AU11" s="2091"/>
      <c r="AV11" s="2091"/>
      <c r="AW11" s="2091"/>
      <c r="AX11" s="2091"/>
      <c r="AY11" s="2091"/>
      <c r="AZ11" s="2091"/>
      <c r="BA11" s="2091"/>
      <c r="BB11" s="2091"/>
      <c r="BC11" s="2091"/>
      <c r="BD11" s="1810"/>
      <c r="BE11" s="1810"/>
      <c r="BF11" s="1810"/>
      <c r="BG11" s="1810"/>
      <c r="BH11" s="1810"/>
      <c r="BI11" s="1810"/>
      <c r="BJ11" s="1810"/>
      <c r="BK11" s="1810"/>
      <c r="BL11" s="1810"/>
      <c r="BM11" s="1810"/>
      <c r="BN11" s="2091">
        <f t="shared" si="0"/>
        <v>0</v>
      </c>
      <c r="BO11" s="2091"/>
      <c r="BP11" s="2091"/>
      <c r="BQ11" s="2091"/>
      <c r="BR11" s="2091"/>
      <c r="BS11" s="2091"/>
      <c r="BT11" s="2091"/>
      <c r="BU11" s="2091"/>
      <c r="BV11" s="2091"/>
      <c r="BW11" s="2091"/>
      <c r="BX11" s="2091"/>
      <c r="BY11" s="2091"/>
      <c r="BZ11" s="2091"/>
      <c r="CA11" s="2091"/>
      <c r="CB11" s="2091"/>
      <c r="CC11" s="233"/>
      <c r="CD11" s="233">
        <f t="shared" si="1"/>
        <v>0</v>
      </c>
      <c r="CE11" s="233"/>
      <c r="CF11" s="233"/>
      <c r="CG11" s="233"/>
      <c r="CH11" s="233"/>
    </row>
    <row r="12" spans="1:86" s="234" customFormat="1" hidden="1" x14ac:dyDescent="0.2">
      <c r="A12" s="1810">
        <v>22</v>
      </c>
      <c r="B12" s="1810"/>
      <c r="C12" s="1810"/>
      <c r="D12" s="1810"/>
      <c r="E12" s="2082"/>
      <c r="F12" s="2082"/>
      <c r="G12" s="2082"/>
      <c r="H12" s="2082"/>
      <c r="I12" s="2082"/>
      <c r="J12" s="2082"/>
      <c r="K12" s="2082"/>
      <c r="L12" s="2082"/>
      <c r="M12" s="2082"/>
      <c r="N12" s="2082"/>
      <c r="O12" s="2082"/>
      <c r="P12" s="2082"/>
      <c r="Q12" s="2082"/>
      <c r="R12" s="2082"/>
      <c r="S12" s="2082"/>
      <c r="T12" s="2082"/>
      <c r="U12" s="2082"/>
      <c r="V12" s="2082"/>
      <c r="W12" s="2082"/>
      <c r="X12" s="2082"/>
      <c r="Y12" s="2082"/>
      <c r="Z12" s="2082"/>
      <c r="AA12" s="2082"/>
      <c r="AB12" s="2082"/>
      <c r="AC12" s="2082"/>
      <c r="AD12" s="2082"/>
      <c r="AE12" s="2082"/>
      <c r="AF12" s="2082"/>
      <c r="AG12" s="2082"/>
      <c r="AH12" s="2082"/>
      <c r="AI12" s="2082"/>
      <c r="AJ12" s="2082"/>
      <c r="AK12" s="2082"/>
      <c r="AL12" s="2082"/>
      <c r="AM12" s="2082"/>
      <c r="AN12" s="2091"/>
      <c r="AO12" s="2091"/>
      <c r="AP12" s="2091"/>
      <c r="AQ12" s="2091"/>
      <c r="AR12" s="2091"/>
      <c r="AS12" s="2091"/>
      <c r="AT12" s="2091"/>
      <c r="AU12" s="2091"/>
      <c r="AV12" s="2091"/>
      <c r="AW12" s="2091"/>
      <c r="AX12" s="2091"/>
      <c r="AY12" s="2091"/>
      <c r="AZ12" s="2091"/>
      <c r="BA12" s="2091"/>
      <c r="BB12" s="2091"/>
      <c r="BC12" s="2091"/>
      <c r="BD12" s="1810"/>
      <c r="BE12" s="1810"/>
      <c r="BF12" s="1810"/>
      <c r="BG12" s="1810"/>
      <c r="BH12" s="1810"/>
      <c r="BI12" s="1810"/>
      <c r="BJ12" s="1810"/>
      <c r="BK12" s="1810"/>
      <c r="BL12" s="1810"/>
      <c r="BM12" s="1810"/>
      <c r="BN12" s="2091">
        <f t="shared" si="0"/>
        <v>0</v>
      </c>
      <c r="BO12" s="2091"/>
      <c r="BP12" s="2091"/>
      <c r="BQ12" s="2091"/>
      <c r="BR12" s="2091"/>
      <c r="BS12" s="2091"/>
      <c r="BT12" s="2091"/>
      <c r="BU12" s="2091"/>
      <c r="BV12" s="2091"/>
      <c r="BW12" s="2091"/>
      <c r="BX12" s="2091"/>
      <c r="BY12" s="2091"/>
      <c r="BZ12" s="2091"/>
      <c r="CA12" s="2091"/>
      <c r="CB12" s="2091"/>
      <c r="CC12" s="233"/>
      <c r="CD12" s="233">
        <f t="shared" si="1"/>
        <v>0</v>
      </c>
      <c r="CE12" s="233"/>
      <c r="CF12" s="233"/>
      <c r="CG12" s="233"/>
      <c r="CH12" s="233"/>
    </row>
    <row r="13" spans="1:86" s="234" customFormat="1" hidden="1" x14ac:dyDescent="0.2">
      <c r="A13" s="1810">
        <v>23</v>
      </c>
      <c r="B13" s="1810"/>
      <c r="C13" s="1810"/>
      <c r="D13" s="1810"/>
      <c r="E13" s="2082"/>
      <c r="F13" s="2082"/>
      <c r="G13" s="2082"/>
      <c r="H13" s="2082"/>
      <c r="I13" s="2082"/>
      <c r="J13" s="2082"/>
      <c r="K13" s="2082"/>
      <c r="L13" s="2082"/>
      <c r="M13" s="2082"/>
      <c r="N13" s="2082"/>
      <c r="O13" s="2082"/>
      <c r="P13" s="2082"/>
      <c r="Q13" s="2082"/>
      <c r="R13" s="2082"/>
      <c r="S13" s="2082"/>
      <c r="T13" s="2082"/>
      <c r="U13" s="2082"/>
      <c r="V13" s="2082"/>
      <c r="W13" s="2082"/>
      <c r="X13" s="2082"/>
      <c r="Y13" s="2082"/>
      <c r="Z13" s="2082"/>
      <c r="AA13" s="2082"/>
      <c r="AB13" s="2082"/>
      <c r="AC13" s="2082"/>
      <c r="AD13" s="2082"/>
      <c r="AE13" s="2082"/>
      <c r="AF13" s="2082"/>
      <c r="AG13" s="2082"/>
      <c r="AH13" s="2082"/>
      <c r="AI13" s="2082"/>
      <c r="AJ13" s="2082"/>
      <c r="AK13" s="2082"/>
      <c r="AL13" s="2082"/>
      <c r="AM13" s="2082"/>
      <c r="AN13" s="2091"/>
      <c r="AO13" s="2091"/>
      <c r="AP13" s="2091"/>
      <c r="AQ13" s="2091"/>
      <c r="AR13" s="2091"/>
      <c r="AS13" s="2091"/>
      <c r="AT13" s="2091"/>
      <c r="AU13" s="2091"/>
      <c r="AV13" s="2091"/>
      <c r="AW13" s="2091"/>
      <c r="AX13" s="2091"/>
      <c r="AY13" s="2091"/>
      <c r="AZ13" s="2091"/>
      <c r="BA13" s="2091"/>
      <c r="BB13" s="2091"/>
      <c r="BC13" s="2091"/>
      <c r="BD13" s="1810"/>
      <c r="BE13" s="1810"/>
      <c r="BF13" s="1810"/>
      <c r="BG13" s="1810"/>
      <c r="BH13" s="1810"/>
      <c r="BI13" s="1810"/>
      <c r="BJ13" s="1810"/>
      <c r="BK13" s="1810"/>
      <c r="BL13" s="1810"/>
      <c r="BM13" s="1810"/>
      <c r="BN13" s="2091">
        <f t="shared" si="0"/>
        <v>0</v>
      </c>
      <c r="BO13" s="2091"/>
      <c r="BP13" s="2091"/>
      <c r="BQ13" s="2091"/>
      <c r="BR13" s="2091"/>
      <c r="BS13" s="2091"/>
      <c r="BT13" s="2091"/>
      <c r="BU13" s="2091"/>
      <c r="BV13" s="2091"/>
      <c r="BW13" s="2091"/>
      <c r="BX13" s="2091"/>
      <c r="BY13" s="2091"/>
      <c r="BZ13" s="2091"/>
      <c r="CA13" s="2091"/>
      <c r="CB13" s="2091"/>
      <c r="CC13" s="233"/>
      <c r="CD13" s="233">
        <f t="shared" si="1"/>
        <v>0</v>
      </c>
      <c r="CE13" s="233"/>
      <c r="CF13" s="233"/>
      <c r="CG13" s="233"/>
      <c r="CH13" s="233"/>
    </row>
    <row r="14" spans="1:86" s="234" customFormat="1" hidden="1" x14ac:dyDescent="0.2">
      <c r="A14" s="1810">
        <v>24</v>
      </c>
      <c r="B14" s="1810"/>
      <c r="C14" s="1810"/>
      <c r="D14" s="1810"/>
      <c r="E14" s="2082"/>
      <c r="F14" s="2082"/>
      <c r="G14" s="2082"/>
      <c r="H14" s="2082"/>
      <c r="I14" s="2082"/>
      <c r="J14" s="2082"/>
      <c r="K14" s="2082"/>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c r="AH14" s="2082"/>
      <c r="AI14" s="2082"/>
      <c r="AJ14" s="2082"/>
      <c r="AK14" s="2082"/>
      <c r="AL14" s="2082"/>
      <c r="AM14" s="2082"/>
      <c r="AN14" s="2091"/>
      <c r="AO14" s="2091"/>
      <c r="AP14" s="2091"/>
      <c r="AQ14" s="2091"/>
      <c r="AR14" s="2091"/>
      <c r="AS14" s="2091"/>
      <c r="AT14" s="2091"/>
      <c r="AU14" s="2091"/>
      <c r="AV14" s="2091"/>
      <c r="AW14" s="2091"/>
      <c r="AX14" s="2091"/>
      <c r="AY14" s="2091"/>
      <c r="AZ14" s="2091"/>
      <c r="BA14" s="2091"/>
      <c r="BB14" s="2091"/>
      <c r="BC14" s="2091"/>
      <c r="BD14" s="1810"/>
      <c r="BE14" s="1810"/>
      <c r="BF14" s="1810"/>
      <c r="BG14" s="1810"/>
      <c r="BH14" s="1810"/>
      <c r="BI14" s="1810"/>
      <c r="BJ14" s="1810"/>
      <c r="BK14" s="1810"/>
      <c r="BL14" s="1810"/>
      <c r="BM14" s="1810"/>
      <c r="BN14" s="2091">
        <f t="shared" si="0"/>
        <v>0</v>
      </c>
      <c r="BO14" s="2091"/>
      <c r="BP14" s="2091"/>
      <c r="BQ14" s="2091"/>
      <c r="BR14" s="2091"/>
      <c r="BS14" s="2091"/>
      <c r="BT14" s="2091"/>
      <c r="BU14" s="2091"/>
      <c r="BV14" s="2091"/>
      <c r="BW14" s="2091"/>
      <c r="BX14" s="2091"/>
      <c r="BY14" s="2091"/>
      <c r="BZ14" s="2091"/>
      <c r="CA14" s="2091"/>
      <c r="CB14" s="2091"/>
      <c r="CC14" s="233"/>
      <c r="CD14" s="233">
        <f t="shared" si="1"/>
        <v>0</v>
      </c>
      <c r="CE14" s="233"/>
      <c r="CF14" s="233"/>
      <c r="CG14" s="233"/>
      <c r="CH14" s="233"/>
    </row>
    <row r="15" spans="1:86" s="234" customFormat="1" hidden="1" x14ac:dyDescent="0.2">
      <c r="A15" s="1810">
        <v>25</v>
      </c>
      <c r="B15" s="1810"/>
      <c r="C15" s="1810"/>
      <c r="D15" s="1810"/>
      <c r="E15" s="2082"/>
      <c r="F15" s="2082"/>
      <c r="G15" s="2082"/>
      <c r="H15" s="2082"/>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c r="AK15" s="2082"/>
      <c r="AL15" s="2082"/>
      <c r="AM15" s="2082"/>
      <c r="AN15" s="2091"/>
      <c r="AO15" s="2091"/>
      <c r="AP15" s="2091"/>
      <c r="AQ15" s="2091"/>
      <c r="AR15" s="2091"/>
      <c r="AS15" s="2091"/>
      <c r="AT15" s="2091"/>
      <c r="AU15" s="2091"/>
      <c r="AV15" s="2091"/>
      <c r="AW15" s="2091"/>
      <c r="AX15" s="2091"/>
      <c r="AY15" s="2091"/>
      <c r="AZ15" s="2091"/>
      <c r="BA15" s="2091"/>
      <c r="BB15" s="2091"/>
      <c r="BC15" s="2091"/>
      <c r="BD15" s="1810"/>
      <c r="BE15" s="1810"/>
      <c r="BF15" s="1810"/>
      <c r="BG15" s="1810"/>
      <c r="BH15" s="1810"/>
      <c r="BI15" s="1810"/>
      <c r="BJ15" s="1810"/>
      <c r="BK15" s="1810"/>
      <c r="BL15" s="1810"/>
      <c r="BM15" s="1810"/>
      <c r="BN15" s="2091">
        <f t="shared" si="0"/>
        <v>0</v>
      </c>
      <c r="BO15" s="2091"/>
      <c r="BP15" s="2091"/>
      <c r="BQ15" s="2091"/>
      <c r="BR15" s="2091"/>
      <c r="BS15" s="2091"/>
      <c r="BT15" s="2091"/>
      <c r="BU15" s="2091"/>
      <c r="BV15" s="2091"/>
      <c r="BW15" s="2091"/>
      <c r="BX15" s="2091"/>
      <c r="BY15" s="2091"/>
      <c r="BZ15" s="2091"/>
      <c r="CA15" s="2091"/>
      <c r="CB15" s="2091"/>
      <c r="CC15" s="233"/>
      <c r="CD15" s="233">
        <f t="shared" si="1"/>
        <v>0</v>
      </c>
      <c r="CE15" s="233"/>
      <c r="CF15" s="233"/>
      <c r="CG15" s="233"/>
      <c r="CH15" s="233"/>
    </row>
    <row r="16" spans="1:86" s="234" customFormat="1" hidden="1" x14ac:dyDescent="0.2">
      <c r="A16" s="1810">
        <v>26</v>
      </c>
      <c r="B16" s="1810"/>
      <c r="C16" s="1810"/>
      <c r="D16" s="1810"/>
      <c r="E16" s="2082"/>
      <c r="F16" s="2082"/>
      <c r="G16" s="2082"/>
      <c r="H16" s="2082"/>
      <c r="I16" s="2082"/>
      <c r="J16" s="2082"/>
      <c r="K16" s="208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c r="AH16" s="2082"/>
      <c r="AI16" s="2082"/>
      <c r="AJ16" s="2082"/>
      <c r="AK16" s="2082"/>
      <c r="AL16" s="2082"/>
      <c r="AM16" s="2082"/>
      <c r="AN16" s="2091"/>
      <c r="AO16" s="2091"/>
      <c r="AP16" s="2091"/>
      <c r="AQ16" s="2091"/>
      <c r="AR16" s="2091"/>
      <c r="AS16" s="2091"/>
      <c r="AT16" s="2091"/>
      <c r="AU16" s="2091"/>
      <c r="AV16" s="2091"/>
      <c r="AW16" s="2091"/>
      <c r="AX16" s="2091"/>
      <c r="AY16" s="2091"/>
      <c r="AZ16" s="2091"/>
      <c r="BA16" s="2091"/>
      <c r="BB16" s="2091"/>
      <c r="BC16" s="2091"/>
      <c r="BD16" s="1810"/>
      <c r="BE16" s="1810"/>
      <c r="BF16" s="1810"/>
      <c r="BG16" s="1810"/>
      <c r="BH16" s="1810"/>
      <c r="BI16" s="1810"/>
      <c r="BJ16" s="1810"/>
      <c r="BK16" s="1810"/>
      <c r="BL16" s="1810"/>
      <c r="BM16" s="1810"/>
      <c r="BN16" s="2091">
        <f t="shared" si="0"/>
        <v>0</v>
      </c>
      <c r="BO16" s="2091"/>
      <c r="BP16" s="2091"/>
      <c r="BQ16" s="2091"/>
      <c r="BR16" s="2091"/>
      <c r="BS16" s="2091"/>
      <c r="BT16" s="2091"/>
      <c r="BU16" s="2091"/>
      <c r="BV16" s="2091"/>
      <c r="BW16" s="2091"/>
      <c r="BX16" s="2091"/>
      <c r="BY16" s="2091"/>
      <c r="BZ16" s="2091"/>
      <c r="CA16" s="2091"/>
      <c r="CB16" s="2091"/>
      <c r="CC16" s="233"/>
      <c r="CD16" s="233">
        <f t="shared" si="1"/>
        <v>0</v>
      </c>
      <c r="CE16" s="233"/>
      <c r="CF16" s="233"/>
      <c r="CG16" s="233"/>
      <c r="CH16" s="233"/>
    </row>
    <row r="17" spans="1:93" s="234" customFormat="1" hidden="1" x14ac:dyDescent="0.2">
      <c r="A17" s="1810">
        <v>27</v>
      </c>
      <c r="B17" s="1810"/>
      <c r="C17" s="1810"/>
      <c r="D17" s="1810"/>
      <c r="E17" s="2082"/>
      <c r="F17" s="2082"/>
      <c r="G17" s="2082"/>
      <c r="H17" s="2082"/>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2082"/>
      <c r="AL17" s="2082"/>
      <c r="AM17" s="2082"/>
      <c r="AN17" s="2091"/>
      <c r="AO17" s="2091"/>
      <c r="AP17" s="2091"/>
      <c r="AQ17" s="2091"/>
      <c r="AR17" s="2091"/>
      <c r="AS17" s="2091"/>
      <c r="AT17" s="2091"/>
      <c r="AU17" s="2091"/>
      <c r="AV17" s="2091"/>
      <c r="AW17" s="2091"/>
      <c r="AX17" s="2091"/>
      <c r="AY17" s="2091"/>
      <c r="AZ17" s="2091"/>
      <c r="BA17" s="2091"/>
      <c r="BB17" s="2091"/>
      <c r="BC17" s="2091"/>
      <c r="BD17" s="1810"/>
      <c r="BE17" s="1810"/>
      <c r="BF17" s="1810"/>
      <c r="BG17" s="1810"/>
      <c r="BH17" s="1810"/>
      <c r="BI17" s="1810"/>
      <c r="BJ17" s="1810"/>
      <c r="BK17" s="1810"/>
      <c r="BL17" s="1810"/>
      <c r="BM17" s="1810"/>
      <c r="BN17" s="2091">
        <f t="shared" si="0"/>
        <v>0</v>
      </c>
      <c r="BO17" s="2091"/>
      <c r="BP17" s="2091"/>
      <c r="BQ17" s="2091"/>
      <c r="BR17" s="2091"/>
      <c r="BS17" s="2091"/>
      <c r="BT17" s="2091"/>
      <c r="BU17" s="2091"/>
      <c r="BV17" s="2091"/>
      <c r="BW17" s="2091"/>
      <c r="BX17" s="2091"/>
      <c r="BY17" s="2091"/>
      <c r="BZ17" s="2091"/>
      <c r="CA17" s="2091"/>
      <c r="CB17" s="2091"/>
      <c r="CC17" s="233"/>
      <c r="CD17" s="233">
        <f t="shared" si="1"/>
        <v>0</v>
      </c>
      <c r="CE17" s="233"/>
      <c r="CF17" s="233"/>
      <c r="CG17" s="233"/>
      <c r="CH17" s="233"/>
    </row>
    <row r="18" spans="1:93" s="234" customFormat="1" hidden="1" x14ac:dyDescent="0.2">
      <c r="A18" s="1810">
        <v>28</v>
      </c>
      <c r="B18" s="1810"/>
      <c r="C18" s="1810"/>
      <c r="D18" s="1810"/>
      <c r="E18" s="2082"/>
      <c r="F18" s="2082"/>
      <c r="G18" s="2082"/>
      <c r="H18" s="2082"/>
      <c r="I18" s="2082"/>
      <c r="J18" s="2082"/>
      <c r="K18" s="2082"/>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2082"/>
      <c r="AL18" s="2082"/>
      <c r="AM18" s="2082"/>
      <c r="AN18" s="2091"/>
      <c r="AO18" s="2091"/>
      <c r="AP18" s="2091"/>
      <c r="AQ18" s="2091"/>
      <c r="AR18" s="2091"/>
      <c r="AS18" s="2091"/>
      <c r="AT18" s="2091"/>
      <c r="AU18" s="2091"/>
      <c r="AV18" s="2091"/>
      <c r="AW18" s="2091"/>
      <c r="AX18" s="2091"/>
      <c r="AY18" s="2091"/>
      <c r="AZ18" s="2091"/>
      <c r="BA18" s="2091"/>
      <c r="BB18" s="2091"/>
      <c r="BC18" s="2091"/>
      <c r="BD18" s="1810"/>
      <c r="BE18" s="1810"/>
      <c r="BF18" s="1810"/>
      <c r="BG18" s="1810"/>
      <c r="BH18" s="1810"/>
      <c r="BI18" s="1810"/>
      <c r="BJ18" s="1810"/>
      <c r="BK18" s="1810"/>
      <c r="BL18" s="1810"/>
      <c r="BM18" s="1810"/>
      <c r="BN18" s="2091">
        <f t="shared" si="0"/>
        <v>0</v>
      </c>
      <c r="BO18" s="2091"/>
      <c r="BP18" s="2091"/>
      <c r="BQ18" s="2091"/>
      <c r="BR18" s="2091"/>
      <c r="BS18" s="2091"/>
      <c r="BT18" s="2091"/>
      <c r="BU18" s="2091"/>
      <c r="BV18" s="2091"/>
      <c r="BW18" s="2091"/>
      <c r="BX18" s="2091"/>
      <c r="BY18" s="2091"/>
      <c r="BZ18" s="2091"/>
      <c r="CA18" s="2091"/>
      <c r="CB18" s="2091"/>
      <c r="CC18" s="233"/>
      <c r="CD18" s="233">
        <f t="shared" si="1"/>
        <v>0</v>
      </c>
      <c r="CE18" s="233"/>
      <c r="CF18" s="233"/>
      <c r="CG18" s="233"/>
      <c r="CH18" s="233"/>
    </row>
    <row r="19" spans="1:93" s="234" customFormat="1" hidden="1" x14ac:dyDescent="0.2">
      <c r="A19" s="1810">
        <v>29</v>
      </c>
      <c r="B19" s="1810"/>
      <c r="C19" s="1810"/>
      <c r="D19" s="1810"/>
      <c r="E19" s="2082"/>
      <c r="F19" s="2082"/>
      <c r="G19" s="2082"/>
      <c r="H19" s="2082"/>
      <c r="I19" s="2082"/>
      <c r="J19" s="2082"/>
      <c r="K19" s="2082"/>
      <c r="L19" s="2082"/>
      <c r="M19" s="2082"/>
      <c r="N19" s="2082"/>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c r="AK19" s="2082"/>
      <c r="AL19" s="2082"/>
      <c r="AM19" s="2082"/>
      <c r="AN19" s="2091"/>
      <c r="AO19" s="2091"/>
      <c r="AP19" s="2091"/>
      <c r="AQ19" s="2091"/>
      <c r="AR19" s="2091"/>
      <c r="AS19" s="2091"/>
      <c r="AT19" s="2091"/>
      <c r="AU19" s="2091"/>
      <c r="AV19" s="2091"/>
      <c r="AW19" s="2091"/>
      <c r="AX19" s="2091"/>
      <c r="AY19" s="2091"/>
      <c r="AZ19" s="2091"/>
      <c r="BA19" s="2091"/>
      <c r="BB19" s="2091"/>
      <c r="BC19" s="2091"/>
      <c r="BD19" s="1810"/>
      <c r="BE19" s="1810"/>
      <c r="BF19" s="1810"/>
      <c r="BG19" s="1810"/>
      <c r="BH19" s="1810"/>
      <c r="BI19" s="1810"/>
      <c r="BJ19" s="1810"/>
      <c r="BK19" s="1810"/>
      <c r="BL19" s="1810"/>
      <c r="BM19" s="1810"/>
      <c r="BN19" s="2091">
        <f t="shared" si="0"/>
        <v>0</v>
      </c>
      <c r="BO19" s="2091"/>
      <c r="BP19" s="2091"/>
      <c r="BQ19" s="2091"/>
      <c r="BR19" s="2091"/>
      <c r="BS19" s="2091"/>
      <c r="BT19" s="2091"/>
      <c r="BU19" s="2091"/>
      <c r="BV19" s="2091"/>
      <c r="BW19" s="2091"/>
      <c r="BX19" s="2091"/>
      <c r="BY19" s="2091"/>
      <c r="BZ19" s="2091"/>
      <c r="CA19" s="2091"/>
      <c r="CB19" s="2091"/>
      <c r="CC19" s="233"/>
      <c r="CD19" s="233">
        <f t="shared" si="1"/>
        <v>0</v>
      </c>
      <c r="CE19" s="233"/>
      <c r="CF19" s="233"/>
      <c r="CG19" s="233"/>
      <c r="CH19" s="233"/>
    </row>
    <row r="20" spans="1:93" s="234" customFormat="1" hidden="1" x14ac:dyDescent="0.2">
      <c r="A20" s="1810">
        <v>30</v>
      </c>
      <c r="B20" s="1810"/>
      <c r="C20" s="1810"/>
      <c r="D20" s="1810"/>
      <c r="E20" s="2082"/>
      <c r="F20" s="2082"/>
      <c r="G20" s="2082"/>
      <c r="H20" s="2082"/>
      <c r="I20" s="2082"/>
      <c r="J20" s="2082"/>
      <c r="K20" s="2082"/>
      <c r="L20" s="2082"/>
      <c r="M20" s="2082"/>
      <c r="N20" s="2082"/>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c r="AK20" s="2082"/>
      <c r="AL20" s="2082"/>
      <c r="AM20" s="2082"/>
      <c r="AN20" s="2091"/>
      <c r="AO20" s="2091"/>
      <c r="AP20" s="2091"/>
      <c r="AQ20" s="2091"/>
      <c r="AR20" s="2091"/>
      <c r="AS20" s="2091"/>
      <c r="AT20" s="2091"/>
      <c r="AU20" s="2091"/>
      <c r="AV20" s="2091"/>
      <c r="AW20" s="2091"/>
      <c r="AX20" s="2091"/>
      <c r="AY20" s="2091"/>
      <c r="AZ20" s="2091"/>
      <c r="BA20" s="2091"/>
      <c r="BB20" s="2091"/>
      <c r="BC20" s="2091"/>
      <c r="BD20" s="1810"/>
      <c r="BE20" s="1810"/>
      <c r="BF20" s="1810"/>
      <c r="BG20" s="1810"/>
      <c r="BH20" s="1810"/>
      <c r="BI20" s="1810"/>
      <c r="BJ20" s="1810"/>
      <c r="BK20" s="1810"/>
      <c r="BL20" s="1810"/>
      <c r="BM20" s="1810"/>
      <c r="BN20" s="2091">
        <f t="shared" si="0"/>
        <v>0</v>
      </c>
      <c r="BO20" s="2091"/>
      <c r="BP20" s="2091"/>
      <c r="BQ20" s="2091"/>
      <c r="BR20" s="2091"/>
      <c r="BS20" s="2091"/>
      <c r="BT20" s="2091"/>
      <c r="BU20" s="2091"/>
      <c r="BV20" s="2091"/>
      <c r="BW20" s="2091"/>
      <c r="BX20" s="2091"/>
      <c r="BY20" s="2091"/>
      <c r="BZ20" s="2091"/>
      <c r="CA20" s="2091"/>
      <c r="CB20" s="2091"/>
      <c r="CC20" s="233"/>
      <c r="CD20" s="233">
        <f t="shared" si="1"/>
        <v>0</v>
      </c>
      <c r="CE20" s="233"/>
      <c r="CF20" s="233"/>
      <c r="CG20" s="233"/>
      <c r="CH20" s="233"/>
    </row>
    <row r="21" spans="1:93" s="234" customFormat="1" hidden="1" x14ac:dyDescent="0.2">
      <c r="A21" s="1810">
        <v>31</v>
      </c>
      <c r="B21" s="1810"/>
      <c r="C21" s="1810"/>
      <c r="D21" s="1810"/>
      <c r="E21" s="2082"/>
      <c r="F21" s="2082"/>
      <c r="G21" s="2082"/>
      <c r="H21" s="2082"/>
      <c r="I21" s="2082"/>
      <c r="J21" s="2082"/>
      <c r="K21" s="2082"/>
      <c r="L21" s="2082"/>
      <c r="M21" s="2082"/>
      <c r="N21" s="2082"/>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c r="AL21" s="2082"/>
      <c r="AM21" s="2082"/>
      <c r="AN21" s="2091"/>
      <c r="AO21" s="2091"/>
      <c r="AP21" s="2091"/>
      <c r="AQ21" s="2091"/>
      <c r="AR21" s="2091"/>
      <c r="AS21" s="2091"/>
      <c r="AT21" s="2091"/>
      <c r="AU21" s="2091"/>
      <c r="AV21" s="2091"/>
      <c r="AW21" s="2091"/>
      <c r="AX21" s="2091"/>
      <c r="AY21" s="2091"/>
      <c r="AZ21" s="2091"/>
      <c r="BA21" s="2091"/>
      <c r="BB21" s="2091"/>
      <c r="BC21" s="2091"/>
      <c r="BD21" s="1810"/>
      <c r="BE21" s="1810"/>
      <c r="BF21" s="1810"/>
      <c r="BG21" s="1810"/>
      <c r="BH21" s="1810"/>
      <c r="BI21" s="1810"/>
      <c r="BJ21" s="1810"/>
      <c r="BK21" s="1810"/>
      <c r="BL21" s="1810"/>
      <c r="BM21" s="1810"/>
      <c r="BN21" s="2091">
        <f t="shared" si="0"/>
        <v>0</v>
      </c>
      <c r="BO21" s="2091"/>
      <c r="BP21" s="2091"/>
      <c r="BQ21" s="2091"/>
      <c r="BR21" s="2091"/>
      <c r="BS21" s="2091"/>
      <c r="BT21" s="2091"/>
      <c r="BU21" s="2091"/>
      <c r="BV21" s="2091"/>
      <c r="BW21" s="2091"/>
      <c r="BX21" s="2091"/>
      <c r="BY21" s="2091"/>
      <c r="BZ21" s="2091"/>
      <c r="CA21" s="2091"/>
      <c r="CB21" s="2091"/>
      <c r="CC21" s="233"/>
      <c r="CD21" s="233">
        <f t="shared" si="1"/>
        <v>0</v>
      </c>
      <c r="CE21" s="233"/>
      <c r="CF21" s="233"/>
      <c r="CG21" s="233"/>
      <c r="CH21" s="233"/>
    </row>
    <row r="22" spans="1:93" s="234" customFormat="1" hidden="1" x14ac:dyDescent="0.2">
      <c r="A22" s="1810">
        <v>32</v>
      </c>
      <c r="B22" s="1810"/>
      <c r="C22" s="1810"/>
      <c r="D22" s="1810"/>
      <c r="E22" s="2082"/>
      <c r="F22" s="2082"/>
      <c r="G22" s="2082"/>
      <c r="H22" s="2082"/>
      <c r="I22" s="2082"/>
      <c r="J22" s="2082"/>
      <c r="K22" s="2082"/>
      <c r="L22" s="2082"/>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c r="AK22" s="2082"/>
      <c r="AL22" s="2082"/>
      <c r="AM22" s="2082"/>
      <c r="AN22" s="2091"/>
      <c r="AO22" s="2091"/>
      <c r="AP22" s="2091"/>
      <c r="AQ22" s="2091"/>
      <c r="AR22" s="2091"/>
      <c r="AS22" s="2091"/>
      <c r="AT22" s="2091"/>
      <c r="AU22" s="2091"/>
      <c r="AV22" s="2091"/>
      <c r="AW22" s="2091"/>
      <c r="AX22" s="2091"/>
      <c r="AY22" s="2091"/>
      <c r="AZ22" s="2091"/>
      <c r="BA22" s="2091"/>
      <c r="BB22" s="2091"/>
      <c r="BC22" s="2091"/>
      <c r="BD22" s="1810"/>
      <c r="BE22" s="1810"/>
      <c r="BF22" s="1810"/>
      <c r="BG22" s="1810"/>
      <c r="BH22" s="1810"/>
      <c r="BI22" s="1810"/>
      <c r="BJ22" s="1810"/>
      <c r="BK22" s="1810"/>
      <c r="BL22" s="1810"/>
      <c r="BM22" s="1810"/>
      <c r="BN22" s="2091">
        <f t="shared" si="0"/>
        <v>0</v>
      </c>
      <c r="BO22" s="2091"/>
      <c r="BP22" s="2091"/>
      <c r="BQ22" s="2091"/>
      <c r="BR22" s="2091"/>
      <c r="BS22" s="2091"/>
      <c r="BT22" s="2091"/>
      <c r="BU22" s="2091"/>
      <c r="BV22" s="2091"/>
      <c r="BW22" s="2091"/>
      <c r="BX22" s="2091"/>
      <c r="BY22" s="2091"/>
      <c r="BZ22" s="2091"/>
      <c r="CA22" s="2091"/>
      <c r="CB22" s="2091"/>
      <c r="CC22" s="233"/>
      <c r="CD22" s="233">
        <f t="shared" si="1"/>
        <v>0</v>
      </c>
      <c r="CE22" s="233"/>
      <c r="CF22" s="233"/>
      <c r="CG22" s="233"/>
      <c r="CH22" s="233"/>
    </row>
    <row r="23" spans="1:93" s="29" customFormat="1" x14ac:dyDescent="0.2">
      <c r="A23" s="1831" t="s">
        <v>701</v>
      </c>
      <c r="B23" s="1832"/>
      <c r="C23" s="1832"/>
      <c r="D23" s="1832"/>
      <c r="E23" s="1832"/>
      <c r="F23" s="1832"/>
      <c r="G23" s="1832"/>
      <c r="H23" s="1832"/>
      <c r="I23" s="1832"/>
      <c r="J23" s="1832"/>
      <c r="K23" s="1832"/>
      <c r="L23" s="1832"/>
      <c r="M23" s="1832"/>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c r="AL23" s="1832"/>
      <c r="AM23" s="1833"/>
      <c r="AN23" s="1913" t="s">
        <v>3</v>
      </c>
      <c r="AO23" s="1913"/>
      <c r="AP23" s="1913"/>
      <c r="AQ23" s="1913"/>
      <c r="AR23" s="1913"/>
      <c r="AS23" s="1913"/>
      <c r="AT23" s="1913"/>
      <c r="AU23" s="1913"/>
      <c r="AV23" s="1913"/>
      <c r="AW23" s="1913"/>
      <c r="AX23" s="1913"/>
      <c r="AY23" s="1913"/>
      <c r="AZ23" s="1913"/>
      <c r="BA23" s="1913"/>
      <c r="BB23" s="1913"/>
      <c r="BC23" s="1913"/>
      <c r="BD23" s="1913" t="s">
        <v>3</v>
      </c>
      <c r="BE23" s="1913"/>
      <c r="BF23" s="1913"/>
      <c r="BG23" s="1913"/>
      <c r="BH23" s="1913"/>
      <c r="BI23" s="1913"/>
      <c r="BJ23" s="1913"/>
      <c r="BK23" s="1913"/>
      <c r="BL23" s="1913"/>
      <c r="BM23" s="1913"/>
      <c r="BN23" s="2203">
        <f>SUM(CC23:CH23)</f>
        <v>0</v>
      </c>
      <c r="BO23" s="2203"/>
      <c r="BP23" s="2203"/>
      <c r="BQ23" s="2203"/>
      <c r="BR23" s="2203"/>
      <c r="BS23" s="2203"/>
      <c r="BT23" s="2203"/>
      <c r="BU23" s="2203"/>
      <c r="BV23" s="2203"/>
      <c r="BW23" s="2203"/>
      <c r="BX23" s="2203"/>
      <c r="BY23" s="2203"/>
      <c r="BZ23" s="2203"/>
      <c r="CA23" s="2203"/>
      <c r="CB23" s="2203"/>
      <c r="CC23" s="236">
        <f>SUM(CC8)</f>
        <v>0</v>
      </c>
      <c r="CD23" s="236">
        <f>SUM(CD8)</f>
        <v>0</v>
      </c>
      <c r="CE23" s="236"/>
      <c r="CF23" s="236"/>
      <c r="CG23" s="236"/>
      <c r="CH23" s="236">
        <f>SUM(CH8:CH8)</f>
        <v>0</v>
      </c>
    </row>
    <row r="24" spans="1:93" ht="15.75" x14ac:dyDescent="0.25">
      <c r="A24" s="19" t="s">
        <v>939</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row>
    <row r="25" spans="1:93" x14ac:dyDescent="0.2">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7"/>
      <c r="CD25" s="7"/>
      <c r="CE25" s="7"/>
      <c r="CF25" s="7"/>
      <c r="CG25" s="7"/>
      <c r="CH25" s="7"/>
    </row>
    <row r="26" spans="1:93" x14ac:dyDescent="0.2">
      <c r="A26" s="1781" t="s">
        <v>38</v>
      </c>
      <c r="B26" s="1925"/>
      <c r="C26" s="1925"/>
      <c r="D26" s="1782"/>
      <c r="E26" s="1818" t="s">
        <v>4</v>
      </c>
      <c r="F26" s="1819"/>
      <c r="G26" s="1819"/>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1819"/>
      <c r="AM26" s="1820"/>
      <c r="AN26" s="1781" t="s">
        <v>139</v>
      </c>
      <c r="AO26" s="1925"/>
      <c r="AP26" s="1925"/>
      <c r="AQ26" s="1925"/>
      <c r="AR26" s="1925"/>
      <c r="AS26" s="1925"/>
      <c r="AT26" s="1925"/>
      <c r="AU26" s="1925"/>
      <c r="AV26" s="1925"/>
      <c r="AW26" s="1925"/>
      <c r="AX26" s="1925"/>
      <c r="AY26" s="1925"/>
      <c r="AZ26" s="1925"/>
      <c r="BA26" s="1925"/>
      <c r="BB26" s="1925"/>
      <c r="BC26" s="1782"/>
      <c r="BD26" s="1781" t="s">
        <v>140</v>
      </c>
      <c r="BE26" s="1925"/>
      <c r="BF26" s="1925"/>
      <c r="BG26" s="1925"/>
      <c r="BH26" s="1925"/>
      <c r="BI26" s="1925"/>
      <c r="BJ26" s="1925"/>
      <c r="BK26" s="1925"/>
      <c r="BL26" s="1925"/>
      <c r="BM26" s="1782"/>
      <c r="BN26" s="1781" t="s">
        <v>624</v>
      </c>
      <c r="BO26" s="1925"/>
      <c r="BP26" s="1925"/>
      <c r="BQ26" s="1925"/>
      <c r="BR26" s="1925"/>
      <c r="BS26" s="1925"/>
      <c r="BT26" s="1925"/>
      <c r="BU26" s="1925"/>
      <c r="BV26" s="1925"/>
      <c r="BW26" s="1925"/>
      <c r="BX26" s="1925"/>
      <c r="BY26" s="1925"/>
      <c r="BZ26" s="1925"/>
      <c r="CA26" s="1925"/>
      <c r="CB26" s="1782"/>
      <c r="CC26" s="1806" t="s">
        <v>52</v>
      </c>
      <c r="CD26" s="1806"/>
      <c r="CE26" s="1806"/>
      <c r="CF26" s="1806"/>
      <c r="CG26" s="1806"/>
      <c r="CH26" s="1806"/>
    </row>
    <row r="27" spans="1:93" x14ac:dyDescent="0.2">
      <c r="A27" s="1783"/>
      <c r="B27" s="1926"/>
      <c r="C27" s="1926"/>
      <c r="D27" s="1784"/>
      <c r="E27" s="1807"/>
      <c r="F27" s="1808"/>
      <c r="G27" s="1808"/>
      <c r="H27" s="1808"/>
      <c r="I27" s="1808"/>
      <c r="J27" s="1808"/>
      <c r="K27" s="1808"/>
      <c r="L27" s="1808"/>
      <c r="M27" s="1808"/>
      <c r="N27" s="1808"/>
      <c r="O27" s="1808"/>
      <c r="P27" s="1808"/>
      <c r="Q27" s="1808"/>
      <c r="R27" s="1808"/>
      <c r="S27" s="1808"/>
      <c r="T27" s="1808"/>
      <c r="U27" s="1808"/>
      <c r="V27" s="1808"/>
      <c r="W27" s="1808"/>
      <c r="X27" s="1808"/>
      <c r="Y27" s="1808"/>
      <c r="Z27" s="1808"/>
      <c r="AA27" s="1808"/>
      <c r="AB27" s="1808"/>
      <c r="AC27" s="1808"/>
      <c r="AD27" s="1808"/>
      <c r="AE27" s="1808"/>
      <c r="AF27" s="1808"/>
      <c r="AG27" s="1808"/>
      <c r="AH27" s="1808"/>
      <c r="AI27" s="1808"/>
      <c r="AJ27" s="1808"/>
      <c r="AK27" s="1808"/>
      <c r="AL27" s="1808"/>
      <c r="AM27" s="1809"/>
      <c r="AN27" s="1783"/>
      <c r="AO27" s="1926"/>
      <c r="AP27" s="1926"/>
      <c r="AQ27" s="1926"/>
      <c r="AR27" s="1926"/>
      <c r="AS27" s="1926"/>
      <c r="AT27" s="1926"/>
      <c r="AU27" s="1926"/>
      <c r="AV27" s="1926"/>
      <c r="AW27" s="1926"/>
      <c r="AX27" s="1926"/>
      <c r="AY27" s="1926"/>
      <c r="AZ27" s="1926"/>
      <c r="BA27" s="1926"/>
      <c r="BB27" s="1926"/>
      <c r="BC27" s="1784"/>
      <c r="BD27" s="1783"/>
      <c r="BE27" s="1926"/>
      <c r="BF27" s="1926"/>
      <c r="BG27" s="1926"/>
      <c r="BH27" s="1926"/>
      <c r="BI27" s="1926"/>
      <c r="BJ27" s="1926"/>
      <c r="BK27" s="1926"/>
      <c r="BL27" s="1926"/>
      <c r="BM27" s="1784"/>
      <c r="BN27" s="1783"/>
      <c r="BO27" s="1926"/>
      <c r="BP27" s="1926"/>
      <c r="BQ27" s="1926"/>
      <c r="BR27" s="1926"/>
      <c r="BS27" s="1926"/>
      <c r="BT27" s="1926"/>
      <c r="BU27" s="1926"/>
      <c r="BV27" s="1926"/>
      <c r="BW27" s="1926"/>
      <c r="BX27" s="1926"/>
      <c r="BY27" s="1926"/>
      <c r="BZ27" s="1926"/>
      <c r="CA27" s="1926"/>
      <c r="CB27" s="1784"/>
      <c r="CC27" s="1810" t="s">
        <v>35</v>
      </c>
      <c r="CD27" s="1810"/>
      <c r="CE27" s="1788" t="s">
        <v>45</v>
      </c>
      <c r="CF27" s="1790"/>
      <c r="CG27" s="1789"/>
      <c r="CH27" s="1778" t="s">
        <v>46</v>
      </c>
    </row>
    <row r="28" spans="1:93" x14ac:dyDescent="0.2">
      <c r="A28" s="1783"/>
      <c r="B28" s="1926"/>
      <c r="C28" s="1926"/>
      <c r="D28" s="1784"/>
      <c r="E28" s="1807"/>
      <c r="F28" s="1808"/>
      <c r="G28" s="1808"/>
      <c r="H28" s="1808"/>
      <c r="I28" s="1808"/>
      <c r="J28" s="1808"/>
      <c r="K28" s="1808"/>
      <c r="L28" s="1808"/>
      <c r="M28" s="1808"/>
      <c r="N28" s="1808"/>
      <c r="O28" s="1808"/>
      <c r="P28" s="1808"/>
      <c r="Q28" s="1808"/>
      <c r="R28" s="1808"/>
      <c r="S28" s="1808"/>
      <c r="T28" s="1808"/>
      <c r="U28" s="1808"/>
      <c r="V28" s="1808"/>
      <c r="W28" s="1808"/>
      <c r="X28" s="1808"/>
      <c r="Y28" s="1808"/>
      <c r="Z28" s="1808"/>
      <c r="AA28" s="1808"/>
      <c r="AB28" s="1808"/>
      <c r="AC28" s="1808"/>
      <c r="AD28" s="1808"/>
      <c r="AE28" s="1808"/>
      <c r="AF28" s="1808"/>
      <c r="AG28" s="1808"/>
      <c r="AH28" s="1808"/>
      <c r="AI28" s="1808"/>
      <c r="AJ28" s="1808"/>
      <c r="AK28" s="1808"/>
      <c r="AL28" s="1808"/>
      <c r="AM28" s="1809"/>
      <c r="AN28" s="1783"/>
      <c r="AO28" s="1926"/>
      <c r="AP28" s="1926"/>
      <c r="AQ28" s="1926"/>
      <c r="AR28" s="1926"/>
      <c r="AS28" s="1926"/>
      <c r="AT28" s="1926"/>
      <c r="AU28" s="1926"/>
      <c r="AV28" s="1926"/>
      <c r="AW28" s="1926"/>
      <c r="AX28" s="1926"/>
      <c r="AY28" s="1926"/>
      <c r="AZ28" s="1926"/>
      <c r="BA28" s="1926"/>
      <c r="BB28" s="1926"/>
      <c r="BC28" s="1784"/>
      <c r="BD28" s="1783"/>
      <c r="BE28" s="1926"/>
      <c r="BF28" s="1926"/>
      <c r="BG28" s="1926"/>
      <c r="BH28" s="1926"/>
      <c r="BI28" s="1926"/>
      <c r="BJ28" s="1926"/>
      <c r="BK28" s="1926"/>
      <c r="BL28" s="1926"/>
      <c r="BM28" s="1784"/>
      <c r="BN28" s="1783"/>
      <c r="BO28" s="1926"/>
      <c r="BP28" s="1926"/>
      <c r="BQ28" s="1926"/>
      <c r="BR28" s="1926"/>
      <c r="BS28" s="1926"/>
      <c r="BT28" s="1926"/>
      <c r="BU28" s="1926"/>
      <c r="BV28" s="1926"/>
      <c r="BW28" s="1926"/>
      <c r="BX28" s="1926"/>
      <c r="BY28" s="1926"/>
      <c r="BZ28" s="1926"/>
      <c r="CA28" s="1926"/>
      <c r="CB28" s="1784"/>
      <c r="CC28" s="1811" t="s">
        <v>43</v>
      </c>
      <c r="CD28" s="1811" t="s">
        <v>44</v>
      </c>
      <c r="CE28" s="1812" t="s">
        <v>55</v>
      </c>
      <c r="CF28" s="1811" t="s">
        <v>43</v>
      </c>
      <c r="CG28" s="1811" t="s">
        <v>44</v>
      </c>
      <c r="CH28" s="1779"/>
    </row>
    <row r="29" spans="1:93" x14ac:dyDescent="0.2">
      <c r="A29" s="1785"/>
      <c r="B29" s="1927"/>
      <c r="C29" s="1927"/>
      <c r="D29" s="1786"/>
      <c r="E29" s="1814"/>
      <c r="F29" s="1815"/>
      <c r="G29" s="1815"/>
      <c r="H29" s="1815"/>
      <c r="I29" s="1815"/>
      <c r="J29" s="1815"/>
      <c r="K29" s="1815"/>
      <c r="L29" s="1815"/>
      <c r="M29" s="1815"/>
      <c r="N29" s="1815"/>
      <c r="O29" s="1815"/>
      <c r="P29" s="1815"/>
      <c r="Q29" s="1815"/>
      <c r="R29" s="1815"/>
      <c r="S29" s="1815"/>
      <c r="T29" s="1815"/>
      <c r="U29" s="1815"/>
      <c r="V29" s="1815"/>
      <c r="W29" s="1815"/>
      <c r="X29" s="1815"/>
      <c r="Y29" s="1815"/>
      <c r="Z29" s="1815"/>
      <c r="AA29" s="1815"/>
      <c r="AB29" s="1815"/>
      <c r="AC29" s="1815"/>
      <c r="AD29" s="1815"/>
      <c r="AE29" s="1815"/>
      <c r="AF29" s="1815"/>
      <c r="AG29" s="1815"/>
      <c r="AH29" s="1815"/>
      <c r="AI29" s="1815"/>
      <c r="AJ29" s="1815"/>
      <c r="AK29" s="1815"/>
      <c r="AL29" s="1815"/>
      <c r="AM29" s="1816"/>
      <c r="AN29" s="1785"/>
      <c r="AO29" s="1927"/>
      <c r="AP29" s="1927"/>
      <c r="AQ29" s="1927"/>
      <c r="AR29" s="1927"/>
      <c r="AS29" s="1927"/>
      <c r="AT29" s="1927"/>
      <c r="AU29" s="1927"/>
      <c r="AV29" s="1927"/>
      <c r="AW29" s="1927"/>
      <c r="AX29" s="1927"/>
      <c r="AY29" s="1927"/>
      <c r="AZ29" s="1927"/>
      <c r="BA29" s="1927"/>
      <c r="BB29" s="1927"/>
      <c r="BC29" s="1786"/>
      <c r="BD29" s="1785"/>
      <c r="BE29" s="1927"/>
      <c r="BF29" s="1927"/>
      <c r="BG29" s="1927"/>
      <c r="BH29" s="1927"/>
      <c r="BI29" s="1927"/>
      <c r="BJ29" s="1927"/>
      <c r="BK29" s="1927"/>
      <c r="BL29" s="1927"/>
      <c r="BM29" s="1786"/>
      <c r="BN29" s="1785"/>
      <c r="BO29" s="1927"/>
      <c r="BP29" s="1927"/>
      <c r="BQ29" s="1927"/>
      <c r="BR29" s="1927"/>
      <c r="BS29" s="1927"/>
      <c r="BT29" s="1927"/>
      <c r="BU29" s="1927"/>
      <c r="BV29" s="1927"/>
      <c r="BW29" s="1927"/>
      <c r="BX29" s="1927"/>
      <c r="BY29" s="1927"/>
      <c r="BZ29" s="1927"/>
      <c r="CA29" s="1927"/>
      <c r="CB29" s="1786"/>
      <c r="CC29" s="1811"/>
      <c r="CD29" s="1811"/>
      <c r="CE29" s="1813"/>
      <c r="CF29" s="1811"/>
      <c r="CG29" s="1811"/>
      <c r="CH29" s="1780"/>
    </row>
    <row r="30" spans="1:93" x14ac:dyDescent="0.2">
      <c r="A30" s="1830">
        <v>1</v>
      </c>
      <c r="B30" s="1830"/>
      <c r="C30" s="1830"/>
      <c r="D30" s="1830"/>
      <c r="E30" s="1830">
        <v>2</v>
      </c>
      <c r="F30" s="1830"/>
      <c r="G30" s="1830"/>
      <c r="H30" s="1830"/>
      <c r="I30" s="1830"/>
      <c r="J30" s="1830"/>
      <c r="K30" s="1830"/>
      <c r="L30" s="1830"/>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0"/>
      <c r="AK30" s="1830"/>
      <c r="AL30" s="1830"/>
      <c r="AM30" s="1830"/>
      <c r="AN30" s="1830">
        <v>3</v>
      </c>
      <c r="AO30" s="1830"/>
      <c r="AP30" s="1830"/>
      <c r="AQ30" s="1830"/>
      <c r="AR30" s="1830"/>
      <c r="AS30" s="1830"/>
      <c r="AT30" s="1830"/>
      <c r="AU30" s="1830"/>
      <c r="AV30" s="1830"/>
      <c r="AW30" s="1830"/>
      <c r="AX30" s="1830"/>
      <c r="AY30" s="1830"/>
      <c r="AZ30" s="1830"/>
      <c r="BA30" s="1830"/>
      <c r="BB30" s="1830"/>
      <c r="BC30" s="1830"/>
      <c r="BD30" s="1830">
        <v>4</v>
      </c>
      <c r="BE30" s="1830"/>
      <c r="BF30" s="1830"/>
      <c r="BG30" s="1830"/>
      <c r="BH30" s="1830"/>
      <c r="BI30" s="1830"/>
      <c r="BJ30" s="1830"/>
      <c r="BK30" s="1830"/>
      <c r="BL30" s="1830"/>
      <c r="BM30" s="1830"/>
      <c r="BN30" s="1830" t="s">
        <v>49</v>
      </c>
      <c r="BO30" s="1830"/>
      <c r="BP30" s="1830"/>
      <c r="BQ30" s="1830"/>
      <c r="BR30" s="1830"/>
      <c r="BS30" s="1830"/>
      <c r="BT30" s="1830"/>
      <c r="BU30" s="1830"/>
      <c r="BV30" s="1830"/>
      <c r="BW30" s="1830"/>
      <c r="BX30" s="1830"/>
      <c r="BY30" s="1830"/>
      <c r="BZ30" s="1830"/>
      <c r="CA30" s="1830"/>
      <c r="CB30" s="1830"/>
      <c r="CC30" s="15">
        <v>6</v>
      </c>
      <c r="CD30" s="15">
        <v>7</v>
      </c>
      <c r="CE30" s="15">
        <v>8</v>
      </c>
      <c r="CF30" s="15">
        <v>9</v>
      </c>
      <c r="CG30" s="15">
        <v>10</v>
      </c>
      <c r="CH30" s="15">
        <v>11</v>
      </c>
    </row>
    <row r="31" spans="1:93" s="234" customFormat="1" ht="21.75" customHeight="1" x14ac:dyDescent="0.2">
      <c r="A31" s="1810">
        <v>1</v>
      </c>
      <c r="B31" s="1810"/>
      <c r="C31" s="1810"/>
      <c r="D31" s="1810"/>
      <c r="E31" s="2082" t="s">
        <v>677</v>
      </c>
      <c r="F31" s="2082"/>
      <c r="G31" s="2082"/>
      <c r="H31" s="2082"/>
      <c r="I31" s="2082"/>
      <c r="J31" s="2082"/>
      <c r="K31" s="2082"/>
      <c r="L31" s="2082"/>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2"/>
      <c r="AJ31" s="2082"/>
      <c r="AK31" s="2082"/>
      <c r="AL31" s="2082"/>
      <c r="AM31" s="2082"/>
      <c r="AN31" s="2091">
        <v>15661.8</v>
      </c>
      <c r="AO31" s="2091"/>
      <c r="AP31" s="2091"/>
      <c r="AQ31" s="2091"/>
      <c r="AR31" s="2091"/>
      <c r="AS31" s="2091"/>
      <c r="AT31" s="2091"/>
      <c r="AU31" s="2091"/>
      <c r="AV31" s="2091"/>
      <c r="AW31" s="2091"/>
      <c r="AX31" s="2091"/>
      <c r="AY31" s="2091"/>
      <c r="AZ31" s="2091"/>
      <c r="BA31" s="2091"/>
      <c r="BB31" s="2091"/>
      <c r="BC31" s="2091"/>
      <c r="BD31" s="1810">
        <v>1</v>
      </c>
      <c r="BE31" s="1810"/>
      <c r="BF31" s="1810"/>
      <c r="BG31" s="1810"/>
      <c r="BH31" s="1810"/>
      <c r="BI31" s="1810"/>
      <c r="BJ31" s="1810"/>
      <c r="BK31" s="1810"/>
      <c r="BL31" s="1810"/>
      <c r="BM31" s="1810"/>
      <c r="BN31" s="2092">
        <f>CD31+CH31</f>
        <v>13452</v>
      </c>
      <c r="BO31" s="2093"/>
      <c r="BP31" s="2093"/>
      <c r="BQ31" s="2093"/>
      <c r="BR31" s="2093"/>
      <c r="BS31" s="2093"/>
      <c r="BT31" s="2093"/>
      <c r="BU31" s="2093"/>
      <c r="BV31" s="2093"/>
      <c r="BW31" s="2093"/>
      <c r="BX31" s="2093"/>
      <c r="BY31" s="2093"/>
      <c r="BZ31" s="2093"/>
      <c r="CA31" s="2093"/>
      <c r="CB31" s="2094"/>
      <c r="CC31" s="233"/>
      <c r="CD31" s="233">
        <v>11086.94</v>
      </c>
      <c r="CE31" s="823"/>
      <c r="CF31" s="233"/>
      <c r="CG31" s="233"/>
      <c r="CH31" s="233">
        <v>2365.06</v>
      </c>
      <c r="CO31" s="234">
        <v>316469.3</v>
      </c>
    </row>
    <row r="32" spans="1:93" s="234" customFormat="1" ht="12.75" hidden="1" customHeight="1" x14ac:dyDescent="0.2">
      <c r="A32" s="1810">
        <v>19</v>
      </c>
      <c r="B32" s="1810"/>
      <c r="C32" s="1810"/>
      <c r="D32" s="1810"/>
      <c r="E32" s="2082"/>
      <c r="F32" s="2082"/>
      <c r="G32" s="2082"/>
      <c r="H32" s="2082"/>
      <c r="I32" s="2082"/>
      <c r="J32" s="2082"/>
      <c r="K32" s="2082"/>
      <c r="L32" s="2082"/>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c r="AK32" s="2082"/>
      <c r="AL32" s="2082"/>
      <c r="AM32" s="2082"/>
      <c r="AN32" s="2091"/>
      <c r="AO32" s="2091"/>
      <c r="AP32" s="2091"/>
      <c r="AQ32" s="2091"/>
      <c r="AR32" s="2091"/>
      <c r="AS32" s="2091"/>
      <c r="AT32" s="2091"/>
      <c r="AU32" s="2091"/>
      <c r="AV32" s="2091"/>
      <c r="AW32" s="2091"/>
      <c r="AX32" s="2091"/>
      <c r="AY32" s="2091"/>
      <c r="AZ32" s="2091"/>
      <c r="BA32" s="2091"/>
      <c r="BB32" s="2091"/>
      <c r="BC32" s="2091"/>
      <c r="BD32" s="1810"/>
      <c r="BE32" s="1810"/>
      <c r="BF32" s="1810"/>
      <c r="BG32" s="1810"/>
      <c r="BH32" s="1810"/>
      <c r="BI32" s="1810"/>
      <c r="BJ32" s="1810"/>
      <c r="BK32" s="1810"/>
      <c r="BL32" s="1810"/>
      <c r="BM32" s="1810"/>
      <c r="BN32" s="2091">
        <f t="shared" ref="BN32:BN44" ca="1" si="2">CD32+CH32</f>
        <v>13452</v>
      </c>
      <c r="BO32" s="2091"/>
      <c r="BP32" s="2091"/>
      <c r="BQ32" s="2091"/>
      <c r="BR32" s="2091"/>
      <c r="BS32" s="2091"/>
      <c r="BT32" s="2091"/>
      <c r="BU32" s="2091"/>
      <c r="BV32" s="2091"/>
      <c r="BW32" s="2091"/>
      <c r="BX32" s="2091"/>
      <c r="BY32" s="2091"/>
      <c r="BZ32" s="2091"/>
      <c r="CA32" s="2091"/>
      <c r="CB32" s="2091"/>
      <c r="CC32" s="233"/>
      <c r="CD32" s="233">
        <f t="shared" ref="CD32:CD44" ca="1" si="3">BN32</f>
        <v>0</v>
      </c>
      <c r="CE32" s="233"/>
      <c r="CF32" s="233"/>
      <c r="CG32" s="233"/>
      <c r="CH32" s="233"/>
    </row>
    <row r="33" spans="1:93" s="234" customFormat="1" ht="12.75" hidden="1" customHeight="1" x14ac:dyDescent="0.2">
      <c r="A33" s="1810">
        <v>20</v>
      </c>
      <c r="B33" s="1810"/>
      <c r="C33" s="1810"/>
      <c r="D33" s="1810"/>
      <c r="E33" s="2082"/>
      <c r="F33" s="2082"/>
      <c r="G33" s="2082"/>
      <c r="H33" s="2082"/>
      <c r="I33" s="2082"/>
      <c r="J33" s="2082"/>
      <c r="K33" s="2082"/>
      <c r="L33" s="2082"/>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2082"/>
      <c r="AL33" s="2082"/>
      <c r="AM33" s="2082"/>
      <c r="AN33" s="2091"/>
      <c r="AO33" s="2091"/>
      <c r="AP33" s="2091"/>
      <c r="AQ33" s="2091"/>
      <c r="AR33" s="2091"/>
      <c r="AS33" s="2091"/>
      <c r="AT33" s="2091"/>
      <c r="AU33" s="2091"/>
      <c r="AV33" s="2091"/>
      <c r="AW33" s="2091"/>
      <c r="AX33" s="2091"/>
      <c r="AY33" s="2091"/>
      <c r="AZ33" s="2091"/>
      <c r="BA33" s="2091"/>
      <c r="BB33" s="2091"/>
      <c r="BC33" s="2091"/>
      <c r="BD33" s="1810"/>
      <c r="BE33" s="1810"/>
      <c r="BF33" s="1810"/>
      <c r="BG33" s="1810"/>
      <c r="BH33" s="1810"/>
      <c r="BI33" s="1810"/>
      <c r="BJ33" s="1810"/>
      <c r="BK33" s="1810"/>
      <c r="BL33" s="1810"/>
      <c r="BM33" s="1810"/>
      <c r="BN33" s="2091">
        <f t="shared" ca="1" si="2"/>
        <v>13452</v>
      </c>
      <c r="BO33" s="2091"/>
      <c r="BP33" s="2091"/>
      <c r="BQ33" s="2091"/>
      <c r="BR33" s="2091"/>
      <c r="BS33" s="2091"/>
      <c r="BT33" s="2091"/>
      <c r="BU33" s="2091"/>
      <c r="BV33" s="2091"/>
      <c r="BW33" s="2091"/>
      <c r="BX33" s="2091"/>
      <c r="BY33" s="2091"/>
      <c r="BZ33" s="2091"/>
      <c r="CA33" s="2091"/>
      <c r="CB33" s="2091"/>
      <c r="CC33" s="233"/>
      <c r="CD33" s="233">
        <f t="shared" ca="1" si="3"/>
        <v>0</v>
      </c>
      <c r="CE33" s="233"/>
      <c r="CF33" s="233"/>
      <c r="CG33" s="233"/>
      <c r="CH33" s="233"/>
    </row>
    <row r="34" spans="1:93" s="234" customFormat="1" ht="12.75" hidden="1" customHeight="1" x14ac:dyDescent="0.2">
      <c r="A34" s="1810">
        <v>21</v>
      </c>
      <c r="B34" s="1810"/>
      <c r="C34" s="1810"/>
      <c r="D34" s="1810"/>
      <c r="E34" s="2082"/>
      <c r="F34" s="2082"/>
      <c r="G34" s="2082"/>
      <c r="H34" s="2082"/>
      <c r="I34" s="2082"/>
      <c r="J34" s="2082"/>
      <c r="K34" s="2082"/>
      <c r="L34" s="2082"/>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82"/>
      <c r="AM34" s="2082"/>
      <c r="AN34" s="2091"/>
      <c r="AO34" s="2091"/>
      <c r="AP34" s="2091"/>
      <c r="AQ34" s="2091"/>
      <c r="AR34" s="2091"/>
      <c r="AS34" s="2091"/>
      <c r="AT34" s="2091"/>
      <c r="AU34" s="2091"/>
      <c r="AV34" s="2091"/>
      <c r="AW34" s="2091"/>
      <c r="AX34" s="2091"/>
      <c r="AY34" s="2091"/>
      <c r="AZ34" s="2091"/>
      <c r="BA34" s="2091"/>
      <c r="BB34" s="2091"/>
      <c r="BC34" s="2091"/>
      <c r="BD34" s="1810"/>
      <c r="BE34" s="1810"/>
      <c r="BF34" s="1810"/>
      <c r="BG34" s="1810"/>
      <c r="BH34" s="1810"/>
      <c r="BI34" s="1810"/>
      <c r="BJ34" s="1810"/>
      <c r="BK34" s="1810"/>
      <c r="BL34" s="1810"/>
      <c r="BM34" s="1810"/>
      <c r="BN34" s="2091">
        <f t="shared" ca="1" si="2"/>
        <v>13452</v>
      </c>
      <c r="BO34" s="2091"/>
      <c r="BP34" s="2091"/>
      <c r="BQ34" s="2091"/>
      <c r="BR34" s="2091"/>
      <c r="BS34" s="2091"/>
      <c r="BT34" s="2091"/>
      <c r="BU34" s="2091"/>
      <c r="BV34" s="2091"/>
      <c r="BW34" s="2091"/>
      <c r="BX34" s="2091"/>
      <c r="BY34" s="2091"/>
      <c r="BZ34" s="2091"/>
      <c r="CA34" s="2091"/>
      <c r="CB34" s="2091"/>
      <c r="CC34" s="233"/>
      <c r="CD34" s="233">
        <f t="shared" ca="1" si="3"/>
        <v>0</v>
      </c>
      <c r="CE34" s="233"/>
      <c r="CF34" s="233"/>
      <c r="CG34" s="233"/>
      <c r="CH34" s="233"/>
    </row>
    <row r="35" spans="1:93" s="234" customFormat="1" ht="12.75" hidden="1" customHeight="1" x14ac:dyDescent="0.2">
      <c r="A35" s="1810">
        <v>22</v>
      </c>
      <c r="B35" s="1810"/>
      <c r="C35" s="1810"/>
      <c r="D35" s="1810"/>
      <c r="E35" s="2082"/>
      <c r="F35" s="2082"/>
      <c r="G35" s="2082"/>
      <c r="H35" s="2082"/>
      <c r="I35" s="2082"/>
      <c r="J35" s="2082"/>
      <c r="K35" s="2082"/>
      <c r="L35" s="2082"/>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2"/>
      <c r="AK35" s="2082"/>
      <c r="AL35" s="2082"/>
      <c r="AM35" s="2082"/>
      <c r="AN35" s="2091"/>
      <c r="AO35" s="2091"/>
      <c r="AP35" s="2091"/>
      <c r="AQ35" s="2091"/>
      <c r="AR35" s="2091"/>
      <c r="AS35" s="2091"/>
      <c r="AT35" s="2091"/>
      <c r="AU35" s="2091"/>
      <c r="AV35" s="2091"/>
      <c r="AW35" s="2091"/>
      <c r="AX35" s="2091"/>
      <c r="AY35" s="2091"/>
      <c r="AZ35" s="2091"/>
      <c r="BA35" s="2091"/>
      <c r="BB35" s="2091"/>
      <c r="BC35" s="2091"/>
      <c r="BD35" s="1810"/>
      <c r="BE35" s="1810"/>
      <c r="BF35" s="1810"/>
      <c r="BG35" s="1810"/>
      <c r="BH35" s="1810"/>
      <c r="BI35" s="1810"/>
      <c r="BJ35" s="1810"/>
      <c r="BK35" s="1810"/>
      <c r="BL35" s="1810"/>
      <c r="BM35" s="1810"/>
      <c r="BN35" s="2091">
        <f t="shared" ca="1" si="2"/>
        <v>13452</v>
      </c>
      <c r="BO35" s="2091"/>
      <c r="BP35" s="2091"/>
      <c r="BQ35" s="2091"/>
      <c r="BR35" s="2091"/>
      <c r="BS35" s="2091"/>
      <c r="BT35" s="2091"/>
      <c r="BU35" s="2091"/>
      <c r="BV35" s="2091"/>
      <c r="BW35" s="2091"/>
      <c r="BX35" s="2091"/>
      <c r="BY35" s="2091"/>
      <c r="BZ35" s="2091"/>
      <c r="CA35" s="2091"/>
      <c r="CB35" s="2091"/>
      <c r="CC35" s="233"/>
      <c r="CD35" s="233">
        <f t="shared" ca="1" si="3"/>
        <v>0</v>
      </c>
      <c r="CE35" s="233"/>
      <c r="CF35" s="233"/>
      <c r="CG35" s="233"/>
      <c r="CH35" s="233"/>
    </row>
    <row r="36" spans="1:93" s="234" customFormat="1" ht="12.75" hidden="1" customHeight="1" x14ac:dyDescent="0.2">
      <c r="A36" s="1810">
        <v>23</v>
      </c>
      <c r="B36" s="1810"/>
      <c r="C36" s="1810"/>
      <c r="D36" s="1810"/>
      <c r="E36" s="2082"/>
      <c r="F36" s="2082"/>
      <c r="G36" s="2082"/>
      <c r="H36" s="2082"/>
      <c r="I36" s="2082"/>
      <c r="J36" s="2082"/>
      <c r="K36" s="2082"/>
      <c r="L36" s="2082"/>
      <c r="M36" s="2082"/>
      <c r="N36" s="2082"/>
      <c r="O36" s="2082"/>
      <c r="P36" s="2082"/>
      <c r="Q36" s="2082"/>
      <c r="R36" s="2082"/>
      <c r="S36" s="2082"/>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91"/>
      <c r="AO36" s="2091"/>
      <c r="AP36" s="2091"/>
      <c r="AQ36" s="2091"/>
      <c r="AR36" s="2091"/>
      <c r="AS36" s="2091"/>
      <c r="AT36" s="2091"/>
      <c r="AU36" s="2091"/>
      <c r="AV36" s="2091"/>
      <c r="AW36" s="2091"/>
      <c r="AX36" s="2091"/>
      <c r="AY36" s="2091"/>
      <c r="AZ36" s="2091"/>
      <c r="BA36" s="2091"/>
      <c r="BB36" s="2091"/>
      <c r="BC36" s="2091"/>
      <c r="BD36" s="1810"/>
      <c r="BE36" s="1810"/>
      <c r="BF36" s="1810"/>
      <c r="BG36" s="1810"/>
      <c r="BH36" s="1810"/>
      <c r="BI36" s="1810"/>
      <c r="BJ36" s="1810"/>
      <c r="BK36" s="1810"/>
      <c r="BL36" s="1810"/>
      <c r="BM36" s="1810"/>
      <c r="BN36" s="2091">
        <f t="shared" ca="1" si="2"/>
        <v>13452</v>
      </c>
      <c r="BO36" s="2091"/>
      <c r="BP36" s="2091"/>
      <c r="BQ36" s="2091"/>
      <c r="BR36" s="2091"/>
      <c r="BS36" s="2091"/>
      <c r="BT36" s="2091"/>
      <c r="BU36" s="2091"/>
      <c r="BV36" s="2091"/>
      <c r="BW36" s="2091"/>
      <c r="BX36" s="2091"/>
      <c r="BY36" s="2091"/>
      <c r="BZ36" s="2091"/>
      <c r="CA36" s="2091"/>
      <c r="CB36" s="2091"/>
      <c r="CC36" s="233"/>
      <c r="CD36" s="233">
        <f t="shared" ca="1" si="3"/>
        <v>0</v>
      </c>
      <c r="CE36" s="233"/>
      <c r="CF36" s="233"/>
      <c r="CG36" s="233"/>
      <c r="CH36" s="233"/>
    </row>
    <row r="37" spans="1:93" s="234" customFormat="1" ht="12.75" hidden="1" customHeight="1" x14ac:dyDescent="0.2">
      <c r="A37" s="1810">
        <v>24</v>
      </c>
      <c r="B37" s="1810"/>
      <c r="C37" s="1810"/>
      <c r="D37" s="1810"/>
      <c r="E37" s="2082"/>
      <c r="F37" s="2082"/>
      <c r="G37" s="2082"/>
      <c r="H37" s="2082"/>
      <c r="I37" s="2082"/>
      <c r="J37" s="2082"/>
      <c r="K37" s="2082"/>
      <c r="L37" s="2082"/>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c r="AI37" s="2082"/>
      <c r="AJ37" s="2082"/>
      <c r="AK37" s="2082"/>
      <c r="AL37" s="2082"/>
      <c r="AM37" s="2082"/>
      <c r="AN37" s="2091"/>
      <c r="AO37" s="2091"/>
      <c r="AP37" s="2091"/>
      <c r="AQ37" s="2091"/>
      <c r="AR37" s="2091"/>
      <c r="AS37" s="2091"/>
      <c r="AT37" s="2091"/>
      <c r="AU37" s="2091"/>
      <c r="AV37" s="2091"/>
      <c r="AW37" s="2091"/>
      <c r="AX37" s="2091"/>
      <c r="AY37" s="2091"/>
      <c r="AZ37" s="2091"/>
      <c r="BA37" s="2091"/>
      <c r="BB37" s="2091"/>
      <c r="BC37" s="2091"/>
      <c r="BD37" s="1810"/>
      <c r="BE37" s="1810"/>
      <c r="BF37" s="1810"/>
      <c r="BG37" s="1810"/>
      <c r="BH37" s="1810"/>
      <c r="BI37" s="1810"/>
      <c r="BJ37" s="1810"/>
      <c r="BK37" s="1810"/>
      <c r="BL37" s="1810"/>
      <c r="BM37" s="1810"/>
      <c r="BN37" s="2091">
        <f t="shared" ca="1" si="2"/>
        <v>13452</v>
      </c>
      <c r="BO37" s="2091"/>
      <c r="BP37" s="2091"/>
      <c r="BQ37" s="2091"/>
      <c r="BR37" s="2091"/>
      <c r="BS37" s="2091"/>
      <c r="BT37" s="2091"/>
      <c r="BU37" s="2091"/>
      <c r="BV37" s="2091"/>
      <c r="BW37" s="2091"/>
      <c r="BX37" s="2091"/>
      <c r="BY37" s="2091"/>
      <c r="BZ37" s="2091"/>
      <c r="CA37" s="2091"/>
      <c r="CB37" s="2091"/>
      <c r="CC37" s="233"/>
      <c r="CD37" s="233">
        <f t="shared" ca="1" si="3"/>
        <v>0</v>
      </c>
      <c r="CE37" s="233"/>
      <c r="CF37" s="233"/>
      <c r="CG37" s="233"/>
      <c r="CH37" s="233"/>
    </row>
    <row r="38" spans="1:93" s="234" customFormat="1" ht="12.75" hidden="1" customHeight="1" x14ac:dyDescent="0.2">
      <c r="A38" s="1810">
        <v>25</v>
      </c>
      <c r="B38" s="1810"/>
      <c r="C38" s="1810"/>
      <c r="D38" s="1810"/>
      <c r="E38" s="2082"/>
      <c r="F38" s="2082"/>
      <c r="G38" s="2082"/>
      <c r="H38" s="2082"/>
      <c r="I38" s="2082"/>
      <c r="J38" s="2082"/>
      <c r="K38" s="2082"/>
      <c r="L38" s="2082"/>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91"/>
      <c r="AO38" s="2091"/>
      <c r="AP38" s="2091"/>
      <c r="AQ38" s="2091"/>
      <c r="AR38" s="2091"/>
      <c r="AS38" s="2091"/>
      <c r="AT38" s="2091"/>
      <c r="AU38" s="2091"/>
      <c r="AV38" s="2091"/>
      <c r="AW38" s="2091"/>
      <c r="AX38" s="2091"/>
      <c r="AY38" s="2091"/>
      <c r="AZ38" s="2091"/>
      <c r="BA38" s="2091"/>
      <c r="BB38" s="2091"/>
      <c r="BC38" s="2091"/>
      <c r="BD38" s="1810"/>
      <c r="BE38" s="1810"/>
      <c r="BF38" s="1810"/>
      <c r="BG38" s="1810"/>
      <c r="BH38" s="1810"/>
      <c r="BI38" s="1810"/>
      <c r="BJ38" s="1810"/>
      <c r="BK38" s="1810"/>
      <c r="BL38" s="1810"/>
      <c r="BM38" s="1810"/>
      <c r="BN38" s="2091">
        <f t="shared" ca="1" si="2"/>
        <v>13452</v>
      </c>
      <c r="BO38" s="2091"/>
      <c r="BP38" s="2091"/>
      <c r="BQ38" s="2091"/>
      <c r="BR38" s="2091"/>
      <c r="BS38" s="2091"/>
      <c r="BT38" s="2091"/>
      <c r="BU38" s="2091"/>
      <c r="BV38" s="2091"/>
      <c r="BW38" s="2091"/>
      <c r="BX38" s="2091"/>
      <c r="BY38" s="2091"/>
      <c r="BZ38" s="2091"/>
      <c r="CA38" s="2091"/>
      <c r="CB38" s="2091"/>
      <c r="CC38" s="233"/>
      <c r="CD38" s="233">
        <f t="shared" ca="1" si="3"/>
        <v>0</v>
      </c>
      <c r="CE38" s="233"/>
      <c r="CF38" s="233"/>
      <c r="CG38" s="233"/>
      <c r="CH38" s="233"/>
    </row>
    <row r="39" spans="1:93" s="234" customFormat="1" ht="12.75" hidden="1" customHeight="1" x14ac:dyDescent="0.2">
      <c r="A39" s="1810">
        <v>26</v>
      </c>
      <c r="B39" s="1810"/>
      <c r="C39" s="1810"/>
      <c r="D39" s="1810"/>
      <c r="E39" s="2082"/>
      <c r="F39" s="2082"/>
      <c r="G39" s="2082"/>
      <c r="H39" s="2082"/>
      <c r="I39" s="2082"/>
      <c r="J39" s="2082"/>
      <c r="K39" s="2082"/>
      <c r="L39" s="2082"/>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c r="AI39" s="2082"/>
      <c r="AJ39" s="2082"/>
      <c r="AK39" s="2082"/>
      <c r="AL39" s="2082"/>
      <c r="AM39" s="2082"/>
      <c r="AN39" s="2091"/>
      <c r="AO39" s="2091"/>
      <c r="AP39" s="2091"/>
      <c r="AQ39" s="2091"/>
      <c r="AR39" s="2091"/>
      <c r="AS39" s="2091"/>
      <c r="AT39" s="2091"/>
      <c r="AU39" s="2091"/>
      <c r="AV39" s="2091"/>
      <c r="AW39" s="2091"/>
      <c r="AX39" s="2091"/>
      <c r="AY39" s="2091"/>
      <c r="AZ39" s="2091"/>
      <c r="BA39" s="2091"/>
      <c r="BB39" s="2091"/>
      <c r="BC39" s="2091"/>
      <c r="BD39" s="1810"/>
      <c r="BE39" s="1810"/>
      <c r="BF39" s="1810"/>
      <c r="BG39" s="1810"/>
      <c r="BH39" s="1810"/>
      <c r="BI39" s="1810"/>
      <c r="BJ39" s="1810"/>
      <c r="BK39" s="1810"/>
      <c r="BL39" s="1810"/>
      <c r="BM39" s="1810"/>
      <c r="BN39" s="2091">
        <f t="shared" ca="1" si="2"/>
        <v>13452</v>
      </c>
      <c r="BO39" s="2091"/>
      <c r="BP39" s="2091"/>
      <c r="BQ39" s="2091"/>
      <c r="BR39" s="2091"/>
      <c r="BS39" s="2091"/>
      <c r="BT39" s="2091"/>
      <c r="BU39" s="2091"/>
      <c r="BV39" s="2091"/>
      <c r="BW39" s="2091"/>
      <c r="BX39" s="2091"/>
      <c r="BY39" s="2091"/>
      <c r="BZ39" s="2091"/>
      <c r="CA39" s="2091"/>
      <c r="CB39" s="2091"/>
      <c r="CC39" s="233"/>
      <c r="CD39" s="233">
        <f t="shared" ca="1" si="3"/>
        <v>0</v>
      </c>
      <c r="CE39" s="233"/>
      <c r="CF39" s="233"/>
      <c r="CG39" s="233"/>
      <c r="CH39" s="233"/>
    </row>
    <row r="40" spans="1:93" s="234" customFormat="1" ht="12.75" hidden="1" customHeight="1" x14ac:dyDescent="0.2">
      <c r="A40" s="1810">
        <v>27</v>
      </c>
      <c r="B40" s="1810"/>
      <c r="C40" s="1810"/>
      <c r="D40" s="1810"/>
      <c r="E40" s="2082"/>
      <c r="F40" s="2082"/>
      <c r="G40" s="2082"/>
      <c r="H40" s="2082"/>
      <c r="I40" s="2082"/>
      <c r="J40" s="2082"/>
      <c r="K40" s="2082"/>
      <c r="L40" s="2082"/>
      <c r="M40" s="2082"/>
      <c r="N40" s="2082"/>
      <c r="O40" s="2082"/>
      <c r="P40" s="2082"/>
      <c r="Q40" s="2082"/>
      <c r="R40" s="2082"/>
      <c r="S40" s="2082"/>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91"/>
      <c r="AO40" s="2091"/>
      <c r="AP40" s="2091"/>
      <c r="AQ40" s="2091"/>
      <c r="AR40" s="2091"/>
      <c r="AS40" s="2091"/>
      <c r="AT40" s="2091"/>
      <c r="AU40" s="2091"/>
      <c r="AV40" s="2091"/>
      <c r="AW40" s="2091"/>
      <c r="AX40" s="2091"/>
      <c r="AY40" s="2091"/>
      <c r="AZ40" s="2091"/>
      <c r="BA40" s="2091"/>
      <c r="BB40" s="2091"/>
      <c r="BC40" s="2091"/>
      <c r="BD40" s="1810"/>
      <c r="BE40" s="1810"/>
      <c r="BF40" s="1810"/>
      <c r="BG40" s="1810"/>
      <c r="BH40" s="1810"/>
      <c r="BI40" s="1810"/>
      <c r="BJ40" s="1810"/>
      <c r="BK40" s="1810"/>
      <c r="BL40" s="1810"/>
      <c r="BM40" s="1810"/>
      <c r="BN40" s="2091">
        <f t="shared" ca="1" si="2"/>
        <v>13452</v>
      </c>
      <c r="BO40" s="2091"/>
      <c r="BP40" s="2091"/>
      <c r="BQ40" s="2091"/>
      <c r="BR40" s="2091"/>
      <c r="BS40" s="2091"/>
      <c r="BT40" s="2091"/>
      <c r="BU40" s="2091"/>
      <c r="BV40" s="2091"/>
      <c r="BW40" s="2091"/>
      <c r="BX40" s="2091"/>
      <c r="BY40" s="2091"/>
      <c r="BZ40" s="2091"/>
      <c r="CA40" s="2091"/>
      <c r="CB40" s="2091"/>
      <c r="CC40" s="233"/>
      <c r="CD40" s="233">
        <f t="shared" ca="1" si="3"/>
        <v>0</v>
      </c>
      <c r="CE40" s="233"/>
      <c r="CF40" s="233"/>
      <c r="CG40" s="233"/>
      <c r="CH40" s="233"/>
    </row>
    <row r="41" spans="1:93" s="234" customFormat="1" ht="12.75" hidden="1" customHeight="1" x14ac:dyDescent="0.2">
      <c r="A41" s="1810">
        <v>28</v>
      </c>
      <c r="B41" s="1810"/>
      <c r="C41" s="1810"/>
      <c r="D41" s="1810"/>
      <c r="E41" s="2082"/>
      <c r="F41" s="2082"/>
      <c r="G41" s="2082"/>
      <c r="H41" s="2082"/>
      <c r="I41" s="2082"/>
      <c r="J41" s="2082"/>
      <c r="K41" s="2082"/>
      <c r="L41" s="2082"/>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c r="AI41" s="2082"/>
      <c r="AJ41" s="2082"/>
      <c r="AK41" s="2082"/>
      <c r="AL41" s="2082"/>
      <c r="AM41" s="2082"/>
      <c r="AN41" s="2091"/>
      <c r="AO41" s="2091"/>
      <c r="AP41" s="2091"/>
      <c r="AQ41" s="2091"/>
      <c r="AR41" s="2091"/>
      <c r="AS41" s="2091"/>
      <c r="AT41" s="2091"/>
      <c r="AU41" s="2091"/>
      <c r="AV41" s="2091"/>
      <c r="AW41" s="2091"/>
      <c r="AX41" s="2091"/>
      <c r="AY41" s="2091"/>
      <c r="AZ41" s="2091"/>
      <c r="BA41" s="2091"/>
      <c r="BB41" s="2091"/>
      <c r="BC41" s="2091"/>
      <c r="BD41" s="1810"/>
      <c r="BE41" s="1810"/>
      <c r="BF41" s="1810"/>
      <c r="BG41" s="1810"/>
      <c r="BH41" s="1810"/>
      <c r="BI41" s="1810"/>
      <c r="BJ41" s="1810"/>
      <c r="BK41" s="1810"/>
      <c r="BL41" s="1810"/>
      <c r="BM41" s="1810"/>
      <c r="BN41" s="2091">
        <f t="shared" ca="1" si="2"/>
        <v>13452</v>
      </c>
      <c r="BO41" s="2091"/>
      <c r="BP41" s="2091"/>
      <c r="BQ41" s="2091"/>
      <c r="BR41" s="2091"/>
      <c r="BS41" s="2091"/>
      <c r="BT41" s="2091"/>
      <c r="BU41" s="2091"/>
      <c r="BV41" s="2091"/>
      <c r="BW41" s="2091"/>
      <c r="BX41" s="2091"/>
      <c r="BY41" s="2091"/>
      <c r="BZ41" s="2091"/>
      <c r="CA41" s="2091"/>
      <c r="CB41" s="2091"/>
      <c r="CC41" s="233"/>
      <c r="CD41" s="233">
        <f t="shared" ca="1" si="3"/>
        <v>0</v>
      </c>
      <c r="CE41" s="233"/>
      <c r="CF41" s="233"/>
      <c r="CG41" s="233"/>
      <c r="CH41" s="233"/>
    </row>
    <row r="42" spans="1:93" s="234" customFormat="1" ht="12.75" hidden="1" customHeight="1" x14ac:dyDescent="0.2">
      <c r="A42" s="1810">
        <v>29</v>
      </c>
      <c r="B42" s="1810"/>
      <c r="C42" s="1810"/>
      <c r="D42" s="1810"/>
      <c r="E42" s="2082"/>
      <c r="F42" s="2082"/>
      <c r="G42" s="2082"/>
      <c r="H42" s="2082"/>
      <c r="I42" s="2082"/>
      <c r="J42" s="2082"/>
      <c r="K42" s="2082"/>
      <c r="L42" s="2082"/>
      <c r="M42" s="2082"/>
      <c r="N42" s="2082"/>
      <c r="O42" s="2082"/>
      <c r="P42" s="2082"/>
      <c r="Q42" s="2082"/>
      <c r="R42" s="2082"/>
      <c r="S42" s="2082"/>
      <c r="T42" s="2082"/>
      <c r="U42" s="2082"/>
      <c r="V42" s="2082"/>
      <c r="W42" s="2082"/>
      <c r="X42" s="2082"/>
      <c r="Y42" s="2082"/>
      <c r="Z42" s="2082"/>
      <c r="AA42" s="2082"/>
      <c r="AB42" s="2082"/>
      <c r="AC42" s="2082"/>
      <c r="AD42" s="2082"/>
      <c r="AE42" s="2082"/>
      <c r="AF42" s="2082"/>
      <c r="AG42" s="2082"/>
      <c r="AH42" s="2082"/>
      <c r="AI42" s="2082"/>
      <c r="AJ42" s="2082"/>
      <c r="AK42" s="2082"/>
      <c r="AL42" s="2082"/>
      <c r="AM42" s="2082"/>
      <c r="AN42" s="2091"/>
      <c r="AO42" s="2091"/>
      <c r="AP42" s="2091"/>
      <c r="AQ42" s="2091"/>
      <c r="AR42" s="2091"/>
      <c r="AS42" s="2091"/>
      <c r="AT42" s="2091"/>
      <c r="AU42" s="2091"/>
      <c r="AV42" s="2091"/>
      <c r="AW42" s="2091"/>
      <c r="AX42" s="2091"/>
      <c r="AY42" s="2091"/>
      <c r="AZ42" s="2091"/>
      <c r="BA42" s="2091"/>
      <c r="BB42" s="2091"/>
      <c r="BC42" s="2091"/>
      <c r="BD42" s="1810"/>
      <c r="BE42" s="1810"/>
      <c r="BF42" s="1810"/>
      <c r="BG42" s="1810"/>
      <c r="BH42" s="1810"/>
      <c r="BI42" s="1810"/>
      <c r="BJ42" s="1810"/>
      <c r="BK42" s="1810"/>
      <c r="BL42" s="1810"/>
      <c r="BM42" s="1810"/>
      <c r="BN42" s="2091">
        <f t="shared" ca="1" si="2"/>
        <v>13452</v>
      </c>
      <c r="BO42" s="2091"/>
      <c r="BP42" s="2091"/>
      <c r="BQ42" s="2091"/>
      <c r="BR42" s="2091"/>
      <c r="BS42" s="2091"/>
      <c r="BT42" s="2091"/>
      <c r="BU42" s="2091"/>
      <c r="BV42" s="2091"/>
      <c r="BW42" s="2091"/>
      <c r="BX42" s="2091"/>
      <c r="BY42" s="2091"/>
      <c r="BZ42" s="2091"/>
      <c r="CA42" s="2091"/>
      <c r="CB42" s="2091"/>
      <c r="CC42" s="233"/>
      <c r="CD42" s="233">
        <f t="shared" ca="1" si="3"/>
        <v>0</v>
      </c>
      <c r="CE42" s="233"/>
      <c r="CF42" s="233"/>
      <c r="CG42" s="233"/>
      <c r="CH42" s="233"/>
    </row>
    <row r="43" spans="1:93" s="234" customFormat="1" ht="12.75" hidden="1" customHeight="1" x14ac:dyDescent="0.2">
      <c r="A43" s="1810">
        <v>30</v>
      </c>
      <c r="B43" s="1810"/>
      <c r="C43" s="1810"/>
      <c r="D43" s="1810"/>
      <c r="E43" s="2082"/>
      <c r="F43" s="2082"/>
      <c r="G43" s="2082"/>
      <c r="H43" s="2082"/>
      <c r="I43" s="2082"/>
      <c r="J43" s="2082"/>
      <c r="K43" s="2082"/>
      <c r="L43" s="2082"/>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2091"/>
      <c r="AO43" s="2091"/>
      <c r="AP43" s="2091"/>
      <c r="AQ43" s="2091"/>
      <c r="AR43" s="2091"/>
      <c r="AS43" s="2091"/>
      <c r="AT43" s="2091"/>
      <c r="AU43" s="2091"/>
      <c r="AV43" s="2091"/>
      <c r="AW43" s="2091"/>
      <c r="AX43" s="2091"/>
      <c r="AY43" s="2091"/>
      <c r="AZ43" s="2091"/>
      <c r="BA43" s="2091"/>
      <c r="BB43" s="2091"/>
      <c r="BC43" s="2091"/>
      <c r="BD43" s="1810"/>
      <c r="BE43" s="1810"/>
      <c r="BF43" s="1810"/>
      <c r="BG43" s="1810"/>
      <c r="BH43" s="1810"/>
      <c r="BI43" s="1810"/>
      <c r="BJ43" s="1810"/>
      <c r="BK43" s="1810"/>
      <c r="BL43" s="1810"/>
      <c r="BM43" s="1810"/>
      <c r="BN43" s="2091">
        <f t="shared" ca="1" si="2"/>
        <v>13452</v>
      </c>
      <c r="BO43" s="2091"/>
      <c r="BP43" s="2091"/>
      <c r="BQ43" s="2091"/>
      <c r="BR43" s="2091"/>
      <c r="BS43" s="2091"/>
      <c r="BT43" s="2091"/>
      <c r="BU43" s="2091"/>
      <c r="BV43" s="2091"/>
      <c r="BW43" s="2091"/>
      <c r="BX43" s="2091"/>
      <c r="BY43" s="2091"/>
      <c r="BZ43" s="2091"/>
      <c r="CA43" s="2091"/>
      <c r="CB43" s="2091"/>
      <c r="CC43" s="233"/>
      <c r="CD43" s="233">
        <f t="shared" ca="1" si="3"/>
        <v>0</v>
      </c>
      <c r="CE43" s="233"/>
      <c r="CF43" s="233"/>
      <c r="CG43" s="233"/>
      <c r="CH43" s="233"/>
    </row>
    <row r="44" spans="1:93" s="234" customFormat="1" ht="12.75" hidden="1" customHeight="1" x14ac:dyDescent="0.2">
      <c r="A44" s="1810">
        <v>31</v>
      </c>
      <c r="B44" s="1810"/>
      <c r="C44" s="1810"/>
      <c r="D44" s="1810"/>
      <c r="E44" s="2082"/>
      <c r="F44" s="2082"/>
      <c r="G44" s="2082"/>
      <c r="H44" s="2082"/>
      <c r="I44" s="2082"/>
      <c r="J44" s="2082"/>
      <c r="K44" s="2082"/>
      <c r="L44" s="2082"/>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c r="AI44" s="2082"/>
      <c r="AJ44" s="2082"/>
      <c r="AK44" s="2082"/>
      <c r="AL44" s="2082"/>
      <c r="AM44" s="2082"/>
      <c r="AN44" s="2091"/>
      <c r="AO44" s="2091"/>
      <c r="AP44" s="2091"/>
      <c r="AQ44" s="2091"/>
      <c r="AR44" s="2091"/>
      <c r="AS44" s="2091"/>
      <c r="AT44" s="2091"/>
      <c r="AU44" s="2091"/>
      <c r="AV44" s="2091"/>
      <c r="AW44" s="2091"/>
      <c r="AX44" s="2091"/>
      <c r="AY44" s="2091"/>
      <c r="AZ44" s="2091"/>
      <c r="BA44" s="2091"/>
      <c r="BB44" s="2091"/>
      <c r="BC44" s="2091"/>
      <c r="BD44" s="1810"/>
      <c r="BE44" s="1810"/>
      <c r="BF44" s="1810"/>
      <c r="BG44" s="1810"/>
      <c r="BH44" s="1810"/>
      <c r="BI44" s="1810"/>
      <c r="BJ44" s="1810"/>
      <c r="BK44" s="1810"/>
      <c r="BL44" s="1810"/>
      <c r="BM44" s="1810"/>
      <c r="BN44" s="2091">
        <f t="shared" ca="1" si="2"/>
        <v>13452</v>
      </c>
      <c r="BO44" s="2091"/>
      <c r="BP44" s="2091"/>
      <c r="BQ44" s="2091"/>
      <c r="BR44" s="2091"/>
      <c r="BS44" s="2091"/>
      <c r="BT44" s="2091"/>
      <c r="BU44" s="2091"/>
      <c r="BV44" s="2091"/>
      <c r="BW44" s="2091"/>
      <c r="BX44" s="2091"/>
      <c r="BY44" s="2091"/>
      <c r="BZ44" s="2091"/>
      <c r="CA44" s="2091"/>
      <c r="CB44" s="2091"/>
      <c r="CC44" s="233"/>
      <c r="CD44" s="233">
        <f t="shared" ca="1" si="3"/>
        <v>0</v>
      </c>
      <c r="CE44" s="233"/>
      <c r="CF44" s="233"/>
      <c r="CG44" s="233"/>
      <c r="CH44" s="233"/>
    </row>
    <row r="45" spans="1:93" s="234" customFormat="1" ht="24.75" customHeight="1" x14ac:dyDescent="0.2">
      <c r="A45" s="1810">
        <v>2</v>
      </c>
      <c r="B45" s="1810"/>
      <c r="C45" s="1810"/>
      <c r="D45" s="1810"/>
      <c r="E45" s="2082" t="s">
        <v>1436</v>
      </c>
      <c r="F45" s="2082"/>
      <c r="G45" s="2082"/>
      <c r="H45" s="2082"/>
      <c r="I45" s="2082"/>
      <c r="J45" s="2082"/>
      <c r="K45" s="2082"/>
      <c r="L45" s="2082"/>
      <c r="M45" s="2082"/>
      <c r="N45" s="2082"/>
      <c r="O45" s="2082"/>
      <c r="P45" s="2082"/>
      <c r="Q45" s="2082"/>
      <c r="R45" s="2082"/>
      <c r="S45" s="2082"/>
      <c r="T45" s="2082"/>
      <c r="U45" s="2082"/>
      <c r="V45" s="2082"/>
      <c r="W45" s="2082"/>
      <c r="X45" s="2082"/>
      <c r="Y45" s="2082"/>
      <c r="Z45" s="2082"/>
      <c r="AA45" s="2082"/>
      <c r="AB45" s="2082"/>
      <c r="AC45" s="2082"/>
      <c r="AD45" s="2082"/>
      <c r="AE45" s="2082"/>
      <c r="AF45" s="2082"/>
      <c r="AG45" s="2082"/>
      <c r="AH45" s="2082"/>
      <c r="AI45" s="2082"/>
      <c r="AJ45" s="2082"/>
      <c r="AK45" s="2082"/>
      <c r="AL45" s="2082"/>
      <c r="AM45" s="2082"/>
      <c r="AN45" s="2091">
        <v>10200</v>
      </c>
      <c r="AO45" s="2091"/>
      <c r="AP45" s="2091"/>
      <c r="AQ45" s="2091"/>
      <c r="AR45" s="2091"/>
      <c r="AS45" s="2091"/>
      <c r="AT45" s="2091"/>
      <c r="AU45" s="2091"/>
      <c r="AV45" s="2091"/>
      <c r="AW45" s="2091"/>
      <c r="AX45" s="2091"/>
      <c r="AY45" s="2091"/>
      <c r="AZ45" s="2091"/>
      <c r="BA45" s="2091"/>
      <c r="BB45" s="2091"/>
      <c r="BC45" s="2091"/>
      <c r="BD45" s="1810">
        <v>1</v>
      </c>
      <c r="BE45" s="1810"/>
      <c r="BF45" s="1810"/>
      <c r="BG45" s="1810"/>
      <c r="BH45" s="1810"/>
      <c r="BI45" s="1810"/>
      <c r="BJ45" s="1810"/>
      <c r="BK45" s="1810"/>
      <c r="BL45" s="1810"/>
      <c r="BM45" s="1810"/>
      <c r="BN45" s="2092">
        <f>CC45+CD45+CF45+CG45+CH45</f>
        <v>10200</v>
      </c>
      <c r="BO45" s="2093"/>
      <c r="BP45" s="2093"/>
      <c r="BQ45" s="2093"/>
      <c r="BR45" s="2093"/>
      <c r="BS45" s="2093"/>
      <c r="BT45" s="2093"/>
      <c r="BU45" s="2093"/>
      <c r="BV45" s="2093"/>
      <c r="BW45" s="2093"/>
      <c r="BX45" s="2093"/>
      <c r="BY45" s="2093"/>
      <c r="BZ45" s="2093"/>
      <c r="CA45" s="2093"/>
      <c r="CB45" s="2094"/>
      <c r="CC45" s="233"/>
      <c r="CD45" s="233"/>
      <c r="CE45" s="14">
        <v>963324059</v>
      </c>
      <c r="CF45" s="233"/>
      <c r="CG45" s="233">
        <v>10200</v>
      </c>
      <c r="CH45" s="233"/>
      <c r="CO45" s="1059">
        <f>CD46+CD92+CD101+CD126+'0709 211 (2)'!J19+'0709 213 нов '!F23</f>
        <v>320056.93999999994</v>
      </c>
    </row>
    <row r="46" spans="1:93" s="29" customFormat="1" x14ac:dyDescent="0.2">
      <c r="A46" s="1831" t="s">
        <v>151</v>
      </c>
      <c r="B46" s="1832"/>
      <c r="C46" s="1832"/>
      <c r="D46" s="1832"/>
      <c r="E46" s="1832"/>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c r="AM46" s="1833"/>
      <c r="AN46" s="1913" t="s">
        <v>3</v>
      </c>
      <c r="AO46" s="1913"/>
      <c r="AP46" s="1913"/>
      <c r="AQ46" s="1913"/>
      <c r="AR46" s="1913"/>
      <c r="AS46" s="1913"/>
      <c r="AT46" s="1913"/>
      <c r="AU46" s="1913"/>
      <c r="AV46" s="1913"/>
      <c r="AW46" s="1913"/>
      <c r="AX46" s="1913"/>
      <c r="AY46" s="1913"/>
      <c r="AZ46" s="1913"/>
      <c r="BA46" s="1913"/>
      <c r="BB46" s="1913"/>
      <c r="BC46" s="1913"/>
      <c r="BD46" s="1913" t="s">
        <v>3</v>
      </c>
      <c r="BE46" s="1913"/>
      <c r="BF46" s="1913"/>
      <c r="BG46" s="1913"/>
      <c r="BH46" s="1913"/>
      <c r="BI46" s="1913"/>
      <c r="BJ46" s="1913"/>
      <c r="BK46" s="1913"/>
      <c r="BL46" s="1913"/>
      <c r="BM46" s="1913"/>
      <c r="BN46" s="2204">
        <f>BN31+BN45</f>
        <v>23652</v>
      </c>
      <c r="BO46" s="2205"/>
      <c r="BP46" s="2205"/>
      <c r="BQ46" s="2205"/>
      <c r="BR46" s="2205"/>
      <c r="BS46" s="2205"/>
      <c r="BT46" s="2205"/>
      <c r="BU46" s="2205"/>
      <c r="BV46" s="2205"/>
      <c r="BW46" s="2205"/>
      <c r="BX46" s="2205"/>
      <c r="BY46" s="2205"/>
      <c r="BZ46" s="2205"/>
      <c r="CA46" s="2205"/>
      <c r="CB46" s="2206"/>
      <c r="CC46" s="239">
        <f>CC31</f>
        <v>0</v>
      </c>
      <c r="CD46" s="239">
        <f>SUM(CD31)</f>
        <v>11086.94</v>
      </c>
      <c r="CE46" s="239"/>
      <c r="CF46" s="239">
        <f>SUM(CF31:CF45)</f>
        <v>0</v>
      </c>
      <c r="CG46" s="239">
        <f>SUM(CG31:CG45)</f>
        <v>10200</v>
      </c>
      <c r="CH46" s="236">
        <f>SUM(CH31)</f>
        <v>2365.06</v>
      </c>
      <c r="CN46" s="29" t="s">
        <v>1521</v>
      </c>
      <c r="CO46" s="29">
        <v>3587.63</v>
      </c>
    </row>
    <row r="48" spans="1:93" s="4" customFormat="1" ht="14.25" customHeight="1" x14ac:dyDescent="0.25">
      <c r="A48" s="19" t="s">
        <v>625</v>
      </c>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row>
    <row r="49" spans="1:134" s="7" customFormat="1" ht="9.75" x14ac:dyDescent="0.2">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row>
    <row r="50" spans="1:134" ht="12.75" customHeight="1" x14ac:dyDescent="0.2">
      <c r="A50" s="1781" t="s">
        <v>38</v>
      </c>
      <c r="B50" s="1925"/>
      <c r="C50" s="1925"/>
      <c r="D50" s="1782"/>
      <c r="E50" s="1818" t="s">
        <v>4</v>
      </c>
      <c r="F50" s="1819"/>
      <c r="G50" s="1819"/>
      <c r="H50" s="1819"/>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c r="AI50" s="1819"/>
      <c r="AJ50" s="1819"/>
      <c r="AK50" s="1819"/>
      <c r="AL50" s="1819"/>
      <c r="AM50" s="1819"/>
      <c r="AN50" s="1820"/>
      <c r="AO50" s="1781" t="s">
        <v>139</v>
      </c>
      <c r="AP50" s="1925"/>
      <c r="AQ50" s="1925"/>
      <c r="AR50" s="1925"/>
      <c r="AS50" s="1925"/>
      <c r="AT50" s="1925"/>
      <c r="AU50" s="1925"/>
      <c r="AV50" s="1925"/>
      <c r="AW50" s="1925"/>
      <c r="AX50" s="1925"/>
      <c r="AY50" s="1925"/>
      <c r="AZ50" s="1925"/>
      <c r="BA50" s="1925"/>
      <c r="BB50" s="1925"/>
      <c r="BC50" s="1782"/>
      <c r="BD50" s="1781" t="s">
        <v>140</v>
      </c>
      <c r="BE50" s="1925"/>
      <c r="BF50" s="1925"/>
      <c r="BG50" s="1925"/>
      <c r="BH50" s="1925"/>
      <c r="BI50" s="1925"/>
      <c r="BJ50" s="1925"/>
      <c r="BK50" s="1925"/>
      <c r="BL50" s="1925"/>
      <c r="BM50" s="1782"/>
      <c r="BN50" s="1781" t="s">
        <v>624</v>
      </c>
      <c r="BO50" s="1925"/>
      <c r="BP50" s="1925"/>
      <c r="BQ50" s="1925"/>
      <c r="BR50" s="1925"/>
      <c r="BS50" s="1925"/>
      <c r="BT50" s="1925"/>
      <c r="BU50" s="1925"/>
      <c r="BV50" s="1925"/>
      <c r="BW50" s="1925"/>
      <c r="BX50" s="1925"/>
      <c r="BY50" s="1925"/>
      <c r="BZ50" s="1925"/>
      <c r="CA50" s="1925"/>
      <c r="CB50" s="1782"/>
      <c r="CC50" s="1797" t="s">
        <v>52</v>
      </c>
      <c r="CD50" s="1798"/>
      <c r="CE50" s="1798"/>
      <c r="CF50" s="1798"/>
      <c r="CG50" s="1798"/>
      <c r="CH50" s="1799"/>
    </row>
    <row r="51" spans="1:134" ht="64.5" customHeight="1" x14ac:dyDescent="0.2">
      <c r="A51" s="1783"/>
      <c r="B51" s="1926"/>
      <c r="C51" s="1926"/>
      <c r="D51" s="1784"/>
      <c r="E51" s="1807"/>
      <c r="F51" s="1808"/>
      <c r="G51" s="1808"/>
      <c r="H51" s="1808"/>
      <c r="I51" s="1808"/>
      <c r="J51" s="1808"/>
      <c r="K51" s="1808"/>
      <c r="L51" s="1808"/>
      <c r="M51" s="1808"/>
      <c r="N51" s="1808"/>
      <c r="O51" s="1808"/>
      <c r="P51" s="1808"/>
      <c r="Q51" s="1808"/>
      <c r="R51" s="1808"/>
      <c r="S51" s="1808"/>
      <c r="T51" s="1808"/>
      <c r="U51" s="1808"/>
      <c r="V51" s="1808"/>
      <c r="W51" s="1808"/>
      <c r="X51" s="1808"/>
      <c r="Y51" s="1808"/>
      <c r="Z51" s="1808"/>
      <c r="AA51" s="1808"/>
      <c r="AB51" s="1808"/>
      <c r="AC51" s="1808"/>
      <c r="AD51" s="1808"/>
      <c r="AE51" s="1808"/>
      <c r="AF51" s="1808"/>
      <c r="AG51" s="1808"/>
      <c r="AH51" s="1808"/>
      <c r="AI51" s="1808"/>
      <c r="AJ51" s="1808"/>
      <c r="AK51" s="1808"/>
      <c r="AL51" s="1808"/>
      <c r="AM51" s="1808"/>
      <c r="AN51" s="1809"/>
      <c r="AO51" s="1783"/>
      <c r="AP51" s="1926"/>
      <c r="AQ51" s="1926"/>
      <c r="AR51" s="1926"/>
      <c r="AS51" s="1926"/>
      <c r="AT51" s="1926"/>
      <c r="AU51" s="1926"/>
      <c r="AV51" s="1926"/>
      <c r="AW51" s="1926"/>
      <c r="AX51" s="1926"/>
      <c r="AY51" s="1926"/>
      <c r="AZ51" s="1926"/>
      <c r="BA51" s="1926"/>
      <c r="BB51" s="1926"/>
      <c r="BC51" s="1784"/>
      <c r="BD51" s="1783"/>
      <c r="BE51" s="1926"/>
      <c r="BF51" s="1926"/>
      <c r="BG51" s="1926"/>
      <c r="BH51" s="1926"/>
      <c r="BI51" s="1926"/>
      <c r="BJ51" s="1926"/>
      <c r="BK51" s="1926"/>
      <c r="BL51" s="1926"/>
      <c r="BM51" s="1784"/>
      <c r="BN51" s="1783"/>
      <c r="BO51" s="1926"/>
      <c r="BP51" s="1926"/>
      <c r="BQ51" s="1926"/>
      <c r="BR51" s="1926"/>
      <c r="BS51" s="1926"/>
      <c r="BT51" s="1926"/>
      <c r="BU51" s="1926"/>
      <c r="BV51" s="1926"/>
      <c r="BW51" s="1926"/>
      <c r="BX51" s="1926"/>
      <c r="BY51" s="1926"/>
      <c r="BZ51" s="1926"/>
      <c r="CA51" s="1926"/>
      <c r="CB51" s="1784"/>
      <c r="CC51" s="1788" t="s">
        <v>35</v>
      </c>
      <c r="CD51" s="1789"/>
      <c r="CE51" s="1788" t="s">
        <v>45</v>
      </c>
      <c r="CF51" s="1790"/>
      <c r="CG51" s="1789"/>
      <c r="CH51" s="1778" t="s">
        <v>46</v>
      </c>
    </row>
    <row r="52" spans="1:134" ht="12.75" customHeight="1" x14ac:dyDescent="0.2">
      <c r="A52" s="1783"/>
      <c r="B52" s="1926"/>
      <c r="C52" s="1926"/>
      <c r="D52" s="1784"/>
      <c r="E52" s="1807"/>
      <c r="F52" s="1808"/>
      <c r="G52" s="1808"/>
      <c r="H52" s="1808"/>
      <c r="I52" s="1808"/>
      <c r="J52" s="1808"/>
      <c r="K52" s="1808"/>
      <c r="L52" s="1808"/>
      <c r="M52" s="1808"/>
      <c r="N52" s="1808"/>
      <c r="O52" s="1808"/>
      <c r="P52" s="1808"/>
      <c r="Q52" s="1808"/>
      <c r="R52" s="1808"/>
      <c r="S52" s="1808"/>
      <c r="T52" s="1808"/>
      <c r="U52" s="1808"/>
      <c r="V52" s="1808"/>
      <c r="W52" s="1808"/>
      <c r="X52" s="1808"/>
      <c r="Y52" s="1808"/>
      <c r="Z52" s="1808"/>
      <c r="AA52" s="1808"/>
      <c r="AB52" s="1808"/>
      <c r="AC52" s="1808"/>
      <c r="AD52" s="1808"/>
      <c r="AE52" s="1808"/>
      <c r="AF52" s="1808"/>
      <c r="AG52" s="1808"/>
      <c r="AH52" s="1808"/>
      <c r="AI52" s="1808"/>
      <c r="AJ52" s="1808"/>
      <c r="AK52" s="1808"/>
      <c r="AL52" s="1808"/>
      <c r="AM52" s="1808"/>
      <c r="AN52" s="1809"/>
      <c r="AO52" s="1783"/>
      <c r="AP52" s="1926"/>
      <c r="AQ52" s="1926"/>
      <c r="AR52" s="1926"/>
      <c r="AS52" s="1926"/>
      <c r="AT52" s="1926"/>
      <c r="AU52" s="1926"/>
      <c r="AV52" s="1926"/>
      <c r="AW52" s="1926"/>
      <c r="AX52" s="1926"/>
      <c r="AY52" s="1926"/>
      <c r="AZ52" s="1926"/>
      <c r="BA52" s="1926"/>
      <c r="BB52" s="1926"/>
      <c r="BC52" s="1784"/>
      <c r="BD52" s="1783"/>
      <c r="BE52" s="1926"/>
      <c r="BF52" s="1926"/>
      <c r="BG52" s="1926"/>
      <c r="BH52" s="1926"/>
      <c r="BI52" s="1926"/>
      <c r="BJ52" s="1926"/>
      <c r="BK52" s="1926"/>
      <c r="BL52" s="1926"/>
      <c r="BM52" s="1784"/>
      <c r="BN52" s="1783"/>
      <c r="BO52" s="1926"/>
      <c r="BP52" s="1926"/>
      <c r="BQ52" s="1926"/>
      <c r="BR52" s="1926"/>
      <c r="BS52" s="1926"/>
      <c r="BT52" s="1926"/>
      <c r="BU52" s="1926"/>
      <c r="BV52" s="1926"/>
      <c r="BW52" s="1926"/>
      <c r="BX52" s="1926"/>
      <c r="BY52" s="1926"/>
      <c r="BZ52" s="1926"/>
      <c r="CA52" s="1926"/>
      <c r="CB52" s="1784"/>
      <c r="CC52" s="1812" t="s">
        <v>43</v>
      </c>
      <c r="CD52" s="1812" t="s">
        <v>44</v>
      </c>
      <c r="CE52" s="1812" t="s">
        <v>55</v>
      </c>
      <c r="CF52" s="1812" t="s">
        <v>43</v>
      </c>
      <c r="CG52" s="1812" t="s">
        <v>44</v>
      </c>
      <c r="CH52" s="1779"/>
      <c r="CO52" s="142">
        <f>CD46+CD92+CD101+CD126+'0709 213 нов '!F23+'0709 211 (2)'!J19+CC92</f>
        <v>352345.69999999995</v>
      </c>
    </row>
    <row r="53" spans="1:134" x14ac:dyDescent="0.2">
      <c r="A53" s="1785"/>
      <c r="B53" s="1927"/>
      <c r="C53" s="1927"/>
      <c r="D53" s="1786"/>
      <c r="E53" s="1814"/>
      <c r="F53" s="1815"/>
      <c r="G53" s="1815"/>
      <c r="H53" s="1815"/>
      <c r="I53" s="1815"/>
      <c r="J53" s="1815"/>
      <c r="K53" s="1815"/>
      <c r="L53" s="1815"/>
      <c r="M53" s="1815"/>
      <c r="N53" s="1815"/>
      <c r="O53" s="1815"/>
      <c r="P53" s="1815"/>
      <c r="Q53" s="1815"/>
      <c r="R53" s="1815"/>
      <c r="S53" s="1815"/>
      <c r="T53" s="1815"/>
      <c r="U53" s="1815"/>
      <c r="V53" s="1815"/>
      <c r="W53" s="1815"/>
      <c r="X53" s="1815"/>
      <c r="Y53" s="1815"/>
      <c r="Z53" s="1815"/>
      <c r="AA53" s="1815"/>
      <c r="AB53" s="1815"/>
      <c r="AC53" s="1815"/>
      <c r="AD53" s="1815"/>
      <c r="AE53" s="1815"/>
      <c r="AF53" s="1815"/>
      <c r="AG53" s="1815"/>
      <c r="AH53" s="1815"/>
      <c r="AI53" s="1815"/>
      <c r="AJ53" s="1815"/>
      <c r="AK53" s="1815"/>
      <c r="AL53" s="1815"/>
      <c r="AM53" s="1815"/>
      <c r="AN53" s="1816"/>
      <c r="AO53" s="1785"/>
      <c r="AP53" s="1927"/>
      <c r="AQ53" s="1927"/>
      <c r="AR53" s="1927"/>
      <c r="AS53" s="1927"/>
      <c r="AT53" s="1927"/>
      <c r="AU53" s="1927"/>
      <c r="AV53" s="1927"/>
      <c r="AW53" s="1927"/>
      <c r="AX53" s="1927"/>
      <c r="AY53" s="1927"/>
      <c r="AZ53" s="1927"/>
      <c r="BA53" s="1927"/>
      <c r="BB53" s="1927"/>
      <c r="BC53" s="1786"/>
      <c r="BD53" s="1785"/>
      <c r="BE53" s="1927"/>
      <c r="BF53" s="1927"/>
      <c r="BG53" s="1927"/>
      <c r="BH53" s="1927"/>
      <c r="BI53" s="1927"/>
      <c r="BJ53" s="1927"/>
      <c r="BK53" s="1927"/>
      <c r="BL53" s="1927"/>
      <c r="BM53" s="1786"/>
      <c r="BN53" s="1785"/>
      <c r="BO53" s="1927"/>
      <c r="BP53" s="1927"/>
      <c r="BQ53" s="1927"/>
      <c r="BR53" s="1927"/>
      <c r="BS53" s="1927"/>
      <c r="BT53" s="1927"/>
      <c r="BU53" s="1927"/>
      <c r="BV53" s="1927"/>
      <c r="BW53" s="1927"/>
      <c r="BX53" s="1927"/>
      <c r="BY53" s="1927"/>
      <c r="BZ53" s="1927"/>
      <c r="CA53" s="1927"/>
      <c r="CB53" s="1786"/>
      <c r="CC53" s="1813"/>
      <c r="CD53" s="1813"/>
      <c r="CE53" s="1813"/>
      <c r="CF53" s="1813"/>
      <c r="CG53" s="1813"/>
      <c r="CH53" s="1780"/>
    </row>
    <row r="54" spans="1:134" x14ac:dyDescent="0.2">
      <c r="A54" s="1770">
        <v>1</v>
      </c>
      <c r="B54" s="1787"/>
      <c r="C54" s="1787"/>
      <c r="D54" s="1771"/>
      <c r="E54" s="1770">
        <v>2</v>
      </c>
      <c r="F54" s="1787"/>
      <c r="G54" s="1787"/>
      <c r="H54" s="1787"/>
      <c r="I54" s="1787"/>
      <c r="J54" s="1787"/>
      <c r="K54" s="1787"/>
      <c r="L54" s="1787"/>
      <c r="M54" s="1787"/>
      <c r="N54" s="1787"/>
      <c r="O54" s="1787"/>
      <c r="P54" s="1787"/>
      <c r="Q54" s="1787"/>
      <c r="R54" s="1787"/>
      <c r="S54" s="1787"/>
      <c r="T54" s="1787"/>
      <c r="U54" s="1787"/>
      <c r="V54" s="1787"/>
      <c r="W54" s="1787"/>
      <c r="X54" s="1787"/>
      <c r="Y54" s="1787"/>
      <c r="Z54" s="1787"/>
      <c r="AA54" s="1787"/>
      <c r="AB54" s="1787"/>
      <c r="AC54" s="1787"/>
      <c r="AD54" s="1787"/>
      <c r="AE54" s="1787"/>
      <c r="AF54" s="1787"/>
      <c r="AG54" s="1787"/>
      <c r="AH54" s="1787"/>
      <c r="AI54" s="1787"/>
      <c r="AJ54" s="1787"/>
      <c r="AK54" s="1787"/>
      <c r="AL54" s="1787"/>
      <c r="AM54" s="1787"/>
      <c r="AN54" s="1771"/>
      <c r="AO54" s="1770">
        <v>3</v>
      </c>
      <c r="AP54" s="1787"/>
      <c r="AQ54" s="1787"/>
      <c r="AR54" s="1787"/>
      <c r="AS54" s="1787"/>
      <c r="AT54" s="1787"/>
      <c r="AU54" s="1787"/>
      <c r="AV54" s="1787"/>
      <c r="AW54" s="1787"/>
      <c r="AX54" s="1787"/>
      <c r="AY54" s="1787"/>
      <c r="AZ54" s="1787"/>
      <c r="BA54" s="1787"/>
      <c r="BB54" s="1787"/>
      <c r="BC54" s="1771"/>
      <c r="BD54" s="1770">
        <v>4</v>
      </c>
      <c r="BE54" s="1787"/>
      <c r="BF54" s="1787"/>
      <c r="BG54" s="1787"/>
      <c r="BH54" s="1787"/>
      <c r="BI54" s="1787"/>
      <c r="BJ54" s="1787"/>
      <c r="BK54" s="1787"/>
      <c r="BL54" s="1787"/>
      <c r="BM54" s="1771"/>
      <c r="BN54" s="1770" t="s">
        <v>49</v>
      </c>
      <c r="BO54" s="1787"/>
      <c r="BP54" s="1787"/>
      <c r="BQ54" s="1787"/>
      <c r="BR54" s="1787"/>
      <c r="BS54" s="1787"/>
      <c r="BT54" s="1787"/>
      <c r="BU54" s="1787"/>
      <c r="BV54" s="1787"/>
      <c r="BW54" s="1787"/>
      <c r="BX54" s="1787"/>
      <c r="BY54" s="1787"/>
      <c r="BZ54" s="1787"/>
      <c r="CA54" s="1787"/>
      <c r="CB54" s="1771"/>
      <c r="CC54" s="15">
        <v>6</v>
      </c>
      <c r="CD54" s="15">
        <v>7</v>
      </c>
      <c r="CE54" s="15">
        <v>8</v>
      </c>
      <c r="CF54" s="15">
        <v>9</v>
      </c>
      <c r="CG54" s="15">
        <v>10</v>
      </c>
      <c r="CH54" s="15">
        <v>11</v>
      </c>
    </row>
    <row r="55" spans="1:134" s="137" customFormat="1" ht="23.25" customHeight="1" x14ac:dyDescent="0.2">
      <c r="A55" s="1770">
        <v>1</v>
      </c>
      <c r="B55" s="1787"/>
      <c r="C55" s="1787"/>
      <c r="D55" s="1771"/>
      <c r="E55" s="1772" t="s">
        <v>1231</v>
      </c>
      <c r="F55" s="1882"/>
      <c r="G55" s="1882"/>
      <c r="H55" s="1882"/>
      <c r="I55" s="1882"/>
      <c r="J55" s="1882"/>
      <c r="K55" s="1882"/>
      <c r="L55" s="1882"/>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c r="AN55" s="1773"/>
      <c r="AO55" s="2060">
        <f t="shared" ref="AO55:AO57" si="4">BN55/BD55</f>
        <v>190260</v>
      </c>
      <c r="AP55" s="2061"/>
      <c r="AQ55" s="2061"/>
      <c r="AR55" s="2061"/>
      <c r="AS55" s="2061"/>
      <c r="AT55" s="2061"/>
      <c r="AU55" s="2061"/>
      <c r="AV55" s="2061"/>
      <c r="AW55" s="2061"/>
      <c r="AX55" s="2061"/>
      <c r="AY55" s="2061"/>
      <c r="AZ55" s="2061"/>
      <c r="BA55" s="2061"/>
      <c r="BB55" s="2061"/>
      <c r="BC55" s="2062"/>
      <c r="BD55" s="2079">
        <v>1</v>
      </c>
      <c r="BE55" s="2080"/>
      <c r="BF55" s="2080"/>
      <c r="BG55" s="2080"/>
      <c r="BH55" s="2080"/>
      <c r="BI55" s="2080"/>
      <c r="BJ55" s="2080"/>
      <c r="BK55" s="2080"/>
      <c r="BL55" s="2080"/>
      <c r="BM55" s="2081"/>
      <c r="BN55" s="2060">
        <f>CC55+CD55+CH55</f>
        <v>190260</v>
      </c>
      <c r="BO55" s="2061"/>
      <c r="BP55" s="2061"/>
      <c r="BQ55" s="2061"/>
      <c r="BR55" s="2061"/>
      <c r="BS55" s="2061"/>
      <c r="BT55" s="2061"/>
      <c r="BU55" s="2061"/>
      <c r="BV55" s="2061"/>
      <c r="BW55" s="2061"/>
      <c r="BX55" s="2061"/>
      <c r="BY55" s="2061"/>
      <c r="BZ55" s="2061"/>
      <c r="CA55" s="2061"/>
      <c r="CB55" s="2062"/>
      <c r="CC55" s="138">
        <f>32288.77-0.01</f>
        <v>32288.760000000002</v>
      </c>
      <c r="CD55" s="138">
        <f>141417.61-32288.77+0.01</f>
        <v>109128.84999999998</v>
      </c>
      <c r="CE55" s="987"/>
      <c r="CF55" s="138"/>
      <c r="CG55" s="138"/>
      <c r="CH55" s="138">
        <v>48842.39</v>
      </c>
    </row>
    <row r="56" spans="1:134" s="137" customFormat="1" ht="21.75" customHeight="1" x14ac:dyDescent="0.2">
      <c r="A56" s="1770">
        <v>2</v>
      </c>
      <c r="B56" s="1787"/>
      <c r="C56" s="1787"/>
      <c r="D56" s="1771"/>
      <c r="E56" s="1772" t="s">
        <v>704</v>
      </c>
      <c r="F56" s="1882"/>
      <c r="G56" s="1882"/>
      <c r="H56" s="1882"/>
      <c r="I56" s="1882"/>
      <c r="J56" s="1882"/>
      <c r="K56" s="1882"/>
      <c r="L56" s="1882"/>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c r="AN56" s="1773"/>
      <c r="AO56" s="2060">
        <f t="shared" si="4"/>
        <v>74560.5</v>
      </c>
      <c r="AP56" s="2061"/>
      <c r="AQ56" s="2061"/>
      <c r="AR56" s="2061"/>
      <c r="AS56" s="2061"/>
      <c r="AT56" s="2061"/>
      <c r="AU56" s="2061"/>
      <c r="AV56" s="2061"/>
      <c r="AW56" s="2061"/>
      <c r="AX56" s="2061"/>
      <c r="AY56" s="2061"/>
      <c r="AZ56" s="2061"/>
      <c r="BA56" s="2061"/>
      <c r="BB56" s="2061"/>
      <c r="BC56" s="2062"/>
      <c r="BD56" s="2079">
        <v>1</v>
      </c>
      <c r="BE56" s="2080"/>
      <c r="BF56" s="2080"/>
      <c r="BG56" s="2080"/>
      <c r="BH56" s="2080"/>
      <c r="BI56" s="2080"/>
      <c r="BJ56" s="2080"/>
      <c r="BK56" s="2080"/>
      <c r="BL56" s="2080"/>
      <c r="BM56" s="2081"/>
      <c r="BN56" s="2060">
        <f t="shared" ref="BN56:BN57" si="5">CC56+CD56+CH56</f>
        <v>74560.5</v>
      </c>
      <c r="BO56" s="2061"/>
      <c r="BP56" s="2061"/>
      <c r="BQ56" s="2061"/>
      <c r="BR56" s="2061"/>
      <c r="BS56" s="2061"/>
      <c r="BT56" s="2061"/>
      <c r="BU56" s="2061"/>
      <c r="BV56" s="2061"/>
      <c r="BW56" s="2061"/>
      <c r="BX56" s="2061"/>
      <c r="BY56" s="2061"/>
      <c r="BZ56" s="2061"/>
      <c r="CA56" s="2061"/>
      <c r="CB56" s="2062"/>
      <c r="CC56" s="138"/>
      <c r="CD56" s="138">
        <v>63301.25</v>
      </c>
      <c r="CE56" s="987"/>
      <c r="CF56" s="138"/>
      <c r="CG56" s="138"/>
      <c r="CH56" s="138">
        <v>11259.25</v>
      </c>
    </row>
    <row r="57" spans="1:134" s="137" customFormat="1" ht="21.75" customHeight="1" x14ac:dyDescent="0.2">
      <c r="A57" s="1770">
        <v>3</v>
      </c>
      <c r="B57" s="1787"/>
      <c r="C57" s="1787"/>
      <c r="D57" s="1771"/>
      <c r="E57" s="1772" t="s">
        <v>1232</v>
      </c>
      <c r="F57" s="1882"/>
      <c r="G57" s="1882"/>
      <c r="H57" s="1882"/>
      <c r="I57" s="1882"/>
      <c r="J57" s="1882"/>
      <c r="K57" s="1882"/>
      <c r="L57" s="1882"/>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c r="AN57" s="1773"/>
      <c r="AO57" s="2060">
        <f t="shared" si="4"/>
        <v>28539</v>
      </c>
      <c r="AP57" s="2061"/>
      <c r="AQ57" s="2061"/>
      <c r="AR57" s="2061"/>
      <c r="AS57" s="2061"/>
      <c r="AT57" s="2061"/>
      <c r="AU57" s="2061"/>
      <c r="AV57" s="2061"/>
      <c r="AW57" s="2061"/>
      <c r="AX57" s="2061"/>
      <c r="AY57" s="2061"/>
      <c r="AZ57" s="2061"/>
      <c r="BA57" s="2061"/>
      <c r="BB57" s="2061"/>
      <c r="BC57" s="2062"/>
      <c r="BD57" s="2079">
        <v>1</v>
      </c>
      <c r="BE57" s="2080"/>
      <c r="BF57" s="2080"/>
      <c r="BG57" s="2080"/>
      <c r="BH57" s="2080"/>
      <c r="BI57" s="2080"/>
      <c r="BJ57" s="2080"/>
      <c r="BK57" s="2080"/>
      <c r="BL57" s="2080"/>
      <c r="BM57" s="2081"/>
      <c r="BN57" s="2060">
        <f t="shared" si="5"/>
        <v>28539</v>
      </c>
      <c r="BO57" s="2061"/>
      <c r="BP57" s="2061"/>
      <c r="BQ57" s="2061"/>
      <c r="BR57" s="2061"/>
      <c r="BS57" s="2061"/>
      <c r="BT57" s="2061"/>
      <c r="BU57" s="2061"/>
      <c r="BV57" s="2061"/>
      <c r="BW57" s="2061"/>
      <c r="BX57" s="2061"/>
      <c r="BY57" s="2061"/>
      <c r="BZ57" s="2061"/>
      <c r="CA57" s="2061"/>
      <c r="CB57" s="2062"/>
      <c r="CC57" s="138"/>
      <c r="CD57" s="138">
        <f>28539-1426.95</f>
        <v>27112.05</v>
      </c>
      <c r="CE57" s="988"/>
      <c r="CF57" s="138"/>
      <c r="CG57" s="138"/>
      <c r="CH57" s="138">
        <v>1426.95</v>
      </c>
      <c r="CO57" s="823"/>
    </row>
    <row r="58" spans="1:134" s="137" customFormat="1" ht="20.25" customHeight="1" x14ac:dyDescent="0.2">
      <c r="A58" s="1770">
        <v>4</v>
      </c>
      <c r="B58" s="1787"/>
      <c r="C58" s="1787"/>
      <c r="D58" s="1771"/>
      <c r="E58" s="1772" t="s">
        <v>675</v>
      </c>
      <c r="F58" s="1882"/>
      <c r="G58" s="1882"/>
      <c r="H58" s="1882"/>
      <c r="I58" s="1882"/>
      <c r="J58" s="1882"/>
      <c r="K58" s="1882"/>
      <c r="L58" s="1882"/>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c r="AN58" s="1773"/>
      <c r="AO58" s="2060">
        <f>BN58</f>
        <v>0</v>
      </c>
      <c r="AP58" s="2061"/>
      <c r="AQ58" s="2061"/>
      <c r="AR58" s="2061"/>
      <c r="AS58" s="2061"/>
      <c r="AT58" s="2061"/>
      <c r="AU58" s="2061"/>
      <c r="AV58" s="2061"/>
      <c r="AW58" s="2061"/>
      <c r="AX58" s="2061"/>
      <c r="AY58" s="2061"/>
      <c r="AZ58" s="2061"/>
      <c r="BA58" s="2061"/>
      <c r="BB58" s="2061"/>
      <c r="BC58" s="2062"/>
      <c r="BD58" s="2079">
        <v>1</v>
      </c>
      <c r="BE58" s="2080"/>
      <c r="BF58" s="2080"/>
      <c r="BG58" s="2080"/>
      <c r="BH58" s="2080"/>
      <c r="BI58" s="2080"/>
      <c r="BJ58" s="2080"/>
      <c r="BK58" s="2080"/>
      <c r="BL58" s="2080"/>
      <c r="BM58" s="2081"/>
      <c r="BN58" s="2060">
        <v>0</v>
      </c>
      <c r="BO58" s="2061"/>
      <c r="BP58" s="2061"/>
      <c r="BQ58" s="2061"/>
      <c r="BR58" s="2061"/>
      <c r="BS58" s="2061"/>
      <c r="BT58" s="2061"/>
      <c r="BU58" s="2061"/>
      <c r="BV58" s="2061"/>
      <c r="BW58" s="2061"/>
      <c r="BX58" s="2061"/>
      <c r="BY58" s="2061"/>
      <c r="BZ58" s="2061"/>
      <c r="CA58" s="2061"/>
      <c r="CB58" s="2062"/>
      <c r="CC58" s="138"/>
      <c r="CD58" s="138">
        <v>0</v>
      </c>
      <c r="CE58" s="138"/>
      <c r="CF58" s="138"/>
      <c r="CG58" s="138"/>
      <c r="CH58" s="138">
        <v>0</v>
      </c>
      <c r="DB58" s="45"/>
    </row>
    <row r="59" spans="1:134" s="234" customFormat="1" ht="21" customHeight="1" x14ac:dyDescent="0.2">
      <c r="A59" s="1810">
        <v>5</v>
      </c>
      <c r="B59" s="1810"/>
      <c r="C59" s="1810"/>
      <c r="D59" s="1810"/>
      <c r="E59" s="1772" t="s">
        <v>1233</v>
      </c>
      <c r="F59" s="1882"/>
      <c r="G59" s="1882"/>
      <c r="H59" s="1882"/>
      <c r="I59" s="1882"/>
      <c r="J59" s="1882"/>
      <c r="K59" s="1882"/>
      <c r="L59" s="1882"/>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c r="AN59" s="1882"/>
      <c r="AO59" s="2091">
        <f>BN59</f>
        <v>29384.92</v>
      </c>
      <c r="AP59" s="2091"/>
      <c r="AQ59" s="2091"/>
      <c r="AR59" s="2091"/>
      <c r="AS59" s="2091"/>
      <c r="AT59" s="2091"/>
      <c r="AU59" s="2091"/>
      <c r="AV59" s="2091"/>
      <c r="AW59" s="2091"/>
      <c r="AX59" s="2091"/>
      <c r="AY59" s="2091"/>
      <c r="AZ59" s="2091"/>
      <c r="BA59" s="2091"/>
      <c r="BB59" s="2091"/>
      <c r="BC59" s="2091"/>
      <c r="BD59" s="1810">
        <v>1</v>
      </c>
      <c r="BE59" s="1810"/>
      <c r="BF59" s="1810"/>
      <c r="BG59" s="1810"/>
      <c r="BH59" s="1810"/>
      <c r="BI59" s="1810"/>
      <c r="BJ59" s="1810"/>
      <c r="BK59" s="1810"/>
      <c r="BL59" s="1810"/>
      <c r="BM59" s="1810"/>
      <c r="BN59" s="2060">
        <f>CC59+CD59+CH59</f>
        <v>29384.92</v>
      </c>
      <c r="BO59" s="2061"/>
      <c r="BP59" s="2061"/>
      <c r="BQ59" s="2061"/>
      <c r="BR59" s="2061"/>
      <c r="BS59" s="2061"/>
      <c r="BT59" s="2061"/>
      <c r="BU59" s="2061"/>
      <c r="BV59" s="2061"/>
      <c r="BW59" s="2061"/>
      <c r="BX59" s="2061"/>
      <c r="BY59" s="2061"/>
      <c r="BZ59" s="2061"/>
      <c r="CA59" s="2061"/>
      <c r="CB59" s="2062"/>
      <c r="CC59" s="233"/>
      <c r="CD59" s="233">
        <v>25135.27</v>
      </c>
      <c r="CE59" s="823"/>
      <c r="CF59" s="233"/>
      <c r="CG59" s="233"/>
      <c r="CH59" s="233">
        <v>4249.6499999999996</v>
      </c>
      <c r="CL59" s="2201"/>
      <c r="CM59" s="2202"/>
      <c r="CN59" s="2202"/>
      <c r="CO59" s="2202"/>
      <c r="CP59" s="2202"/>
      <c r="CQ59" s="2202"/>
      <c r="CR59" s="2202"/>
      <c r="CS59" s="2202"/>
      <c r="CT59" s="2202"/>
      <c r="CU59" s="2202"/>
      <c r="CV59" s="2202"/>
      <c r="CW59" s="2202"/>
      <c r="CX59" s="2202"/>
      <c r="CY59" s="2202"/>
      <c r="CZ59" s="554"/>
      <c r="DA59" s="554"/>
      <c r="DB59" s="555"/>
      <c r="DC59" s="554"/>
      <c r="DD59" s="554"/>
      <c r="DE59" s="554"/>
      <c r="DF59" s="554"/>
      <c r="DG59" s="554"/>
      <c r="DH59" s="554"/>
      <c r="DI59" s="554"/>
      <c r="DJ59" s="554"/>
      <c r="DK59" s="554"/>
      <c r="DL59" s="554"/>
      <c r="DM59" s="554"/>
      <c r="DN59" s="554"/>
      <c r="DO59" s="554"/>
      <c r="DP59" s="554"/>
      <c r="DQ59" s="554"/>
      <c r="DR59" s="554"/>
      <c r="DS59" s="554"/>
      <c r="DT59" s="554"/>
      <c r="DU59" s="554"/>
      <c r="DV59" s="554"/>
      <c r="DW59" s="554"/>
      <c r="DX59" s="554"/>
      <c r="DY59" s="554"/>
      <c r="DZ59" s="554"/>
      <c r="EA59" s="554"/>
      <c r="EB59" s="554"/>
      <c r="EC59" s="554"/>
      <c r="ED59" s="554"/>
    </row>
    <row r="60" spans="1:134" s="137" customFormat="1" ht="19.5" customHeight="1" x14ac:dyDescent="0.2">
      <c r="A60" s="1770">
        <v>6</v>
      </c>
      <c r="B60" s="1787"/>
      <c r="C60" s="1787"/>
      <c r="D60" s="1771"/>
      <c r="E60" s="1772" t="s">
        <v>676</v>
      </c>
      <c r="F60" s="1882"/>
      <c r="G60" s="1882"/>
      <c r="H60" s="1882"/>
      <c r="I60" s="1882"/>
      <c r="J60" s="1882"/>
      <c r="K60" s="1882"/>
      <c r="L60" s="1882"/>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c r="AN60" s="1773"/>
      <c r="AO60" s="2060">
        <f>BN60</f>
        <v>0</v>
      </c>
      <c r="AP60" s="2061"/>
      <c r="AQ60" s="2061"/>
      <c r="AR60" s="2061"/>
      <c r="AS60" s="2061"/>
      <c r="AT60" s="2061"/>
      <c r="AU60" s="2061"/>
      <c r="AV60" s="2061"/>
      <c r="AW60" s="2061"/>
      <c r="AX60" s="2061"/>
      <c r="AY60" s="2061"/>
      <c r="AZ60" s="2061"/>
      <c r="BA60" s="2061"/>
      <c r="BB60" s="2061"/>
      <c r="BC60" s="2062"/>
      <c r="BD60" s="2079">
        <v>1</v>
      </c>
      <c r="BE60" s="2080"/>
      <c r="BF60" s="2080"/>
      <c r="BG60" s="2080"/>
      <c r="BH60" s="2080"/>
      <c r="BI60" s="2080"/>
      <c r="BJ60" s="2080"/>
      <c r="BK60" s="2080"/>
      <c r="BL60" s="2080"/>
      <c r="BM60" s="2081"/>
      <c r="BN60" s="2060">
        <f t="shared" ref="BN60:BN90" si="6">CC60+CD60+CH60</f>
        <v>0</v>
      </c>
      <c r="BO60" s="2061"/>
      <c r="BP60" s="2061"/>
      <c r="BQ60" s="2061"/>
      <c r="BR60" s="2061"/>
      <c r="BS60" s="2061"/>
      <c r="BT60" s="2061"/>
      <c r="BU60" s="2061"/>
      <c r="BV60" s="2061"/>
      <c r="BW60" s="2061"/>
      <c r="BX60" s="2061"/>
      <c r="BY60" s="2061"/>
      <c r="BZ60" s="2061"/>
      <c r="CA60" s="2061"/>
      <c r="CB60" s="2062"/>
      <c r="CC60" s="138"/>
      <c r="CD60" s="138">
        <v>0</v>
      </c>
      <c r="CE60" s="138"/>
      <c r="CF60" s="138"/>
      <c r="CG60" s="138"/>
      <c r="CH60" s="138">
        <v>0</v>
      </c>
      <c r="CO60" s="8"/>
      <c r="CR60" s="8"/>
      <c r="DB60" s="590"/>
    </row>
    <row r="61" spans="1:134" s="137" customFormat="1" ht="16.5" hidden="1" customHeight="1" x14ac:dyDescent="0.2">
      <c r="A61" s="1770">
        <v>7</v>
      </c>
      <c r="B61" s="1787"/>
      <c r="C61" s="1787"/>
      <c r="D61" s="1771"/>
      <c r="E61" s="1772"/>
      <c r="F61" s="1882"/>
      <c r="G61" s="1882"/>
      <c r="H61" s="1882"/>
      <c r="I61" s="1882"/>
      <c r="J61" s="1882"/>
      <c r="K61" s="1882"/>
      <c r="L61" s="1882"/>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c r="AN61" s="1773"/>
      <c r="AO61" s="2060"/>
      <c r="AP61" s="2061"/>
      <c r="AQ61" s="2061"/>
      <c r="AR61" s="2061"/>
      <c r="AS61" s="2061"/>
      <c r="AT61" s="2061"/>
      <c r="AU61" s="2061"/>
      <c r="AV61" s="2061"/>
      <c r="AW61" s="2061"/>
      <c r="AX61" s="2061"/>
      <c r="AY61" s="2061"/>
      <c r="AZ61" s="2061"/>
      <c r="BA61" s="2061"/>
      <c r="BB61" s="2061"/>
      <c r="BC61" s="2062"/>
      <c r="BD61" s="2079"/>
      <c r="BE61" s="2080"/>
      <c r="BF61" s="2080"/>
      <c r="BG61" s="2080"/>
      <c r="BH61" s="2080"/>
      <c r="BI61" s="2080"/>
      <c r="BJ61" s="2080"/>
      <c r="BK61" s="2080"/>
      <c r="BL61" s="2080"/>
      <c r="BM61" s="2081"/>
      <c r="BN61" s="2060">
        <f t="shared" ca="1" si="6"/>
        <v>29384.92</v>
      </c>
      <c r="BO61" s="2061"/>
      <c r="BP61" s="2061"/>
      <c r="BQ61" s="2061"/>
      <c r="BR61" s="2061"/>
      <c r="BS61" s="2061"/>
      <c r="BT61" s="2061"/>
      <c r="BU61" s="2061"/>
      <c r="BV61" s="2061"/>
      <c r="BW61" s="2061"/>
      <c r="BX61" s="2061"/>
      <c r="BY61" s="2061"/>
      <c r="BZ61" s="2061"/>
      <c r="CA61" s="2061"/>
      <c r="CB61" s="2062"/>
      <c r="CC61" s="138"/>
      <c r="CD61" s="138">
        <f t="shared" ref="CD61:CD90" ca="1" si="7">BN61</f>
        <v>0</v>
      </c>
      <c r="CE61" s="138"/>
      <c r="CF61" s="138"/>
      <c r="CG61" s="138"/>
      <c r="CH61" s="138"/>
    </row>
    <row r="62" spans="1:134" s="137" customFormat="1" ht="13.5" hidden="1" customHeight="1" x14ac:dyDescent="0.2">
      <c r="A62" s="1770">
        <v>8</v>
      </c>
      <c r="B62" s="1787"/>
      <c r="C62" s="1787"/>
      <c r="D62" s="1771"/>
      <c r="E62" s="1772"/>
      <c r="F62" s="1882"/>
      <c r="G62" s="1882"/>
      <c r="H62" s="1882"/>
      <c r="I62" s="1882"/>
      <c r="J62" s="1882"/>
      <c r="K62" s="1882"/>
      <c r="L62" s="1882"/>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c r="AN62" s="1773"/>
      <c r="AO62" s="2060"/>
      <c r="AP62" s="2061"/>
      <c r="AQ62" s="2061"/>
      <c r="AR62" s="2061"/>
      <c r="AS62" s="2061"/>
      <c r="AT62" s="2061"/>
      <c r="AU62" s="2061"/>
      <c r="AV62" s="2061"/>
      <c r="AW62" s="2061"/>
      <c r="AX62" s="2061"/>
      <c r="AY62" s="2061"/>
      <c r="AZ62" s="2061"/>
      <c r="BA62" s="2061"/>
      <c r="BB62" s="2061"/>
      <c r="BC62" s="2062"/>
      <c r="BD62" s="2079"/>
      <c r="BE62" s="2080"/>
      <c r="BF62" s="2080"/>
      <c r="BG62" s="2080"/>
      <c r="BH62" s="2080"/>
      <c r="BI62" s="2080"/>
      <c r="BJ62" s="2080"/>
      <c r="BK62" s="2080"/>
      <c r="BL62" s="2080"/>
      <c r="BM62" s="2081"/>
      <c r="BN62" s="2060">
        <f t="shared" ca="1" si="6"/>
        <v>29384.92</v>
      </c>
      <c r="BO62" s="2061"/>
      <c r="BP62" s="2061"/>
      <c r="BQ62" s="2061"/>
      <c r="BR62" s="2061"/>
      <c r="BS62" s="2061"/>
      <c r="BT62" s="2061"/>
      <c r="BU62" s="2061"/>
      <c r="BV62" s="2061"/>
      <c r="BW62" s="2061"/>
      <c r="BX62" s="2061"/>
      <c r="BY62" s="2061"/>
      <c r="BZ62" s="2061"/>
      <c r="CA62" s="2061"/>
      <c r="CB62" s="2062"/>
      <c r="CC62" s="138"/>
      <c r="CD62" s="138">
        <f t="shared" ca="1" si="7"/>
        <v>0</v>
      </c>
      <c r="CE62" s="138"/>
      <c r="CF62" s="138"/>
      <c r="CG62" s="138"/>
      <c r="CH62" s="138"/>
    </row>
    <row r="63" spans="1:134" s="137" customFormat="1" ht="12.75" hidden="1" customHeight="1" x14ac:dyDescent="0.2">
      <c r="A63" s="1770">
        <v>9</v>
      </c>
      <c r="B63" s="1787"/>
      <c r="C63" s="1787"/>
      <c r="D63" s="1771"/>
      <c r="E63" s="1772"/>
      <c r="F63" s="1882"/>
      <c r="G63" s="1882"/>
      <c r="H63" s="1882"/>
      <c r="I63" s="1882"/>
      <c r="J63" s="1882"/>
      <c r="K63" s="1882"/>
      <c r="L63" s="1882"/>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c r="AN63" s="1773"/>
      <c r="AO63" s="2060"/>
      <c r="AP63" s="2061"/>
      <c r="AQ63" s="2061"/>
      <c r="AR63" s="2061"/>
      <c r="AS63" s="2061"/>
      <c r="AT63" s="2061"/>
      <c r="AU63" s="2061"/>
      <c r="AV63" s="2061"/>
      <c r="AW63" s="2061"/>
      <c r="AX63" s="2061"/>
      <c r="AY63" s="2061"/>
      <c r="AZ63" s="2061"/>
      <c r="BA63" s="2061"/>
      <c r="BB63" s="2061"/>
      <c r="BC63" s="2062"/>
      <c r="BD63" s="2079"/>
      <c r="BE63" s="2080"/>
      <c r="BF63" s="2080"/>
      <c r="BG63" s="2080"/>
      <c r="BH63" s="2080"/>
      <c r="BI63" s="2080"/>
      <c r="BJ63" s="2080"/>
      <c r="BK63" s="2080"/>
      <c r="BL63" s="2080"/>
      <c r="BM63" s="2081"/>
      <c r="BN63" s="2060">
        <f t="shared" ca="1" si="6"/>
        <v>29384.92</v>
      </c>
      <c r="BO63" s="2061"/>
      <c r="BP63" s="2061"/>
      <c r="BQ63" s="2061"/>
      <c r="BR63" s="2061"/>
      <c r="BS63" s="2061"/>
      <c r="BT63" s="2061"/>
      <c r="BU63" s="2061"/>
      <c r="BV63" s="2061"/>
      <c r="BW63" s="2061"/>
      <c r="BX63" s="2061"/>
      <c r="BY63" s="2061"/>
      <c r="BZ63" s="2061"/>
      <c r="CA63" s="2061"/>
      <c r="CB63" s="2062"/>
      <c r="CC63" s="138"/>
      <c r="CD63" s="138">
        <f t="shared" ca="1" si="7"/>
        <v>0</v>
      </c>
      <c r="CE63" s="138"/>
      <c r="CF63" s="138"/>
      <c r="CG63" s="138"/>
      <c r="CH63" s="138"/>
    </row>
    <row r="64" spans="1:134" s="137" customFormat="1" ht="12.75" hidden="1" customHeight="1" x14ac:dyDescent="0.2">
      <c r="A64" s="1770">
        <v>10</v>
      </c>
      <c r="B64" s="1787"/>
      <c r="C64" s="1787"/>
      <c r="D64" s="1771"/>
      <c r="E64" s="1772"/>
      <c r="F64" s="1882"/>
      <c r="G64" s="1882"/>
      <c r="H64" s="1882"/>
      <c r="I64" s="1882"/>
      <c r="J64" s="1882"/>
      <c r="K64" s="1882"/>
      <c r="L64" s="1882"/>
      <c r="M64" s="1882"/>
      <c r="N64" s="1882"/>
      <c r="O64" s="1882"/>
      <c r="P64" s="1882"/>
      <c r="Q64" s="1882"/>
      <c r="R64" s="1882"/>
      <c r="S64" s="1882"/>
      <c r="T64" s="1882"/>
      <c r="U64" s="1882"/>
      <c r="V64" s="1882"/>
      <c r="W64" s="1882"/>
      <c r="X64" s="1882"/>
      <c r="Y64" s="1882"/>
      <c r="Z64" s="1882"/>
      <c r="AA64" s="1882"/>
      <c r="AB64" s="1882"/>
      <c r="AC64" s="1882"/>
      <c r="AD64" s="1882"/>
      <c r="AE64" s="1882"/>
      <c r="AF64" s="1882"/>
      <c r="AG64" s="1882"/>
      <c r="AH64" s="1882"/>
      <c r="AI64" s="1882"/>
      <c r="AJ64" s="1882"/>
      <c r="AK64" s="1882"/>
      <c r="AL64" s="1882"/>
      <c r="AM64" s="1882"/>
      <c r="AN64" s="1773"/>
      <c r="AO64" s="2060"/>
      <c r="AP64" s="2061"/>
      <c r="AQ64" s="2061"/>
      <c r="AR64" s="2061"/>
      <c r="AS64" s="2061"/>
      <c r="AT64" s="2061"/>
      <c r="AU64" s="2061"/>
      <c r="AV64" s="2061"/>
      <c r="AW64" s="2061"/>
      <c r="AX64" s="2061"/>
      <c r="AY64" s="2061"/>
      <c r="AZ64" s="2061"/>
      <c r="BA64" s="2061"/>
      <c r="BB64" s="2061"/>
      <c r="BC64" s="2062"/>
      <c r="BD64" s="2079"/>
      <c r="BE64" s="2080"/>
      <c r="BF64" s="2080"/>
      <c r="BG64" s="2080"/>
      <c r="BH64" s="2080"/>
      <c r="BI64" s="2080"/>
      <c r="BJ64" s="2080"/>
      <c r="BK64" s="2080"/>
      <c r="BL64" s="2080"/>
      <c r="BM64" s="2081"/>
      <c r="BN64" s="2060">
        <f t="shared" ca="1" si="6"/>
        <v>29384.92</v>
      </c>
      <c r="BO64" s="2061"/>
      <c r="BP64" s="2061"/>
      <c r="BQ64" s="2061"/>
      <c r="BR64" s="2061"/>
      <c r="BS64" s="2061"/>
      <c r="BT64" s="2061"/>
      <c r="BU64" s="2061"/>
      <c r="BV64" s="2061"/>
      <c r="BW64" s="2061"/>
      <c r="BX64" s="2061"/>
      <c r="BY64" s="2061"/>
      <c r="BZ64" s="2061"/>
      <c r="CA64" s="2061"/>
      <c r="CB64" s="2062"/>
      <c r="CC64" s="138"/>
      <c r="CD64" s="138">
        <f t="shared" ca="1" si="7"/>
        <v>0</v>
      </c>
      <c r="CE64" s="138"/>
      <c r="CF64" s="138"/>
      <c r="CG64" s="138"/>
      <c r="CH64" s="138"/>
    </row>
    <row r="65" spans="1:86" s="137" customFormat="1" ht="12.75" hidden="1" customHeight="1" x14ac:dyDescent="0.2">
      <c r="A65" s="1770">
        <v>11</v>
      </c>
      <c r="B65" s="1787"/>
      <c r="C65" s="1787"/>
      <c r="D65" s="1771"/>
      <c r="E65" s="1772"/>
      <c r="F65" s="1882"/>
      <c r="G65" s="1882"/>
      <c r="H65" s="1882"/>
      <c r="I65" s="1882"/>
      <c r="J65" s="1882"/>
      <c r="K65" s="1882"/>
      <c r="L65" s="1882"/>
      <c r="M65" s="1882"/>
      <c r="N65" s="1882"/>
      <c r="O65" s="1882"/>
      <c r="P65" s="1882"/>
      <c r="Q65" s="1882"/>
      <c r="R65" s="1882"/>
      <c r="S65" s="1882"/>
      <c r="T65" s="1882"/>
      <c r="U65" s="1882"/>
      <c r="V65" s="1882"/>
      <c r="W65" s="1882"/>
      <c r="X65" s="1882"/>
      <c r="Y65" s="1882"/>
      <c r="Z65" s="1882"/>
      <c r="AA65" s="1882"/>
      <c r="AB65" s="1882"/>
      <c r="AC65" s="1882"/>
      <c r="AD65" s="1882"/>
      <c r="AE65" s="1882"/>
      <c r="AF65" s="1882"/>
      <c r="AG65" s="1882"/>
      <c r="AH65" s="1882"/>
      <c r="AI65" s="1882"/>
      <c r="AJ65" s="1882"/>
      <c r="AK65" s="1882"/>
      <c r="AL65" s="1882"/>
      <c r="AM65" s="1882"/>
      <c r="AN65" s="1773"/>
      <c r="AO65" s="2060"/>
      <c r="AP65" s="2061"/>
      <c r="AQ65" s="2061"/>
      <c r="AR65" s="2061"/>
      <c r="AS65" s="2061"/>
      <c r="AT65" s="2061"/>
      <c r="AU65" s="2061"/>
      <c r="AV65" s="2061"/>
      <c r="AW65" s="2061"/>
      <c r="AX65" s="2061"/>
      <c r="AY65" s="2061"/>
      <c r="AZ65" s="2061"/>
      <c r="BA65" s="2061"/>
      <c r="BB65" s="2061"/>
      <c r="BC65" s="2062"/>
      <c r="BD65" s="2079"/>
      <c r="BE65" s="2080"/>
      <c r="BF65" s="2080"/>
      <c r="BG65" s="2080"/>
      <c r="BH65" s="2080"/>
      <c r="BI65" s="2080"/>
      <c r="BJ65" s="2080"/>
      <c r="BK65" s="2080"/>
      <c r="BL65" s="2080"/>
      <c r="BM65" s="2081"/>
      <c r="BN65" s="2060">
        <f t="shared" ca="1" si="6"/>
        <v>29384.92</v>
      </c>
      <c r="BO65" s="2061"/>
      <c r="BP65" s="2061"/>
      <c r="BQ65" s="2061"/>
      <c r="BR65" s="2061"/>
      <c r="BS65" s="2061"/>
      <c r="BT65" s="2061"/>
      <c r="BU65" s="2061"/>
      <c r="BV65" s="2061"/>
      <c r="BW65" s="2061"/>
      <c r="BX65" s="2061"/>
      <c r="BY65" s="2061"/>
      <c r="BZ65" s="2061"/>
      <c r="CA65" s="2061"/>
      <c r="CB65" s="2062"/>
      <c r="CC65" s="138"/>
      <c r="CD65" s="138">
        <f t="shared" ca="1" si="7"/>
        <v>0</v>
      </c>
      <c r="CE65" s="138"/>
      <c r="CF65" s="138"/>
      <c r="CG65" s="138"/>
      <c r="CH65" s="138"/>
    </row>
    <row r="66" spans="1:86" s="137" customFormat="1" ht="12.75" hidden="1" customHeight="1" x14ac:dyDescent="0.2">
      <c r="A66" s="1770">
        <v>12</v>
      </c>
      <c r="B66" s="1787"/>
      <c r="C66" s="1787"/>
      <c r="D66" s="1771"/>
      <c r="E66" s="1772"/>
      <c r="F66" s="1882"/>
      <c r="G66" s="1882"/>
      <c r="H66" s="1882"/>
      <c r="I66" s="1882"/>
      <c r="J66" s="1882"/>
      <c r="K66" s="1882"/>
      <c r="L66" s="1882"/>
      <c r="M66" s="1882"/>
      <c r="N66" s="1882"/>
      <c r="O66" s="1882"/>
      <c r="P66" s="1882"/>
      <c r="Q66" s="1882"/>
      <c r="R66" s="1882"/>
      <c r="S66" s="1882"/>
      <c r="T66" s="1882"/>
      <c r="U66" s="1882"/>
      <c r="V66" s="1882"/>
      <c r="W66" s="1882"/>
      <c r="X66" s="1882"/>
      <c r="Y66" s="1882"/>
      <c r="Z66" s="1882"/>
      <c r="AA66" s="1882"/>
      <c r="AB66" s="1882"/>
      <c r="AC66" s="1882"/>
      <c r="AD66" s="1882"/>
      <c r="AE66" s="1882"/>
      <c r="AF66" s="1882"/>
      <c r="AG66" s="1882"/>
      <c r="AH66" s="1882"/>
      <c r="AI66" s="1882"/>
      <c r="AJ66" s="1882"/>
      <c r="AK66" s="1882"/>
      <c r="AL66" s="1882"/>
      <c r="AM66" s="1882"/>
      <c r="AN66" s="1773"/>
      <c r="AO66" s="2060"/>
      <c r="AP66" s="2061"/>
      <c r="AQ66" s="2061"/>
      <c r="AR66" s="2061"/>
      <c r="AS66" s="2061"/>
      <c r="AT66" s="2061"/>
      <c r="AU66" s="2061"/>
      <c r="AV66" s="2061"/>
      <c r="AW66" s="2061"/>
      <c r="AX66" s="2061"/>
      <c r="AY66" s="2061"/>
      <c r="AZ66" s="2061"/>
      <c r="BA66" s="2061"/>
      <c r="BB66" s="2061"/>
      <c r="BC66" s="2062"/>
      <c r="BD66" s="2079"/>
      <c r="BE66" s="2080"/>
      <c r="BF66" s="2080"/>
      <c r="BG66" s="2080"/>
      <c r="BH66" s="2080"/>
      <c r="BI66" s="2080"/>
      <c r="BJ66" s="2080"/>
      <c r="BK66" s="2080"/>
      <c r="BL66" s="2080"/>
      <c r="BM66" s="2081"/>
      <c r="BN66" s="2060">
        <f t="shared" ca="1" si="6"/>
        <v>29384.92</v>
      </c>
      <c r="BO66" s="2061"/>
      <c r="BP66" s="2061"/>
      <c r="BQ66" s="2061"/>
      <c r="BR66" s="2061"/>
      <c r="BS66" s="2061"/>
      <c r="BT66" s="2061"/>
      <c r="BU66" s="2061"/>
      <c r="BV66" s="2061"/>
      <c r="BW66" s="2061"/>
      <c r="BX66" s="2061"/>
      <c r="BY66" s="2061"/>
      <c r="BZ66" s="2061"/>
      <c r="CA66" s="2061"/>
      <c r="CB66" s="2062"/>
      <c r="CC66" s="138"/>
      <c r="CD66" s="138">
        <f t="shared" ca="1" si="7"/>
        <v>0</v>
      </c>
      <c r="CE66" s="138"/>
      <c r="CF66" s="138"/>
      <c r="CG66" s="138"/>
      <c r="CH66" s="138"/>
    </row>
    <row r="67" spans="1:86" s="137" customFormat="1" ht="12.75" hidden="1" customHeight="1" x14ac:dyDescent="0.2">
      <c r="A67" s="1770">
        <v>13</v>
      </c>
      <c r="B67" s="1787"/>
      <c r="C67" s="1787"/>
      <c r="D67" s="1771"/>
      <c r="E67" s="1772"/>
      <c r="F67" s="1882"/>
      <c r="G67" s="1882"/>
      <c r="H67" s="1882"/>
      <c r="I67" s="1882"/>
      <c r="J67" s="1882"/>
      <c r="K67" s="1882"/>
      <c r="L67" s="1882"/>
      <c r="M67" s="1882"/>
      <c r="N67" s="1882"/>
      <c r="O67" s="1882"/>
      <c r="P67" s="1882"/>
      <c r="Q67" s="1882"/>
      <c r="R67" s="1882"/>
      <c r="S67" s="1882"/>
      <c r="T67" s="1882"/>
      <c r="U67" s="1882"/>
      <c r="V67" s="1882"/>
      <c r="W67" s="1882"/>
      <c r="X67" s="1882"/>
      <c r="Y67" s="1882"/>
      <c r="Z67" s="1882"/>
      <c r="AA67" s="1882"/>
      <c r="AB67" s="1882"/>
      <c r="AC67" s="1882"/>
      <c r="AD67" s="1882"/>
      <c r="AE67" s="1882"/>
      <c r="AF67" s="1882"/>
      <c r="AG67" s="1882"/>
      <c r="AH67" s="1882"/>
      <c r="AI67" s="1882"/>
      <c r="AJ67" s="1882"/>
      <c r="AK67" s="1882"/>
      <c r="AL67" s="1882"/>
      <c r="AM67" s="1882"/>
      <c r="AN67" s="1773"/>
      <c r="AO67" s="2060"/>
      <c r="AP67" s="2061"/>
      <c r="AQ67" s="2061"/>
      <c r="AR67" s="2061"/>
      <c r="AS67" s="2061"/>
      <c r="AT67" s="2061"/>
      <c r="AU67" s="2061"/>
      <c r="AV67" s="2061"/>
      <c r="AW67" s="2061"/>
      <c r="AX67" s="2061"/>
      <c r="AY67" s="2061"/>
      <c r="AZ67" s="2061"/>
      <c r="BA67" s="2061"/>
      <c r="BB67" s="2061"/>
      <c r="BC67" s="2062"/>
      <c r="BD67" s="2079"/>
      <c r="BE67" s="2080"/>
      <c r="BF67" s="2080"/>
      <c r="BG67" s="2080"/>
      <c r="BH67" s="2080"/>
      <c r="BI67" s="2080"/>
      <c r="BJ67" s="2080"/>
      <c r="BK67" s="2080"/>
      <c r="BL67" s="2080"/>
      <c r="BM67" s="2081"/>
      <c r="BN67" s="2060">
        <f t="shared" ca="1" si="6"/>
        <v>29384.92</v>
      </c>
      <c r="BO67" s="2061"/>
      <c r="BP67" s="2061"/>
      <c r="BQ67" s="2061"/>
      <c r="BR67" s="2061"/>
      <c r="BS67" s="2061"/>
      <c r="BT67" s="2061"/>
      <c r="BU67" s="2061"/>
      <c r="BV67" s="2061"/>
      <c r="BW67" s="2061"/>
      <c r="BX67" s="2061"/>
      <c r="BY67" s="2061"/>
      <c r="BZ67" s="2061"/>
      <c r="CA67" s="2061"/>
      <c r="CB67" s="2062"/>
      <c r="CC67" s="138"/>
      <c r="CD67" s="138">
        <f t="shared" ca="1" si="7"/>
        <v>0</v>
      </c>
      <c r="CE67" s="138"/>
      <c r="CF67" s="138"/>
      <c r="CG67" s="138"/>
      <c r="CH67" s="138"/>
    </row>
    <row r="68" spans="1:86" s="137" customFormat="1" ht="12.75" hidden="1" customHeight="1" x14ac:dyDescent="0.2">
      <c r="A68" s="1770">
        <v>14</v>
      </c>
      <c r="B68" s="1787"/>
      <c r="C68" s="1787"/>
      <c r="D68" s="1771"/>
      <c r="E68" s="1772"/>
      <c r="F68" s="1882"/>
      <c r="G68" s="1882"/>
      <c r="H68" s="1882"/>
      <c r="I68" s="1882"/>
      <c r="J68" s="1882"/>
      <c r="K68" s="1882"/>
      <c r="L68" s="1882"/>
      <c r="M68" s="1882"/>
      <c r="N68" s="1882"/>
      <c r="O68" s="1882"/>
      <c r="P68" s="1882"/>
      <c r="Q68" s="1882"/>
      <c r="R68" s="1882"/>
      <c r="S68" s="1882"/>
      <c r="T68" s="1882"/>
      <c r="U68" s="1882"/>
      <c r="V68" s="1882"/>
      <c r="W68" s="1882"/>
      <c r="X68" s="1882"/>
      <c r="Y68" s="1882"/>
      <c r="Z68" s="1882"/>
      <c r="AA68" s="1882"/>
      <c r="AB68" s="1882"/>
      <c r="AC68" s="1882"/>
      <c r="AD68" s="1882"/>
      <c r="AE68" s="1882"/>
      <c r="AF68" s="1882"/>
      <c r="AG68" s="1882"/>
      <c r="AH68" s="1882"/>
      <c r="AI68" s="1882"/>
      <c r="AJ68" s="1882"/>
      <c r="AK68" s="1882"/>
      <c r="AL68" s="1882"/>
      <c r="AM68" s="1882"/>
      <c r="AN68" s="1773"/>
      <c r="AO68" s="2060"/>
      <c r="AP68" s="2061"/>
      <c r="AQ68" s="2061"/>
      <c r="AR68" s="2061"/>
      <c r="AS68" s="2061"/>
      <c r="AT68" s="2061"/>
      <c r="AU68" s="2061"/>
      <c r="AV68" s="2061"/>
      <c r="AW68" s="2061"/>
      <c r="AX68" s="2061"/>
      <c r="AY68" s="2061"/>
      <c r="AZ68" s="2061"/>
      <c r="BA68" s="2061"/>
      <c r="BB68" s="2061"/>
      <c r="BC68" s="2062"/>
      <c r="BD68" s="2079"/>
      <c r="BE68" s="2080"/>
      <c r="BF68" s="2080"/>
      <c r="BG68" s="2080"/>
      <c r="BH68" s="2080"/>
      <c r="BI68" s="2080"/>
      <c r="BJ68" s="2080"/>
      <c r="BK68" s="2080"/>
      <c r="BL68" s="2080"/>
      <c r="BM68" s="2081"/>
      <c r="BN68" s="2060">
        <f t="shared" ca="1" si="6"/>
        <v>29384.92</v>
      </c>
      <c r="BO68" s="2061"/>
      <c r="BP68" s="2061"/>
      <c r="BQ68" s="2061"/>
      <c r="BR68" s="2061"/>
      <c r="BS68" s="2061"/>
      <c r="BT68" s="2061"/>
      <c r="BU68" s="2061"/>
      <c r="BV68" s="2061"/>
      <c r="BW68" s="2061"/>
      <c r="BX68" s="2061"/>
      <c r="BY68" s="2061"/>
      <c r="BZ68" s="2061"/>
      <c r="CA68" s="2061"/>
      <c r="CB68" s="2062"/>
      <c r="CC68" s="138"/>
      <c r="CD68" s="138">
        <f t="shared" ca="1" si="7"/>
        <v>0</v>
      </c>
      <c r="CE68" s="138"/>
      <c r="CF68" s="138"/>
      <c r="CG68" s="138"/>
      <c r="CH68" s="138"/>
    </row>
    <row r="69" spans="1:86" s="137" customFormat="1" ht="12.75" hidden="1" customHeight="1" x14ac:dyDescent="0.2">
      <c r="A69" s="1770">
        <v>15</v>
      </c>
      <c r="B69" s="1787"/>
      <c r="C69" s="1787"/>
      <c r="D69" s="1771"/>
      <c r="E69" s="1772"/>
      <c r="F69" s="1882"/>
      <c r="G69" s="1882"/>
      <c r="H69" s="1882"/>
      <c r="I69" s="1882"/>
      <c r="J69" s="1882"/>
      <c r="K69" s="1882"/>
      <c r="L69" s="1882"/>
      <c r="M69" s="1882"/>
      <c r="N69" s="1882"/>
      <c r="O69" s="1882"/>
      <c r="P69" s="1882"/>
      <c r="Q69" s="1882"/>
      <c r="R69" s="1882"/>
      <c r="S69" s="1882"/>
      <c r="T69" s="1882"/>
      <c r="U69" s="1882"/>
      <c r="V69" s="1882"/>
      <c r="W69" s="1882"/>
      <c r="X69" s="1882"/>
      <c r="Y69" s="1882"/>
      <c r="Z69" s="1882"/>
      <c r="AA69" s="1882"/>
      <c r="AB69" s="1882"/>
      <c r="AC69" s="1882"/>
      <c r="AD69" s="1882"/>
      <c r="AE69" s="1882"/>
      <c r="AF69" s="1882"/>
      <c r="AG69" s="1882"/>
      <c r="AH69" s="1882"/>
      <c r="AI69" s="1882"/>
      <c r="AJ69" s="1882"/>
      <c r="AK69" s="1882"/>
      <c r="AL69" s="1882"/>
      <c r="AM69" s="1882"/>
      <c r="AN69" s="1773"/>
      <c r="AO69" s="2060"/>
      <c r="AP69" s="2061"/>
      <c r="AQ69" s="2061"/>
      <c r="AR69" s="2061"/>
      <c r="AS69" s="2061"/>
      <c r="AT69" s="2061"/>
      <c r="AU69" s="2061"/>
      <c r="AV69" s="2061"/>
      <c r="AW69" s="2061"/>
      <c r="AX69" s="2061"/>
      <c r="AY69" s="2061"/>
      <c r="AZ69" s="2061"/>
      <c r="BA69" s="2061"/>
      <c r="BB69" s="2061"/>
      <c r="BC69" s="2062"/>
      <c r="BD69" s="2079"/>
      <c r="BE69" s="2080"/>
      <c r="BF69" s="2080"/>
      <c r="BG69" s="2080"/>
      <c r="BH69" s="2080"/>
      <c r="BI69" s="2080"/>
      <c r="BJ69" s="2080"/>
      <c r="BK69" s="2080"/>
      <c r="BL69" s="2080"/>
      <c r="BM69" s="2081"/>
      <c r="BN69" s="2060">
        <f t="shared" ca="1" si="6"/>
        <v>29384.92</v>
      </c>
      <c r="BO69" s="2061"/>
      <c r="BP69" s="2061"/>
      <c r="BQ69" s="2061"/>
      <c r="BR69" s="2061"/>
      <c r="BS69" s="2061"/>
      <c r="BT69" s="2061"/>
      <c r="BU69" s="2061"/>
      <c r="BV69" s="2061"/>
      <c r="BW69" s="2061"/>
      <c r="BX69" s="2061"/>
      <c r="BY69" s="2061"/>
      <c r="BZ69" s="2061"/>
      <c r="CA69" s="2061"/>
      <c r="CB69" s="2062"/>
      <c r="CC69" s="138"/>
      <c r="CD69" s="138">
        <f t="shared" ca="1" si="7"/>
        <v>0</v>
      </c>
      <c r="CE69" s="138"/>
      <c r="CF69" s="138"/>
      <c r="CG69" s="138"/>
      <c r="CH69" s="138"/>
    </row>
    <row r="70" spans="1:86" s="137" customFormat="1" ht="12.75" hidden="1" customHeight="1" x14ac:dyDescent="0.2">
      <c r="A70" s="1770">
        <v>16</v>
      </c>
      <c r="B70" s="1787"/>
      <c r="C70" s="1787"/>
      <c r="D70" s="1771"/>
      <c r="E70" s="1772"/>
      <c r="F70" s="1882"/>
      <c r="G70" s="1882"/>
      <c r="H70" s="1882"/>
      <c r="I70" s="1882"/>
      <c r="J70" s="1882"/>
      <c r="K70" s="1882"/>
      <c r="L70" s="1882"/>
      <c r="M70" s="1882"/>
      <c r="N70" s="1882"/>
      <c r="O70" s="1882"/>
      <c r="P70" s="1882"/>
      <c r="Q70" s="1882"/>
      <c r="R70" s="1882"/>
      <c r="S70" s="1882"/>
      <c r="T70" s="1882"/>
      <c r="U70" s="1882"/>
      <c r="V70" s="1882"/>
      <c r="W70" s="1882"/>
      <c r="X70" s="1882"/>
      <c r="Y70" s="1882"/>
      <c r="Z70" s="1882"/>
      <c r="AA70" s="1882"/>
      <c r="AB70" s="1882"/>
      <c r="AC70" s="1882"/>
      <c r="AD70" s="1882"/>
      <c r="AE70" s="1882"/>
      <c r="AF70" s="1882"/>
      <c r="AG70" s="1882"/>
      <c r="AH70" s="1882"/>
      <c r="AI70" s="1882"/>
      <c r="AJ70" s="1882"/>
      <c r="AK70" s="1882"/>
      <c r="AL70" s="1882"/>
      <c r="AM70" s="1882"/>
      <c r="AN70" s="1773"/>
      <c r="AO70" s="2060"/>
      <c r="AP70" s="2061"/>
      <c r="AQ70" s="2061"/>
      <c r="AR70" s="2061"/>
      <c r="AS70" s="2061"/>
      <c r="AT70" s="2061"/>
      <c r="AU70" s="2061"/>
      <c r="AV70" s="2061"/>
      <c r="AW70" s="2061"/>
      <c r="AX70" s="2061"/>
      <c r="AY70" s="2061"/>
      <c r="AZ70" s="2061"/>
      <c r="BA70" s="2061"/>
      <c r="BB70" s="2061"/>
      <c r="BC70" s="2062"/>
      <c r="BD70" s="2079"/>
      <c r="BE70" s="2080"/>
      <c r="BF70" s="2080"/>
      <c r="BG70" s="2080"/>
      <c r="BH70" s="2080"/>
      <c r="BI70" s="2080"/>
      <c r="BJ70" s="2080"/>
      <c r="BK70" s="2080"/>
      <c r="BL70" s="2080"/>
      <c r="BM70" s="2081"/>
      <c r="BN70" s="2060">
        <f t="shared" ca="1" si="6"/>
        <v>29384.92</v>
      </c>
      <c r="BO70" s="2061"/>
      <c r="BP70" s="2061"/>
      <c r="BQ70" s="2061"/>
      <c r="BR70" s="2061"/>
      <c r="BS70" s="2061"/>
      <c r="BT70" s="2061"/>
      <c r="BU70" s="2061"/>
      <c r="BV70" s="2061"/>
      <c r="BW70" s="2061"/>
      <c r="BX70" s="2061"/>
      <c r="BY70" s="2061"/>
      <c r="BZ70" s="2061"/>
      <c r="CA70" s="2061"/>
      <c r="CB70" s="2062"/>
      <c r="CC70" s="138"/>
      <c r="CD70" s="138">
        <f t="shared" ca="1" si="7"/>
        <v>0</v>
      </c>
      <c r="CE70" s="138"/>
      <c r="CF70" s="138"/>
      <c r="CG70" s="138"/>
      <c r="CH70" s="138"/>
    </row>
    <row r="71" spans="1:86" s="137" customFormat="1" ht="12.75" hidden="1" customHeight="1" x14ac:dyDescent="0.2">
      <c r="A71" s="1770">
        <v>17</v>
      </c>
      <c r="B71" s="1787"/>
      <c r="C71" s="1787"/>
      <c r="D71" s="1771"/>
      <c r="E71" s="1772"/>
      <c r="F71" s="1882"/>
      <c r="G71" s="1882"/>
      <c r="H71" s="1882"/>
      <c r="I71" s="1882"/>
      <c r="J71" s="1882"/>
      <c r="K71" s="1882"/>
      <c r="L71" s="1882"/>
      <c r="M71" s="1882"/>
      <c r="N71" s="1882"/>
      <c r="O71" s="1882"/>
      <c r="P71" s="1882"/>
      <c r="Q71" s="1882"/>
      <c r="R71" s="1882"/>
      <c r="S71" s="1882"/>
      <c r="T71" s="1882"/>
      <c r="U71" s="1882"/>
      <c r="V71" s="1882"/>
      <c r="W71" s="1882"/>
      <c r="X71" s="1882"/>
      <c r="Y71" s="1882"/>
      <c r="Z71" s="1882"/>
      <c r="AA71" s="1882"/>
      <c r="AB71" s="1882"/>
      <c r="AC71" s="1882"/>
      <c r="AD71" s="1882"/>
      <c r="AE71" s="1882"/>
      <c r="AF71" s="1882"/>
      <c r="AG71" s="1882"/>
      <c r="AH71" s="1882"/>
      <c r="AI71" s="1882"/>
      <c r="AJ71" s="1882"/>
      <c r="AK71" s="1882"/>
      <c r="AL71" s="1882"/>
      <c r="AM71" s="1882"/>
      <c r="AN71" s="1773"/>
      <c r="AO71" s="2060"/>
      <c r="AP71" s="2061"/>
      <c r="AQ71" s="2061"/>
      <c r="AR71" s="2061"/>
      <c r="AS71" s="2061"/>
      <c r="AT71" s="2061"/>
      <c r="AU71" s="2061"/>
      <c r="AV71" s="2061"/>
      <c r="AW71" s="2061"/>
      <c r="AX71" s="2061"/>
      <c r="AY71" s="2061"/>
      <c r="AZ71" s="2061"/>
      <c r="BA71" s="2061"/>
      <c r="BB71" s="2061"/>
      <c r="BC71" s="2062"/>
      <c r="BD71" s="2079"/>
      <c r="BE71" s="2080"/>
      <c r="BF71" s="2080"/>
      <c r="BG71" s="2080"/>
      <c r="BH71" s="2080"/>
      <c r="BI71" s="2080"/>
      <c r="BJ71" s="2080"/>
      <c r="BK71" s="2080"/>
      <c r="BL71" s="2080"/>
      <c r="BM71" s="2081"/>
      <c r="BN71" s="2060">
        <f t="shared" ca="1" si="6"/>
        <v>29384.92</v>
      </c>
      <c r="BO71" s="2061"/>
      <c r="BP71" s="2061"/>
      <c r="BQ71" s="2061"/>
      <c r="BR71" s="2061"/>
      <c r="BS71" s="2061"/>
      <c r="BT71" s="2061"/>
      <c r="BU71" s="2061"/>
      <c r="BV71" s="2061"/>
      <c r="BW71" s="2061"/>
      <c r="BX71" s="2061"/>
      <c r="BY71" s="2061"/>
      <c r="BZ71" s="2061"/>
      <c r="CA71" s="2061"/>
      <c r="CB71" s="2062"/>
      <c r="CC71" s="138"/>
      <c r="CD71" s="138">
        <f t="shared" ca="1" si="7"/>
        <v>0</v>
      </c>
      <c r="CE71" s="138"/>
      <c r="CF71" s="138"/>
      <c r="CG71" s="138"/>
      <c r="CH71" s="138"/>
    </row>
    <row r="72" spans="1:86" s="137" customFormat="1" ht="12.75" hidden="1" customHeight="1" x14ac:dyDescent="0.2">
      <c r="A72" s="1770">
        <v>18</v>
      </c>
      <c r="B72" s="1787"/>
      <c r="C72" s="1787"/>
      <c r="D72" s="1771"/>
      <c r="E72" s="1772"/>
      <c r="F72" s="1882"/>
      <c r="G72" s="1882"/>
      <c r="H72" s="1882"/>
      <c r="I72" s="1882"/>
      <c r="J72" s="1882"/>
      <c r="K72" s="1882"/>
      <c r="L72" s="1882"/>
      <c r="M72" s="1882"/>
      <c r="N72" s="1882"/>
      <c r="O72" s="1882"/>
      <c r="P72" s="1882"/>
      <c r="Q72" s="1882"/>
      <c r="R72" s="1882"/>
      <c r="S72" s="1882"/>
      <c r="T72" s="1882"/>
      <c r="U72" s="1882"/>
      <c r="V72" s="1882"/>
      <c r="W72" s="1882"/>
      <c r="X72" s="1882"/>
      <c r="Y72" s="1882"/>
      <c r="Z72" s="1882"/>
      <c r="AA72" s="1882"/>
      <c r="AB72" s="1882"/>
      <c r="AC72" s="1882"/>
      <c r="AD72" s="1882"/>
      <c r="AE72" s="1882"/>
      <c r="AF72" s="1882"/>
      <c r="AG72" s="1882"/>
      <c r="AH72" s="1882"/>
      <c r="AI72" s="1882"/>
      <c r="AJ72" s="1882"/>
      <c r="AK72" s="1882"/>
      <c r="AL72" s="1882"/>
      <c r="AM72" s="1882"/>
      <c r="AN72" s="1773"/>
      <c r="AO72" s="2060"/>
      <c r="AP72" s="2061"/>
      <c r="AQ72" s="2061"/>
      <c r="AR72" s="2061"/>
      <c r="AS72" s="2061"/>
      <c r="AT72" s="2061"/>
      <c r="AU72" s="2061"/>
      <c r="AV72" s="2061"/>
      <c r="AW72" s="2061"/>
      <c r="AX72" s="2061"/>
      <c r="AY72" s="2061"/>
      <c r="AZ72" s="2061"/>
      <c r="BA72" s="2061"/>
      <c r="BB72" s="2061"/>
      <c r="BC72" s="2062"/>
      <c r="BD72" s="2079"/>
      <c r="BE72" s="2080"/>
      <c r="BF72" s="2080"/>
      <c r="BG72" s="2080"/>
      <c r="BH72" s="2080"/>
      <c r="BI72" s="2080"/>
      <c r="BJ72" s="2080"/>
      <c r="BK72" s="2080"/>
      <c r="BL72" s="2080"/>
      <c r="BM72" s="2081"/>
      <c r="BN72" s="2060">
        <f t="shared" ca="1" si="6"/>
        <v>29384.92</v>
      </c>
      <c r="BO72" s="2061"/>
      <c r="BP72" s="2061"/>
      <c r="BQ72" s="2061"/>
      <c r="BR72" s="2061"/>
      <c r="BS72" s="2061"/>
      <c r="BT72" s="2061"/>
      <c r="BU72" s="2061"/>
      <c r="BV72" s="2061"/>
      <c r="BW72" s="2061"/>
      <c r="BX72" s="2061"/>
      <c r="BY72" s="2061"/>
      <c r="BZ72" s="2061"/>
      <c r="CA72" s="2061"/>
      <c r="CB72" s="2062"/>
      <c r="CC72" s="138"/>
      <c r="CD72" s="138">
        <f t="shared" ca="1" si="7"/>
        <v>0</v>
      </c>
      <c r="CE72" s="138"/>
      <c r="CF72" s="138"/>
      <c r="CG72" s="138"/>
      <c r="CH72" s="138"/>
    </row>
    <row r="73" spans="1:86" s="137" customFormat="1" ht="12.75" hidden="1" customHeight="1" x14ac:dyDescent="0.2">
      <c r="A73" s="1770">
        <v>19</v>
      </c>
      <c r="B73" s="1787"/>
      <c r="C73" s="1787"/>
      <c r="D73" s="1771"/>
      <c r="E73" s="1772"/>
      <c r="F73" s="1882"/>
      <c r="G73" s="1882"/>
      <c r="H73" s="1882"/>
      <c r="I73" s="1882"/>
      <c r="J73" s="1882"/>
      <c r="K73" s="1882"/>
      <c r="L73" s="1882"/>
      <c r="M73" s="1882"/>
      <c r="N73" s="1882"/>
      <c r="O73" s="1882"/>
      <c r="P73" s="1882"/>
      <c r="Q73" s="1882"/>
      <c r="R73" s="1882"/>
      <c r="S73" s="1882"/>
      <c r="T73" s="1882"/>
      <c r="U73" s="1882"/>
      <c r="V73" s="1882"/>
      <c r="W73" s="1882"/>
      <c r="X73" s="1882"/>
      <c r="Y73" s="1882"/>
      <c r="Z73" s="1882"/>
      <c r="AA73" s="1882"/>
      <c r="AB73" s="1882"/>
      <c r="AC73" s="1882"/>
      <c r="AD73" s="1882"/>
      <c r="AE73" s="1882"/>
      <c r="AF73" s="1882"/>
      <c r="AG73" s="1882"/>
      <c r="AH73" s="1882"/>
      <c r="AI73" s="1882"/>
      <c r="AJ73" s="1882"/>
      <c r="AK73" s="1882"/>
      <c r="AL73" s="1882"/>
      <c r="AM73" s="1882"/>
      <c r="AN73" s="1773"/>
      <c r="AO73" s="2060"/>
      <c r="AP73" s="2061"/>
      <c r="AQ73" s="2061"/>
      <c r="AR73" s="2061"/>
      <c r="AS73" s="2061"/>
      <c r="AT73" s="2061"/>
      <c r="AU73" s="2061"/>
      <c r="AV73" s="2061"/>
      <c r="AW73" s="2061"/>
      <c r="AX73" s="2061"/>
      <c r="AY73" s="2061"/>
      <c r="AZ73" s="2061"/>
      <c r="BA73" s="2061"/>
      <c r="BB73" s="2061"/>
      <c r="BC73" s="2062"/>
      <c r="BD73" s="2079"/>
      <c r="BE73" s="2080"/>
      <c r="BF73" s="2080"/>
      <c r="BG73" s="2080"/>
      <c r="BH73" s="2080"/>
      <c r="BI73" s="2080"/>
      <c r="BJ73" s="2080"/>
      <c r="BK73" s="2080"/>
      <c r="BL73" s="2080"/>
      <c r="BM73" s="2081"/>
      <c r="BN73" s="2060">
        <f t="shared" ca="1" si="6"/>
        <v>29384.92</v>
      </c>
      <c r="BO73" s="2061"/>
      <c r="BP73" s="2061"/>
      <c r="BQ73" s="2061"/>
      <c r="BR73" s="2061"/>
      <c r="BS73" s="2061"/>
      <c r="BT73" s="2061"/>
      <c r="BU73" s="2061"/>
      <c r="BV73" s="2061"/>
      <c r="BW73" s="2061"/>
      <c r="BX73" s="2061"/>
      <c r="BY73" s="2061"/>
      <c r="BZ73" s="2061"/>
      <c r="CA73" s="2061"/>
      <c r="CB73" s="2062"/>
      <c r="CC73" s="138"/>
      <c r="CD73" s="138">
        <f t="shared" ca="1" si="7"/>
        <v>0</v>
      </c>
      <c r="CE73" s="138"/>
      <c r="CF73" s="138"/>
      <c r="CG73" s="138"/>
      <c r="CH73" s="138"/>
    </row>
    <row r="74" spans="1:86" s="137" customFormat="1" ht="12.75" hidden="1" customHeight="1" x14ac:dyDescent="0.2">
      <c r="A74" s="1770">
        <v>20</v>
      </c>
      <c r="B74" s="1787"/>
      <c r="C74" s="1787"/>
      <c r="D74" s="1771"/>
      <c r="E74" s="1772"/>
      <c r="F74" s="1882"/>
      <c r="G74" s="1882"/>
      <c r="H74" s="1882"/>
      <c r="I74" s="1882"/>
      <c r="J74" s="1882"/>
      <c r="K74" s="1882"/>
      <c r="L74" s="1882"/>
      <c r="M74" s="1882"/>
      <c r="N74" s="1882"/>
      <c r="O74" s="1882"/>
      <c r="P74" s="1882"/>
      <c r="Q74" s="1882"/>
      <c r="R74" s="1882"/>
      <c r="S74" s="1882"/>
      <c r="T74" s="1882"/>
      <c r="U74" s="1882"/>
      <c r="V74" s="1882"/>
      <c r="W74" s="1882"/>
      <c r="X74" s="1882"/>
      <c r="Y74" s="1882"/>
      <c r="Z74" s="1882"/>
      <c r="AA74" s="1882"/>
      <c r="AB74" s="1882"/>
      <c r="AC74" s="1882"/>
      <c r="AD74" s="1882"/>
      <c r="AE74" s="1882"/>
      <c r="AF74" s="1882"/>
      <c r="AG74" s="1882"/>
      <c r="AH74" s="1882"/>
      <c r="AI74" s="1882"/>
      <c r="AJ74" s="1882"/>
      <c r="AK74" s="1882"/>
      <c r="AL74" s="1882"/>
      <c r="AM74" s="1882"/>
      <c r="AN74" s="1773"/>
      <c r="AO74" s="2060"/>
      <c r="AP74" s="2061"/>
      <c r="AQ74" s="2061"/>
      <c r="AR74" s="2061"/>
      <c r="AS74" s="2061"/>
      <c r="AT74" s="2061"/>
      <c r="AU74" s="2061"/>
      <c r="AV74" s="2061"/>
      <c r="AW74" s="2061"/>
      <c r="AX74" s="2061"/>
      <c r="AY74" s="2061"/>
      <c r="AZ74" s="2061"/>
      <c r="BA74" s="2061"/>
      <c r="BB74" s="2061"/>
      <c r="BC74" s="2062"/>
      <c r="BD74" s="2079"/>
      <c r="BE74" s="2080"/>
      <c r="BF74" s="2080"/>
      <c r="BG74" s="2080"/>
      <c r="BH74" s="2080"/>
      <c r="BI74" s="2080"/>
      <c r="BJ74" s="2080"/>
      <c r="BK74" s="2080"/>
      <c r="BL74" s="2080"/>
      <c r="BM74" s="2081"/>
      <c r="BN74" s="2060">
        <f t="shared" ca="1" si="6"/>
        <v>29384.92</v>
      </c>
      <c r="BO74" s="2061"/>
      <c r="BP74" s="2061"/>
      <c r="BQ74" s="2061"/>
      <c r="BR74" s="2061"/>
      <c r="BS74" s="2061"/>
      <c r="BT74" s="2061"/>
      <c r="BU74" s="2061"/>
      <c r="BV74" s="2061"/>
      <c r="BW74" s="2061"/>
      <c r="BX74" s="2061"/>
      <c r="BY74" s="2061"/>
      <c r="BZ74" s="2061"/>
      <c r="CA74" s="2061"/>
      <c r="CB74" s="2062"/>
      <c r="CC74" s="138"/>
      <c r="CD74" s="138">
        <f t="shared" ca="1" si="7"/>
        <v>0</v>
      </c>
      <c r="CE74" s="138"/>
      <c r="CF74" s="138"/>
      <c r="CG74" s="138"/>
      <c r="CH74" s="138"/>
    </row>
    <row r="75" spans="1:86" s="137" customFormat="1" ht="12.75" hidden="1" customHeight="1" x14ac:dyDescent="0.2">
      <c r="A75" s="1770">
        <v>21</v>
      </c>
      <c r="B75" s="1787"/>
      <c r="C75" s="1787"/>
      <c r="D75" s="1771"/>
      <c r="E75" s="1772"/>
      <c r="F75" s="1882"/>
      <c r="G75" s="1882"/>
      <c r="H75" s="1882"/>
      <c r="I75" s="1882"/>
      <c r="J75" s="1882"/>
      <c r="K75" s="1882"/>
      <c r="L75" s="1882"/>
      <c r="M75" s="1882"/>
      <c r="N75" s="1882"/>
      <c r="O75" s="1882"/>
      <c r="P75" s="1882"/>
      <c r="Q75" s="1882"/>
      <c r="R75" s="1882"/>
      <c r="S75" s="1882"/>
      <c r="T75" s="1882"/>
      <c r="U75" s="1882"/>
      <c r="V75" s="1882"/>
      <c r="W75" s="1882"/>
      <c r="X75" s="1882"/>
      <c r="Y75" s="1882"/>
      <c r="Z75" s="1882"/>
      <c r="AA75" s="1882"/>
      <c r="AB75" s="1882"/>
      <c r="AC75" s="1882"/>
      <c r="AD75" s="1882"/>
      <c r="AE75" s="1882"/>
      <c r="AF75" s="1882"/>
      <c r="AG75" s="1882"/>
      <c r="AH75" s="1882"/>
      <c r="AI75" s="1882"/>
      <c r="AJ75" s="1882"/>
      <c r="AK75" s="1882"/>
      <c r="AL75" s="1882"/>
      <c r="AM75" s="1882"/>
      <c r="AN75" s="1773"/>
      <c r="AO75" s="2060"/>
      <c r="AP75" s="2061"/>
      <c r="AQ75" s="2061"/>
      <c r="AR75" s="2061"/>
      <c r="AS75" s="2061"/>
      <c r="AT75" s="2061"/>
      <c r="AU75" s="2061"/>
      <c r="AV75" s="2061"/>
      <c r="AW75" s="2061"/>
      <c r="AX75" s="2061"/>
      <c r="AY75" s="2061"/>
      <c r="AZ75" s="2061"/>
      <c r="BA75" s="2061"/>
      <c r="BB75" s="2061"/>
      <c r="BC75" s="2062"/>
      <c r="BD75" s="2079"/>
      <c r="BE75" s="2080"/>
      <c r="BF75" s="2080"/>
      <c r="BG75" s="2080"/>
      <c r="BH75" s="2080"/>
      <c r="BI75" s="2080"/>
      <c r="BJ75" s="2080"/>
      <c r="BK75" s="2080"/>
      <c r="BL75" s="2080"/>
      <c r="BM75" s="2081"/>
      <c r="BN75" s="2060">
        <f t="shared" ca="1" si="6"/>
        <v>29384.92</v>
      </c>
      <c r="BO75" s="2061"/>
      <c r="BP75" s="2061"/>
      <c r="BQ75" s="2061"/>
      <c r="BR75" s="2061"/>
      <c r="BS75" s="2061"/>
      <c r="BT75" s="2061"/>
      <c r="BU75" s="2061"/>
      <c r="BV75" s="2061"/>
      <c r="BW75" s="2061"/>
      <c r="BX75" s="2061"/>
      <c r="BY75" s="2061"/>
      <c r="BZ75" s="2061"/>
      <c r="CA75" s="2061"/>
      <c r="CB75" s="2062"/>
      <c r="CC75" s="138"/>
      <c r="CD75" s="138">
        <f t="shared" ca="1" si="7"/>
        <v>0</v>
      </c>
      <c r="CE75" s="138"/>
      <c r="CF75" s="138"/>
      <c r="CG75" s="138"/>
      <c r="CH75" s="138"/>
    </row>
    <row r="76" spans="1:86" s="137" customFormat="1" ht="12.75" hidden="1" customHeight="1" x14ac:dyDescent="0.2">
      <c r="A76" s="1770">
        <v>22</v>
      </c>
      <c r="B76" s="1787"/>
      <c r="C76" s="1787"/>
      <c r="D76" s="1771"/>
      <c r="E76" s="1772"/>
      <c r="F76" s="1882"/>
      <c r="G76" s="1882"/>
      <c r="H76" s="1882"/>
      <c r="I76" s="1882"/>
      <c r="J76" s="1882"/>
      <c r="K76" s="1882"/>
      <c r="L76" s="1882"/>
      <c r="M76" s="1882"/>
      <c r="N76" s="1882"/>
      <c r="O76" s="1882"/>
      <c r="P76" s="1882"/>
      <c r="Q76" s="1882"/>
      <c r="R76" s="1882"/>
      <c r="S76" s="1882"/>
      <c r="T76" s="1882"/>
      <c r="U76" s="1882"/>
      <c r="V76" s="1882"/>
      <c r="W76" s="1882"/>
      <c r="X76" s="1882"/>
      <c r="Y76" s="1882"/>
      <c r="Z76" s="1882"/>
      <c r="AA76" s="1882"/>
      <c r="AB76" s="1882"/>
      <c r="AC76" s="1882"/>
      <c r="AD76" s="1882"/>
      <c r="AE76" s="1882"/>
      <c r="AF76" s="1882"/>
      <c r="AG76" s="1882"/>
      <c r="AH76" s="1882"/>
      <c r="AI76" s="1882"/>
      <c r="AJ76" s="1882"/>
      <c r="AK76" s="1882"/>
      <c r="AL76" s="1882"/>
      <c r="AM76" s="1882"/>
      <c r="AN76" s="1773"/>
      <c r="AO76" s="2060"/>
      <c r="AP76" s="2061"/>
      <c r="AQ76" s="2061"/>
      <c r="AR76" s="2061"/>
      <c r="AS76" s="2061"/>
      <c r="AT76" s="2061"/>
      <c r="AU76" s="2061"/>
      <c r="AV76" s="2061"/>
      <c r="AW76" s="2061"/>
      <c r="AX76" s="2061"/>
      <c r="AY76" s="2061"/>
      <c r="AZ76" s="2061"/>
      <c r="BA76" s="2061"/>
      <c r="BB76" s="2061"/>
      <c r="BC76" s="2062"/>
      <c r="BD76" s="2079"/>
      <c r="BE76" s="2080"/>
      <c r="BF76" s="2080"/>
      <c r="BG76" s="2080"/>
      <c r="BH76" s="2080"/>
      <c r="BI76" s="2080"/>
      <c r="BJ76" s="2080"/>
      <c r="BK76" s="2080"/>
      <c r="BL76" s="2080"/>
      <c r="BM76" s="2081"/>
      <c r="BN76" s="2060">
        <f t="shared" ca="1" si="6"/>
        <v>29384.92</v>
      </c>
      <c r="BO76" s="2061"/>
      <c r="BP76" s="2061"/>
      <c r="BQ76" s="2061"/>
      <c r="BR76" s="2061"/>
      <c r="BS76" s="2061"/>
      <c r="BT76" s="2061"/>
      <c r="BU76" s="2061"/>
      <c r="BV76" s="2061"/>
      <c r="BW76" s="2061"/>
      <c r="BX76" s="2061"/>
      <c r="BY76" s="2061"/>
      <c r="BZ76" s="2061"/>
      <c r="CA76" s="2061"/>
      <c r="CB76" s="2062"/>
      <c r="CC76" s="138"/>
      <c r="CD76" s="138">
        <f t="shared" ca="1" si="7"/>
        <v>0</v>
      </c>
      <c r="CE76" s="138"/>
      <c r="CF76" s="138"/>
      <c r="CG76" s="138"/>
      <c r="CH76" s="138"/>
    </row>
    <row r="77" spans="1:86" s="137" customFormat="1" ht="12.75" hidden="1" customHeight="1" x14ac:dyDescent="0.2">
      <c r="A77" s="1770">
        <v>23</v>
      </c>
      <c r="B77" s="1787"/>
      <c r="C77" s="1787"/>
      <c r="D77" s="1771"/>
      <c r="E77" s="1772"/>
      <c r="F77" s="1882"/>
      <c r="G77" s="1882"/>
      <c r="H77" s="1882"/>
      <c r="I77" s="1882"/>
      <c r="J77" s="1882"/>
      <c r="K77" s="1882"/>
      <c r="L77" s="1882"/>
      <c r="M77" s="1882"/>
      <c r="N77" s="1882"/>
      <c r="O77" s="1882"/>
      <c r="P77" s="1882"/>
      <c r="Q77" s="1882"/>
      <c r="R77" s="1882"/>
      <c r="S77" s="1882"/>
      <c r="T77" s="1882"/>
      <c r="U77" s="1882"/>
      <c r="V77" s="1882"/>
      <c r="W77" s="1882"/>
      <c r="X77" s="1882"/>
      <c r="Y77" s="1882"/>
      <c r="Z77" s="1882"/>
      <c r="AA77" s="1882"/>
      <c r="AB77" s="1882"/>
      <c r="AC77" s="1882"/>
      <c r="AD77" s="1882"/>
      <c r="AE77" s="1882"/>
      <c r="AF77" s="1882"/>
      <c r="AG77" s="1882"/>
      <c r="AH77" s="1882"/>
      <c r="AI77" s="1882"/>
      <c r="AJ77" s="1882"/>
      <c r="AK77" s="1882"/>
      <c r="AL77" s="1882"/>
      <c r="AM77" s="1882"/>
      <c r="AN77" s="1773"/>
      <c r="AO77" s="2060"/>
      <c r="AP77" s="2061"/>
      <c r="AQ77" s="2061"/>
      <c r="AR77" s="2061"/>
      <c r="AS77" s="2061"/>
      <c r="AT77" s="2061"/>
      <c r="AU77" s="2061"/>
      <c r="AV77" s="2061"/>
      <c r="AW77" s="2061"/>
      <c r="AX77" s="2061"/>
      <c r="AY77" s="2061"/>
      <c r="AZ77" s="2061"/>
      <c r="BA77" s="2061"/>
      <c r="BB77" s="2061"/>
      <c r="BC77" s="2062"/>
      <c r="BD77" s="2079"/>
      <c r="BE77" s="2080"/>
      <c r="BF77" s="2080"/>
      <c r="BG77" s="2080"/>
      <c r="BH77" s="2080"/>
      <c r="BI77" s="2080"/>
      <c r="BJ77" s="2080"/>
      <c r="BK77" s="2080"/>
      <c r="BL77" s="2080"/>
      <c r="BM77" s="2081"/>
      <c r="BN77" s="2060">
        <f t="shared" ca="1" si="6"/>
        <v>29384.92</v>
      </c>
      <c r="BO77" s="2061"/>
      <c r="BP77" s="2061"/>
      <c r="BQ77" s="2061"/>
      <c r="BR77" s="2061"/>
      <c r="BS77" s="2061"/>
      <c r="BT77" s="2061"/>
      <c r="BU77" s="2061"/>
      <c r="BV77" s="2061"/>
      <c r="BW77" s="2061"/>
      <c r="BX77" s="2061"/>
      <c r="BY77" s="2061"/>
      <c r="BZ77" s="2061"/>
      <c r="CA77" s="2061"/>
      <c r="CB77" s="2062"/>
      <c r="CC77" s="138"/>
      <c r="CD77" s="138">
        <f t="shared" ca="1" si="7"/>
        <v>0</v>
      </c>
      <c r="CE77" s="138"/>
      <c r="CF77" s="138"/>
      <c r="CG77" s="138"/>
      <c r="CH77" s="138"/>
    </row>
    <row r="78" spans="1:86" s="137" customFormat="1" ht="12.75" hidden="1" customHeight="1" x14ac:dyDescent="0.2">
      <c r="A78" s="1770">
        <v>24</v>
      </c>
      <c r="B78" s="1787"/>
      <c r="C78" s="1787"/>
      <c r="D78" s="1771"/>
      <c r="E78" s="1772"/>
      <c r="F78" s="1882"/>
      <c r="G78" s="1882"/>
      <c r="H78" s="1882"/>
      <c r="I78" s="1882"/>
      <c r="J78" s="1882"/>
      <c r="K78" s="1882"/>
      <c r="L78" s="1882"/>
      <c r="M78" s="1882"/>
      <c r="N78" s="1882"/>
      <c r="O78" s="1882"/>
      <c r="P78" s="1882"/>
      <c r="Q78" s="1882"/>
      <c r="R78" s="1882"/>
      <c r="S78" s="1882"/>
      <c r="T78" s="1882"/>
      <c r="U78" s="1882"/>
      <c r="V78" s="1882"/>
      <c r="W78" s="1882"/>
      <c r="X78" s="1882"/>
      <c r="Y78" s="1882"/>
      <c r="Z78" s="1882"/>
      <c r="AA78" s="1882"/>
      <c r="AB78" s="1882"/>
      <c r="AC78" s="1882"/>
      <c r="AD78" s="1882"/>
      <c r="AE78" s="1882"/>
      <c r="AF78" s="1882"/>
      <c r="AG78" s="1882"/>
      <c r="AH78" s="1882"/>
      <c r="AI78" s="1882"/>
      <c r="AJ78" s="1882"/>
      <c r="AK78" s="1882"/>
      <c r="AL78" s="1882"/>
      <c r="AM78" s="1882"/>
      <c r="AN78" s="1773"/>
      <c r="AO78" s="2060"/>
      <c r="AP78" s="2061"/>
      <c r="AQ78" s="2061"/>
      <c r="AR78" s="2061"/>
      <c r="AS78" s="2061"/>
      <c r="AT78" s="2061"/>
      <c r="AU78" s="2061"/>
      <c r="AV78" s="2061"/>
      <c r="AW78" s="2061"/>
      <c r="AX78" s="2061"/>
      <c r="AY78" s="2061"/>
      <c r="AZ78" s="2061"/>
      <c r="BA78" s="2061"/>
      <c r="BB78" s="2061"/>
      <c r="BC78" s="2062"/>
      <c r="BD78" s="2079"/>
      <c r="BE78" s="2080"/>
      <c r="BF78" s="2080"/>
      <c r="BG78" s="2080"/>
      <c r="BH78" s="2080"/>
      <c r="BI78" s="2080"/>
      <c r="BJ78" s="2080"/>
      <c r="BK78" s="2080"/>
      <c r="BL78" s="2080"/>
      <c r="BM78" s="2081"/>
      <c r="BN78" s="2060">
        <f t="shared" ca="1" si="6"/>
        <v>29384.92</v>
      </c>
      <c r="BO78" s="2061"/>
      <c r="BP78" s="2061"/>
      <c r="BQ78" s="2061"/>
      <c r="BR78" s="2061"/>
      <c r="BS78" s="2061"/>
      <c r="BT78" s="2061"/>
      <c r="BU78" s="2061"/>
      <c r="BV78" s="2061"/>
      <c r="BW78" s="2061"/>
      <c r="BX78" s="2061"/>
      <c r="BY78" s="2061"/>
      <c r="BZ78" s="2061"/>
      <c r="CA78" s="2061"/>
      <c r="CB78" s="2062"/>
      <c r="CC78" s="138"/>
      <c r="CD78" s="138">
        <f t="shared" ca="1" si="7"/>
        <v>0</v>
      </c>
      <c r="CE78" s="138"/>
      <c r="CF78" s="138"/>
      <c r="CG78" s="138"/>
      <c r="CH78" s="138"/>
    </row>
    <row r="79" spans="1:86" s="137" customFormat="1" ht="12.75" hidden="1" customHeight="1" x14ac:dyDescent="0.2">
      <c r="A79" s="1770">
        <v>25</v>
      </c>
      <c r="B79" s="1787"/>
      <c r="C79" s="1787"/>
      <c r="D79" s="1771"/>
      <c r="E79" s="1772"/>
      <c r="F79" s="1882"/>
      <c r="G79" s="1882"/>
      <c r="H79" s="1882"/>
      <c r="I79" s="1882"/>
      <c r="J79" s="1882"/>
      <c r="K79" s="1882"/>
      <c r="L79" s="1882"/>
      <c r="M79" s="1882"/>
      <c r="N79" s="1882"/>
      <c r="O79" s="1882"/>
      <c r="P79" s="1882"/>
      <c r="Q79" s="1882"/>
      <c r="R79" s="1882"/>
      <c r="S79" s="1882"/>
      <c r="T79" s="1882"/>
      <c r="U79" s="1882"/>
      <c r="V79" s="1882"/>
      <c r="W79" s="1882"/>
      <c r="X79" s="1882"/>
      <c r="Y79" s="1882"/>
      <c r="Z79" s="1882"/>
      <c r="AA79" s="1882"/>
      <c r="AB79" s="1882"/>
      <c r="AC79" s="1882"/>
      <c r="AD79" s="1882"/>
      <c r="AE79" s="1882"/>
      <c r="AF79" s="1882"/>
      <c r="AG79" s="1882"/>
      <c r="AH79" s="1882"/>
      <c r="AI79" s="1882"/>
      <c r="AJ79" s="1882"/>
      <c r="AK79" s="1882"/>
      <c r="AL79" s="1882"/>
      <c r="AM79" s="1882"/>
      <c r="AN79" s="1773"/>
      <c r="AO79" s="2060"/>
      <c r="AP79" s="2061"/>
      <c r="AQ79" s="2061"/>
      <c r="AR79" s="2061"/>
      <c r="AS79" s="2061"/>
      <c r="AT79" s="2061"/>
      <c r="AU79" s="2061"/>
      <c r="AV79" s="2061"/>
      <c r="AW79" s="2061"/>
      <c r="AX79" s="2061"/>
      <c r="AY79" s="2061"/>
      <c r="AZ79" s="2061"/>
      <c r="BA79" s="2061"/>
      <c r="BB79" s="2061"/>
      <c r="BC79" s="2062"/>
      <c r="BD79" s="2079"/>
      <c r="BE79" s="2080"/>
      <c r="BF79" s="2080"/>
      <c r="BG79" s="2080"/>
      <c r="BH79" s="2080"/>
      <c r="BI79" s="2080"/>
      <c r="BJ79" s="2080"/>
      <c r="BK79" s="2080"/>
      <c r="BL79" s="2080"/>
      <c r="BM79" s="2081"/>
      <c r="BN79" s="2060">
        <f t="shared" ca="1" si="6"/>
        <v>29384.92</v>
      </c>
      <c r="BO79" s="2061"/>
      <c r="BP79" s="2061"/>
      <c r="BQ79" s="2061"/>
      <c r="BR79" s="2061"/>
      <c r="BS79" s="2061"/>
      <c r="BT79" s="2061"/>
      <c r="BU79" s="2061"/>
      <c r="BV79" s="2061"/>
      <c r="BW79" s="2061"/>
      <c r="BX79" s="2061"/>
      <c r="BY79" s="2061"/>
      <c r="BZ79" s="2061"/>
      <c r="CA79" s="2061"/>
      <c r="CB79" s="2062"/>
      <c r="CC79" s="138"/>
      <c r="CD79" s="138">
        <f t="shared" ca="1" si="7"/>
        <v>0</v>
      </c>
      <c r="CE79" s="138"/>
      <c r="CF79" s="138"/>
      <c r="CG79" s="138"/>
      <c r="CH79" s="138"/>
    </row>
    <row r="80" spans="1:86" s="137" customFormat="1" ht="12.75" hidden="1" customHeight="1" x14ac:dyDescent="0.2">
      <c r="A80" s="1770">
        <v>26</v>
      </c>
      <c r="B80" s="1787"/>
      <c r="C80" s="1787"/>
      <c r="D80" s="1771"/>
      <c r="E80" s="1772"/>
      <c r="F80" s="1882"/>
      <c r="G80" s="1882"/>
      <c r="H80" s="1882"/>
      <c r="I80" s="1882"/>
      <c r="J80" s="1882"/>
      <c r="K80" s="1882"/>
      <c r="L80" s="1882"/>
      <c r="M80" s="1882"/>
      <c r="N80" s="1882"/>
      <c r="O80" s="1882"/>
      <c r="P80" s="1882"/>
      <c r="Q80" s="1882"/>
      <c r="R80" s="1882"/>
      <c r="S80" s="1882"/>
      <c r="T80" s="1882"/>
      <c r="U80" s="1882"/>
      <c r="V80" s="1882"/>
      <c r="W80" s="1882"/>
      <c r="X80" s="1882"/>
      <c r="Y80" s="1882"/>
      <c r="Z80" s="1882"/>
      <c r="AA80" s="1882"/>
      <c r="AB80" s="1882"/>
      <c r="AC80" s="1882"/>
      <c r="AD80" s="1882"/>
      <c r="AE80" s="1882"/>
      <c r="AF80" s="1882"/>
      <c r="AG80" s="1882"/>
      <c r="AH80" s="1882"/>
      <c r="AI80" s="1882"/>
      <c r="AJ80" s="1882"/>
      <c r="AK80" s="1882"/>
      <c r="AL80" s="1882"/>
      <c r="AM80" s="1882"/>
      <c r="AN80" s="1773"/>
      <c r="AO80" s="2060"/>
      <c r="AP80" s="2061"/>
      <c r="AQ80" s="2061"/>
      <c r="AR80" s="2061"/>
      <c r="AS80" s="2061"/>
      <c r="AT80" s="2061"/>
      <c r="AU80" s="2061"/>
      <c r="AV80" s="2061"/>
      <c r="AW80" s="2061"/>
      <c r="AX80" s="2061"/>
      <c r="AY80" s="2061"/>
      <c r="AZ80" s="2061"/>
      <c r="BA80" s="2061"/>
      <c r="BB80" s="2061"/>
      <c r="BC80" s="2062"/>
      <c r="BD80" s="2079"/>
      <c r="BE80" s="2080"/>
      <c r="BF80" s="2080"/>
      <c r="BG80" s="2080"/>
      <c r="BH80" s="2080"/>
      <c r="BI80" s="2080"/>
      <c r="BJ80" s="2080"/>
      <c r="BK80" s="2080"/>
      <c r="BL80" s="2080"/>
      <c r="BM80" s="2081"/>
      <c r="BN80" s="2060">
        <f t="shared" ca="1" si="6"/>
        <v>29384.92</v>
      </c>
      <c r="BO80" s="2061"/>
      <c r="BP80" s="2061"/>
      <c r="BQ80" s="2061"/>
      <c r="BR80" s="2061"/>
      <c r="BS80" s="2061"/>
      <c r="BT80" s="2061"/>
      <c r="BU80" s="2061"/>
      <c r="BV80" s="2061"/>
      <c r="BW80" s="2061"/>
      <c r="BX80" s="2061"/>
      <c r="BY80" s="2061"/>
      <c r="BZ80" s="2061"/>
      <c r="CA80" s="2061"/>
      <c r="CB80" s="2062"/>
      <c r="CC80" s="138"/>
      <c r="CD80" s="138">
        <f t="shared" ca="1" si="7"/>
        <v>0</v>
      </c>
      <c r="CE80" s="138"/>
      <c r="CF80" s="138"/>
      <c r="CG80" s="138"/>
      <c r="CH80" s="138"/>
    </row>
    <row r="81" spans="1:93" s="137" customFormat="1" ht="12.75" hidden="1" customHeight="1" x14ac:dyDescent="0.2">
      <c r="A81" s="1770">
        <v>27</v>
      </c>
      <c r="B81" s="1787"/>
      <c r="C81" s="1787"/>
      <c r="D81" s="1771"/>
      <c r="E81" s="1772"/>
      <c r="F81" s="1882"/>
      <c r="G81" s="1882"/>
      <c r="H81" s="1882"/>
      <c r="I81" s="1882"/>
      <c r="J81" s="1882"/>
      <c r="K81" s="1882"/>
      <c r="L81" s="1882"/>
      <c r="M81" s="1882"/>
      <c r="N81" s="1882"/>
      <c r="O81" s="1882"/>
      <c r="P81" s="1882"/>
      <c r="Q81" s="1882"/>
      <c r="R81" s="1882"/>
      <c r="S81" s="1882"/>
      <c r="T81" s="1882"/>
      <c r="U81" s="1882"/>
      <c r="V81" s="1882"/>
      <c r="W81" s="1882"/>
      <c r="X81" s="1882"/>
      <c r="Y81" s="1882"/>
      <c r="Z81" s="1882"/>
      <c r="AA81" s="1882"/>
      <c r="AB81" s="1882"/>
      <c r="AC81" s="1882"/>
      <c r="AD81" s="1882"/>
      <c r="AE81" s="1882"/>
      <c r="AF81" s="1882"/>
      <c r="AG81" s="1882"/>
      <c r="AH81" s="1882"/>
      <c r="AI81" s="1882"/>
      <c r="AJ81" s="1882"/>
      <c r="AK81" s="1882"/>
      <c r="AL81" s="1882"/>
      <c r="AM81" s="1882"/>
      <c r="AN81" s="1773"/>
      <c r="AO81" s="2060"/>
      <c r="AP81" s="2061"/>
      <c r="AQ81" s="2061"/>
      <c r="AR81" s="2061"/>
      <c r="AS81" s="2061"/>
      <c r="AT81" s="2061"/>
      <c r="AU81" s="2061"/>
      <c r="AV81" s="2061"/>
      <c r="AW81" s="2061"/>
      <c r="AX81" s="2061"/>
      <c r="AY81" s="2061"/>
      <c r="AZ81" s="2061"/>
      <c r="BA81" s="2061"/>
      <c r="BB81" s="2061"/>
      <c r="BC81" s="2062"/>
      <c r="BD81" s="2079"/>
      <c r="BE81" s="2080"/>
      <c r="BF81" s="2080"/>
      <c r="BG81" s="2080"/>
      <c r="BH81" s="2080"/>
      <c r="BI81" s="2080"/>
      <c r="BJ81" s="2080"/>
      <c r="BK81" s="2080"/>
      <c r="BL81" s="2080"/>
      <c r="BM81" s="2081"/>
      <c r="BN81" s="2060">
        <f t="shared" ca="1" si="6"/>
        <v>29384.92</v>
      </c>
      <c r="BO81" s="2061"/>
      <c r="BP81" s="2061"/>
      <c r="BQ81" s="2061"/>
      <c r="BR81" s="2061"/>
      <c r="BS81" s="2061"/>
      <c r="BT81" s="2061"/>
      <c r="BU81" s="2061"/>
      <c r="BV81" s="2061"/>
      <c r="BW81" s="2061"/>
      <c r="BX81" s="2061"/>
      <c r="BY81" s="2061"/>
      <c r="BZ81" s="2061"/>
      <c r="CA81" s="2061"/>
      <c r="CB81" s="2062"/>
      <c r="CC81" s="138"/>
      <c r="CD81" s="138">
        <f t="shared" ca="1" si="7"/>
        <v>0</v>
      </c>
      <c r="CE81" s="138"/>
      <c r="CF81" s="138"/>
      <c r="CG81" s="138"/>
      <c r="CH81" s="138"/>
    </row>
    <row r="82" spans="1:93" s="137" customFormat="1" ht="12.75" hidden="1" customHeight="1" x14ac:dyDescent="0.2">
      <c r="A82" s="1770"/>
      <c r="B82" s="1787"/>
      <c r="C82" s="1787"/>
      <c r="D82" s="1771"/>
      <c r="E82" s="1772"/>
      <c r="F82" s="1882"/>
      <c r="G82" s="1882"/>
      <c r="H82" s="1882"/>
      <c r="I82" s="1882"/>
      <c r="J82" s="1882"/>
      <c r="K82" s="1882"/>
      <c r="L82" s="1882"/>
      <c r="M82" s="1882"/>
      <c r="N82" s="1882"/>
      <c r="O82" s="1882"/>
      <c r="P82" s="1882"/>
      <c r="Q82" s="1882"/>
      <c r="R82" s="1882"/>
      <c r="S82" s="1882"/>
      <c r="T82" s="1882"/>
      <c r="U82" s="1882"/>
      <c r="V82" s="1882"/>
      <c r="W82" s="1882"/>
      <c r="X82" s="1882"/>
      <c r="Y82" s="1882"/>
      <c r="Z82" s="1882"/>
      <c r="AA82" s="1882"/>
      <c r="AB82" s="1882"/>
      <c r="AC82" s="1882"/>
      <c r="AD82" s="1882"/>
      <c r="AE82" s="1882"/>
      <c r="AF82" s="1882"/>
      <c r="AG82" s="1882"/>
      <c r="AH82" s="1882"/>
      <c r="AI82" s="1882"/>
      <c r="AJ82" s="1882"/>
      <c r="AK82" s="1882"/>
      <c r="AL82" s="1882"/>
      <c r="AM82" s="1882"/>
      <c r="AN82" s="1773"/>
      <c r="AO82" s="2060"/>
      <c r="AP82" s="2061"/>
      <c r="AQ82" s="2061"/>
      <c r="AR82" s="2061"/>
      <c r="AS82" s="2061"/>
      <c r="AT82" s="2061"/>
      <c r="AU82" s="2061"/>
      <c r="AV82" s="2061"/>
      <c r="AW82" s="2061"/>
      <c r="AX82" s="2061"/>
      <c r="AY82" s="2061"/>
      <c r="AZ82" s="2061"/>
      <c r="BA82" s="2061"/>
      <c r="BB82" s="2061"/>
      <c r="BC82" s="2062"/>
      <c r="BD82" s="2079"/>
      <c r="BE82" s="2080"/>
      <c r="BF82" s="2080"/>
      <c r="BG82" s="2080"/>
      <c r="BH82" s="2080"/>
      <c r="BI82" s="2080"/>
      <c r="BJ82" s="2080"/>
      <c r="BK82" s="2080"/>
      <c r="BL82" s="2080"/>
      <c r="BM82" s="2081"/>
      <c r="BN82" s="2060">
        <f t="shared" ca="1" si="6"/>
        <v>29384.92</v>
      </c>
      <c r="BO82" s="2061"/>
      <c r="BP82" s="2061"/>
      <c r="BQ82" s="2061"/>
      <c r="BR82" s="2061"/>
      <c r="BS82" s="2061"/>
      <c r="BT82" s="2061"/>
      <c r="BU82" s="2061"/>
      <c r="BV82" s="2061"/>
      <c r="BW82" s="2061"/>
      <c r="BX82" s="2061"/>
      <c r="BY82" s="2061"/>
      <c r="BZ82" s="2061"/>
      <c r="CA82" s="2061"/>
      <c r="CB82" s="2062"/>
      <c r="CC82" s="138"/>
      <c r="CD82" s="138">
        <f t="shared" ca="1" si="7"/>
        <v>0</v>
      </c>
      <c r="CE82" s="138"/>
      <c r="CF82" s="138"/>
      <c r="CG82" s="138"/>
      <c r="CH82" s="138"/>
    </row>
    <row r="83" spans="1:93" s="137" customFormat="1" ht="12.75" hidden="1" customHeight="1" x14ac:dyDescent="0.2">
      <c r="A83" s="1770"/>
      <c r="B83" s="1787"/>
      <c r="C83" s="1787"/>
      <c r="D83" s="1771"/>
      <c r="E83" s="1772"/>
      <c r="F83" s="1882"/>
      <c r="G83" s="1882"/>
      <c r="H83" s="1882"/>
      <c r="I83" s="1882"/>
      <c r="J83" s="1882"/>
      <c r="K83" s="1882"/>
      <c r="L83" s="1882"/>
      <c r="M83" s="1882"/>
      <c r="N83" s="1882"/>
      <c r="O83" s="1882"/>
      <c r="P83" s="1882"/>
      <c r="Q83" s="1882"/>
      <c r="R83" s="1882"/>
      <c r="S83" s="1882"/>
      <c r="T83" s="1882"/>
      <c r="U83" s="1882"/>
      <c r="V83" s="1882"/>
      <c r="W83" s="1882"/>
      <c r="X83" s="1882"/>
      <c r="Y83" s="1882"/>
      <c r="Z83" s="1882"/>
      <c r="AA83" s="1882"/>
      <c r="AB83" s="1882"/>
      <c r="AC83" s="1882"/>
      <c r="AD83" s="1882"/>
      <c r="AE83" s="1882"/>
      <c r="AF83" s="1882"/>
      <c r="AG83" s="1882"/>
      <c r="AH83" s="1882"/>
      <c r="AI83" s="1882"/>
      <c r="AJ83" s="1882"/>
      <c r="AK83" s="1882"/>
      <c r="AL83" s="1882"/>
      <c r="AM83" s="1882"/>
      <c r="AN83" s="1773"/>
      <c r="AO83" s="2060"/>
      <c r="AP83" s="2061"/>
      <c r="AQ83" s="2061"/>
      <c r="AR83" s="2061"/>
      <c r="AS83" s="2061"/>
      <c r="AT83" s="2061"/>
      <c r="AU83" s="2061"/>
      <c r="AV83" s="2061"/>
      <c r="AW83" s="2061"/>
      <c r="AX83" s="2061"/>
      <c r="AY83" s="2061"/>
      <c r="AZ83" s="2061"/>
      <c r="BA83" s="2061"/>
      <c r="BB83" s="2061"/>
      <c r="BC83" s="2062"/>
      <c r="BD83" s="2079"/>
      <c r="BE83" s="2080"/>
      <c r="BF83" s="2080"/>
      <c r="BG83" s="2080"/>
      <c r="BH83" s="2080"/>
      <c r="BI83" s="2080"/>
      <c r="BJ83" s="2080"/>
      <c r="BK83" s="2080"/>
      <c r="BL83" s="2080"/>
      <c r="BM83" s="2081"/>
      <c r="BN83" s="2060">
        <f t="shared" ca="1" si="6"/>
        <v>29384.92</v>
      </c>
      <c r="BO83" s="2061"/>
      <c r="BP83" s="2061"/>
      <c r="BQ83" s="2061"/>
      <c r="BR83" s="2061"/>
      <c r="BS83" s="2061"/>
      <c r="BT83" s="2061"/>
      <c r="BU83" s="2061"/>
      <c r="BV83" s="2061"/>
      <c r="BW83" s="2061"/>
      <c r="BX83" s="2061"/>
      <c r="BY83" s="2061"/>
      <c r="BZ83" s="2061"/>
      <c r="CA83" s="2061"/>
      <c r="CB83" s="2062"/>
      <c r="CC83" s="138"/>
      <c r="CD83" s="138">
        <f t="shared" ca="1" si="7"/>
        <v>0</v>
      </c>
      <c r="CE83" s="138"/>
      <c r="CF83" s="138"/>
      <c r="CG83" s="138"/>
      <c r="CH83" s="138"/>
    </row>
    <row r="84" spans="1:93" s="137" customFormat="1" ht="12.75" hidden="1" customHeight="1" x14ac:dyDescent="0.2">
      <c r="A84" s="1770"/>
      <c r="B84" s="1787"/>
      <c r="C84" s="1787"/>
      <c r="D84" s="1771"/>
      <c r="E84" s="1772"/>
      <c r="F84" s="1882"/>
      <c r="G84" s="1882"/>
      <c r="H84" s="1882"/>
      <c r="I84" s="1882"/>
      <c r="J84" s="1882"/>
      <c r="K84" s="1882"/>
      <c r="L84" s="1882"/>
      <c r="M84" s="1882"/>
      <c r="N84" s="1882"/>
      <c r="O84" s="1882"/>
      <c r="P84" s="1882"/>
      <c r="Q84" s="1882"/>
      <c r="R84" s="1882"/>
      <c r="S84" s="1882"/>
      <c r="T84" s="1882"/>
      <c r="U84" s="1882"/>
      <c r="V84" s="1882"/>
      <c r="W84" s="1882"/>
      <c r="X84" s="1882"/>
      <c r="Y84" s="1882"/>
      <c r="Z84" s="1882"/>
      <c r="AA84" s="1882"/>
      <c r="AB84" s="1882"/>
      <c r="AC84" s="1882"/>
      <c r="AD84" s="1882"/>
      <c r="AE84" s="1882"/>
      <c r="AF84" s="1882"/>
      <c r="AG84" s="1882"/>
      <c r="AH84" s="1882"/>
      <c r="AI84" s="1882"/>
      <c r="AJ84" s="1882"/>
      <c r="AK84" s="1882"/>
      <c r="AL84" s="1882"/>
      <c r="AM84" s="1882"/>
      <c r="AN84" s="1773"/>
      <c r="AO84" s="2060"/>
      <c r="AP84" s="2061"/>
      <c r="AQ84" s="2061"/>
      <c r="AR84" s="2061"/>
      <c r="AS84" s="2061"/>
      <c r="AT84" s="2061"/>
      <c r="AU84" s="2061"/>
      <c r="AV84" s="2061"/>
      <c r="AW84" s="2061"/>
      <c r="AX84" s="2061"/>
      <c r="AY84" s="2061"/>
      <c r="AZ84" s="2061"/>
      <c r="BA84" s="2061"/>
      <c r="BB84" s="2061"/>
      <c r="BC84" s="2062"/>
      <c r="BD84" s="2079"/>
      <c r="BE84" s="2080"/>
      <c r="BF84" s="2080"/>
      <c r="BG84" s="2080"/>
      <c r="BH84" s="2080"/>
      <c r="BI84" s="2080"/>
      <c r="BJ84" s="2080"/>
      <c r="BK84" s="2080"/>
      <c r="BL84" s="2080"/>
      <c r="BM84" s="2081"/>
      <c r="BN84" s="2060">
        <f t="shared" ca="1" si="6"/>
        <v>29384.92</v>
      </c>
      <c r="BO84" s="2061"/>
      <c r="BP84" s="2061"/>
      <c r="BQ84" s="2061"/>
      <c r="BR84" s="2061"/>
      <c r="BS84" s="2061"/>
      <c r="BT84" s="2061"/>
      <c r="BU84" s="2061"/>
      <c r="BV84" s="2061"/>
      <c r="BW84" s="2061"/>
      <c r="BX84" s="2061"/>
      <c r="BY84" s="2061"/>
      <c r="BZ84" s="2061"/>
      <c r="CA84" s="2061"/>
      <c r="CB84" s="2062"/>
      <c r="CC84" s="138"/>
      <c r="CD84" s="138">
        <f t="shared" ca="1" si="7"/>
        <v>0</v>
      </c>
      <c r="CE84" s="138"/>
      <c r="CF84" s="138"/>
      <c r="CG84" s="138"/>
      <c r="CH84" s="138"/>
    </row>
    <row r="85" spans="1:93" s="137" customFormat="1" ht="12.75" hidden="1" customHeight="1" x14ac:dyDescent="0.2">
      <c r="A85" s="1770"/>
      <c r="B85" s="1787"/>
      <c r="C85" s="1787"/>
      <c r="D85" s="1771"/>
      <c r="E85" s="1772"/>
      <c r="F85" s="1882"/>
      <c r="G85" s="1882"/>
      <c r="H85" s="1882"/>
      <c r="I85" s="1882"/>
      <c r="J85" s="1882"/>
      <c r="K85" s="1882"/>
      <c r="L85" s="1882"/>
      <c r="M85" s="1882"/>
      <c r="N85" s="1882"/>
      <c r="O85" s="1882"/>
      <c r="P85" s="1882"/>
      <c r="Q85" s="1882"/>
      <c r="R85" s="1882"/>
      <c r="S85" s="1882"/>
      <c r="T85" s="1882"/>
      <c r="U85" s="1882"/>
      <c r="V85" s="1882"/>
      <c r="W85" s="1882"/>
      <c r="X85" s="1882"/>
      <c r="Y85" s="1882"/>
      <c r="Z85" s="1882"/>
      <c r="AA85" s="1882"/>
      <c r="AB85" s="1882"/>
      <c r="AC85" s="1882"/>
      <c r="AD85" s="1882"/>
      <c r="AE85" s="1882"/>
      <c r="AF85" s="1882"/>
      <c r="AG85" s="1882"/>
      <c r="AH85" s="1882"/>
      <c r="AI85" s="1882"/>
      <c r="AJ85" s="1882"/>
      <c r="AK85" s="1882"/>
      <c r="AL85" s="1882"/>
      <c r="AM85" s="1882"/>
      <c r="AN85" s="1773"/>
      <c r="AO85" s="2060"/>
      <c r="AP85" s="2061"/>
      <c r="AQ85" s="2061"/>
      <c r="AR85" s="2061"/>
      <c r="AS85" s="2061"/>
      <c r="AT85" s="2061"/>
      <c r="AU85" s="2061"/>
      <c r="AV85" s="2061"/>
      <c r="AW85" s="2061"/>
      <c r="AX85" s="2061"/>
      <c r="AY85" s="2061"/>
      <c r="AZ85" s="2061"/>
      <c r="BA85" s="2061"/>
      <c r="BB85" s="2061"/>
      <c r="BC85" s="2062"/>
      <c r="BD85" s="2079"/>
      <c r="BE85" s="2080"/>
      <c r="BF85" s="2080"/>
      <c r="BG85" s="2080"/>
      <c r="BH85" s="2080"/>
      <c r="BI85" s="2080"/>
      <c r="BJ85" s="2080"/>
      <c r="BK85" s="2080"/>
      <c r="BL85" s="2080"/>
      <c r="BM85" s="2081"/>
      <c r="BN85" s="2060">
        <f t="shared" ca="1" si="6"/>
        <v>29384.92</v>
      </c>
      <c r="BO85" s="2061"/>
      <c r="BP85" s="2061"/>
      <c r="BQ85" s="2061"/>
      <c r="BR85" s="2061"/>
      <c r="BS85" s="2061"/>
      <c r="BT85" s="2061"/>
      <c r="BU85" s="2061"/>
      <c r="BV85" s="2061"/>
      <c r="BW85" s="2061"/>
      <c r="BX85" s="2061"/>
      <c r="BY85" s="2061"/>
      <c r="BZ85" s="2061"/>
      <c r="CA85" s="2061"/>
      <c r="CB85" s="2062"/>
      <c r="CC85" s="138"/>
      <c r="CD85" s="138">
        <f t="shared" ca="1" si="7"/>
        <v>0</v>
      </c>
      <c r="CE85" s="138"/>
      <c r="CF85" s="138"/>
      <c r="CG85" s="138"/>
      <c r="CH85" s="138"/>
    </row>
    <row r="86" spans="1:93" s="137" customFormat="1" ht="12.75" hidden="1" customHeight="1" x14ac:dyDescent="0.2">
      <c r="A86" s="1770"/>
      <c r="B86" s="1787"/>
      <c r="C86" s="1787"/>
      <c r="D86" s="1771"/>
      <c r="E86" s="1772"/>
      <c r="F86" s="1882"/>
      <c r="G86" s="1882"/>
      <c r="H86" s="1882"/>
      <c r="I86" s="1882"/>
      <c r="J86" s="1882"/>
      <c r="K86" s="1882"/>
      <c r="L86" s="1882"/>
      <c r="M86" s="1882"/>
      <c r="N86" s="1882"/>
      <c r="O86" s="1882"/>
      <c r="P86" s="1882"/>
      <c r="Q86" s="1882"/>
      <c r="R86" s="1882"/>
      <c r="S86" s="1882"/>
      <c r="T86" s="1882"/>
      <c r="U86" s="1882"/>
      <c r="V86" s="1882"/>
      <c r="W86" s="1882"/>
      <c r="X86" s="1882"/>
      <c r="Y86" s="1882"/>
      <c r="Z86" s="1882"/>
      <c r="AA86" s="1882"/>
      <c r="AB86" s="1882"/>
      <c r="AC86" s="1882"/>
      <c r="AD86" s="1882"/>
      <c r="AE86" s="1882"/>
      <c r="AF86" s="1882"/>
      <c r="AG86" s="1882"/>
      <c r="AH86" s="1882"/>
      <c r="AI86" s="1882"/>
      <c r="AJ86" s="1882"/>
      <c r="AK86" s="1882"/>
      <c r="AL86" s="1882"/>
      <c r="AM86" s="1882"/>
      <c r="AN86" s="1773"/>
      <c r="AO86" s="2060"/>
      <c r="AP86" s="2061"/>
      <c r="AQ86" s="2061"/>
      <c r="AR86" s="2061"/>
      <c r="AS86" s="2061"/>
      <c r="AT86" s="2061"/>
      <c r="AU86" s="2061"/>
      <c r="AV86" s="2061"/>
      <c r="AW86" s="2061"/>
      <c r="AX86" s="2061"/>
      <c r="AY86" s="2061"/>
      <c r="AZ86" s="2061"/>
      <c r="BA86" s="2061"/>
      <c r="BB86" s="2061"/>
      <c r="BC86" s="2062"/>
      <c r="BD86" s="2079"/>
      <c r="BE86" s="2080"/>
      <c r="BF86" s="2080"/>
      <c r="BG86" s="2080"/>
      <c r="BH86" s="2080"/>
      <c r="BI86" s="2080"/>
      <c r="BJ86" s="2080"/>
      <c r="BK86" s="2080"/>
      <c r="BL86" s="2080"/>
      <c r="BM86" s="2081"/>
      <c r="BN86" s="2060">
        <f t="shared" ca="1" si="6"/>
        <v>29384.92</v>
      </c>
      <c r="BO86" s="2061"/>
      <c r="BP86" s="2061"/>
      <c r="BQ86" s="2061"/>
      <c r="BR86" s="2061"/>
      <c r="BS86" s="2061"/>
      <c r="BT86" s="2061"/>
      <c r="BU86" s="2061"/>
      <c r="BV86" s="2061"/>
      <c r="BW86" s="2061"/>
      <c r="BX86" s="2061"/>
      <c r="BY86" s="2061"/>
      <c r="BZ86" s="2061"/>
      <c r="CA86" s="2061"/>
      <c r="CB86" s="2062"/>
      <c r="CC86" s="138"/>
      <c r="CD86" s="138">
        <f t="shared" ca="1" si="7"/>
        <v>0</v>
      </c>
      <c r="CE86" s="138"/>
      <c r="CF86" s="138"/>
      <c r="CG86" s="138"/>
      <c r="CH86" s="138"/>
    </row>
    <row r="87" spans="1:93" s="137" customFormat="1" ht="12.75" hidden="1" customHeight="1" x14ac:dyDescent="0.2">
      <c r="A87" s="1770"/>
      <c r="B87" s="1787"/>
      <c r="C87" s="1787"/>
      <c r="D87" s="1771"/>
      <c r="E87" s="1772"/>
      <c r="F87" s="1882"/>
      <c r="G87" s="1882"/>
      <c r="H87" s="1882"/>
      <c r="I87" s="1882"/>
      <c r="J87" s="1882"/>
      <c r="K87" s="1882"/>
      <c r="L87" s="1882"/>
      <c r="M87" s="1882"/>
      <c r="N87" s="1882"/>
      <c r="O87" s="1882"/>
      <c r="P87" s="1882"/>
      <c r="Q87" s="1882"/>
      <c r="R87" s="1882"/>
      <c r="S87" s="1882"/>
      <c r="T87" s="1882"/>
      <c r="U87" s="1882"/>
      <c r="V87" s="1882"/>
      <c r="W87" s="1882"/>
      <c r="X87" s="1882"/>
      <c r="Y87" s="1882"/>
      <c r="Z87" s="1882"/>
      <c r="AA87" s="1882"/>
      <c r="AB87" s="1882"/>
      <c r="AC87" s="1882"/>
      <c r="AD87" s="1882"/>
      <c r="AE87" s="1882"/>
      <c r="AF87" s="1882"/>
      <c r="AG87" s="1882"/>
      <c r="AH87" s="1882"/>
      <c r="AI87" s="1882"/>
      <c r="AJ87" s="1882"/>
      <c r="AK87" s="1882"/>
      <c r="AL87" s="1882"/>
      <c r="AM87" s="1882"/>
      <c r="AN87" s="1773"/>
      <c r="AO87" s="2060"/>
      <c r="AP87" s="2061"/>
      <c r="AQ87" s="2061"/>
      <c r="AR87" s="2061"/>
      <c r="AS87" s="2061"/>
      <c r="AT87" s="2061"/>
      <c r="AU87" s="2061"/>
      <c r="AV87" s="2061"/>
      <c r="AW87" s="2061"/>
      <c r="AX87" s="2061"/>
      <c r="AY87" s="2061"/>
      <c r="AZ87" s="2061"/>
      <c r="BA87" s="2061"/>
      <c r="BB87" s="2061"/>
      <c r="BC87" s="2062"/>
      <c r="BD87" s="2079"/>
      <c r="BE87" s="2080"/>
      <c r="BF87" s="2080"/>
      <c r="BG87" s="2080"/>
      <c r="BH87" s="2080"/>
      <c r="BI87" s="2080"/>
      <c r="BJ87" s="2080"/>
      <c r="BK87" s="2080"/>
      <c r="BL87" s="2080"/>
      <c r="BM87" s="2081"/>
      <c r="BN87" s="2060">
        <f t="shared" ca="1" si="6"/>
        <v>29384.92</v>
      </c>
      <c r="BO87" s="2061"/>
      <c r="BP87" s="2061"/>
      <c r="BQ87" s="2061"/>
      <c r="BR87" s="2061"/>
      <c r="BS87" s="2061"/>
      <c r="BT87" s="2061"/>
      <c r="BU87" s="2061"/>
      <c r="BV87" s="2061"/>
      <c r="BW87" s="2061"/>
      <c r="BX87" s="2061"/>
      <c r="BY87" s="2061"/>
      <c r="BZ87" s="2061"/>
      <c r="CA87" s="2061"/>
      <c r="CB87" s="2062"/>
      <c r="CC87" s="138"/>
      <c r="CD87" s="138">
        <f t="shared" ca="1" si="7"/>
        <v>0</v>
      </c>
      <c r="CE87" s="138"/>
      <c r="CF87" s="138"/>
      <c r="CG87" s="138"/>
      <c r="CH87" s="138"/>
    </row>
    <row r="88" spans="1:93" s="137" customFormat="1" ht="12.75" hidden="1" customHeight="1" x14ac:dyDescent="0.2">
      <c r="A88" s="1770"/>
      <c r="B88" s="1787"/>
      <c r="C88" s="1787"/>
      <c r="D88" s="1771"/>
      <c r="E88" s="1772"/>
      <c r="F88" s="1882"/>
      <c r="G88" s="1882"/>
      <c r="H88" s="1882"/>
      <c r="I88" s="1882"/>
      <c r="J88" s="1882"/>
      <c r="K88" s="1882"/>
      <c r="L88" s="1882"/>
      <c r="M88" s="1882"/>
      <c r="N88" s="1882"/>
      <c r="O88" s="1882"/>
      <c r="P88" s="1882"/>
      <c r="Q88" s="1882"/>
      <c r="R88" s="1882"/>
      <c r="S88" s="1882"/>
      <c r="T88" s="1882"/>
      <c r="U88" s="1882"/>
      <c r="V88" s="1882"/>
      <c r="W88" s="1882"/>
      <c r="X88" s="1882"/>
      <c r="Y88" s="1882"/>
      <c r="Z88" s="1882"/>
      <c r="AA88" s="1882"/>
      <c r="AB88" s="1882"/>
      <c r="AC88" s="1882"/>
      <c r="AD88" s="1882"/>
      <c r="AE88" s="1882"/>
      <c r="AF88" s="1882"/>
      <c r="AG88" s="1882"/>
      <c r="AH88" s="1882"/>
      <c r="AI88" s="1882"/>
      <c r="AJ88" s="1882"/>
      <c r="AK88" s="1882"/>
      <c r="AL88" s="1882"/>
      <c r="AM88" s="1882"/>
      <c r="AN88" s="1773"/>
      <c r="AO88" s="2060"/>
      <c r="AP88" s="2061"/>
      <c r="AQ88" s="2061"/>
      <c r="AR88" s="2061"/>
      <c r="AS88" s="2061"/>
      <c r="AT88" s="2061"/>
      <c r="AU88" s="2061"/>
      <c r="AV88" s="2061"/>
      <c r="AW88" s="2061"/>
      <c r="AX88" s="2061"/>
      <c r="AY88" s="2061"/>
      <c r="AZ88" s="2061"/>
      <c r="BA88" s="2061"/>
      <c r="BB88" s="2061"/>
      <c r="BC88" s="2062"/>
      <c r="BD88" s="2079"/>
      <c r="BE88" s="2080"/>
      <c r="BF88" s="2080"/>
      <c r="BG88" s="2080"/>
      <c r="BH88" s="2080"/>
      <c r="BI88" s="2080"/>
      <c r="BJ88" s="2080"/>
      <c r="BK88" s="2080"/>
      <c r="BL88" s="2080"/>
      <c r="BM88" s="2081"/>
      <c r="BN88" s="2060">
        <f t="shared" ca="1" si="6"/>
        <v>29384.92</v>
      </c>
      <c r="BO88" s="2061"/>
      <c r="BP88" s="2061"/>
      <c r="BQ88" s="2061"/>
      <c r="BR88" s="2061"/>
      <c r="BS88" s="2061"/>
      <c r="BT88" s="2061"/>
      <c r="BU88" s="2061"/>
      <c r="BV88" s="2061"/>
      <c r="BW88" s="2061"/>
      <c r="BX88" s="2061"/>
      <c r="BY88" s="2061"/>
      <c r="BZ88" s="2061"/>
      <c r="CA88" s="2061"/>
      <c r="CB88" s="2062"/>
      <c r="CC88" s="138"/>
      <c r="CD88" s="138">
        <f t="shared" ca="1" si="7"/>
        <v>0</v>
      </c>
      <c r="CE88" s="138"/>
      <c r="CF88" s="138"/>
      <c r="CG88" s="138"/>
      <c r="CH88" s="138"/>
    </row>
    <row r="89" spans="1:93" s="137" customFormat="1" ht="12.75" hidden="1" customHeight="1" x14ac:dyDescent="0.2">
      <c r="A89" s="1770"/>
      <c r="B89" s="1787"/>
      <c r="C89" s="1787"/>
      <c r="D89" s="1771"/>
      <c r="E89" s="1772"/>
      <c r="F89" s="1882"/>
      <c r="G89" s="1882"/>
      <c r="H89" s="1882"/>
      <c r="I89" s="1882"/>
      <c r="J89" s="1882"/>
      <c r="K89" s="1882"/>
      <c r="L89" s="1882"/>
      <c r="M89" s="1882"/>
      <c r="N89" s="1882"/>
      <c r="O89" s="1882"/>
      <c r="P89" s="1882"/>
      <c r="Q89" s="1882"/>
      <c r="R89" s="1882"/>
      <c r="S89" s="1882"/>
      <c r="T89" s="1882"/>
      <c r="U89" s="1882"/>
      <c r="V89" s="1882"/>
      <c r="W89" s="1882"/>
      <c r="X89" s="1882"/>
      <c r="Y89" s="1882"/>
      <c r="Z89" s="1882"/>
      <c r="AA89" s="1882"/>
      <c r="AB89" s="1882"/>
      <c r="AC89" s="1882"/>
      <c r="AD89" s="1882"/>
      <c r="AE89" s="1882"/>
      <c r="AF89" s="1882"/>
      <c r="AG89" s="1882"/>
      <c r="AH89" s="1882"/>
      <c r="AI89" s="1882"/>
      <c r="AJ89" s="1882"/>
      <c r="AK89" s="1882"/>
      <c r="AL89" s="1882"/>
      <c r="AM89" s="1882"/>
      <c r="AN89" s="1773"/>
      <c r="AO89" s="2060"/>
      <c r="AP89" s="2061"/>
      <c r="AQ89" s="2061"/>
      <c r="AR89" s="2061"/>
      <c r="AS89" s="2061"/>
      <c r="AT89" s="2061"/>
      <c r="AU89" s="2061"/>
      <c r="AV89" s="2061"/>
      <c r="AW89" s="2061"/>
      <c r="AX89" s="2061"/>
      <c r="AY89" s="2061"/>
      <c r="AZ89" s="2061"/>
      <c r="BA89" s="2061"/>
      <c r="BB89" s="2061"/>
      <c r="BC89" s="2062"/>
      <c r="BD89" s="2079"/>
      <c r="BE89" s="2080"/>
      <c r="BF89" s="2080"/>
      <c r="BG89" s="2080"/>
      <c r="BH89" s="2080"/>
      <c r="BI89" s="2080"/>
      <c r="BJ89" s="2080"/>
      <c r="BK89" s="2080"/>
      <c r="BL89" s="2080"/>
      <c r="BM89" s="2081"/>
      <c r="BN89" s="2060">
        <f t="shared" ca="1" si="6"/>
        <v>29384.92</v>
      </c>
      <c r="BO89" s="2061"/>
      <c r="BP89" s="2061"/>
      <c r="BQ89" s="2061"/>
      <c r="BR89" s="2061"/>
      <c r="BS89" s="2061"/>
      <c r="BT89" s="2061"/>
      <c r="BU89" s="2061"/>
      <c r="BV89" s="2061"/>
      <c r="BW89" s="2061"/>
      <c r="BX89" s="2061"/>
      <c r="BY89" s="2061"/>
      <c r="BZ89" s="2061"/>
      <c r="CA89" s="2061"/>
      <c r="CB89" s="2062"/>
      <c r="CC89" s="138"/>
      <c r="CD89" s="138">
        <f t="shared" ca="1" si="7"/>
        <v>0</v>
      </c>
      <c r="CE89" s="138"/>
      <c r="CF89" s="138"/>
      <c r="CG89" s="138"/>
      <c r="CH89" s="138"/>
    </row>
    <row r="90" spans="1:93" s="137" customFormat="1" ht="12.75" hidden="1" customHeight="1" x14ac:dyDescent="0.2">
      <c r="A90" s="1830"/>
      <c r="B90" s="1830"/>
      <c r="C90" s="1830"/>
      <c r="D90" s="1830"/>
      <c r="E90" s="2082"/>
      <c r="F90" s="2082"/>
      <c r="G90" s="2082"/>
      <c r="H90" s="2082"/>
      <c r="I90" s="2082"/>
      <c r="J90" s="2082"/>
      <c r="K90" s="2082"/>
      <c r="L90" s="2082"/>
      <c r="M90" s="2082"/>
      <c r="N90" s="2082"/>
      <c r="O90" s="2082"/>
      <c r="P90" s="2082"/>
      <c r="Q90" s="2082"/>
      <c r="R90" s="2082"/>
      <c r="S90" s="2082"/>
      <c r="T90" s="2082"/>
      <c r="U90" s="2082"/>
      <c r="V90" s="2082"/>
      <c r="W90" s="2082"/>
      <c r="X90" s="2082"/>
      <c r="Y90" s="2082"/>
      <c r="Z90" s="2082"/>
      <c r="AA90" s="2082"/>
      <c r="AB90" s="2082"/>
      <c r="AC90" s="2082"/>
      <c r="AD90" s="2082"/>
      <c r="AE90" s="2082"/>
      <c r="AF90" s="2082"/>
      <c r="AG90" s="2082"/>
      <c r="AH90" s="2082"/>
      <c r="AI90" s="2082"/>
      <c r="AJ90" s="2082"/>
      <c r="AK90" s="2082"/>
      <c r="AL90" s="2082"/>
      <c r="AM90" s="2082"/>
      <c r="AN90" s="2082"/>
      <c r="AO90" s="2072"/>
      <c r="AP90" s="2072"/>
      <c r="AQ90" s="2072"/>
      <c r="AR90" s="2072"/>
      <c r="AS90" s="2072"/>
      <c r="AT90" s="2072"/>
      <c r="AU90" s="2072"/>
      <c r="AV90" s="2072"/>
      <c r="AW90" s="2072"/>
      <c r="AX90" s="2072"/>
      <c r="AY90" s="2072"/>
      <c r="AZ90" s="2072"/>
      <c r="BA90" s="2072"/>
      <c r="BB90" s="2072"/>
      <c r="BC90" s="2072"/>
      <c r="BD90" s="1838"/>
      <c r="BE90" s="1838"/>
      <c r="BF90" s="1838"/>
      <c r="BG90" s="1838"/>
      <c r="BH90" s="1838"/>
      <c r="BI90" s="1838"/>
      <c r="BJ90" s="1838"/>
      <c r="BK90" s="1838"/>
      <c r="BL90" s="1838"/>
      <c r="BM90" s="1838"/>
      <c r="BN90" s="2060">
        <f t="shared" ca="1" si="6"/>
        <v>29384.92</v>
      </c>
      <c r="BO90" s="2061"/>
      <c r="BP90" s="2061"/>
      <c r="BQ90" s="2061"/>
      <c r="BR90" s="2061"/>
      <c r="BS90" s="2061"/>
      <c r="BT90" s="2061"/>
      <c r="BU90" s="2061"/>
      <c r="BV90" s="2061"/>
      <c r="BW90" s="2061"/>
      <c r="BX90" s="2061"/>
      <c r="BY90" s="2061"/>
      <c r="BZ90" s="2061"/>
      <c r="CA90" s="2061"/>
      <c r="CB90" s="2062"/>
      <c r="CC90" s="138"/>
      <c r="CD90" s="138">
        <f t="shared" ca="1" si="7"/>
        <v>0</v>
      </c>
      <c r="CE90" s="138"/>
      <c r="CF90" s="138"/>
      <c r="CG90" s="138"/>
      <c r="CH90" s="138"/>
    </row>
    <row r="91" spans="1:93" s="137" customFormat="1" x14ac:dyDescent="0.2">
      <c r="A91" s="1770">
        <v>7</v>
      </c>
      <c r="B91" s="1787"/>
      <c r="C91" s="1787"/>
      <c r="D91" s="1771"/>
      <c r="E91" s="1772" t="s">
        <v>1445</v>
      </c>
      <c r="F91" s="1882"/>
      <c r="G91" s="1882"/>
      <c r="H91" s="1882"/>
      <c r="I91" s="1882"/>
      <c r="J91" s="1882"/>
      <c r="K91" s="1882"/>
      <c r="L91" s="1882"/>
      <c r="M91" s="1882"/>
      <c r="N91" s="1882"/>
      <c r="O91" s="1882"/>
      <c r="P91" s="1882"/>
      <c r="Q91" s="1882"/>
      <c r="R91" s="1882"/>
      <c r="S91" s="1882"/>
      <c r="T91" s="1882"/>
      <c r="U91" s="1882"/>
      <c r="V91" s="1882"/>
      <c r="W91" s="1882"/>
      <c r="X91" s="1882"/>
      <c r="Y91" s="1882"/>
      <c r="Z91" s="1882"/>
      <c r="AA91" s="1882"/>
      <c r="AB91" s="1882"/>
      <c r="AC91" s="1882"/>
      <c r="AD91" s="1882"/>
      <c r="AE91" s="1882"/>
      <c r="AF91" s="1882"/>
      <c r="AG91" s="1882"/>
      <c r="AH91" s="1882"/>
      <c r="AI91" s="1882"/>
      <c r="AJ91" s="1882"/>
      <c r="AK91" s="1882"/>
      <c r="AL91" s="1882"/>
      <c r="AM91" s="1882"/>
      <c r="AN91" s="1773"/>
      <c r="AO91" s="2060">
        <f>BN91</f>
        <v>21411</v>
      </c>
      <c r="AP91" s="2061"/>
      <c r="AQ91" s="2061"/>
      <c r="AR91" s="2061"/>
      <c r="AS91" s="2061"/>
      <c r="AT91" s="2061"/>
      <c r="AU91" s="2061"/>
      <c r="AV91" s="2061"/>
      <c r="AW91" s="2061"/>
      <c r="AX91" s="2061"/>
      <c r="AY91" s="2061"/>
      <c r="AZ91" s="2061"/>
      <c r="BA91" s="2061"/>
      <c r="BB91" s="2061"/>
      <c r="BC91" s="2062"/>
      <c r="BD91" s="2079">
        <v>1</v>
      </c>
      <c r="BE91" s="2080"/>
      <c r="BF91" s="2080"/>
      <c r="BG91" s="2080"/>
      <c r="BH91" s="2080"/>
      <c r="BI91" s="2080"/>
      <c r="BJ91" s="2080"/>
      <c r="BK91" s="2080"/>
      <c r="BL91" s="2080"/>
      <c r="BM91" s="2081"/>
      <c r="BN91" s="2060">
        <f>CC91+CD91+CF91+CG91+CH91</f>
        <v>21411</v>
      </c>
      <c r="BO91" s="2061"/>
      <c r="BP91" s="2061"/>
      <c r="BQ91" s="2061"/>
      <c r="BR91" s="2061"/>
      <c r="BS91" s="2061"/>
      <c r="BT91" s="2061"/>
      <c r="BU91" s="2061"/>
      <c r="BV91" s="2061"/>
      <c r="BW91" s="2061"/>
      <c r="BX91" s="2061"/>
      <c r="BY91" s="2061"/>
      <c r="BZ91" s="2061"/>
      <c r="CA91" s="2061"/>
      <c r="CB91" s="2062"/>
      <c r="CC91" s="138"/>
      <c r="CD91" s="138">
        <v>0</v>
      </c>
      <c r="CE91" s="16">
        <v>963324059</v>
      </c>
      <c r="CF91" s="138"/>
      <c r="CG91" s="138">
        <v>21411</v>
      </c>
      <c r="CH91" s="138">
        <v>0</v>
      </c>
    </row>
    <row r="92" spans="1:93" s="140" customFormat="1" x14ac:dyDescent="0.2">
      <c r="A92" s="1774" t="s">
        <v>711</v>
      </c>
      <c r="B92" s="1775"/>
      <c r="C92" s="1775"/>
      <c r="D92" s="1775"/>
      <c r="E92" s="1775"/>
      <c r="F92" s="1775"/>
      <c r="G92" s="1775"/>
      <c r="H92" s="1775"/>
      <c r="I92" s="1775"/>
      <c r="J92" s="1775"/>
      <c r="K92" s="1775"/>
      <c r="L92" s="1775"/>
      <c r="M92" s="1775"/>
      <c r="N92" s="1775"/>
      <c r="O92" s="1775"/>
      <c r="P92" s="1775"/>
      <c r="Q92" s="1775"/>
      <c r="R92" s="1775"/>
      <c r="S92" s="1775"/>
      <c r="T92" s="1775"/>
      <c r="U92" s="1775"/>
      <c r="V92" s="1775"/>
      <c r="W92" s="1775"/>
      <c r="X92" s="1775"/>
      <c r="Y92" s="1775"/>
      <c r="Z92" s="1775"/>
      <c r="AA92" s="1775"/>
      <c r="AB92" s="1775"/>
      <c r="AC92" s="1775"/>
      <c r="AD92" s="1775"/>
      <c r="AE92" s="1775"/>
      <c r="AF92" s="1775"/>
      <c r="AG92" s="1775"/>
      <c r="AH92" s="1775"/>
      <c r="AI92" s="1775"/>
      <c r="AJ92" s="1775"/>
      <c r="AK92" s="1775"/>
      <c r="AL92" s="1775"/>
      <c r="AM92" s="1775"/>
      <c r="AN92" s="1776"/>
      <c r="AO92" s="2073"/>
      <c r="AP92" s="2073"/>
      <c r="AQ92" s="2073"/>
      <c r="AR92" s="2073"/>
      <c r="AS92" s="2073"/>
      <c r="AT92" s="2073"/>
      <c r="AU92" s="2073"/>
      <c r="AV92" s="2073"/>
      <c r="AW92" s="2073"/>
      <c r="AX92" s="2073"/>
      <c r="AY92" s="2073"/>
      <c r="AZ92" s="2073"/>
      <c r="BA92" s="2073"/>
      <c r="BB92" s="2073"/>
      <c r="BC92" s="2073"/>
      <c r="BD92" s="2073" t="s">
        <v>3</v>
      </c>
      <c r="BE92" s="2073"/>
      <c r="BF92" s="2073"/>
      <c r="BG92" s="2073"/>
      <c r="BH92" s="2073"/>
      <c r="BI92" s="2073"/>
      <c r="BJ92" s="2073"/>
      <c r="BK92" s="2073"/>
      <c r="BL92" s="2073"/>
      <c r="BM92" s="2073"/>
      <c r="BN92" s="2073">
        <f>CC92+CD92+CF92+CH92+CG92</f>
        <v>344155.41999999993</v>
      </c>
      <c r="BO92" s="2073"/>
      <c r="BP92" s="2073"/>
      <c r="BQ92" s="2073"/>
      <c r="BR92" s="2073"/>
      <c r="BS92" s="2073"/>
      <c r="BT92" s="2073"/>
      <c r="BU92" s="2073"/>
      <c r="BV92" s="2073"/>
      <c r="BW92" s="2073"/>
      <c r="BX92" s="2073"/>
      <c r="BY92" s="2073"/>
      <c r="BZ92" s="2073"/>
      <c r="CA92" s="2073"/>
      <c r="CB92" s="2073"/>
      <c r="CC92" s="139">
        <f>SUM(CC55:CC90)</f>
        <v>32288.760000000002</v>
      </c>
      <c r="CD92" s="139">
        <f>CD55+CD56+CD57+CD58+CD60+CD59</f>
        <v>224677.41999999995</v>
      </c>
      <c r="CE92" s="139"/>
      <c r="CF92" s="139">
        <f>SUM(CF55:CF91)</f>
        <v>0</v>
      </c>
      <c r="CG92" s="139">
        <f>CG91</f>
        <v>21411</v>
      </c>
      <c r="CH92" s="139">
        <f>SUM(CH55:CH60)</f>
        <v>65778.239999999991</v>
      </c>
      <c r="CO92" s="824"/>
    </row>
    <row r="93" spans="1:93" s="140" customFormat="1" x14ac:dyDescent="0.2">
      <c r="A93" s="237"/>
      <c r="B93" s="237"/>
      <c r="C93" s="237"/>
      <c r="D93" s="237"/>
      <c r="E93" s="237"/>
      <c r="F93" s="237"/>
      <c r="G93" s="237"/>
      <c r="H93" s="237"/>
      <c r="I93" s="237"/>
      <c r="J93" s="237"/>
      <c r="K93" s="237"/>
      <c r="L93" s="237"/>
      <c r="M93" s="23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c r="BN93" s="238"/>
      <c r="BO93" s="238"/>
      <c r="BP93" s="238"/>
      <c r="BQ93" s="238"/>
      <c r="BR93" s="238"/>
      <c r="BS93" s="238"/>
      <c r="BT93" s="238"/>
      <c r="BU93" s="238"/>
      <c r="BV93" s="238"/>
      <c r="BW93" s="238"/>
      <c r="BX93" s="238"/>
      <c r="BY93" s="238"/>
      <c r="BZ93" s="238"/>
      <c r="CA93" s="238"/>
      <c r="CB93" s="238"/>
      <c r="CC93" s="238"/>
      <c r="CD93" s="238"/>
      <c r="CE93" s="238"/>
      <c r="CF93" s="238"/>
      <c r="CG93" s="238"/>
      <c r="CH93" s="238"/>
      <c r="CO93" s="824"/>
    </row>
    <row r="94" spans="1:93" s="4" customFormat="1" ht="14.25" customHeight="1" x14ac:dyDescent="0.25">
      <c r="A94" s="19" t="s">
        <v>625</v>
      </c>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row>
    <row r="95" spans="1:93" ht="12.75" customHeight="1" x14ac:dyDescent="0.2">
      <c r="A95" s="1781" t="s">
        <v>38</v>
      </c>
      <c r="B95" s="1925"/>
      <c r="C95" s="1925"/>
      <c r="D95" s="1782"/>
      <c r="E95" s="1818" t="s">
        <v>4</v>
      </c>
      <c r="F95" s="181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19"/>
      <c r="AK95" s="1819"/>
      <c r="AL95" s="1819"/>
      <c r="AM95" s="1819"/>
      <c r="AN95" s="1820"/>
      <c r="AO95" s="1781" t="s">
        <v>139</v>
      </c>
      <c r="AP95" s="1925"/>
      <c r="AQ95" s="1925"/>
      <c r="AR95" s="1925"/>
      <c r="AS95" s="1925"/>
      <c r="AT95" s="1925"/>
      <c r="AU95" s="1925"/>
      <c r="AV95" s="1925"/>
      <c r="AW95" s="1925"/>
      <c r="AX95" s="1925"/>
      <c r="AY95" s="1925"/>
      <c r="AZ95" s="1925"/>
      <c r="BA95" s="1925"/>
      <c r="BB95" s="1925"/>
      <c r="BC95" s="1782"/>
      <c r="BD95" s="1781" t="s">
        <v>140</v>
      </c>
      <c r="BE95" s="1925"/>
      <c r="BF95" s="1925"/>
      <c r="BG95" s="1925"/>
      <c r="BH95" s="1925"/>
      <c r="BI95" s="1925"/>
      <c r="BJ95" s="1925"/>
      <c r="BK95" s="1925"/>
      <c r="BL95" s="1925"/>
      <c r="BM95" s="1782"/>
      <c r="BN95" s="1781" t="s">
        <v>624</v>
      </c>
      <c r="BO95" s="1925"/>
      <c r="BP95" s="1925"/>
      <c r="BQ95" s="1925"/>
      <c r="BR95" s="1925"/>
      <c r="BS95" s="1925"/>
      <c r="BT95" s="1925"/>
      <c r="BU95" s="1925"/>
      <c r="BV95" s="1925"/>
      <c r="BW95" s="1925"/>
      <c r="BX95" s="1925"/>
      <c r="BY95" s="1925"/>
      <c r="BZ95" s="1925"/>
      <c r="CA95" s="1925"/>
      <c r="CB95" s="1782"/>
      <c r="CC95" s="1797" t="s">
        <v>52</v>
      </c>
      <c r="CD95" s="1798"/>
      <c r="CE95" s="1798"/>
      <c r="CF95" s="1798"/>
      <c r="CG95" s="1798"/>
      <c r="CH95" s="1799"/>
    </row>
    <row r="96" spans="1:93" ht="64.5" customHeight="1" x14ac:dyDescent="0.2">
      <c r="A96" s="1783"/>
      <c r="B96" s="1926"/>
      <c r="C96" s="1926"/>
      <c r="D96" s="1784"/>
      <c r="E96" s="1807"/>
      <c r="F96" s="1808"/>
      <c r="G96" s="1808"/>
      <c r="H96" s="1808"/>
      <c r="I96" s="1808"/>
      <c r="J96" s="1808"/>
      <c r="K96" s="1808"/>
      <c r="L96" s="1808"/>
      <c r="M96" s="1808"/>
      <c r="N96" s="1808"/>
      <c r="O96" s="1808"/>
      <c r="P96" s="1808"/>
      <c r="Q96" s="1808"/>
      <c r="R96" s="1808"/>
      <c r="S96" s="1808"/>
      <c r="T96" s="1808"/>
      <c r="U96" s="1808"/>
      <c r="V96" s="1808"/>
      <c r="W96" s="1808"/>
      <c r="X96" s="1808"/>
      <c r="Y96" s="1808"/>
      <c r="Z96" s="1808"/>
      <c r="AA96" s="1808"/>
      <c r="AB96" s="1808"/>
      <c r="AC96" s="1808"/>
      <c r="AD96" s="1808"/>
      <c r="AE96" s="1808"/>
      <c r="AF96" s="1808"/>
      <c r="AG96" s="1808"/>
      <c r="AH96" s="1808"/>
      <c r="AI96" s="1808"/>
      <c r="AJ96" s="1808"/>
      <c r="AK96" s="1808"/>
      <c r="AL96" s="1808"/>
      <c r="AM96" s="1808"/>
      <c r="AN96" s="1809"/>
      <c r="AO96" s="1783"/>
      <c r="AP96" s="1926"/>
      <c r="AQ96" s="1926"/>
      <c r="AR96" s="1926"/>
      <c r="AS96" s="1926"/>
      <c r="AT96" s="1926"/>
      <c r="AU96" s="1926"/>
      <c r="AV96" s="1926"/>
      <c r="AW96" s="1926"/>
      <c r="AX96" s="1926"/>
      <c r="AY96" s="1926"/>
      <c r="AZ96" s="1926"/>
      <c r="BA96" s="1926"/>
      <c r="BB96" s="1926"/>
      <c r="BC96" s="1784"/>
      <c r="BD96" s="1783"/>
      <c r="BE96" s="1926"/>
      <c r="BF96" s="1926"/>
      <c r="BG96" s="1926"/>
      <c r="BH96" s="1926"/>
      <c r="BI96" s="1926"/>
      <c r="BJ96" s="1926"/>
      <c r="BK96" s="1926"/>
      <c r="BL96" s="1926"/>
      <c r="BM96" s="1784"/>
      <c r="BN96" s="1783"/>
      <c r="BO96" s="1926"/>
      <c r="BP96" s="1926"/>
      <c r="BQ96" s="1926"/>
      <c r="BR96" s="1926"/>
      <c r="BS96" s="1926"/>
      <c r="BT96" s="1926"/>
      <c r="BU96" s="1926"/>
      <c r="BV96" s="1926"/>
      <c r="BW96" s="1926"/>
      <c r="BX96" s="1926"/>
      <c r="BY96" s="1926"/>
      <c r="BZ96" s="1926"/>
      <c r="CA96" s="1926"/>
      <c r="CB96" s="1784"/>
      <c r="CC96" s="1788" t="s">
        <v>35</v>
      </c>
      <c r="CD96" s="1789"/>
      <c r="CE96" s="1788" t="s">
        <v>45</v>
      </c>
      <c r="CF96" s="1790"/>
      <c r="CG96" s="1789"/>
      <c r="CH96" s="1778" t="s">
        <v>46</v>
      </c>
      <c r="CO96" s="142"/>
    </row>
    <row r="97" spans="1:86" ht="12.75" customHeight="1" x14ac:dyDescent="0.2">
      <c r="A97" s="1783"/>
      <c r="B97" s="1926"/>
      <c r="C97" s="1926"/>
      <c r="D97" s="1784"/>
      <c r="E97" s="1807"/>
      <c r="F97" s="1808"/>
      <c r="G97" s="1808"/>
      <c r="H97" s="1808"/>
      <c r="I97" s="1808"/>
      <c r="J97" s="1808"/>
      <c r="K97" s="1808"/>
      <c r="L97" s="1808"/>
      <c r="M97" s="1808"/>
      <c r="N97" s="1808"/>
      <c r="O97" s="1808"/>
      <c r="P97" s="1808"/>
      <c r="Q97" s="1808"/>
      <c r="R97" s="1808"/>
      <c r="S97" s="1808"/>
      <c r="T97" s="1808"/>
      <c r="U97" s="1808"/>
      <c r="V97" s="1808"/>
      <c r="W97" s="1808"/>
      <c r="X97" s="1808"/>
      <c r="Y97" s="1808"/>
      <c r="Z97" s="1808"/>
      <c r="AA97" s="1808"/>
      <c r="AB97" s="1808"/>
      <c r="AC97" s="1808"/>
      <c r="AD97" s="1808"/>
      <c r="AE97" s="1808"/>
      <c r="AF97" s="1808"/>
      <c r="AG97" s="1808"/>
      <c r="AH97" s="1808"/>
      <c r="AI97" s="1808"/>
      <c r="AJ97" s="1808"/>
      <c r="AK97" s="1808"/>
      <c r="AL97" s="1808"/>
      <c r="AM97" s="1808"/>
      <c r="AN97" s="1809"/>
      <c r="AO97" s="1783"/>
      <c r="AP97" s="1926"/>
      <c r="AQ97" s="1926"/>
      <c r="AR97" s="1926"/>
      <c r="AS97" s="1926"/>
      <c r="AT97" s="1926"/>
      <c r="AU97" s="1926"/>
      <c r="AV97" s="1926"/>
      <c r="AW97" s="1926"/>
      <c r="AX97" s="1926"/>
      <c r="AY97" s="1926"/>
      <c r="AZ97" s="1926"/>
      <c r="BA97" s="1926"/>
      <c r="BB97" s="1926"/>
      <c r="BC97" s="1784"/>
      <c r="BD97" s="1783"/>
      <c r="BE97" s="1926"/>
      <c r="BF97" s="1926"/>
      <c r="BG97" s="1926"/>
      <c r="BH97" s="1926"/>
      <c r="BI97" s="1926"/>
      <c r="BJ97" s="1926"/>
      <c r="BK97" s="1926"/>
      <c r="BL97" s="1926"/>
      <c r="BM97" s="1784"/>
      <c r="BN97" s="1783"/>
      <c r="BO97" s="1926"/>
      <c r="BP97" s="1926"/>
      <c r="BQ97" s="1926"/>
      <c r="BR97" s="1926"/>
      <c r="BS97" s="1926"/>
      <c r="BT97" s="1926"/>
      <c r="BU97" s="1926"/>
      <c r="BV97" s="1926"/>
      <c r="BW97" s="1926"/>
      <c r="BX97" s="1926"/>
      <c r="BY97" s="1926"/>
      <c r="BZ97" s="1926"/>
      <c r="CA97" s="1926"/>
      <c r="CB97" s="1784"/>
      <c r="CC97" s="1812" t="s">
        <v>43</v>
      </c>
      <c r="CD97" s="1812" t="s">
        <v>44</v>
      </c>
      <c r="CE97" s="1812" t="s">
        <v>55</v>
      </c>
      <c r="CF97" s="1812" t="s">
        <v>43</v>
      </c>
      <c r="CG97" s="1812" t="s">
        <v>44</v>
      </c>
      <c r="CH97" s="1779"/>
    </row>
    <row r="98" spans="1:86" x14ac:dyDescent="0.2">
      <c r="A98" s="1785"/>
      <c r="B98" s="1927"/>
      <c r="C98" s="1927"/>
      <c r="D98" s="1786"/>
      <c r="E98" s="1814"/>
      <c r="F98" s="1815"/>
      <c r="G98" s="1815"/>
      <c r="H98" s="1815"/>
      <c r="I98" s="1815"/>
      <c r="J98" s="1815"/>
      <c r="K98" s="1815"/>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15"/>
      <c r="AH98" s="1815"/>
      <c r="AI98" s="1815"/>
      <c r="AJ98" s="1815"/>
      <c r="AK98" s="1815"/>
      <c r="AL98" s="1815"/>
      <c r="AM98" s="1815"/>
      <c r="AN98" s="1816"/>
      <c r="AO98" s="1785"/>
      <c r="AP98" s="1927"/>
      <c r="AQ98" s="1927"/>
      <c r="AR98" s="1927"/>
      <c r="AS98" s="1927"/>
      <c r="AT98" s="1927"/>
      <c r="AU98" s="1927"/>
      <c r="AV98" s="1927"/>
      <c r="AW98" s="1927"/>
      <c r="AX98" s="1927"/>
      <c r="AY98" s="1927"/>
      <c r="AZ98" s="1927"/>
      <c r="BA98" s="1927"/>
      <c r="BB98" s="1927"/>
      <c r="BC98" s="1786"/>
      <c r="BD98" s="1785"/>
      <c r="BE98" s="1927"/>
      <c r="BF98" s="1927"/>
      <c r="BG98" s="1927"/>
      <c r="BH98" s="1927"/>
      <c r="BI98" s="1927"/>
      <c r="BJ98" s="1927"/>
      <c r="BK98" s="1927"/>
      <c r="BL98" s="1927"/>
      <c r="BM98" s="1786"/>
      <c r="BN98" s="1785"/>
      <c r="BO98" s="1927"/>
      <c r="BP98" s="1927"/>
      <c r="BQ98" s="1927"/>
      <c r="BR98" s="1927"/>
      <c r="BS98" s="1927"/>
      <c r="BT98" s="1927"/>
      <c r="BU98" s="1927"/>
      <c r="BV98" s="1927"/>
      <c r="BW98" s="1927"/>
      <c r="BX98" s="1927"/>
      <c r="BY98" s="1927"/>
      <c r="BZ98" s="1927"/>
      <c r="CA98" s="1927"/>
      <c r="CB98" s="1786"/>
      <c r="CC98" s="1813"/>
      <c r="CD98" s="1813"/>
      <c r="CE98" s="1813"/>
      <c r="CF98" s="1813"/>
      <c r="CG98" s="1813"/>
      <c r="CH98" s="1780"/>
    </row>
    <row r="99" spans="1:86" x14ac:dyDescent="0.2">
      <c r="A99" s="1770">
        <v>1</v>
      </c>
      <c r="B99" s="1787"/>
      <c r="C99" s="1787"/>
      <c r="D99" s="1771"/>
      <c r="E99" s="1770">
        <v>2</v>
      </c>
      <c r="F99" s="1787"/>
      <c r="G99" s="1787"/>
      <c r="H99" s="1787"/>
      <c r="I99" s="1787"/>
      <c r="J99" s="1787"/>
      <c r="K99" s="1787"/>
      <c r="L99" s="1787"/>
      <c r="M99" s="1787"/>
      <c r="N99" s="1787"/>
      <c r="O99" s="1787"/>
      <c r="P99" s="1787"/>
      <c r="Q99" s="1787"/>
      <c r="R99" s="1787"/>
      <c r="S99" s="1787"/>
      <c r="T99" s="1787"/>
      <c r="U99" s="1787"/>
      <c r="V99" s="1787"/>
      <c r="W99" s="1787"/>
      <c r="X99" s="1787"/>
      <c r="Y99" s="1787"/>
      <c r="Z99" s="1787"/>
      <c r="AA99" s="1787"/>
      <c r="AB99" s="1787"/>
      <c r="AC99" s="1787"/>
      <c r="AD99" s="1787"/>
      <c r="AE99" s="1787"/>
      <c r="AF99" s="1787"/>
      <c r="AG99" s="1787"/>
      <c r="AH99" s="1787"/>
      <c r="AI99" s="1787"/>
      <c r="AJ99" s="1787"/>
      <c r="AK99" s="1787"/>
      <c r="AL99" s="1787"/>
      <c r="AM99" s="1787"/>
      <c r="AN99" s="1771"/>
      <c r="AO99" s="1770">
        <v>3</v>
      </c>
      <c r="AP99" s="1787"/>
      <c r="AQ99" s="1787"/>
      <c r="AR99" s="1787"/>
      <c r="AS99" s="1787"/>
      <c r="AT99" s="1787"/>
      <c r="AU99" s="1787"/>
      <c r="AV99" s="1787"/>
      <c r="AW99" s="1787"/>
      <c r="AX99" s="1787"/>
      <c r="AY99" s="1787"/>
      <c r="AZ99" s="1787"/>
      <c r="BA99" s="1787"/>
      <c r="BB99" s="1787"/>
      <c r="BC99" s="1771"/>
      <c r="BD99" s="1770">
        <v>4</v>
      </c>
      <c r="BE99" s="1787"/>
      <c r="BF99" s="1787"/>
      <c r="BG99" s="1787"/>
      <c r="BH99" s="1787"/>
      <c r="BI99" s="1787"/>
      <c r="BJ99" s="1787"/>
      <c r="BK99" s="1787"/>
      <c r="BL99" s="1787"/>
      <c r="BM99" s="1771"/>
      <c r="BN99" s="1770" t="s">
        <v>49</v>
      </c>
      <c r="BO99" s="1787"/>
      <c r="BP99" s="1787"/>
      <c r="BQ99" s="1787"/>
      <c r="BR99" s="1787"/>
      <c r="BS99" s="1787"/>
      <c r="BT99" s="1787"/>
      <c r="BU99" s="1787"/>
      <c r="BV99" s="1787"/>
      <c r="BW99" s="1787"/>
      <c r="BX99" s="1787"/>
      <c r="BY99" s="1787"/>
      <c r="BZ99" s="1787"/>
      <c r="CA99" s="1787"/>
      <c r="CB99" s="1771"/>
      <c r="CC99" s="15">
        <v>6</v>
      </c>
      <c r="CD99" s="15">
        <v>7</v>
      </c>
      <c r="CE99" s="15">
        <v>8</v>
      </c>
      <c r="CF99" s="15">
        <v>9</v>
      </c>
      <c r="CG99" s="15">
        <v>10</v>
      </c>
      <c r="CH99" s="15">
        <v>11</v>
      </c>
    </row>
    <row r="100" spans="1:86" s="137" customFormat="1" ht="27.75" customHeight="1" x14ac:dyDescent="0.2">
      <c r="A100" s="1830">
        <v>1</v>
      </c>
      <c r="B100" s="1830"/>
      <c r="C100" s="1830"/>
      <c r="D100" s="1830"/>
      <c r="E100" s="2082" t="s">
        <v>678</v>
      </c>
      <c r="F100" s="2082"/>
      <c r="G100" s="2082"/>
      <c r="H100" s="2082"/>
      <c r="I100" s="2082"/>
      <c r="J100" s="2082"/>
      <c r="K100" s="2082"/>
      <c r="L100" s="2082"/>
      <c r="M100" s="2082"/>
      <c r="N100" s="2082"/>
      <c r="O100" s="2082"/>
      <c r="P100" s="2082"/>
      <c r="Q100" s="2082"/>
      <c r="R100" s="2082"/>
      <c r="S100" s="2082"/>
      <c r="T100" s="2082"/>
      <c r="U100" s="2082"/>
      <c r="V100" s="2082"/>
      <c r="W100" s="2082"/>
      <c r="X100" s="2082"/>
      <c r="Y100" s="2082"/>
      <c r="Z100" s="2082"/>
      <c r="AA100" s="2082"/>
      <c r="AB100" s="2082"/>
      <c r="AC100" s="2082"/>
      <c r="AD100" s="2082"/>
      <c r="AE100" s="2082"/>
      <c r="AF100" s="2082"/>
      <c r="AG100" s="2082"/>
      <c r="AH100" s="2082"/>
      <c r="AI100" s="2082"/>
      <c r="AJ100" s="2082"/>
      <c r="AK100" s="2082"/>
      <c r="AL100" s="2082"/>
      <c r="AM100" s="2082"/>
      <c r="AN100" s="2082"/>
      <c r="AO100" s="2072">
        <f>BN100/BD100</f>
        <v>87</v>
      </c>
      <c r="AP100" s="2072"/>
      <c r="AQ100" s="2072"/>
      <c r="AR100" s="2072"/>
      <c r="AS100" s="2072"/>
      <c r="AT100" s="2072"/>
      <c r="AU100" s="2072"/>
      <c r="AV100" s="2072"/>
      <c r="AW100" s="2072"/>
      <c r="AX100" s="2072"/>
      <c r="AY100" s="2072"/>
      <c r="AZ100" s="2072"/>
      <c r="BA100" s="2072"/>
      <c r="BB100" s="2072"/>
      <c r="BC100" s="2072"/>
      <c r="BD100" s="1838">
        <v>21</v>
      </c>
      <c r="BE100" s="1838"/>
      <c r="BF100" s="1838"/>
      <c r="BG100" s="1838"/>
      <c r="BH100" s="1838"/>
      <c r="BI100" s="1838"/>
      <c r="BJ100" s="1838"/>
      <c r="BK100" s="1838"/>
      <c r="BL100" s="1838"/>
      <c r="BM100" s="1838"/>
      <c r="BN100" s="2072">
        <f>CC100+CD100+CH100</f>
        <v>1827</v>
      </c>
      <c r="BO100" s="2072"/>
      <c r="BP100" s="2072"/>
      <c r="BQ100" s="2072"/>
      <c r="BR100" s="2072"/>
      <c r="BS100" s="2072"/>
      <c r="BT100" s="2072"/>
      <c r="BU100" s="2072"/>
      <c r="BV100" s="2072"/>
      <c r="BW100" s="2072"/>
      <c r="BX100" s="2072"/>
      <c r="BY100" s="2072"/>
      <c r="BZ100" s="2072"/>
      <c r="CA100" s="2072"/>
      <c r="CB100" s="2072"/>
      <c r="CC100" s="138"/>
      <c r="CD100" s="138">
        <v>1551.11</v>
      </c>
      <c r="CE100" s="987"/>
      <c r="CF100" s="138"/>
      <c r="CG100" s="138"/>
      <c r="CH100" s="138">
        <v>275.89</v>
      </c>
    </row>
    <row r="101" spans="1:86" s="140" customFormat="1" ht="11.25" customHeight="1" x14ac:dyDescent="0.2">
      <c r="A101" s="1774" t="s">
        <v>708</v>
      </c>
      <c r="B101" s="1775"/>
      <c r="C101" s="1775"/>
      <c r="D101" s="1775"/>
      <c r="E101" s="1775"/>
      <c r="F101" s="1775"/>
      <c r="G101" s="1775"/>
      <c r="H101" s="1775"/>
      <c r="I101" s="1775"/>
      <c r="J101" s="1775"/>
      <c r="K101" s="1775"/>
      <c r="L101" s="1775"/>
      <c r="M101" s="1775"/>
      <c r="N101" s="1775"/>
      <c r="O101" s="1775"/>
      <c r="P101" s="1775"/>
      <c r="Q101" s="1775"/>
      <c r="R101" s="1775"/>
      <c r="S101" s="1775"/>
      <c r="T101" s="1775"/>
      <c r="U101" s="1775"/>
      <c r="V101" s="1775"/>
      <c r="W101" s="1775"/>
      <c r="X101" s="1775"/>
      <c r="Y101" s="1775"/>
      <c r="Z101" s="1775"/>
      <c r="AA101" s="1775"/>
      <c r="AB101" s="1775"/>
      <c r="AC101" s="1775"/>
      <c r="AD101" s="1775"/>
      <c r="AE101" s="1775"/>
      <c r="AF101" s="1775"/>
      <c r="AG101" s="1775"/>
      <c r="AH101" s="1775"/>
      <c r="AI101" s="1775"/>
      <c r="AJ101" s="1775"/>
      <c r="AK101" s="1775"/>
      <c r="AL101" s="1775"/>
      <c r="AM101" s="1775"/>
      <c r="AN101" s="1776"/>
      <c r="AO101" s="2073"/>
      <c r="AP101" s="2073"/>
      <c r="AQ101" s="2073"/>
      <c r="AR101" s="2073"/>
      <c r="AS101" s="2073"/>
      <c r="AT101" s="2073"/>
      <c r="AU101" s="2073"/>
      <c r="AV101" s="2073"/>
      <c r="AW101" s="2073"/>
      <c r="AX101" s="2073"/>
      <c r="AY101" s="2073"/>
      <c r="AZ101" s="2073"/>
      <c r="BA101" s="2073"/>
      <c r="BB101" s="2073"/>
      <c r="BC101" s="2073"/>
      <c r="BD101" s="2073" t="s">
        <v>3</v>
      </c>
      <c r="BE101" s="2073"/>
      <c r="BF101" s="2073"/>
      <c r="BG101" s="2073"/>
      <c r="BH101" s="2073"/>
      <c r="BI101" s="2073"/>
      <c r="BJ101" s="2073"/>
      <c r="BK101" s="2073"/>
      <c r="BL101" s="2073"/>
      <c r="BM101" s="2073"/>
      <c r="BN101" s="2073">
        <f>CC101+CD101+CH101</f>
        <v>1827</v>
      </c>
      <c r="BO101" s="2073"/>
      <c r="BP101" s="2073"/>
      <c r="BQ101" s="2073"/>
      <c r="BR101" s="2073"/>
      <c r="BS101" s="2073"/>
      <c r="BT101" s="2073"/>
      <c r="BU101" s="2073"/>
      <c r="BV101" s="2073"/>
      <c r="BW101" s="2073"/>
      <c r="BX101" s="2073"/>
      <c r="BY101" s="2073"/>
      <c r="BZ101" s="2073"/>
      <c r="CA101" s="2073"/>
      <c r="CB101" s="2073"/>
      <c r="CC101" s="139"/>
      <c r="CD101" s="139">
        <f>CD100</f>
        <v>1551.11</v>
      </c>
      <c r="CE101" s="139"/>
      <c r="CF101" s="139"/>
      <c r="CG101" s="139"/>
      <c r="CH101" s="139">
        <f>CH100</f>
        <v>275.89</v>
      </c>
    </row>
    <row r="102" spans="1:86" s="1" customFormat="1" ht="15.75" hidden="1" x14ac:dyDescent="0.25">
      <c r="A102" s="19" t="s">
        <v>636</v>
      </c>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row>
    <row r="103" spans="1:86" s="1" customFormat="1" ht="15.75" hidden="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7"/>
      <c r="CD103" s="7"/>
      <c r="CE103" s="7"/>
      <c r="CF103" s="7"/>
      <c r="CG103" s="7"/>
      <c r="CH103" s="7"/>
    </row>
    <row r="104" spans="1:86" s="1" customFormat="1" ht="15.75" hidden="1" x14ac:dyDescent="0.25">
      <c r="A104" s="1810" t="s">
        <v>38</v>
      </c>
      <c r="B104" s="1810"/>
      <c r="C104" s="1810"/>
      <c r="D104" s="1810"/>
      <c r="E104" s="1830" t="s">
        <v>4</v>
      </c>
      <c r="F104" s="1830"/>
      <c r="G104" s="1830"/>
      <c r="H104" s="1830"/>
      <c r="I104" s="1830"/>
      <c r="J104" s="1830"/>
      <c r="K104" s="1830"/>
      <c r="L104" s="1830"/>
      <c r="M104" s="1830"/>
      <c r="N104" s="1830"/>
      <c r="O104" s="1830"/>
      <c r="P104" s="1830"/>
      <c r="Q104" s="1830"/>
      <c r="R104" s="1830"/>
      <c r="S104" s="1830"/>
      <c r="T104" s="1830"/>
      <c r="U104" s="1830"/>
      <c r="V104" s="1830"/>
      <c r="W104" s="1830"/>
      <c r="X104" s="1830"/>
      <c r="Y104" s="1830"/>
      <c r="Z104" s="1830"/>
      <c r="AA104" s="1830"/>
      <c r="AB104" s="1830"/>
      <c r="AC104" s="1830"/>
      <c r="AD104" s="1830"/>
      <c r="AE104" s="1830"/>
      <c r="AF104" s="1830"/>
      <c r="AG104" s="1830"/>
      <c r="AH104" s="1830"/>
      <c r="AI104" s="1830"/>
      <c r="AJ104" s="1830"/>
      <c r="AK104" s="1830"/>
      <c r="AL104" s="1830"/>
      <c r="AM104" s="1830"/>
      <c r="AN104" s="1830"/>
      <c r="AO104" s="1781" t="s">
        <v>139</v>
      </c>
      <c r="AP104" s="1925"/>
      <c r="AQ104" s="1925"/>
      <c r="AR104" s="1925"/>
      <c r="AS104" s="1925"/>
      <c r="AT104" s="1925"/>
      <c r="AU104" s="1925"/>
      <c r="AV104" s="1925"/>
      <c r="AW104" s="1925"/>
      <c r="AX104" s="1925"/>
      <c r="AY104" s="1925"/>
      <c r="AZ104" s="1925"/>
      <c r="BA104" s="1925"/>
      <c r="BB104" s="1925"/>
      <c r="BC104" s="1782"/>
      <c r="BD104" s="1781" t="s">
        <v>140</v>
      </c>
      <c r="BE104" s="1925"/>
      <c r="BF104" s="1925"/>
      <c r="BG104" s="1925"/>
      <c r="BH104" s="1925"/>
      <c r="BI104" s="1925"/>
      <c r="BJ104" s="1925"/>
      <c r="BK104" s="1925"/>
      <c r="BL104" s="1925"/>
      <c r="BM104" s="1782"/>
      <c r="BN104" s="1781" t="s">
        <v>624</v>
      </c>
      <c r="BO104" s="1925"/>
      <c r="BP104" s="1925"/>
      <c r="BQ104" s="1925"/>
      <c r="BR104" s="1925"/>
      <c r="BS104" s="1925"/>
      <c r="BT104" s="1925"/>
      <c r="BU104" s="1925"/>
      <c r="BV104" s="1925"/>
      <c r="BW104" s="1925"/>
      <c r="BX104" s="1925"/>
      <c r="BY104" s="1925"/>
      <c r="BZ104" s="1925"/>
      <c r="CA104" s="1925"/>
      <c r="CB104" s="1782"/>
      <c r="CC104" s="1806" t="s">
        <v>52</v>
      </c>
      <c r="CD104" s="1806"/>
      <c r="CE104" s="1806"/>
      <c r="CF104" s="1806"/>
      <c r="CG104" s="1806"/>
      <c r="CH104" s="1806"/>
    </row>
    <row r="105" spans="1:86" s="1" customFormat="1" ht="80.25" hidden="1" customHeight="1" x14ac:dyDescent="0.25">
      <c r="A105" s="1810"/>
      <c r="B105" s="1810"/>
      <c r="C105" s="1810"/>
      <c r="D105" s="1810"/>
      <c r="E105" s="1830"/>
      <c r="F105" s="1830"/>
      <c r="G105" s="1830"/>
      <c r="H105" s="1830"/>
      <c r="I105" s="1830"/>
      <c r="J105" s="1830"/>
      <c r="K105" s="1830"/>
      <c r="L105" s="1830"/>
      <c r="M105" s="1830"/>
      <c r="N105" s="1830"/>
      <c r="O105" s="1830"/>
      <c r="P105" s="1830"/>
      <c r="Q105" s="1830"/>
      <c r="R105" s="1830"/>
      <c r="S105" s="1830"/>
      <c r="T105" s="1830"/>
      <c r="U105" s="1830"/>
      <c r="V105" s="1830"/>
      <c r="W105" s="1830"/>
      <c r="X105" s="1830"/>
      <c r="Y105" s="1830"/>
      <c r="Z105" s="1830"/>
      <c r="AA105" s="1830"/>
      <c r="AB105" s="1830"/>
      <c r="AC105" s="1830"/>
      <c r="AD105" s="1830"/>
      <c r="AE105" s="1830"/>
      <c r="AF105" s="1830"/>
      <c r="AG105" s="1830"/>
      <c r="AH105" s="1830"/>
      <c r="AI105" s="1830"/>
      <c r="AJ105" s="1830"/>
      <c r="AK105" s="1830"/>
      <c r="AL105" s="1830"/>
      <c r="AM105" s="1830"/>
      <c r="AN105" s="1830"/>
      <c r="AO105" s="1783"/>
      <c r="AP105" s="1926"/>
      <c r="AQ105" s="1926"/>
      <c r="AR105" s="1926"/>
      <c r="AS105" s="1926"/>
      <c r="AT105" s="1926"/>
      <c r="AU105" s="1926"/>
      <c r="AV105" s="1926"/>
      <c r="AW105" s="1926"/>
      <c r="AX105" s="1926"/>
      <c r="AY105" s="1926"/>
      <c r="AZ105" s="1926"/>
      <c r="BA105" s="1926"/>
      <c r="BB105" s="1926"/>
      <c r="BC105" s="1784"/>
      <c r="BD105" s="1783"/>
      <c r="BE105" s="1926"/>
      <c r="BF105" s="1926"/>
      <c r="BG105" s="1926"/>
      <c r="BH105" s="1926"/>
      <c r="BI105" s="1926"/>
      <c r="BJ105" s="1926"/>
      <c r="BK105" s="1926"/>
      <c r="BL105" s="1926"/>
      <c r="BM105" s="1784"/>
      <c r="BN105" s="1783"/>
      <c r="BO105" s="1926"/>
      <c r="BP105" s="1926"/>
      <c r="BQ105" s="1926"/>
      <c r="BR105" s="1926"/>
      <c r="BS105" s="1926"/>
      <c r="BT105" s="1926"/>
      <c r="BU105" s="1926"/>
      <c r="BV105" s="1926"/>
      <c r="BW105" s="1926"/>
      <c r="BX105" s="1926"/>
      <c r="BY105" s="1926"/>
      <c r="BZ105" s="1926"/>
      <c r="CA105" s="1926"/>
      <c r="CB105" s="1784"/>
      <c r="CC105" s="1810" t="s">
        <v>35</v>
      </c>
      <c r="CD105" s="1810"/>
      <c r="CE105" s="1788" t="s">
        <v>45</v>
      </c>
      <c r="CF105" s="1790"/>
      <c r="CG105" s="1789"/>
      <c r="CH105" s="1778" t="s">
        <v>46</v>
      </c>
    </row>
    <row r="106" spans="1:86" s="1" customFormat="1" ht="15.75" hidden="1" x14ac:dyDescent="0.25">
      <c r="A106" s="1810"/>
      <c r="B106" s="1810"/>
      <c r="C106" s="1810"/>
      <c r="D106" s="1810"/>
      <c r="E106" s="1830"/>
      <c r="F106" s="1830"/>
      <c r="G106" s="1830"/>
      <c r="H106" s="1830"/>
      <c r="I106" s="1830"/>
      <c r="J106" s="1830"/>
      <c r="K106" s="1830"/>
      <c r="L106" s="1830"/>
      <c r="M106" s="1830"/>
      <c r="N106" s="1830"/>
      <c r="O106" s="1830"/>
      <c r="P106" s="1830"/>
      <c r="Q106" s="1830"/>
      <c r="R106" s="1830"/>
      <c r="S106" s="1830"/>
      <c r="T106" s="1830"/>
      <c r="U106" s="1830"/>
      <c r="V106" s="1830"/>
      <c r="W106" s="1830"/>
      <c r="X106" s="1830"/>
      <c r="Y106" s="1830"/>
      <c r="Z106" s="1830"/>
      <c r="AA106" s="1830"/>
      <c r="AB106" s="1830"/>
      <c r="AC106" s="1830"/>
      <c r="AD106" s="1830"/>
      <c r="AE106" s="1830"/>
      <c r="AF106" s="1830"/>
      <c r="AG106" s="1830"/>
      <c r="AH106" s="1830"/>
      <c r="AI106" s="1830"/>
      <c r="AJ106" s="1830"/>
      <c r="AK106" s="1830"/>
      <c r="AL106" s="1830"/>
      <c r="AM106" s="1830"/>
      <c r="AN106" s="1830"/>
      <c r="AO106" s="1783"/>
      <c r="AP106" s="1926"/>
      <c r="AQ106" s="1926"/>
      <c r="AR106" s="1926"/>
      <c r="AS106" s="1926"/>
      <c r="AT106" s="1926"/>
      <c r="AU106" s="1926"/>
      <c r="AV106" s="1926"/>
      <c r="AW106" s="1926"/>
      <c r="AX106" s="1926"/>
      <c r="AY106" s="1926"/>
      <c r="AZ106" s="1926"/>
      <c r="BA106" s="1926"/>
      <c r="BB106" s="1926"/>
      <c r="BC106" s="1784"/>
      <c r="BD106" s="1783"/>
      <c r="BE106" s="1926"/>
      <c r="BF106" s="1926"/>
      <c r="BG106" s="1926"/>
      <c r="BH106" s="1926"/>
      <c r="BI106" s="1926"/>
      <c r="BJ106" s="1926"/>
      <c r="BK106" s="1926"/>
      <c r="BL106" s="1926"/>
      <c r="BM106" s="1784"/>
      <c r="BN106" s="1783"/>
      <c r="BO106" s="1926"/>
      <c r="BP106" s="1926"/>
      <c r="BQ106" s="1926"/>
      <c r="BR106" s="1926"/>
      <c r="BS106" s="1926"/>
      <c r="BT106" s="1926"/>
      <c r="BU106" s="1926"/>
      <c r="BV106" s="1926"/>
      <c r="BW106" s="1926"/>
      <c r="BX106" s="1926"/>
      <c r="BY106" s="1926"/>
      <c r="BZ106" s="1926"/>
      <c r="CA106" s="1926"/>
      <c r="CB106" s="1784"/>
      <c r="CC106" s="1811" t="s">
        <v>43</v>
      </c>
      <c r="CD106" s="1811" t="s">
        <v>44</v>
      </c>
      <c r="CE106" s="1812" t="s">
        <v>55</v>
      </c>
      <c r="CF106" s="1811" t="s">
        <v>43</v>
      </c>
      <c r="CG106" s="1811" t="s">
        <v>44</v>
      </c>
      <c r="CH106" s="1779"/>
    </row>
    <row r="107" spans="1:86" s="1" customFormat="1" ht="15.75" hidden="1" x14ac:dyDescent="0.25">
      <c r="A107" s="1810"/>
      <c r="B107" s="1810"/>
      <c r="C107" s="1810"/>
      <c r="D107" s="1810"/>
      <c r="E107" s="1830"/>
      <c r="F107" s="1830"/>
      <c r="G107" s="1830"/>
      <c r="H107" s="1830"/>
      <c r="I107" s="1830"/>
      <c r="J107" s="1830"/>
      <c r="K107" s="1830"/>
      <c r="L107" s="1830"/>
      <c r="M107" s="1830"/>
      <c r="N107" s="1830"/>
      <c r="O107" s="1830"/>
      <c r="P107" s="1830"/>
      <c r="Q107" s="1830"/>
      <c r="R107" s="1830"/>
      <c r="S107" s="1830"/>
      <c r="T107" s="1830"/>
      <c r="U107" s="1830"/>
      <c r="V107" s="1830"/>
      <c r="W107" s="1830"/>
      <c r="X107" s="1830"/>
      <c r="Y107" s="1830"/>
      <c r="Z107" s="1830"/>
      <c r="AA107" s="1830"/>
      <c r="AB107" s="1830"/>
      <c r="AC107" s="1830"/>
      <c r="AD107" s="1830"/>
      <c r="AE107" s="1830"/>
      <c r="AF107" s="1830"/>
      <c r="AG107" s="1830"/>
      <c r="AH107" s="1830"/>
      <c r="AI107" s="1830"/>
      <c r="AJ107" s="1830"/>
      <c r="AK107" s="1830"/>
      <c r="AL107" s="1830"/>
      <c r="AM107" s="1830"/>
      <c r="AN107" s="1830"/>
      <c r="AO107" s="1785"/>
      <c r="AP107" s="1927"/>
      <c r="AQ107" s="1927"/>
      <c r="AR107" s="1927"/>
      <c r="AS107" s="1927"/>
      <c r="AT107" s="1927"/>
      <c r="AU107" s="1927"/>
      <c r="AV107" s="1927"/>
      <c r="AW107" s="1927"/>
      <c r="AX107" s="1927"/>
      <c r="AY107" s="1927"/>
      <c r="AZ107" s="1927"/>
      <c r="BA107" s="1927"/>
      <c r="BB107" s="1927"/>
      <c r="BC107" s="1786"/>
      <c r="BD107" s="1785"/>
      <c r="BE107" s="1927"/>
      <c r="BF107" s="1927"/>
      <c r="BG107" s="1927"/>
      <c r="BH107" s="1927"/>
      <c r="BI107" s="1927"/>
      <c r="BJ107" s="1927"/>
      <c r="BK107" s="1927"/>
      <c r="BL107" s="1927"/>
      <c r="BM107" s="1786"/>
      <c r="BN107" s="1785"/>
      <c r="BO107" s="1927"/>
      <c r="BP107" s="1927"/>
      <c r="BQ107" s="1927"/>
      <c r="BR107" s="1927"/>
      <c r="BS107" s="1927"/>
      <c r="BT107" s="1927"/>
      <c r="BU107" s="1927"/>
      <c r="BV107" s="1927"/>
      <c r="BW107" s="1927"/>
      <c r="BX107" s="1927"/>
      <c r="BY107" s="1927"/>
      <c r="BZ107" s="1927"/>
      <c r="CA107" s="1927"/>
      <c r="CB107" s="1786"/>
      <c r="CC107" s="1811"/>
      <c r="CD107" s="1811"/>
      <c r="CE107" s="1813"/>
      <c r="CF107" s="1811"/>
      <c r="CG107" s="1811"/>
      <c r="CH107" s="1780"/>
    </row>
    <row r="108" spans="1:86" s="1" customFormat="1" ht="15.75" hidden="1" x14ac:dyDescent="0.25">
      <c r="A108" s="1830">
        <v>1</v>
      </c>
      <c r="B108" s="1830"/>
      <c r="C108" s="1830"/>
      <c r="D108" s="1830"/>
      <c r="E108" s="1830">
        <v>2</v>
      </c>
      <c r="F108" s="1830"/>
      <c r="G108" s="1830"/>
      <c r="H108" s="1830"/>
      <c r="I108" s="1830"/>
      <c r="J108" s="1830"/>
      <c r="K108" s="1830"/>
      <c r="L108" s="1830"/>
      <c r="M108" s="1830"/>
      <c r="N108" s="1830"/>
      <c r="O108" s="1830"/>
      <c r="P108" s="1830"/>
      <c r="Q108" s="1830"/>
      <c r="R108" s="1830"/>
      <c r="S108" s="1830"/>
      <c r="T108" s="1830"/>
      <c r="U108" s="1830"/>
      <c r="V108" s="1830"/>
      <c r="W108" s="1830"/>
      <c r="X108" s="1830"/>
      <c r="Y108" s="1830"/>
      <c r="Z108" s="1830"/>
      <c r="AA108" s="1830"/>
      <c r="AB108" s="1830"/>
      <c r="AC108" s="1830"/>
      <c r="AD108" s="1830"/>
      <c r="AE108" s="1830"/>
      <c r="AF108" s="1830"/>
      <c r="AG108" s="1830"/>
      <c r="AH108" s="1830"/>
      <c r="AI108" s="1830"/>
      <c r="AJ108" s="1830"/>
      <c r="AK108" s="1830"/>
      <c r="AL108" s="1830"/>
      <c r="AM108" s="1830"/>
      <c r="AN108" s="1830"/>
      <c r="AO108" s="1830">
        <v>3</v>
      </c>
      <c r="AP108" s="1830"/>
      <c r="AQ108" s="1830"/>
      <c r="AR108" s="1830"/>
      <c r="AS108" s="1830"/>
      <c r="AT108" s="1830"/>
      <c r="AU108" s="1830"/>
      <c r="AV108" s="1830"/>
      <c r="AW108" s="1830"/>
      <c r="AX108" s="1830"/>
      <c r="AY108" s="1830"/>
      <c r="AZ108" s="1830"/>
      <c r="BA108" s="1830"/>
      <c r="BB108" s="1830"/>
      <c r="BC108" s="1830"/>
      <c r="BD108" s="1830">
        <v>4</v>
      </c>
      <c r="BE108" s="1830"/>
      <c r="BF108" s="1830"/>
      <c r="BG108" s="1830"/>
      <c r="BH108" s="1830"/>
      <c r="BI108" s="1830"/>
      <c r="BJ108" s="1830"/>
      <c r="BK108" s="1830"/>
      <c r="BL108" s="1830"/>
      <c r="BM108" s="1830"/>
      <c r="BN108" s="1830" t="s">
        <v>49</v>
      </c>
      <c r="BO108" s="1830"/>
      <c r="BP108" s="1830"/>
      <c r="BQ108" s="1830"/>
      <c r="BR108" s="1830"/>
      <c r="BS108" s="1830"/>
      <c r="BT108" s="1830"/>
      <c r="BU108" s="1830"/>
      <c r="BV108" s="1830"/>
      <c r="BW108" s="1830"/>
      <c r="BX108" s="1830"/>
      <c r="BY108" s="1830"/>
      <c r="BZ108" s="1830"/>
      <c r="CA108" s="1830"/>
      <c r="CB108" s="1830"/>
      <c r="CC108" s="15">
        <v>6</v>
      </c>
      <c r="CD108" s="15">
        <v>7</v>
      </c>
      <c r="CE108" s="15">
        <v>8</v>
      </c>
      <c r="CF108" s="15">
        <v>9</v>
      </c>
      <c r="CG108" s="15">
        <v>10</v>
      </c>
      <c r="CH108" s="15">
        <v>11</v>
      </c>
    </row>
    <row r="110" spans="1:86" ht="15.75" x14ac:dyDescent="0.25">
      <c r="A110" s="19" t="s">
        <v>60</v>
      </c>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row>
    <row r="111" spans="1:86"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7"/>
      <c r="CD111" s="7"/>
      <c r="CE111" s="7"/>
      <c r="CF111" s="7"/>
      <c r="CG111" s="7"/>
      <c r="CH111" s="7"/>
    </row>
    <row r="112" spans="1:86" ht="12.75" customHeight="1" x14ac:dyDescent="0.2">
      <c r="A112" s="1781" t="s">
        <v>38</v>
      </c>
      <c r="B112" s="1925"/>
      <c r="C112" s="1925"/>
      <c r="D112" s="1782"/>
      <c r="E112" s="1818" t="s">
        <v>4</v>
      </c>
      <c r="F112" s="1819"/>
      <c r="G112" s="1819"/>
      <c r="H112" s="1819"/>
      <c r="I112" s="1819"/>
      <c r="J112" s="1819"/>
      <c r="K112" s="1819"/>
      <c r="L112" s="1819"/>
      <c r="M112" s="1819"/>
      <c r="N112" s="1819"/>
      <c r="O112" s="1819"/>
      <c r="P112" s="1819"/>
      <c r="Q112" s="1819"/>
      <c r="R112" s="1819"/>
      <c r="S112" s="1819"/>
      <c r="T112" s="1819"/>
      <c r="U112" s="1819"/>
      <c r="V112" s="1819"/>
      <c r="W112" s="1819"/>
      <c r="X112" s="1819"/>
      <c r="Y112" s="1819"/>
      <c r="Z112" s="1819"/>
      <c r="AA112" s="1819"/>
      <c r="AB112" s="1819"/>
      <c r="AC112" s="1819"/>
      <c r="AD112" s="1819"/>
      <c r="AE112" s="1819"/>
      <c r="AF112" s="1819"/>
      <c r="AG112" s="1819"/>
      <c r="AH112" s="1819"/>
      <c r="AI112" s="1819"/>
      <c r="AJ112" s="1819"/>
      <c r="AK112" s="1819"/>
      <c r="AL112" s="1819"/>
      <c r="AM112" s="1819"/>
      <c r="AN112" s="1819"/>
      <c r="AO112" s="1819"/>
      <c r="AP112" s="1819"/>
      <c r="AQ112" s="1819"/>
      <c r="AR112" s="1820"/>
      <c r="AS112" s="1818" t="s">
        <v>5</v>
      </c>
      <c r="AT112" s="1819"/>
      <c r="AU112" s="1819"/>
      <c r="AV112" s="1819"/>
      <c r="AW112" s="1819"/>
      <c r="AX112" s="1819"/>
      <c r="AY112" s="1819"/>
      <c r="AZ112" s="1819"/>
      <c r="BA112" s="1819"/>
      <c r="BB112" s="1820"/>
      <c r="BC112" s="1781" t="s">
        <v>758</v>
      </c>
      <c r="BD112" s="1925"/>
      <c r="BE112" s="1925"/>
      <c r="BF112" s="1925"/>
      <c r="BG112" s="1925"/>
      <c r="BH112" s="1925"/>
      <c r="BI112" s="1925"/>
      <c r="BJ112" s="1925"/>
      <c r="BK112" s="1925"/>
      <c r="BL112" s="1925"/>
      <c r="BM112" s="1782"/>
      <c r="BN112" s="1818" t="s">
        <v>6</v>
      </c>
      <c r="BO112" s="1819"/>
      <c r="BP112" s="1819"/>
      <c r="BQ112" s="1819"/>
      <c r="BR112" s="1819"/>
      <c r="BS112" s="1819"/>
      <c r="BT112" s="1819"/>
      <c r="BU112" s="1819"/>
      <c r="BV112" s="1819"/>
      <c r="BW112" s="1819"/>
      <c r="BX112" s="1819"/>
      <c r="BY112" s="1819"/>
      <c r="BZ112" s="1819"/>
      <c r="CA112" s="1819"/>
      <c r="CB112" s="1820"/>
      <c r="CC112" s="1797" t="s">
        <v>52</v>
      </c>
      <c r="CD112" s="1798"/>
      <c r="CE112" s="1798"/>
      <c r="CF112" s="1798"/>
      <c r="CG112" s="1798"/>
      <c r="CH112" s="1799"/>
    </row>
    <row r="113" spans="1:96" ht="65.25" customHeight="1" x14ac:dyDescent="0.2">
      <c r="A113" s="1783"/>
      <c r="B113" s="1926"/>
      <c r="C113" s="1926"/>
      <c r="D113" s="1784"/>
      <c r="E113" s="1807"/>
      <c r="F113" s="1808"/>
      <c r="G113" s="1808"/>
      <c r="H113" s="1808"/>
      <c r="I113" s="1808"/>
      <c r="J113" s="1808"/>
      <c r="K113" s="1808"/>
      <c r="L113" s="1808"/>
      <c r="M113" s="1808"/>
      <c r="N113" s="1808"/>
      <c r="O113" s="1808"/>
      <c r="P113" s="1808"/>
      <c r="Q113" s="1808"/>
      <c r="R113" s="1808"/>
      <c r="S113" s="1808"/>
      <c r="T113" s="1808"/>
      <c r="U113" s="1808"/>
      <c r="V113" s="1808"/>
      <c r="W113" s="1808"/>
      <c r="X113" s="1808"/>
      <c r="Y113" s="1808"/>
      <c r="Z113" s="1808"/>
      <c r="AA113" s="1808"/>
      <c r="AB113" s="1808"/>
      <c r="AC113" s="1808"/>
      <c r="AD113" s="1808"/>
      <c r="AE113" s="1808"/>
      <c r="AF113" s="1808"/>
      <c r="AG113" s="1808"/>
      <c r="AH113" s="1808"/>
      <c r="AI113" s="1808"/>
      <c r="AJ113" s="1808"/>
      <c r="AK113" s="1808"/>
      <c r="AL113" s="1808"/>
      <c r="AM113" s="1808"/>
      <c r="AN113" s="1808"/>
      <c r="AO113" s="1808"/>
      <c r="AP113" s="1808"/>
      <c r="AQ113" s="1808"/>
      <c r="AR113" s="1809"/>
      <c r="AS113" s="1807"/>
      <c r="AT113" s="1808"/>
      <c r="AU113" s="1808"/>
      <c r="AV113" s="1808"/>
      <c r="AW113" s="1808"/>
      <c r="AX113" s="1808"/>
      <c r="AY113" s="1808"/>
      <c r="AZ113" s="1808"/>
      <c r="BA113" s="1808"/>
      <c r="BB113" s="1809"/>
      <c r="BC113" s="1783"/>
      <c r="BD113" s="1926"/>
      <c r="BE113" s="1926"/>
      <c r="BF113" s="1926"/>
      <c r="BG113" s="1926"/>
      <c r="BH113" s="1926"/>
      <c r="BI113" s="1926"/>
      <c r="BJ113" s="1926"/>
      <c r="BK113" s="1926"/>
      <c r="BL113" s="1926"/>
      <c r="BM113" s="1784"/>
      <c r="BN113" s="1807"/>
      <c r="BO113" s="1808"/>
      <c r="BP113" s="1808"/>
      <c r="BQ113" s="1808"/>
      <c r="BR113" s="1808"/>
      <c r="BS113" s="1808"/>
      <c r="BT113" s="1808"/>
      <c r="BU113" s="1808"/>
      <c r="BV113" s="1808"/>
      <c r="BW113" s="1808"/>
      <c r="BX113" s="1808"/>
      <c r="BY113" s="1808"/>
      <c r="BZ113" s="1808"/>
      <c r="CA113" s="1808"/>
      <c r="CB113" s="1809"/>
      <c r="CC113" s="1788" t="s">
        <v>35</v>
      </c>
      <c r="CD113" s="1789"/>
      <c r="CE113" s="1788" t="s">
        <v>45</v>
      </c>
      <c r="CF113" s="1790"/>
      <c r="CG113" s="1789"/>
      <c r="CH113" s="1778" t="s">
        <v>46</v>
      </c>
    </row>
    <row r="114" spans="1:96" ht="12.75" customHeight="1" x14ac:dyDescent="0.2">
      <c r="A114" s="1783"/>
      <c r="B114" s="1926"/>
      <c r="C114" s="1926"/>
      <c r="D114" s="1784"/>
      <c r="E114" s="1807"/>
      <c r="F114" s="1808"/>
      <c r="G114" s="1808"/>
      <c r="H114" s="1808"/>
      <c r="I114" s="1808"/>
      <c r="J114" s="1808"/>
      <c r="K114" s="1808"/>
      <c r="L114" s="1808"/>
      <c r="M114" s="1808"/>
      <c r="N114" s="1808"/>
      <c r="O114" s="1808"/>
      <c r="P114" s="1808"/>
      <c r="Q114" s="1808"/>
      <c r="R114" s="1808"/>
      <c r="S114" s="1808"/>
      <c r="T114" s="1808"/>
      <c r="U114" s="1808"/>
      <c r="V114" s="1808"/>
      <c r="W114" s="1808"/>
      <c r="X114" s="1808"/>
      <c r="Y114" s="1808"/>
      <c r="Z114" s="1808"/>
      <c r="AA114" s="1808"/>
      <c r="AB114" s="1808"/>
      <c r="AC114" s="1808"/>
      <c r="AD114" s="1808"/>
      <c r="AE114" s="1808"/>
      <c r="AF114" s="1808"/>
      <c r="AG114" s="1808"/>
      <c r="AH114" s="1808"/>
      <c r="AI114" s="1808"/>
      <c r="AJ114" s="1808"/>
      <c r="AK114" s="1808"/>
      <c r="AL114" s="1808"/>
      <c r="AM114" s="1808"/>
      <c r="AN114" s="1808"/>
      <c r="AO114" s="1808"/>
      <c r="AP114" s="1808"/>
      <c r="AQ114" s="1808"/>
      <c r="AR114" s="1809"/>
      <c r="AS114" s="1807"/>
      <c r="AT114" s="1808"/>
      <c r="AU114" s="1808"/>
      <c r="AV114" s="1808"/>
      <c r="AW114" s="1808"/>
      <c r="AX114" s="1808"/>
      <c r="AY114" s="1808"/>
      <c r="AZ114" s="1808"/>
      <c r="BA114" s="1808"/>
      <c r="BB114" s="1809"/>
      <c r="BC114" s="1783"/>
      <c r="BD114" s="1926"/>
      <c r="BE114" s="1926"/>
      <c r="BF114" s="1926"/>
      <c r="BG114" s="1926"/>
      <c r="BH114" s="1926"/>
      <c r="BI114" s="1926"/>
      <c r="BJ114" s="1926"/>
      <c r="BK114" s="1926"/>
      <c r="BL114" s="1926"/>
      <c r="BM114" s="1784"/>
      <c r="BN114" s="1807"/>
      <c r="BO114" s="1808"/>
      <c r="BP114" s="1808"/>
      <c r="BQ114" s="1808"/>
      <c r="BR114" s="1808"/>
      <c r="BS114" s="1808"/>
      <c r="BT114" s="1808"/>
      <c r="BU114" s="1808"/>
      <c r="BV114" s="1808"/>
      <c r="BW114" s="1808"/>
      <c r="BX114" s="1808"/>
      <c r="BY114" s="1808"/>
      <c r="BZ114" s="1808"/>
      <c r="CA114" s="1808"/>
      <c r="CB114" s="1809"/>
      <c r="CC114" s="1812" t="s">
        <v>43</v>
      </c>
      <c r="CD114" s="1812" t="s">
        <v>44</v>
      </c>
      <c r="CE114" s="1812" t="s">
        <v>55</v>
      </c>
      <c r="CF114" s="1812" t="s">
        <v>43</v>
      </c>
      <c r="CG114" s="1812" t="s">
        <v>44</v>
      </c>
      <c r="CH114" s="1779"/>
    </row>
    <row r="115" spans="1:96" x14ac:dyDescent="0.2">
      <c r="A115" s="1785"/>
      <c r="B115" s="1927"/>
      <c r="C115" s="1927"/>
      <c r="D115" s="1786"/>
      <c r="E115" s="1814"/>
      <c r="F115" s="1815"/>
      <c r="G115" s="1815"/>
      <c r="H115" s="1815"/>
      <c r="I115" s="1815"/>
      <c r="J115" s="1815"/>
      <c r="K115" s="1815"/>
      <c r="L115" s="1815"/>
      <c r="M115" s="1815"/>
      <c r="N115" s="1815"/>
      <c r="O115" s="1815"/>
      <c r="P115" s="1815"/>
      <c r="Q115" s="1815"/>
      <c r="R115" s="1815"/>
      <c r="S115" s="1815"/>
      <c r="T115" s="1815"/>
      <c r="U115" s="1815"/>
      <c r="V115" s="1815"/>
      <c r="W115" s="1815"/>
      <c r="X115" s="1815"/>
      <c r="Y115" s="1815"/>
      <c r="Z115" s="1815"/>
      <c r="AA115" s="1815"/>
      <c r="AB115" s="1815"/>
      <c r="AC115" s="1815"/>
      <c r="AD115" s="1815"/>
      <c r="AE115" s="1815"/>
      <c r="AF115" s="1815"/>
      <c r="AG115" s="1815"/>
      <c r="AH115" s="1815"/>
      <c r="AI115" s="1815"/>
      <c r="AJ115" s="1815"/>
      <c r="AK115" s="1815"/>
      <c r="AL115" s="1815"/>
      <c r="AM115" s="1815"/>
      <c r="AN115" s="1815"/>
      <c r="AO115" s="1815"/>
      <c r="AP115" s="1815"/>
      <c r="AQ115" s="1815"/>
      <c r="AR115" s="1816"/>
      <c r="AS115" s="1814"/>
      <c r="AT115" s="1815"/>
      <c r="AU115" s="1815"/>
      <c r="AV115" s="1815"/>
      <c r="AW115" s="1815"/>
      <c r="AX115" s="1815"/>
      <c r="AY115" s="1815"/>
      <c r="AZ115" s="1815"/>
      <c r="BA115" s="1815"/>
      <c r="BB115" s="1816"/>
      <c r="BC115" s="1785"/>
      <c r="BD115" s="1927"/>
      <c r="BE115" s="1927"/>
      <c r="BF115" s="1927"/>
      <c r="BG115" s="1927"/>
      <c r="BH115" s="1927"/>
      <c r="BI115" s="1927"/>
      <c r="BJ115" s="1927"/>
      <c r="BK115" s="1927"/>
      <c r="BL115" s="1927"/>
      <c r="BM115" s="1786"/>
      <c r="BN115" s="1814"/>
      <c r="BO115" s="1815"/>
      <c r="BP115" s="1815"/>
      <c r="BQ115" s="1815"/>
      <c r="BR115" s="1815"/>
      <c r="BS115" s="1815"/>
      <c r="BT115" s="1815"/>
      <c r="BU115" s="1815"/>
      <c r="BV115" s="1815"/>
      <c r="BW115" s="1815"/>
      <c r="BX115" s="1815"/>
      <c r="BY115" s="1815"/>
      <c r="BZ115" s="1815"/>
      <c r="CA115" s="1815"/>
      <c r="CB115" s="1816"/>
      <c r="CC115" s="1813"/>
      <c r="CD115" s="1813"/>
      <c r="CE115" s="1813"/>
      <c r="CF115" s="1813"/>
      <c r="CG115" s="1813"/>
      <c r="CH115" s="1780"/>
      <c r="CR115" s="142">
        <f>CD46+CG46+CH46+CC92+CD92+CG92+CH92+CD101+CH101+CD117+CH117</f>
        <v>386691.59999999992</v>
      </c>
    </row>
    <row r="116" spans="1:96" x14ac:dyDescent="0.2">
      <c r="A116" s="1770">
        <v>1</v>
      </c>
      <c r="B116" s="1787"/>
      <c r="C116" s="1787"/>
      <c r="D116" s="1771"/>
      <c r="E116" s="1770">
        <v>2</v>
      </c>
      <c r="F116" s="1787"/>
      <c r="G116" s="1787"/>
      <c r="H116" s="1787"/>
      <c r="I116" s="1787"/>
      <c r="J116" s="1787"/>
      <c r="K116" s="1787"/>
      <c r="L116" s="1787"/>
      <c r="M116" s="1787"/>
      <c r="N116" s="1787"/>
      <c r="O116" s="1787"/>
      <c r="P116" s="1787"/>
      <c r="Q116" s="1787"/>
      <c r="R116" s="1787"/>
      <c r="S116" s="1787"/>
      <c r="T116" s="1787"/>
      <c r="U116" s="1787"/>
      <c r="V116" s="1787"/>
      <c r="W116" s="1787"/>
      <c r="X116" s="1787"/>
      <c r="Y116" s="1787"/>
      <c r="Z116" s="1787"/>
      <c r="AA116" s="1787"/>
      <c r="AB116" s="1787"/>
      <c r="AC116" s="1787"/>
      <c r="AD116" s="1787"/>
      <c r="AE116" s="1787"/>
      <c r="AF116" s="1787"/>
      <c r="AG116" s="1787"/>
      <c r="AH116" s="1787"/>
      <c r="AI116" s="1787"/>
      <c r="AJ116" s="1787"/>
      <c r="AK116" s="1787"/>
      <c r="AL116" s="1787"/>
      <c r="AM116" s="1787"/>
      <c r="AN116" s="1787"/>
      <c r="AO116" s="1787"/>
      <c r="AP116" s="1787"/>
      <c r="AQ116" s="1787"/>
      <c r="AR116" s="1771"/>
      <c r="AS116" s="1770">
        <v>3</v>
      </c>
      <c r="AT116" s="1787"/>
      <c r="AU116" s="1787"/>
      <c r="AV116" s="1787"/>
      <c r="AW116" s="1787"/>
      <c r="AX116" s="1787"/>
      <c r="AY116" s="1787"/>
      <c r="AZ116" s="1787"/>
      <c r="BA116" s="1787"/>
      <c r="BB116" s="1771"/>
      <c r="BC116" s="1770">
        <v>4</v>
      </c>
      <c r="BD116" s="1787"/>
      <c r="BE116" s="1787"/>
      <c r="BF116" s="1787"/>
      <c r="BG116" s="1787"/>
      <c r="BH116" s="1787"/>
      <c r="BI116" s="1787"/>
      <c r="BJ116" s="1787"/>
      <c r="BK116" s="1787"/>
      <c r="BL116" s="1787"/>
      <c r="BM116" s="1771"/>
      <c r="BN116" s="1770" t="s">
        <v>49</v>
      </c>
      <c r="BO116" s="1787"/>
      <c r="BP116" s="1787"/>
      <c r="BQ116" s="1787"/>
      <c r="BR116" s="1787"/>
      <c r="BS116" s="1787"/>
      <c r="BT116" s="1787"/>
      <c r="BU116" s="1787"/>
      <c r="BV116" s="1787"/>
      <c r="BW116" s="1787"/>
      <c r="BX116" s="1787"/>
      <c r="BY116" s="1787"/>
      <c r="BZ116" s="1787"/>
      <c r="CA116" s="1787"/>
      <c r="CB116" s="1771"/>
      <c r="CC116" s="15">
        <v>6</v>
      </c>
      <c r="CD116" s="15">
        <v>7</v>
      </c>
      <c r="CE116" s="15">
        <v>8</v>
      </c>
      <c r="CF116" s="15">
        <v>9</v>
      </c>
      <c r="CG116" s="15">
        <v>10</v>
      </c>
      <c r="CH116" s="15">
        <v>11</v>
      </c>
      <c r="CR116" s="142">
        <f>CR115+CD118+CH118</f>
        <v>392528.54999999993</v>
      </c>
    </row>
    <row r="117" spans="1:96" s="234" customFormat="1" ht="21.75" customHeight="1" x14ac:dyDescent="0.2">
      <c r="A117" s="1810">
        <v>1</v>
      </c>
      <c r="B117" s="1810"/>
      <c r="C117" s="1810"/>
      <c r="D117" s="1810"/>
      <c r="E117" s="2082" t="s">
        <v>668</v>
      </c>
      <c r="F117" s="2082"/>
      <c r="G117" s="2082"/>
      <c r="H117" s="2082"/>
      <c r="I117" s="2082"/>
      <c r="J117" s="2082"/>
      <c r="K117" s="2082"/>
      <c r="L117" s="2082"/>
      <c r="M117" s="2082"/>
      <c r="N117" s="2082"/>
      <c r="O117" s="2082"/>
      <c r="P117" s="2082"/>
      <c r="Q117" s="2082"/>
      <c r="R117" s="2082"/>
      <c r="S117" s="2082"/>
      <c r="T117" s="2082"/>
      <c r="U117" s="2082"/>
      <c r="V117" s="2082"/>
      <c r="W117" s="2082"/>
      <c r="X117" s="2082"/>
      <c r="Y117" s="2082"/>
      <c r="Z117" s="2082"/>
      <c r="AA117" s="2082"/>
      <c r="AB117" s="2082"/>
      <c r="AC117" s="2082"/>
      <c r="AD117" s="2082"/>
      <c r="AE117" s="2082"/>
      <c r="AF117" s="2082"/>
      <c r="AG117" s="2082"/>
      <c r="AH117" s="2082"/>
      <c r="AI117" s="2082"/>
      <c r="AJ117" s="2082"/>
      <c r="AK117" s="2082"/>
      <c r="AL117" s="2082"/>
      <c r="AM117" s="2082"/>
      <c r="AN117" s="2082"/>
      <c r="AO117" s="2082"/>
      <c r="AP117" s="2082"/>
      <c r="AQ117" s="2082"/>
      <c r="AR117" s="2082"/>
      <c r="AS117" s="2090">
        <v>40</v>
      </c>
      <c r="AT117" s="2090"/>
      <c r="AU117" s="2090"/>
      <c r="AV117" s="2090"/>
      <c r="AW117" s="2090"/>
      <c r="AX117" s="2090"/>
      <c r="AY117" s="2090"/>
      <c r="AZ117" s="2090"/>
      <c r="BA117" s="2090"/>
      <c r="BB117" s="2090"/>
      <c r="BC117" s="2091">
        <f>BN117/AS117</f>
        <v>426.4294999999999</v>
      </c>
      <c r="BD117" s="2091"/>
      <c r="BE117" s="2091"/>
      <c r="BF117" s="2091"/>
      <c r="BG117" s="2091"/>
      <c r="BH117" s="2091"/>
      <c r="BI117" s="2091"/>
      <c r="BJ117" s="2091"/>
      <c r="BK117" s="2091"/>
      <c r="BL117" s="2091"/>
      <c r="BM117" s="2091"/>
      <c r="BN117" s="2091">
        <f>CD117+CH117</f>
        <v>17057.179999999997</v>
      </c>
      <c r="BO117" s="2091"/>
      <c r="BP117" s="2091"/>
      <c r="BQ117" s="2091"/>
      <c r="BR117" s="2091"/>
      <c r="BS117" s="2091"/>
      <c r="BT117" s="2091"/>
      <c r="BU117" s="2091"/>
      <c r="BV117" s="2091"/>
      <c r="BW117" s="2091"/>
      <c r="BX117" s="2091"/>
      <c r="BY117" s="2091"/>
      <c r="BZ117" s="2091"/>
      <c r="CA117" s="2091"/>
      <c r="CB117" s="2091"/>
      <c r="CC117" s="233"/>
      <c r="CD117" s="233">
        <f>8882.97+6766.2</f>
        <v>15649.169999999998</v>
      </c>
      <c r="CE117" s="823"/>
      <c r="CF117" s="233"/>
      <c r="CG117" s="233"/>
      <c r="CH117" s="233">
        <v>1408.01</v>
      </c>
      <c r="CR117" s="1059">
        <f>BN46+BN92+BN101+BN126</f>
        <v>392528.54999999993</v>
      </c>
    </row>
    <row r="118" spans="1:96" s="234" customFormat="1" ht="21.75" customHeight="1" x14ac:dyDescent="0.2">
      <c r="A118" s="1810">
        <v>2</v>
      </c>
      <c r="B118" s="1810"/>
      <c r="C118" s="1810"/>
      <c r="D118" s="1810"/>
      <c r="E118" s="2082" t="s">
        <v>669</v>
      </c>
      <c r="F118" s="2082"/>
      <c r="G118" s="2082"/>
      <c r="H118" s="2082"/>
      <c r="I118" s="2082"/>
      <c r="J118" s="2082"/>
      <c r="K118" s="2082"/>
      <c r="L118" s="2082"/>
      <c r="M118" s="2082"/>
      <c r="N118" s="2082"/>
      <c r="O118" s="2082"/>
      <c r="P118" s="2082"/>
      <c r="Q118" s="2082"/>
      <c r="R118" s="2082"/>
      <c r="S118" s="2082"/>
      <c r="T118" s="2082"/>
      <c r="U118" s="2082"/>
      <c r="V118" s="2082"/>
      <c r="W118" s="2082"/>
      <c r="X118" s="2082"/>
      <c r="Y118" s="2082"/>
      <c r="Z118" s="2082"/>
      <c r="AA118" s="2082"/>
      <c r="AB118" s="2082"/>
      <c r="AC118" s="2082"/>
      <c r="AD118" s="2082"/>
      <c r="AE118" s="2082"/>
      <c r="AF118" s="2082"/>
      <c r="AG118" s="2082"/>
      <c r="AH118" s="2082"/>
      <c r="AI118" s="2082"/>
      <c r="AJ118" s="2082"/>
      <c r="AK118" s="2082"/>
      <c r="AL118" s="2082"/>
      <c r="AM118" s="2082"/>
      <c r="AN118" s="2082"/>
      <c r="AO118" s="2082"/>
      <c r="AP118" s="2082"/>
      <c r="AQ118" s="2082"/>
      <c r="AR118" s="2082"/>
      <c r="AS118" s="2090">
        <v>40</v>
      </c>
      <c r="AT118" s="2090"/>
      <c r="AU118" s="2090"/>
      <c r="AV118" s="2090"/>
      <c r="AW118" s="2090"/>
      <c r="AX118" s="2090"/>
      <c r="AY118" s="2090"/>
      <c r="AZ118" s="2090"/>
      <c r="BA118" s="2090"/>
      <c r="BB118" s="2090"/>
      <c r="BC118" s="2091">
        <f>BN118/AS118</f>
        <v>145.92374999999998</v>
      </c>
      <c r="BD118" s="2091"/>
      <c r="BE118" s="2091"/>
      <c r="BF118" s="2091"/>
      <c r="BG118" s="2091"/>
      <c r="BH118" s="2091"/>
      <c r="BI118" s="2091"/>
      <c r="BJ118" s="2091"/>
      <c r="BK118" s="2091"/>
      <c r="BL118" s="2091"/>
      <c r="BM118" s="2091"/>
      <c r="BN118" s="2091">
        <f>CD118+CH118+CC118</f>
        <v>5836.95</v>
      </c>
      <c r="BO118" s="2091"/>
      <c r="BP118" s="2091"/>
      <c r="BQ118" s="2091"/>
      <c r="BR118" s="2091"/>
      <c r="BS118" s="2091"/>
      <c r="BT118" s="2091"/>
      <c r="BU118" s="2091"/>
      <c r="BV118" s="2091"/>
      <c r="BW118" s="2091"/>
      <c r="BX118" s="2091"/>
      <c r="BY118" s="2091"/>
      <c r="BZ118" s="2091"/>
      <c r="CA118" s="2091"/>
      <c r="CB118" s="2091"/>
      <c r="CC118" s="233"/>
      <c r="CD118" s="233">
        <f>3744.05+1426.95</f>
        <v>5171</v>
      </c>
      <c r="CE118" s="233"/>
      <c r="CF118" s="233"/>
      <c r="CG118" s="233"/>
      <c r="CH118" s="233">
        <v>665.95</v>
      </c>
    </row>
    <row r="119" spans="1:96" s="234" customFormat="1" hidden="1" x14ac:dyDescent="0.2">
      <c r="A119" s="1810">
        <v>6</v>
      </c>
      <c r="B119" s="1810"/>
      <c r="C119" s="1810"/>
      <c r="D119" s="1810"/>
      <c r="E119" s="2082"/>
      <c r="F119" s="2082"/>
      <c r="G119" s="2082"/>
      <c r="H119" s="2082"/>
      <c r="I119" s="2082"/>
      <c r="J119" s="2082"/>
      <c r="K119" s="2082"/>
      <c r="L119" s="2082"/>
      <c r="M119" s="2082"/>
      <c r="N119" s="2082"/>
      <c r="O119" s="2082"/>
      <c r="P119" s="2082"/>
      <c r="Q119" s="2082"/>
      <c r="R119" s="2082"/>
      <c r="S119" s="2082"/>
      <c r="T119" s="2082"/>
      <c r="U119" s="2082"/>
      <c r="V119" s="2082"/>
      <c r="W119" s="2082"/>
      <c r="X119" s="2082"/>
      <c r="Y119" s="2082"/>
      <c r="Z119" s="2082"/>
      <c r="AA119" s="2082"/>
      <c r="AB119" s="2082"/>
      <c r="AC119" s="2082"/>
      <c r="AD119" s="2082"/>
      <c r="AE119" s="2082"/>
      <c r="AF119" s="2082"/>
      <c r="AG119" s="2082"/>
      <c r="AH119" s="2082"/>
      <c r="AI119" s="2082"/>
      <c r="AJ119" s="2082"/>
      <c r="AK119" s="2082"/>
      <c r="AL119" s="2082"/>
      <c r="AM119" s="2082"/>
      <c r="AN119" s="2082"/>
      <c r="AO119" s="2082"/>
      <c r="AP119" s="2082"/>
      <c r="AQ119" s="2082"/>
      <c r="AR119" s="2082"/>
      <c r="AS119" s="2090"/>
      <c r="AT119" s="2090"/>
      <c r="AU119" s="2090"/>
      <c r="AV119" s="2090"/>
      <c r="AW119" s="2090"/>
      <c r="AX119" s="2090"/>
      <c r="AY119" s="2090"/>
      <c r="AZ119" s="2090"/>
      <c r="BA119" s="2090"/>
      <c r="BB119" s="2090"/>
      <c r="BC119" s="2091"/>
      <c r="BD119" s="2091"/>
      <c r="BE119" s="2091"/>
      <c r="BF119" s="2091"/>
      <c r="BG119" s="2091"/>
      <c r="BH119" s="2091"/>
      <c r="BI119" s="2091"/>
      <c r="BJ119" s="2091"/>
      <c r="BK119" s="2091"/>
      <c r="BL119" s="2091"/>
      <c r="BM119" s="2091"/>
      <c r="BN119" s="2091"/>
      <c r="BO119" s="2091"/>
      <c r="BP119" s="2091"/>
      <c r="BQ119" s="2091"/>
      <c r="BR119" s="2091"/>
      <c r="BS119" s="2091"/>
      <c r="BT119" s="2091"/>
      <c r="BU119" s="2091"/>
      <c r="BV119" s="2091"/>
      <c r="BW119" s="2091"/>
      <c r="BX119" s="2091"/>
      <c r="BY119" s="2091"/>
      <c r="BZ119" s="2091"/>
      <c r="CA119" s="2091"/>
      <c r="CB119" s="2091"/>
      <c r="CC119" s="233"/>
      <c r="CD119" s="233"/>
      <c r="CE119" s="233"/>
      <c r="CF119" s="233"/>
      <c r="CG119" s="233"/>
      <c r="CH119" s="233"/>
    </row>
    <row r="120" spans="1:96" s="234" customFormat="1" hidden="1" x14ac:dyDescent="0.2">
      <c r="A120" s="1810">
        <v>7</v>
      </c>
      <c r="B120" s="1810"/>
      <c r="C120" s="1810"/>
      <c r="D120" s="1810"/>
      <c r="E120" s="2082"/>
      <c r="F120" s="2082"/>
      <c r="G120" s="2082"/>
      <c r="H120" s="2082"/>
      <c r="I120" s="2082"/>
      <c r="J120" s="2082"/>
      <c r="K120" s="2082"/>
      <c r="L120" s="2082"/>
      <c r="M120" s="2082"/>
      <c r="N120" s="2082"/>
      <c r="O120" s="2082"/>
      <c r="P120" s="2082"/>
      <c r="Q120" s="2082"/>
      <c r="R120" s="2082"/>
      <c r="S120" s="2082"/>
      <c r="T120" s="2082"/>
      <c r="U120" s="2082"/>
      <c r="V120" s="2082"/>
      <c r="W120" s="2082"/>
      <c r="X120" s="2082"/>
      <c r="Y120" s="2082"/>
      <c r="Z120" s="2082"/>
      <c r="AA120" s="2082"/>
      <c r="AB120" s="2082"/>
      <c r="AC120" s="2082"/>
      <c r="AD120" s="2082"/>
      <c r="AE120" s="2082"/>
      <c r="AF120" s="2082"/>
      <c r="AG120" s="2082"/>
      <c r="AH120" s="2082"/>
      <c r="AI120" s="2082"/>
      <c r="AJ120" s="2082"/>
      <c r="AK120" s="2082"/>
      <c r="AL120" s="2082"/>
      <c r="AM120" s="2082"/>
      <c r="AN120" s="2082"/>
      <c r="AO120" s="2082"/>
      <c r="AP120" s="2082"/>
      <c r="AQ120" s="2082"/>
      <c r="AR120" s="2082"/>
      <c r="AS120" s="2090"/>
      <c r="AT120" s="2090"/>
      <c r="AU120" s="2090"/>
      <c r="AV120" s="2090"/>
      <c r="AW120" s="2090"/>
      <c r="AX120" s="2090"/>
      <c r="AY120" s="2090"/>
      <c r="AZ120" s="2090"/>
      <c r="BA120" s="2090"/>
      <c r="BB120" s="2090"/>
      <c r="BC120" s="2091"/>
      <c r="BD120" s="2091"/>
      <c r="BE120" s="2091"/>
      <c r="BF120" s="2091"/>
      <c r="BG120" s="2091"/>
      <c r="BH120" s="2091"/>
      <c r="BI120" s="2091"/>
      <c r="BJ120" s="2091"/>
      <c r="BK120" s="2091"/>
      <c r="BL120" s="2091"/>
      <c r="BM120" s="2091"/>
      <c r="BN120" s="2091"/>
      <c r="BO120" s="2091"/>
      <c r="BP120" s="2091"/>
      <c r="BQ120" s="2091"/>
      <c r="BR120" s="2091"/>
      <c r="BS120" s="2091"/>
      <c r="BT120" s="2091"/>
      <c r="BU120" s="2091"/>
      <c r="BV120" s="2091"/>
      <c r="BW120" s="2091"/>
      <c r="BX120" s="2091"/>
      <c r="BY120" s="2091"/>
      <c r="BZ120" s="2091"/>
      <c r="CA120" s="2091"/>
      <c r="CB120" s="2091"/>
      <c r="CC120" s="233"/>
      <c r="CD120" s="233"/>
      <c r="CE120" s="233"/>
      <c r="CF120" s="233"/>
      <c r="CG120" s="233"/>
      <c r="CH120" s="233"/>
    </row>
    <row r="121" spans="1:96" s="234" customFormat="1" hidden="1" x14ac:dyDescent="0.2">
      <c r="A121" s="1810">
        <v>8</v>
      </c>
      <c r="B121" s="1810"/>
      <c r="C121" s="1810"/>
      <c r="D121" s="1810"/>
      <c r="E121" s="2082"/>
      <c r="F121" s="2082"/>
      <c r="G121" s="2082"/>
      <c r="H121" s="2082"/>
      <c r="I121" s="2082"/>
      <c r="J121" s="2082"/>
      <c r="K121" s="2082"/>
      <c r="L121" s="2082"/>
      <c r="M121" s="2082"/>
      <c r="N121" s="2082"/>
      <c r="O121" s="2082"/>
      <c r="P121" s="2082"/>
      <c r="Q121" s="2082"/>
      <c r="R121" s="2082"/>
      <c r="S121" s="2082"/>
      <c r="T121" s="2082"/>
      <c r="U121" s="2082"/>
      <c r="V121" s="2082"/>
      <c r="W121" s="2082"/>
      <c r="X121" s="2082"/>
      <c r="Y121" s="2082"/>
      <c r="Z121" s="2082"/>
      <c r="AA121" s="2082"/>
      <c r="AB121" s="2082"/>
      <c r="AC121" s="2082"/>
      <c r="AD121" s="2082"/>
      <c r="AE121" s="2082"/>
      <c r="AF121" s="2082"/>
      <c r="AG121" s="2082"/>
      <c r="AH121" s="2082"/>
      <c r="AI121" s="2082"/>
      <c r="AJ121" s="2082"/>
      <c r="AK121" s="2082"/>
      <c r="AL121" s="2082"/>
      <c r="AM121" s="2082"/>
      <c r="AN121" s="2082"/>
      <c r="AO121" s="2082"/>
      <c r="AP121" s="2082"/>
      <c r="AQ121" s="2082"/>
      <c r="AR121" s="2082"/>
      <c r="AS121" s="2090"/>
      <c r="AT121" s="2090"/>
      <c r="AU121" s="2090"/>
      <c r="AV121" s="2090"/>
      <c r="AW121" s="2090"/>
      <c r="AX121" s="2090"/>
      <c r="AY121" s="2090"/>
      <c r="AZ121" s="2090"/>
      <c r="BA121" s="2090"/>
      <c r="BB121" s="2090"/>
      <c r="BC121" s="2091"/>
      <c r="BD121" s="2091"/>
      <c r="BE121" s="2091"/>
      <c r="BF121" s="2091"/>
      <c r="BG121" s="2091"/>
      <c r="BH121" s="2091"/>
      <c r="BI121" s="2091"/>
      <c r="BJ121" s="2091"/>
      <c r="BK121" s="2091"/>
      <c r="BL121" s="2091"/>
      <c r="BM121" s="2091"/>
      <c r="BN121" s="2091"/>
      <c r="BO121" s="2091"/>
      <c r="BP121" s="2091"/>
      <c r="BQ121" s="2091"/>
      <c r="BR121" s="2091"/>
      <c r="BS121" s="2091"/>
      <c r="BT121" s="2091"/>
      <c r="BU121" s="2091"/>
      <c r="BV121" s="2091"/>
      <c r="BW121" s="2091"/>
      <c r="BX121" s="2091"/>
      <c r="BY121" s="2091"/>
      <c r="BZ121" s="2091"/>
      <c r="CA121" s="2091"/>
      <c r="CB121" s="2091"/>
      <c r="CC121" s="233"/>
      <c r="CD121" s="233"/>
      <c r="CE121" s="233"/>
      <c r="CF121" s="233"/>
      <c r="CG121" s="233"/>
      <c r="CH121" s="233"/>
    </row>
    <row r="122" spans="1:96" s="234" customFormat="1" hidden="1" x14ac:dyDescent="0.2">
      <c r="A122" s="1810">
        <v>9</v>
      </c>
      <c r="B122" s="1810"/>
      <c r="C122" s="1810"/>
      <c r="D122" s="1810"/>
      <c r="E122" s="2082"/>
      <c r="F122" s="2082"/>
      <c r="G122" s="2082"/>
      <c r="H122" s="2082"/>
      <c r="I122" s="2082"/>
      <c r="J122" s="2082"/>
      <c r="K122" s="2082"/>
      <c r="L122" s="2082"/>
      <c r="M122" s="2082"/>
      <c r="N122" s="2082"/>
      <c r="O122" s="2082"/>
      <c r="P122" s="2082"/>
      <c r="Q122" s="2082"/>
      <c r="R122" s="2082"/>
      <c r="S122" s="2082"/>
      <c r="T122" s="2082"/>
      <c r="U122" s="2082"/>
      <c r="V122" s="2082"/>
      <c r="W122" s="2082"/>
      <c r="X122" s="2082"/>
      <c r="Y122" s="2082"/>
      <c r="Z122" s="2082"/>
      <c r="AA122" s="2082"/>
      <c r="AB122" s="2082"/>
      <c r="AC122" s="2082"/>
      <c r="AD122" s="2082"/>
      <c r="AE122" s="2082"/>
      <c r="AF122" s="2082"/>
      <c r="AG122" s="2082"/>
      <c r="AH122" s="2082"/>
      <c r="AI122" s="2082"/>
      <c r="AJ122" s="2082"/>
      <c r="AK122" s="2082"/>
      <c r="AL122" s="2082"/>
      <c r="AM122" s="2082"/>
      <c r="AN122" s="2082"/>
      <c r="AO122" s="2082"/>
      <c r="AP122" s="2082"/>
      <c r="AQ122" s="2082"/>
      <c r="AR122" s="2082"/>
      <c r="AS122" s="2090"/>
      <c r="AT122" s="2090"/>
      <c r="AU122" s="2090"/>
      <c r="AV122" s="2090"/>
      <c r="AW122" s="2090"/>
      <c r="AX122" s="2090"/>
      <c r="AY122" s="2090"/>
      <c r="AZ122" s="2090"/>
      <c r="BA122" s="2090"/>
      <c r="BB122" s="2090"/>
      <c r="BC122" s="2091"/>
      <c r="BD122" s="2091"/>
      <c r="BE122" s="2091"/>
      <c r="BF122" s="2091"/>
      <c r="BG122" s="2091"/>
      <c r="BH122" s="2091"/>
      <c r="BI122" s="2091"/>
      <c r="BJ122" s="2091"/>
      <c r="BK122" s="2091"/>
      <c r="BL122" s="2091"/>
      <c r="BM122" s="2091"/>
      <c r="BN122" s="2091"/>
      <c r="BO122" s="2091"/>
      <c r="BP122" s="2091"/>
      <c r="BQ122" s="2091"/>
      <c r="BR122" s="2091"/>
      <c r="BS122" s="2091"/>
      <c r="BT122" s="2091"/>
      <c r="BU122" s="2091"/>
      <c r="BV122" s="2091"/>
      <c r="BW122" s="2091"/>
      <c r="BX122" s="2091"/>
      <c r="BY122" s="2091"/>
      <c r="BZ122" s="2091"/>
      <c r="CA122" s="2091"/>
      <c r="CB122" s="2091"/>
      <c r="CC122" s="233"/>
      <c r="CD122" s="233"/>
      <c r="CE122" s="233"/>
      <c r="CF122" s="233"/>
      <c r="CG122" s="233"/>
      <c r="CH122" s="233"/>
    </row>
    <row r="123" spans="1:96" s="234" customFormat="1" hidden="1" x14ac:dyDescent="0.2">
      <c r="A123" s="1810">
        <v>10</v>
      </c>
      <c r="B123" s="1810"/>
      <c r="C123" s="1810"/>
      <c r="D123" s="1810"/>
      <c r="E123" s="2082"/>
      <c r="F123" s="2082"/>
      <c r="G123" s="2082"/>
      <c r="H123" s="2082"/>
      <c r="I123" s="2082"/>
      <c r="J123" s="2082"/>
      <c r="K123" s="2082"/>
      <c r="L123" s="2082"/>
      <c r="M123" s="2082"/>
      <c r="N123" s="2082"/>
      <c r="O123" s="2082"/>
      <c r="P123" s="2082"/>
      <c r="Q123" s="2082"/>
      <c r="R123" s="2082"/>
      <c r="S123" s="2082"/>
      <c r="T123" s="2082"/>
      <c r="U123" s="2082"/>
      <c r="V123" s="2082"/>
      <c r="W123" s="2082"/>
      <c r="X123" s="2082"/>
      <c r="Y123" s="2082"/>
      <c r="Z123" s="2082"/>
      <c r="AA123" s="2082"/>
      <c r="AB123" s="2082"/>
      <c r="AC123" s="2082"/>
      <c r="AD123" s="2082"/>
      <c r="AE123" s="2082"/>
      <c r="AF123" s="2082"/>
      <c r="AG123" s="2082"/>
      <c r="AH123" s="2082"/>
      <c r="AI123" s="2082"/>
      <c r="AJ123" s="2082"/>
      <c r="AK123" s="2082"/>
      <c r="AL123" s="2082"/>
      <c r="AM123" s="2082"/>
      <c r="AN123" s="2082"/>
      <c r="AO123" s="2082"/>
      <c r="AP123" s="2082"/>
      <c r="AQ123" s="2082"/>
      <c r="AR123" s="2082"/>
      <c r="AS123" s="2090"/>
      <c r="AT123" s="2090"/>
      <c r="AU123" s="2090"/>
      <c r="AV123" s="2090"/>
      <c r="AW123" s="2090"/>
      <c r="AX123" s="2090"/>
      <c r="AY123" s="2090"/>
      <c r="AZ123" s="2090"/>
      <c r="BA123" s="2090"/>
      <c r="BB123" s="2090"/>
      <c r="BC123" s="2091"/>
      <c r="BD123" s="2091"/>
      <c r="BE123" s="2091"/>
      <c r="BF123" s="2091"/>
      <c r="BG123" s="2091"/>
      <c r="BH123" s="2091"/>
      <c r="BI123" s="2091"/>
      <c r="BJ123" s="2091"/>
      <c r="BK123" s="2091"/>
      <c r="BL123" s="2091"/>
      <c r="BM123" s="2091"/>
      <c r="BN123" s="2091"/>
      <c r="BO123" s="2091"/>
      <c r="BP123" s="2091"/>
      <c r="BQ123" s="2091"/>
      <c r="BR123" s="2091"/>
      <c r="BS123" s="2091"/>
      <c r="BT123" s="2091"/>
      <c r="BU123" s="2091"/>
      <c r="BV123" s="2091"/>
      <c r="BW123" s="2091"/>
      <c r="BX123" s="2091"/>
      <c r="BY123" s="2091"/>
      <c r="BZ123" s="2091"/>
      <c r="CA123" s="2091"/>
      <c r="CB123" s="2091"/>
      <c r="CC123" s="233"/>
      <c r="CD123" s="233"/>
      <c r="CE123" s="233"/>
      <c r="CF123" s="233"/>
      <c r="CG123" s="233"/>
      <c r="CH123" s="233"/>
    </row>
    <row r="124" spans="1:96" s="234" customFormat="1" hidden="1" x14ac:dyDescent="0.2">
      <c r="A124" s="1810">
        <v>11</v>
      </c>
      <c r="B124" s="1810"/>
      <c r="C124" s="1810"/>
      <c r="D124" s="1810"/>
      <c r="E124" s="2082"/>
      <c r="F124" s="2082"/>
      <c r="G124" s="2082"/>
      <c r="H124" s="2082"/>
      <c r="I124" s="2082"/>
      <c r="J124" s="2082"/>
      <c r="K124" s="2082"/>
      <c r="L124" s="2082"/>
      <c r="M124" s="2082"/>
      <c r="N124" s="2082"/>
      <c r="O124" s="2082"/>
      <c r="P124" s="2082"/>
      <c r="Q124" s="2082"/>
      <c r="R124" s="2082"/>
      <c r="S124" s="2082"/>
      <c r="T124" s="2082"/>
      <c r="U124" s="2082"/>
      <c r="V124" s="2082"/>
      <c r="W124" s="2082"/>
      <c r="X124" s="2082"/>
      <c r="Y124" s="2082"/>
      <c r="Z124" s="2082"/>
      <c r="AA124" s="2082"/>
      <c r="AB124" s="2082"/>
      <c r="AC124" s="2082"/>
      <c r="AD124" s="2082"/>
      <c r="AE124" s="2082"/>
      <c r="AF124" s="2082"/>
      <c r="AG124" s="2082"/>
      <c r="AH124" s="2082"/>
      <c r="AI124" s="2082"/>
      <c r="AJ124" s="2082"/>
      <c r="AK124" s="2082"/>
      <c r="AL124" s="2082"/>
      <c r="AM124" s="2082"/>
      <c r="AN124" s="2082"/>
      <c r="AO124" s="2082"/>
      <c r="AP124" s="2082"/>
      <c r="AQ124" s="2082"/>
      <c r="AR124" s="2082"/>
      <c r="AS124" s="2090"/>
      <c r="AT124" s="2090"/>
      <c r="AU124" s="2090"/>
      <c r="AV124" s="2090"/>
      <c r="AW124" s="2090"/>
      <c r="AX124" s="2090"/>
      <c r="AY124" s="2090"/>
      <c r="AZ124" s="2090"/>
      <c r="BA124" s="2090"/>
      <c r="BB124" s="2090"/>
      <c r="BC124" s="2091"/>
      <c r="BD124" s="2091"/>
      <c r="BE124" s="2091"/>
      <c r="BF124" s="2091"/>
      <c r="BG124" s="2091"/>
      <c r="BH124" s="2091"/>
      <c r="BI124" s="2091"/>
      <c r="BJ124" s="2091"/>
      <c r="BK124" s="2091"/>
      <c r="BL124" s="2091"/>
      <c r="BM124" s="2091"/>
      <c r="BN124" s="2091"/>
      <c r="BO124" s="2091"/>
      <c r="BP124" s="2091"/>
      <c r="BQ124" s="2091"/>
      <c r="BR124" s="2091"/>
      <c r="BS124" s="2091"/>
      <c r="BT124" s="2091"/>
      <c r="BU124" s="2091"/>
      <c r="BV124" s="2091"/>
      <c r="BW124" s="2091"/>
      <c r="BX124" s="2091"/>
      <c r="BY124" s="2091"/>
      <c r="BZ124" s="2091"/>
      <c r="CA124" s="2091"/>
      <c r="CB124" s="2091"/>
      <c r="CC124" s="233"/>
      <c r="CD124" s="233"/>
      <c r="CE124" s="233"/>
      <c r="CF124" s="233"/>
      <c r="CG124" s="233"/>
      <c r="CH124" s="233"/>
    </row>
    <row r="125" spans="1:96" s="234" customFormat="1" hidden="1" x14ac:dyDescent="0.2">
      <c r="A125" s="1810">
        <v>12</v>
      </c>
      <c r="B125" s="1810"/>
      <c r="C125" s="1810"/>
      <c r="D125" s="1810"/>
      <c r="E125" s="2082"/>
      <c r="F125" s="2082"/>
      <c r="G125" s="2082"/>
      <c r="H125" s="2082"/>
      <c r="I125" s="2082"/>
      <c r="J125" s="2082"/>
      <c r="K125" s="2082"/>
      <c r="L125" s="2082"/>
      <c r="M125" s="2082"/>
      <c r="N125" s="2082"/>
      <c r="O125" s="2082"/>
      <c r="P125" s="2082"/>
      <c r="Q125" s="2082"/>
      <c r="R125" s="2082"/>
      <c r="S125" s="2082"/>
      <c r="T125" s="2082"/>
      <c r="U125" s="2082"/>
      <c r="V125" s="2082"/>
      <c r="W125" s="2082"/>
      <c r="X125" s="2082"/>
      <c r="Y125" s="2082"/>
      <c r="Z125" s="2082"/>
      <c r="AA125" s="2082"/>
      <c r="AB125" s="2082"/>
      <c r="AC125" s="2082"/>
      <c r="AD125" s="2082"/>
      <c r="AE125" s="2082"/>
      <c r="AF125" s="2082"/>
      <c r="AG125" s="2082"/>
      <c r="AH125" s="2082"/>
      <c r="AI125" s="2082"/>
      <c r="AJ125" s="2082"/>
      <c r="AK125" s="2082"/>
      <c r="AL125" s="2082"/>
      <c r="AM125" s="2082"/>
      <c r="AN125" s="2082"/>
      <c r="AO125" s="2082"/>
      <c r="AP125" s="2082"/>
      <c r="AQ125" s="2082"/>
      <c r="AR125" s="2082"/>
      <c r="AS125" s="2090"/>
      <c r="AT125" s="2090"/>
      <c r="AU125" s="2090"/>
      <c r="AV125" s="2090"/>
      <c r="AW125" s="2090"/>
      <c r="AX125" s="2090"/>
      <c r="AY125" s="2090"/>
      <c r="AZ125" s="2090"/>
      <c r="BA125" s="2090"/>
      <c r="BB125" s="2090"/>
      <c r="BC125" s="2091"/>
      <c r="BD125" s="2091"/>
      <c r="BE125" s="2091"/>
      <c r="BF125" s="2091"/>
      <c r="BG125" s="2091"/>
      <c r="BH125" s="2091"/>
      <c r="BI125" s="2091"/>
      <c r="BJ125" s="2091"/>
      <c r="BK125" s="2091"/>
      <c r="BL125" s="2091"/>
      <c r="BM125" s="2091"/>
      <c r="BN125" s="2091"/>
      <c r="BO125" s="2091"/>
      <c r="BP125" s="2091"/>
      <c r="BQ125" s="2091"/>
      <c r="BR125" s="2091"/>
      <c r="BS125" s="2091"/>
      <c r="BT125" s="2091"/>
      <c r="BU125" s="2091"/>
      <c r="BV125" s="2091"/>
      <c r="BW125" s="2091"/>
      <c r="BX125" s="2091"/>
      <c r="BY125" s="2091"/>
      <c r="BZ125" s="2091"/>
      <c r="CA125" s="2091"/>
      <c r="CB125" s="2091"/>
      <c r="CC125" s="233"/>
      <c r="CD125" s="233"/>
      <c r="CE125" s="233"/>
      <c r="CF125" s="233"/>
      <c r="CG125" s="233"/>
      <c r="CH125" s="233"/>
    </row>
    <row r="126" spans="1:96" s="29" customFormat="1" x14ac:dyDescent="0.2">
      <c r="A126" s="1831" t="s">
        <v>53</v>
      </c>
      <c r="B126" s="1832"/>
      <c r="C126" s="1832"/>
      <c r="D126" s="1832"/>
      <c r="E126" s="1832"/>
      <c r="F126" s="1832"/>
      <c r="G126" s="1832"/>
      <c r="H126" s="1832"/>
      <c r="I126" s="1832"/>
      <c r="J126" s="1832"/>
      <c r="K126" s="1832"/>
      <c r="L126" s="1832"/>
      <c r="M126" s="1832"/>
      <c r="N126" s="1832"/>
      <c r="O126" s="1832"/>
      <c r="P126" s="1832"/>
      <c r="Q126" s="1832"/>
      <c r="R126" s="1832"/>
      <c r="S126" s="1832"/>
      <c r="T126" s="1832"/>
      <c r="U126" s="1832"/>
      <c r="V126" s="1832"/>
      <c r="W126" s="1832"/>
      <c r="X126" s="1832"/>
      <c r="Y126" s="1832"/>
      <c r="Z126" s="1832"/>
      <c r="AA126" s="1832"/>
      <c r="AB126" s="1832"/>
      <c r="AC126" s="1832"/>
      <c r="AD126" s="1832"/>
      <c r="AE126" s="1832"/>
      <c r="AF126" s="1832"/>
      <c r="AG126" s="1832"/>
      <c r="AH126" s="1832"/>
      <c r="AI126" s="1832"/>
      <c r="AJ126" s="1832"/>
      <c r="AK126" s="1832"/>
      <c r="AL126" s="1832"/>
      <c r="AM126" s="1832"/>
      <c r="AN126" s="1832"/>
      <c r="AO126" s="1832"/>
      <c r="AP126" s="1832"/>
      <c r="AQ126" s="1832"/>
      <c r="AR126" s="1833"/>
      <c r="AS126" s="1913" t="s">
        <v>3</v>
      </c>
      <c r="AT126" s="1913"/>
      <c r="AU126" s="1913"/>
      <c r="AV126" s="1913"/>
      <c r="AW126" s="1913"/>
      <c r="AX126" s="1913"/>
      <c r="AY126" s="1913"/>
      <c r="AZ126" s="1913"/>
      <c r="BA126" s="1913"/>
      <c r="BB126" s="1913"/>
      <c r="BC126" s="1971" t="s">
        <v>3</v>
      </c>
      <c r="BD126" s="1971"/>
      <c r="BE126" s="1971"/>
      <c r="BF126" s="1971"/>
      <c r="BG126" s="1971"/>
      <c r="BH126" s="1971"/>
      <c r="BI126" s="1971"/>
      <c r="BJ126" s="1971"/>
      <c r="BK126" s="1971"/>
      <c r="BL126" s="1971"/>
      <c r="BM126" s="1971"/>
      <c r="BN126" s="2203">
        <f>CC126+CD126+CH126+CG126</f>
        <v>22894.129999999997</v>
      </c>
      <c r="BO126" s="2203"/>
      <c r="BP126" s="2203"/>
      <c r="BQ126" s="2203"/>
      <c r="BR126" s="2203"/>
      <c r="BS126" s="2203"/>
      <c r="BT126" s="2203"/>
      <c r="BU126" s="2203"/>
      <c r="BV126" s="2203"/>
      <c r="BW126" s="2203"/>
      <c r="BX126" s="2203"/>
      <c r="BY126" s="2203"/>
      <c r="BZ126" s="2203"/>
      <c r="CA126" s="2203"/>
      <c r="CB126" s="2203"/>
      <c r="CC126" s="239">
        <f>SUM(CC117:CC125)</f>
        <v>0</v>
      </c>
      <c r="CD126" s="239">
        <f>SUM(CD117:CD125)</f>
        <v>20820.169999999998</v>
      </c>
      <c r="CE126" s="239"/>
      <c r="CF126" s="239"/>
      <c r="CG126" s="239"/>
      <c r="CH126" s="239">
        <f>SUM(CH117:CH125)</f>
        <v>2073.96</v>
      </c>
    </row>
    <row r="128" spans="1:96" x14ac:dyDescent="0.2">
      <c r="BW128" s="142">
        <f>BN126+BN101+BN92+BN46+BN23</f>
        <v>392528.54999999993</v>
      </c>
      <c r="CC128" s="142"/>
      <c r="CD128" s="142"/>
      <c r="CE128" s="142"/>
      <c r="CF128" s="142"/>
      <c r="CG128" s="142"/>
      <c r="CH128" s="142"/>
    </row>
    <row r="129" spans="75:82" ht="26.25" customHeight="1" x14ac:dyDescent="0.2">
      <c r="BW129" s="142">
        <f>CD126+CH126+CH101+CD101+CH92+CD92+CH46+CD46-1426.95</f>
        <v>327201.83999999991</v>
      </c>
      <c r="CD129" s="142">
        <f>CD126+CD101+CD92++CD46+'0709 213 нов '!F23+'0709 211 (2)'!J19</f>
        <v>320056.93999999994</v>
      </c>
    </row>
  </sheetData>
  <mergeCells count="520">
    <mergeCell ref="A91:D91"/>
    <mergeCell ref="E91:AN91"/>
    <mergeCell ref="AO91:BC91"/>
    <mergeCell ref="BD91:BM91"/>
    <mergeCell ref="BN91:CB91"/>
    <mergeCell ref="A45:D45"/>
    <mergeCell ref="E45:AM45"/>
    <mergeCell ref="AN45:BC45"/>
    <mergeCell ref="BD45:BM45"/>
    <mergeCell ref="BN45:CB45"/>
    <mergeCell ref="A46:AM46"/>
    <mergeCell ref="AN46:BC46"/>
    <mergeCell ref="BD46:BM46"/>
    <mergeCell ref="BN46:CB46"/>
    <mergeCell ref="A55:D55"/>
    <mergeCell ref="E55:AN55"/>
    <mergeCell ref="AO55:BC55"/>
    <mergeCell ref="BD55:BM55"/>
    <mergeCell ref="BN55:CB55"/>
    <mergeCell ref="A56:D56"/>
    <mergeCell ref="E56:AN56"/>
    <mergeCell ref="AO56:BC56"/>
    <mergeCell ref="BD56:BM56"/>
    <mergeCell ref="BN56:CB56"/>
    <mergeCell ref="CD5:CD6"/>
    <mergeCell ref="CE5:CE6"/>
    <mergeCell ref="CF5:CF6"/>
    <mergeCell ref="CG5:CG6"/>
    <mergeCell ref="A7:D7"/>
    <mergeCell ref="E7:AM7"/>
    <mergeCell ref="AN7:BC7"/>
    <mergeCell ref="BD7:BM7"/>
    <mergeCell ref="BN7:CB7"/>
    <mergeCell ref="A3:D6"/>
    <mergeCell ref="E3:AM6"/>
    <mergeCell ref="AN3:BC6"/>
    <mergeCell ref="BD3:BM6"/>
    <mergeCell ref="BN3:CB6"/>
    <mergeCell ref="CC3:CH3"/>
    <mergeCell ref="CC4:CD4"/>
    <mergeCell ref="CE4:CG4"/>
    <mergeCell ref="CH4:CH6"/>
    <mergeCell ref="CC5:CC6"/>
    <mergeCell ref="BN8:CB8"/>
    <mergeCell ref="A9:D9"/>
    <mergeCell ref="E9:AM9"/>
    <mergeCell ref="AN9:BC9"/>
    <mergeCell ref="BD9:BM9"/>
    <mergeCell ref="BN9:CB9"/>
    <mergeCell ref="A10:D10"/>
    <mergeCell ref="E10:AM10"/>
    <mergeCell ref="AN10:BC10"/>
    <mergeCell ref="BD10:BM10"/>
    <mergeCell ref="BN10:CB10"/>
    <mergeCell ref="A8:D8"/>
    <mergeCell ref="E8:AM8"/>
    <mergeCell ref="AN8:BC8"/>
    <mergeCell ref="BD8:BM8"/>
    <mergeCell ref="A11:D11"/>
    <mergeCell ref="E11:AM11"/>
    <mergeCell ref="AN11:BC11"/>
    <mergeCell ref="BD11:BM11"/>
    <mergeCell ref="BN11:CB11"/>
    <mergeCell ref="A12:D12"/>
    <mergeCell ref="E12:AM12"/>
    <mergeCell ref="AN12:BC12"/>
    <mergeCell ref="BD12:BM12"/>
    <mergeCell ref="BN12:CB12"/>
    <mergeCell ref="A13:D13"/>
    <mergeCell ref="E13:AM13"/>
    <mergeCell ref="AN13:BC13"/>
    <mergeCell ref="BD13:BM13"/>
    <mergeCell ref="BN13:CB13"/>
    <mergeCell ref="A14:D14"/>
    <mergeCell ref="E14:AM14"/>
    <mergeCell ref="AN14:BC14"/>
    <mergeCell ref="BD14:BM14"/>
    <mergeCell ref="BN14:CB14"/>
    <mergeCell ref="A15:D15"/>
    <mergeCell ref="E15:AM15"/>
    <mergeCell ref="AN15:BC15"/>
    <mergeCell ref="BD15:BM15"/>
    <mergeCell ref="BN15:CB15"/>
    <mergeCell ref="A16:D16"/>
    <mergeCell ref="E16:AM16"/>
    <mergeCell ref="AN16:BC16"/>
    <mergeCell ref="BD16:BM16"/>
    <mergeCell ref="BN16:CB16"/>
    <mergeCell ref="A17:D17"/>
    <mergeCell ref="E17:AM17"/>
    <mergeCell ref="AN17:BC17"/>
    <mergeCell ref="BD17:BM17"/>
    <mergeCell ref="BN17:CB17"/>
    <mergeCell ref="A18:D18"/>
    <mergeCell ref="E18:AM18"/>
    <mergeCell ref="AN18:BC18"/>
    <mergeCell ref="BD18:BM18"/>
    <mergeCell ref="BN18:CB18"/>
    <mergeCell ref="A19:D19"/>
    <mergeCell ref="E19:AM19"/>
    <mergeCell ref="AN19:BC19"/>
    <mergeCell ref="BD19:BM19"/>
    <mergeCell ref="BN19:CB19"/>
    <mergeCell ref="A20:D20"/>
    <mergeCell ref="E20:AM20"/>
    <mergeCell ref="AN20:BC20"/>
    <mergeCell ref="BD20:BM20"/>
    <mergeCell ref="BN20:CB20"/>
    <mergeCell ref="A21:D21"/>
    <mergeCell ref="E21:AM21"/>
    <mergeCell ref="AN21:BC21"/>
    <mergeCell ref="BD21:BM21"/>
    <mergeCell ref="BN21:CB21"/>
    <mergeCell ref="A22:D22"/>
    <mergeCell ref="E22:AM22"/>
    <mergeCell ref="AN22:BC22"/>
    <mergeCell ref="BD22:BM22"/>
    <mergeCell ref="BN22:CB22"/>
    <mergeCell ref="A23:AM23"/>
    <mergeCell ref="AN23:BC23"/>
    <mergeCell ref="BD23:BM23"/>
    <mergeCell ref="BN23:CB23"/>
    <mergeCell ref="CD28:CD29"/>
    <mergeCell ref="CE28:CE29"/>
    <mergeCell ref="CF28:CF29"/>
    <mergeCell ref="CG28:CG29"/>
    <mergeCell ref="A30:D30"/>
    <mergeCell ref="E30:AM30"/>
    <mergeCell ref="AN30:BC30"/>
    <mergeCell ref="BD30:BM30"/>
    <mergeCell ref="BN30:CB30"/>
    <mergeCell ref="A26:D29"/>
    <mergeCell ref="E26:AM29"/>
    <mergeCell ref="AN26:BC29"/>
    <mergeCell ref="BD26:BM29"/>
    <mergeCell ref="BN26:CB29"/>
    <mergeCell ref="CC26:CH26"/>
    <mergeCell ref="CC27:CD27"/>
    <mergeCell ref="CE27:CG27"/>
    <mergeCell ref="CH27:CH29"/>
    <mergeCell ref="CC28:CC29"/>
    <mergeCell ref="A31:D31"/>
    <mergeCell ref="E31:AM31"/>
    <mergeCell ref="AN31:BC31"/>
    <mergeCell ref="BD31:BM31"/>
    <mergeCell ref="BN31:CB31"/>
    <mergeCell ref="A32:D32"/>
    <mergeCell ref="E32:AM32"/>
    <mergeCell ref="AN32:BC32"/>
    <mergeCell ref="BD32:BM32"/>
    <mergeCell ref="BN32:CB32"/>
    <mergeCell ref="A33:D33"/>
    <mergeCell ref="E33:AM33"/>
    <mergeCell ref="AN33:BC33"/>
    <mergeCell ref="BD33:BM33"/>
    <mergeCell ref="BN33:CB33"/>
    <mergeCell ref="A34:D34"/>
    <mergeCell ref="E34:AM34"/>
    <mergeCell ref="AN34:BC34"/>
    <mergeCell ref="BD34:BM34"/>
    <mergeCell ref="BN34:CB34"/>
    <mergeCell ref="A35:D35"/>
    <mergeCell ref="E35:AM35"/>
    <mergeCell ref="AN35:BC35"/>
    <mergeCell ref="BD35:BM35"/>
    <mergeCell ref="BN35:CB35"/>
    <mergeCell ref="A36:D36"/>
    <mergeCell ref="E36:AM36"/>
    <mergeCell ref="AN36:BC36"/>
    <mergeCell ref="BD36:BM36"/>
    <mergeCell ref="BN36:CB36"/>
    <mergeCell ref="A37:D37"/>
    <mergeCell ref="E37:AM37"/>
    <mergeCell ref="AN37:BC37"/>
    <mergeCell ref="BD37:BM37"/>
    <mergeCell ref="BN37:CB37"/>
    <mergeCell ref="A38:D38"/>
    <mergeCell ref="E38:AM38"/>
    <mergeCell ref="AN38:BC38"/>
    <mergeCell ref="BD38:BM38"/>
    <mergeCell ref="BN38:CB38"/>
    <mergeCell ref="A39:D39"/>
    <mergeCell ref="E39:AM39"/>
    <mergeCell ref="AN39:BC39"/>
    <mergeCell ref="BD39:BM39"/>
    <mergeCell ref="BN39:CB39"/>
    <mergeCell ref="A40:D40"/>
    <mergeCell ref="E40:AM40"/>
    <mergeCell ref="AN40:BC40"/>
    <mergeCell ref="BD40:BM40"/>
    <mergeCell ref="BN40:CB40"/>
    <mergeCell ref="A41:D41"/>
    <mergeCell ref="E41:AM41"/>
    <mergeCell ref="AN41:BC41"/>
    <mergeCell ref="BD41:BM41"/>
    <mergeCell ref="BN41:CB41"/>
    <mergeCell ref="A42:D42"/>
    <mergeCell ref="E42:AM42"/>
    <mergeCell ref="AN42:BC42"/>
    <mergeCell ref="BD42:BM42"/>
    <mergeCell ref="BN42:CB42"/>
    <mergeCell ref="A43:D43"/>
    <mergeCell ref="E43:AM43"/>
    <mergeCell ref="AN43:BC43"/>
    <mergeCell ref="BD43:BM43"/>
    <mergeCell ref="BN43:CB43"/>
    <mergeCell ref="A44:D44"/>
    <mergeCell ref="E44:AM44"/>
    <mergeCell ref="AN44:BC44"/>
    <mergeCell ref="BD44:BM44"/>
    <mergeCell ref="BN44:CB44"/>
    <mergeCell ref="CD52:CD53"/>
    <mergeCell ref="CE52:CE53"/>
    <mergeCell ref="CF52:CF53"/>
    <mergeCell ref="CG52:CG53"/>
    <mergeCell ref="A54:D54"/>
    <mergeCell ref="E54:AN54"/>
    <mergeCell ref="AO54:BC54"/>
    <mergeCell ref="BD54:BM54"/>
    <mergeCell ref="BN54:CB54"/>
    <mergeCell ref="A50:D53"/>
    <mergeCell ref="E50:AN53"/>
    <mergeCell ref="AO50:BC53"/>
    <mergeCell ref="BD50:BM53"/>
    <mergeCell ref="BN50:CB53"/>
    <mergeCell ref="CC50:CH50"/>
    <mergeCell ref="CC51:CD51"/>
    <mergeCell ref="CE51:CG51"/>
    <mergeCell ref="CH51:CH53"/>
    <mergeCell ref="CC52:CC53"/>
    <mergeCell ref="A57:D57"/>
    <mergeCell ref="E57:AN57"/>
    <mergeCell ref="AO57:BC57"/>
    <mergeCell ref="BD57:BM57"/>
    <mergeCell ref="BN57:CB57"/>
    <mergeCell ref="A58:D58"/>
    <mergeCell ref="E58:AN58"/>
    <mergeCell ref="AO58:BC58"/>
    <mergeCell ref="BD58:BM58"/>
    <mergeCell ref="BN58:CB58"/>
    <mergeCell ref="A59:D59"/>
    <mergeCell ref="E59:AN59"/>
    <mergeCell ref="AO59:BC59"/>
    <mergeCell ref="BD59:BM59"/>
    <mergeCell ref="BN59:CB59"/>
    <mergeCell ref="A60:D60"/>
    <mergeCell ref="E60:AN60"/>
    <mergeCell ref="AO60:BC60"/>
    <mergeCell ref="BD60:BM60"/>
    <mergeCell ref="BN60:CB60"/>
    <mergeCell ref="A61:D61"/>
    <mergeCell ref="E61:AN61"/>
    <mergeCell ref="AO61:BC61"/>
    <mergeCell ref="BD61:BM61"/>
    <mergeCell ref="BN61:CB61"/>
    <mergeCell ref="A62:D62"/>
    <mergeCell ref="E62:AN62"/>
    <mergeCell ref="AO62:BC62"/>
    <mergeCell ref="BD62:BM62"/>
    <mergeCell ref="BN62:CB62"/>
    <mergeCell ref="A63:D63"/>
    <mergeCell ref="E63:AN63"/>
    <mergeCell ref="AO63:BC63"/>
    <mergeCell ref="BD63:BM63"/>
    <mergeCell ref="BN63:CB63"/>
    <mergeCell ref="A64:D64"/>
    <mergeCell ref="E64:AN64"/>
    <mergeCell ref="AO64:BC64"/>
    <mergeCell ref="BD64:BM64"/>
    <mergeCell ref="BN64:CB64"/>
    <mergeCell ref="A65:D65"/>
    <mergeCell ref="E65:AN65"/>
    <mergeCell ref="AO65:BC65"/>
    <mergeCell ref="BD65:BM65"/>
    <mergeCell ref="BN65:CB65"/>
    <mergeCell ref="A66:D66"/>
    <mergeCell ref="E66:AN66"/>
    <mergeCell ref="AO66:BC66"/>
    <mergeCell ref="BD66:BM66"/>
    <mergeCell ref="BN66:CB66"/>
    <mergeCell ref="A67:D67"/>
    <mergeCell ref="E67:AN67"/>
    <mergeCell ref="AO67:BC67"/>
    <mergeCell ref="BD67:BM67"/>
    <mergeCell ref="BN67:CB67"/>
    <mergeCell ref="A68:D68"/>
    <mergeCell ref="E68:AN68"/>
    <mergeCell ref="AO68:BC68"/>
    <mergeCell ref="BD68:BM68"/>
    <mergeCell ref="BN68:CB68"/>
    <mergeCell ref="A69:D69"/>
    <mergeCell ref="E69:AN69"/>
    <mergeCell ref="AO69:BC69"/>
    <mergeCell ref="BD69:BM69"/>
    <mergeCell ref="BN69:CB69"/>
    <mergeCell ref="A70:D70"/>
    <mergeCell ref="E70:AN70"/>
    <mergeCell ref="AO70:BC70"/>
    <mergeCell ref="BD70:BM70"/>
    <mergeCell ref="BN70:CB70"/>
    <mergeCell ref="A71:D71"/>
    <mergeCell ref="E71:AN71"/>
    <mergeCell ref="AO71:BC71"/>
    <mergeCell ref="BD71:BM71"/>
    <mergeCell ref="BN71:CB71"/>
    <mergeCell ref="A72:D72"/>
    <mergeCell ref="E72:AN72"/>
    <mergeCell ref="AO72:BC72"/>
    <mergeCell ref="BD72:BM72"/>
    <mergeCell ref="BN72:CB72"/>
    <mergeCell ref="A73:D73"/>
    <mergeCell ref="E73:AN73"/>
    <mergeCell ref="AO73:BC73"/>
    <mergeCell ref="BD73:BM73"/>
    <mergeCell ref="BN73:CB73"/>
    <mergeCell ref="A74:D74"/>
    <mergeCell ref="E74:AN74"/>
    <mergeCell ref="AO74:BC74"/>
    <mergeCell ref="BD74:BM74"/>
    <mergeCell ref="BN74:CB74"/>
    <mergeCell ref="A75:D75"/>
    <mergeCell ref="E75:AN75"/>
    <mergeCell ref="AO75:BC75"/>
    <mergeCell ref="BD75:BM75"/>
    <mergeCell ref="BN75:CB75"/>
    <mergeCell ref="A76:D76"/>
    <mergeCell ref="E76:AN76"/>
    <mergeCell ref="AO76:BC76"/>
    <mergeCell ref="BD76:BM76"/>
    <mergeCell ref="BN76:CB76"/>
    <mergeCell ref="A77:D77"/>
    <mergeCell ref="E77:AN77"/>
    <mergeCell ref="AO77:BC77"/>
    <mergeCell ref="BD77:BM77"/>
    <mergeCell ref="BN77:CB77"/>
    <mergeCell ref="A78:D78"/>
    <mergeCell ref="E78:AN78"/>
    <mergeCell ref="AO78:BC78"/>
    <mergeCell ref="BD78:BM78"/>
    <mergeCell ref="BN78:CB78"/>
    <mergeCell ref="A79:D79"/>
    <mergeCell ref="E79:AN79"/>
    <mergeCell ref="AO79:BC79"/>
    <mergeCell ref="BD79:BM79"/>
    <mergeCell ref="BN79:CB79"/>
    <mergeCell ref="A80:D80"/>
    <mergeCell ref="E80:AN80"/>
    <mergeCell ref="AO80:BC80"/>
    <mergeCell ref="BD80:BM80"/>
    <mergeCell ref="BN80:CB80"/>
    <mergeCell ref="A81:D81"/>
    <mergeCell ref="E81:AN81"/>
    <mergeCell ref="AO81:BC81"/>
    <mergeCell ref="BD81:BM81"/>
    <mergeCell ref="BN81:CB81"/>
    <mergeCell ref="A82:D82"/>
    <mergeCell ref="E82:AN82"/>
    <mergeCell ref="AO82:BC82"/>
    <mergeCell ref="BD82:BM82"/>
    <mergeCell ref="BN82:CB82"/>
    <mergeCell ref="A83:D83"/>
    <mergeCell ref="E83:AN83"/>
    <mergeCell ref="AO83:BC83"/>
    <mergeCell ref="BD83:BM83"/>
    <mergeCell ref="BN83:CB83"/>
    <mergeCell ref="A84:D84"/>
    <mergeCell ref="E84:AN84"/>
    <mergeCell ref="AO84:BC84"/>
    <mergeCell ref="BD84:BM84"/>
    <mergeCell ref="BN84:CB84"/>
    <mergeCell ref="A85:D85"/>
    <mergeCell ref="E85:AN85"/>
    <mergeCell ref="AO85:BC85"/>
    <mergeCell ref="BD85:BM85"/>
    <mergeCell ref="BN85:CB85"/>
    <mergeCell ref="A86:D86"/>
    <mergeCell ref="E86:AN86"/>
    <mergeCell ref="AO86:BC86"/>
    <mergeCell ref="BD86:BM86"/>
    <mergeCell ref="BN86:CB86"/>
    <mergeCell ref="A87:D87"/>
    <mergeCell ref="E87:AN87"/>
    <mergeCell ref="AO87:BC87"/>
    <mergeCell ref="BD87:BM87"/>
    <mergeCell ref="BN87:CB87"/>
    <mergeCell ref="A88:D88"/>
    <mergeCell ref="E88:AN88"/>
    <mergeCell ref="AO88:BC88"/>
    <mergeCell ref="BD88:BM88"/>
    <mergeCell ref="BN88:CB88"/>
    <mergeCell ref="A89:D89"/>
    <mergeCell ref="E89:AN89"/>
    <mergeCell ref="AO89:BC89"/>
    <mergeCell ref="BD89:BM89"/>
    <mergeCell ref="BN89:CB89"/>
    <mergeCell ref="A90:D90"/>
    <mergeCell ref="E90:AN90"/>
    <mergeCell ref="AO90:BC90"/>
    <mergeCell ref="BD90:BM90"/>
    <mergeCell ref="BN90:CB90"/>
    <mergeCell ref="A92:AN92"/>
    <mergeCell ref="AO92:BC92"/>
    <mergeCell ref="BD92:BM92"/>
    <mergeCell ref="BN92:CB92"/>
    <mergeCell ref="CD97:CD98"/>
    <mergeCell ref="CE97:CE98"/>
    <mergeCell ref="CF97:CF98"/>
    <mergeCell ref="CG97:CG98"/>
    <mergeCell ref="A99:D99"/>
    <mergeCell ref="E99:AN99"/>
    <mergeCell ref="AO99:BC99"/>
    <mergeCell ref="BD99:BM99"/>
    <mergeCell ref="BN99:CB99"/>
    <mergeCell ref="A95:D98"/>
    <mergeCell ref="E95:AN98"/>
    <mergeCell ref="AO95:BC98"/>
    <mergeCell ref="BD95:BM98"/>
    <mergeCell ref="BN95:CB98"/>
    <mergeCell ref="CC95:CH95"/>
    <mergeCell ref="CC96:CD96"/>
    <mergeCell ref="CE96:CG96"/>
    <mergeCell ref="CH96:CH98"/>
    <mergeCell ref="CC97:CC98"/>
    <mergeCell ref="A100:D100"/>
    <mergeCell ref="E100:AN100"/>
    <mergeCell ref="AO100:BC100"/>
    <mergeCell ref="BD100:BM100"/>
    <mergeCell ref="BN100:CB100"/>
    <mergeCell ref="A101:AN101"/>
    <mergeCell ref="AO101:BC101"/>
    <mergeCell ref="BD101:BM101"/>
    <mergeCell ref="BN101:CB101"/>
    <mergeCell ref="CD106:CD107"/>
    <mergeCell ref="CE106:CE107"/>
    <mergeCell ref="CF106:CF107"/>
    <mergeCell ref="CG106:CG107"/>
    <mergeCell ref="A108:D108"/>
    <mergeCell ref="E108:AN108"/>
    <mergeCell ref="AO108:BC108"/>
    <mergeCell ref="BD108:BM108"/>
    <mergeCell ref="BN108:CB108"/>
    <mergeCell ref="A104:D107"/>
    <mergeCell ref="E104:AN107"/>
    <mergeCell ref="AO104:BC107"/>
    <mergeCell ref="BD104:BM107"/>
    <mergeCell ref="BN104:CB107"/>
    <mergeCell ref="CC104:CH104"/>
    <mergeCell ref="CC105:CD105"/>
    <mergeCell ref="CE105:CG105"/>
    <mergeCell ref="CH105:CH107"/>
    <mergeCell ref="CC106:CC107"/>
    <mergeCell ref="CD114:CD115"/>
    <mergeCell ref="CE114:CE115"/>
    <mergeCell ref="CF114:CF115"/>
    <mergeCell ref="CG114:CG115"/>
    <mergeCell ref="A116:D116"/>
    <mergeCell ref="E116:AR116"/>
    <mergeCell ref="AS116:BB116"/>
    <mergeCell ref="BC116:BM116"/>
    <mergeCell ref="BN116:CB116"/>
    <mergeCell ref="A112:D115"/>
    <mergeCell ref="E112:AR115"/>
    <mergeCell ref="AS112:BB115"/>
    <mergeCell ref="BC112:BM115"/>
    <mergeCell ref="BN112:CB115"/>
    <mergeCell ref="CC112:CH112"/>
    <mergeCell ref="CC113:CD113"/>
    <mergeCell ref="CE113:CG113"/>
    <mergeCell ref="CH113:CH115"/>
    <mergeCell ref="CC114:CC115"/>
    <mergeCell ref="A117:D117"/>
    <mergeCell ref="E117:AR117"/>
    <mergeCell ref="AS117:BB117"/>
    <mergeCell ref="BC117:BM117"/>
    <mergeCell ref="BN117:CB117"/>
    <mergeCell ref="A118:D118"/>
    <mergeCell ref="E118:AR118"/>
    <mergeCell ref="AS118:BB118"/>
    <mergeCell ref="BC118:BM118"/>
    <mergeCell ref="BN118:CB118"/>
    <mergeCell ref="BN121:CB121"/>
    <mergeCell ref="A122:D122"/>
    <mergeCell ref="E122:AR122"/>
    <mergeCell ref="AS122:BB122"/>
    <mergeCell ref="BC122:BM122"/>
    <mergeCell ref="BN122:CB122"/>
    <mergeCell ref="A119:D119"/>
    <mergeCell ref="E119:AR119"/>
    <mergeCell ref="AS119:BB119"/>
    <mergeCell ref="BC119:BM119"/>
    <mergeCell ref="BN119:CB119"/>
    <mergeCell ref="A120:D120"/>
    <mergeCell ref="E120:AR120"/>
    <mergeCell ref="AS120:BB120"/>
    <mergeCell ref="BC120:BM120"/>
    <mergeCell ref="BN120:CB120"/>
    <mergeCell ref="CL59:CY59"/>
    <mergeCell ref="A125:D125"/>
    <mergeCell ref="E125:AR125"/>
    <mergeCell ref="AS125:BB125"/>
    <mergeCell ref="BC125:BM125"/>
    <mergeCell ref="BN125:CB125"/>
    <mergeCell ref="A126:AR126"/>
    <mergeCell ref="AS126:BB126"/>
    <mergeCell ref="BC126:BM126"/>
    <mergeCell ref="BN126:CB126"/>
    <mergeCell ref="A123:D123"/>
    <mergeCell ref="E123:AR123"/>
    <mergeCell ref="AS123:BB123"/>
    <mergeCell ref="BC123:BM123"/>
    <mergeCell ref="BN123:CB123"/>
    <mergeCell ref="A124:D124"/>
    <mergeCell ref="E124:AR124"/>
    <mergeCell ref="AS124:BB124"/>
    <mergeCell ref="BC124:BM124"/>
    <mergeCell ref="BN124:CB124"/>
    <mergeCell ref="A121:D121"/>
    <mergeCell ref="E121:AR121"/>
    <mergeCell ref="AS121:BB121"/>
    <mergeCell ref="BC121:BM121"/>
  </mergeCells>
  <pageMargins left="0.70866141732283472" right="0.70866141732283472" top="0.74803149606299213" bottom="0.74803149606299213" header="0.31496062992125984" footer="0.31496062992125984"/>
  <pageSetup paperSize="9" scale="65" orientation="landscape" r:id="rId1"/>
  <rowBreaks count="1" manualBreakCount="1">
    <brk id="93" max="8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K49"/>
  <sheetViews>
    <sheetView view="pageBreakPreview" topLeftCell="A13" zoomScale="60" zoomScaleNormal="100" workbookViewId="0">
      <selection activeCell="O54" sqref="O53:O54"/>
    </sheetView>
  </sheetViews>
  <sheetFormatPr defaultColWidth="22.5703125" defaultRowHeight="12.75" x14ac:dyDescent="0.2"/>
  <cols>
    <col min="1" max="1" width="22.5703125" style="647"/>
    <col min="2" max="2" width="41.28515625" style="647" customWidth="1"/>
    <col min="3" max="3" width="11.140625" style="647" customWidth="1"/>
    <col min="4" max="4" width="10" style="647" customWidth="1"/>
    <col min="5" max="5" width="15.5703125" style="647" customWidth="1"/>
    <col min="6" max="6" width="14.7109375" style="647" customWidth="1"/>
    <col min="7" max="7" width="16.28515625" style="647" customWidth="1"/>
    <col min="8" max="8" width="19.5703125" style="647" customWidth="1"/>
    <col min="9" max="9" width="17.140625" style="647" customWidth="1"/>
    <col min="10" max="10" width="12" style="647" customWidth="1"/>
    <col min="11" max="11" width="12.5703125" style="647" customWidth="1"/>
    <col min="12" max="16384" width="22.5703125" style="647"/>
  </cols>
  <sheetData>
    <row r="1" spans="2:7" x14ac:dyDescent="0.2">
      <c r="B1" s="646" t="s">
        <v>650</v>
      </c>
      <c r="D1" s="646" t="s">
        <v>651</v>
      </c>
    </row>
    <row r="2" spans="2:7" x14ac:dyDescent="0.2">
      <c r="B2" s="646" t="s">
        <v>652</v>
      </c>
    </row>
    <row r="3" spans="2:7" x14ac:dyDescent="0.2">
      <c r="B3" s="648" t="s">
        <v>1306</v>
      </c>
    </row>
    <row r="4" spans="2:7" ht="13.5" thickBot="1" x14ac:dyDescent="0.25"/>
    <row r="5" spans="2:7" x14ac:dyDescent="0.2">
      <c r="B5" s="649" t="s">
        <v>654</v>
      </c>
      <c r="C5" s="650">
        <v>30</v>
      </c>
      <c r="D5" s="651"/>
      <c r="E5" s="652"/>
    </row>
    <row r="6" spans="2:7" x14ac:dyDescent="0.2">
      <c r="B6" s="653" t="s">
        <v>655</v>
      </c>
      <c r="C6" s="647">
        <v>4</v>
      </c>
      <c r="E6" s="654"/>
    </row>
    <row r="7" spans="2:7" x14ac:dyDescent="0.2">
      <c r="B7" s="653" t="s">
        <v>656</v>
      </c>
      <c r="C7" s="647">
        <v>21</v>
      </c>
      <c r="E7" s="654"/>
    </row>
    <row r="8" spans="2:7" x14ac:dyDescent="0.2">
      <c r="B8" s="653"/>
      <c r="E8" s="654"/>
    </row>
    <row r="9" spans="2:7" x14ac:dyDescent="0.2">
      <c r="B9" s="653" t="s">
        <v>657</v>
      </c>
      <c r="C9" s="655">
        <f>'[5]ЛЕТО 25.12.23 (2)'!I18</f>
        <v>14414.19</v>
      </c>
      <c r="E9" s="654"/>
    </row>
    <row r="10" spans="2:7" x14ac:dyDescent="0.2">
      <c r="B10" s="653"/>
      <c r="E10" s="654"/>
    </row>
    <row r="11" spans="2:7" ht="13.5" thickBot="1" x14ac:dyDescent="0.25">
      <c r="B11" s="656" t="s">
        <v>658</v>
      </c>
      <c r="C11" s="657">
        <f>'[5]затрат дн лагеря расчет  '!I20</f>
        <v>3080</v>
      </c>
      <c r="D11" s="658"/>
      <c r="E11" s="659"/>
    </row>
    <row r="12" spans="2:7" ht="13.5" thickBot="1" x14ac:dyDescent="0.25"/>
    <row r="13" spans="2:7" x14ac:dyDescent="0.2">
      <c r="B13" s="660" t="s">
        <v>659</v>
      </c>
      <c r="C13" s="650"/>
      <c r="D13" s="650"/>
      <c r="E13" s="652"/>
    </row>
    <row r="14" spans="2:7" x14ac:dyDescent="0.2">
      <c r="B14" s="653"/>
      <c r="E14" s="654"/>
    </row>
    <row r="15" spans="2:7" x14ac:dyDescent="0.2">
      <c r="B15" s="661" t="s">
        <v>660</v>
      </c>
      <c r="C15" s="662"/>
      <c r="D15" s="662"/>
      <c r="E15" s="663">
        <f>SUM(F15*G15)</f>
        <v>80080</v>
      </c>
      <c r="F15" s="647">
        <v>26</v>
      </c>
      <c r="G15" s="647">
        <v>3080</v>
      </c>
    </row>
    <row r="16" spans="2:7" x14ac:dyDescent="0.2">
      <c r="B16" s="661" t="s">
        <v>661</v>
      </c>
      <c r="C16" s="662"/>
      <c r="D16" s="662"/>
      <c r="E16" s="664">
        <f>E35-E15</f>
        <v>352345.7</v>
      </c>
    </row>
    <row r="17" spans="2:11" ht="13.5" thickBot="1" x14ac:dyDescent="0.25">
      <c r="B17" s="665" t="s">
        <v>662</v>
      </c>
      <c r="C17" s="666"/>
      <c r="D17" s="667"/>
      <c r="E17" s="668">
        <f>SUM(E15:E16)</f>
        <v>432425.7</v>
      </c>
    </row>
    <row r="18" spans="2:11" ht="13.5" thickBot="1" x14ac:dyDescent="0.25"/>
    <row r="19" spans="2:11" x14ac:dyDescent="0.2">
      <c r="B19" s="669" t="s">
        <v>663</v>
      </c>
      <c r="C19" s="670" t="s">
        <v>664</v>
      </c>
      <c r="D19" s="671" t="s">
        <v>665</v>
      </c>
      <c r="E19" s="672" t="s">
        <v>186</v>
      </c>
      <c r="F19" s="673" t="s">
        <v>579</v>
      </c>
      <c r="G19" s="671" t="s">
        <v>666</v>
      </c>
      <c r="H19" s="671" t="s">
        <v>667</v>
      </c>
      <c r="I19" s="674">
        <f>E15</f>
        <v>80080</v>
      </c>
    </row>
    <row r="20" spans="2:11" ht="13.5" thickBot="1" x14ac:dyDescent="0.25">
      <c r="B20" s="675"/>
      <c r="C20" s="676"/>
      <c r="D20" s="676"/>
      <c r="E20" s="677"/>
      <c r="F20" s="677"/>
      <c r="G20" s="676"/>
      <c r="H20" s="678"/>
      <c r="I20" s="655">
        <f>E17</f>
        <v>432425.7</v>
      </c>
    </row>
    <row r="21" spans="2:11" x14ac:dyDescent="0.2">
      <c r="B21" s="679"/>
      <c r="C21" s="680"/>
      <c r="D21" s="681"/>
      <c r="E21" s="680"/>
      <c r="F21" s="682"/>
      <c r="G21" s="683"/>
      <c r="H21" s="683"/>
    </row>
    <row r="22" spans="2:11" x14ac:dyDescent="0.2">
      <c r="B22" s="684" t="s">
        <v>668</v>
      </c>
      <c r="C22" s="685">
        <v>9</v>
      </c>
      <c r="D22" s="681"/>
      <c r="E22" s="685">
        <f>SUM(C5*C7*C22)</f>
        <v>5670</v>
      </c>
      <c r="F22" s="686">
        <v>340</v>
      </c>
      <c r="G22" s="687">
        <f t="shared" ref="G22:G33" si="0">E22-H22</f>
        <v>4813.78</v>
      </c>
      <c r="H22" s="685">
        <f>ROUND(E22*H40,2)</f>
        <v>856.22</v>
      </c>
      <c r="J22" s="688"/>
    </row>
    <row r="23" spans="2:11" x14ac:dyDescent="0.2">
      <c r="B23" s="684" t="s">
        <v>669</v>
      </c>
      <c r="C23" s="685">
        <v>7</v>
      </c>
      <c r="D23" s="681"/>
      <c r="E23" s="685">
        <f>SUM(C5*C7*C23)</f>
        <v>4410</v>
      </c>
      <c r="F23" s="686">
        <v>340</v>
      </c>
      <c r="G23" s="687">
        <f t="shared" si="0"/>
        <v>3744.05</v>
      </c>
      <c r="H23" s="685">
        <f>ROUND(E23*H40,2)</f>
        <v>665.95</v>
      </c>
      <c r="J23" s="688"/>
    </row>
    <row r="24" spans="2:11" x14ac:dyDescent="0.2">
      <c r="B24" s="684" t="s">
        <v>670</v>
      </c>
      <c r="C24" s="685">
        <v>115.77</v>
      </c>
      <c r="D24" s="681"/>
      <c r="E24" s="685">
        <f>SUM(C5*C7*C24)</f>
        <v>72935.099999999991</v>
      </c>
      <c r="F24" s="686">
        <v>211.21299999999999</v>
      </c>
      <c r="G24" s="687">
        <f t="shared" si="0"/>
        <v>61921.299999999988</v>
      </c>
      <c r="H24" s="685">
        <f>ROUND(E24*H40,2)</f>
        <v>11013.8</v>
      </c>
      <c r="J24" s="688"/>
    </row>
    <row r="25" spans="2:11" x14ac:dyDescent="0.2">
      <c r="B25" s="684" t="s">
        <v>671</v>
      </c>
      <c r="C25" s="685">
        <v>302</v>
      </c>
      <c r="D25" s="681"/>
      <c r="E25" s="685">
        <f>SUM(C25*C5*C7)</f>
        <v>190260</v>
      </c>
      <c r="F25" s="686">
        <v>226</v>
      </c>
      <c r="G25" s="687">
        <f t="shared" si="0"/>
        <v>141417.60999999999</v>
      </c>
      <c r="H25" s="685">
        <f>ROUND(J25*H40,2)</f>
        <v>48842.39</v>
      </c>
      <c r="J25" s="688">
        <f>SUM(C25*51)*21</f>
        <v>323442</v>
      </c>
      <c r="K25" s="689">
        <f>G25-H47</f>
        <v>109128.84</v>
      </c>
    </row>
    <row r="26" spans="2:11" x14ac:dyDescent="0.2">
      <c r="B26" s="684" t="s">
        <v>672</v>
      </c>
      <c r="C26" s="685">
        <v>118.35</v>
      </c>
      <c r="D26" s="681"/>
      <c r="E26" s="685">
        <f>SUM(C26*C5*C7)</f>
        <v>74560.5</v>
      </c>
      <c r="F26" s="686">
        <v>226</v>
      </c>
      <c r="G26" s="687">
        <f t="shared" si="0"/>
        <v>63301.25</v>
      </c>
      <c r="H26" s="685">
        <f>ROUND(E26*H40,2)</f>
        <v>11259.25</v>
      </c>
      <c r="J26" s="688"/>
    </row>
    <row r="27" spans="2:11" x14ac:dyDescent="0.2">
      <c r="B27" s="690" t="s">
        <v>673</v>
      </c>
      <c r="C27" s="685">
        <v>56.04</v>
      </c>
      <c r="D27" s="681">
        <v>4.5</v>
      </c>
      <c r="E27" s="685">
        <f>SUM(C5*C7*C27)</f>
        <v>35305.199999999997</v>
      </c>
      <c r="F27" s="686">
        <v>226</v>
      </c>
      <c r="G27" s="687">
        <f t="shared" si="0"/>
        <v>35305.199999999997</v>
      </c>
      <c r="H27" s="687"/>
      <c r="J27" s="688"/>
    </row>
    <row r="28" spans="2:11" x14ac:dyDescent="0.2">
      <c r="B28" s="691" t="s">
        <v>674</v>
      </c>
      <c r="C28" s="685">
        <v>4.33</v>
      </c>
      <c r="D28" s="681"/>
      <c r="E28" s="685">
        <f>SUM(C5*C7*C28)</f>
        <v>2727.9</v>
      </c>
      <c r="F28" s="686">
        <v>222</v>
      </c>
      <c r="G28" s="687">
        <f t="shared" si="0"/>
        <v>2315.96</v>
      </c>
      <c r="H28" s="685">
        <f>ROUND(E28*H40,2)</f>
        <v>411.94</v>
      </c>
      <c r="J28" s="688"/>
    </row>
    <row r="29" spans="2:11" x14ac:dyDescent="0.2">
      <c r="B29" s="684" t="s">
        <v>675</v>
      </c>
      <c r="C29" s="685">
        <v>14.29</v>
      </c>
      <c r="D29" s="681">
        <v>5</v>
      </c>
      <c r="E29" s="685">
        <f>SUM(C5*C7*C29)</f>
        <v>9002.6999999999989</v>
      </c>
      <c r="F29" s="686">
        <v>226</v>
      </c>
      <c r="G29" s="687">
        <f t="shared" si="0"/>
        <v>7643.2199999999993</v>
      </c>
      <c r="H29" s="685">
        <f>ROUND(E29*H40,2)</f>
        <v>1359.48</v>
      </c>
      <c r="J29" s="688"/>
    </row>
    <row r="30" spans="2:11" x14ac:dyDescent="0.2">
      <c r="B30" s="690" t="s">
        <v>676</v>
      </c>
      <c r="C30" s="685">
        <v>1.47</v>
      </c>
      <c r="D30" s="681"/>
      <c r="E30" s="685">
        <f>SUM(C30*C7*C5)</f>
        <v>926.1</v>
      </c>
      <c r="F30" s="686">
        <v>226</v>
      </c>
      <c r="G30" s="687">
        <f t="shared" si="0"/>
        <v>786.25</v>
      </c>
      <c r="H30" s="685">
        <f>ROUND(E30*H40,2)</f>
        <v>139.85</v>
      </c>
      <c r="J30" s="692"/>
    </row>
    <row r="31" spans="2:11" x14ac:dyDescent="0.2">
      <c r="B31" s="693" t="s">
        <v>677</v>
      </c>
      <c r="C31" s="685">
        <v>24.86</v>
      </c>
      <c r="D31" s="694"/>
      <c r="E31" s="685">
        <f>SUM(C31*C7*C5)</f>
        <v>15661.8</v>
      </c>
      <c r="F31" s="695">
        <v>225</v>
      </c>
      <c r="G31" s="687">
        <f t="shared" si="0"/>
        <v>13296.74</v>
      </c>
      <c r="H31" s="685">
        <f>ROUND(E31*H40,2)</f>
        <v>2365.06</v>
      </c>
      <c r="J31" s="692"/>
    </row>
    <row r="32" spans="2:11" x14ac:dyDescent="0.2">
      <c r="B32" s="696" t="s">
        <v>678</v>
      </c>
      <c r="C32" s="697">
        <v>2.9</v>
      </c>
      <c r="D32" s="694"/>
      <c r="E32" s="685">
        <f>SUM(C5*C7*C32)</f>
        <v>1827</v>
      </c>
      <c r="F32" s="695">
        <v>226</v>
      </c>
      <c r="G32" s="687">
        <f t="shared" si="0"/>
        <v>1551.1100000000001</v>
      </c>
      <c r="H32" s="685">
        <f>ROUND(E32*H40,2)</f>
        <v>275.89</v>
      </c>
      <c r="J32" s="692"/>
    </row>
    <row r="33" spans="2:11" x14ac:dyDescent="0.2">
      <c r="B33" s="193" t="s">
        <v>679</v>
      </c>
      <c r="C33" s="697">
        <v>30.38</v>
      </c>
      <c r="D33" s="694"/>
      <c r="E33" s="685">
        <f>SUM(C5*C7*C33)</f>
        <v>19139.399999999998</v>
      </c>
      <c r="F33" s="695"/>
      <c r="G33" s="687">
        <f t="shared" si="0"/>
        <v>16249.229999999998</v>
      </c>
      <c r="H33" s="685">
        <f>ROUND(E33*H40,2)-0.04</f>
        <v>2890.17</v>
      </c>
      <c r="J33" s="688"/>
    </row>
    <row r="34" spans="2:11" x14ac:dyDescent="0.2">
      <c r="B34" s="698"/>
      <c r="C34" s="694"/>
      <c r="D34" s="694"/>
      <c r="E34" s="699"/>
      <c r="F34" s="700"/>
      <c r="G34" s="701"/>
      <c r="H34" s="701"/>
      <c r="J34" s="688"/>
    </row>
    <row r="35" spans="2:11" ht="14.25" x14ac:dyDescent="0.2">
      <c r="B35" s="702" t="s">
        <v>680</v>
      </c>
      <c r="C35" s="703">
        <f>SUM(C22:C34)</f>
        <v>686.39</v>
      </c>
      <c r="D35" s="704"/>
      <c r="E35" s="705">
        <f>SUM(E21:E34)</f>
        <v>432425.7</v>
      </c>
      <c r="F35" s="706"/>
      <c r="G35" s="705">
        <f>SUM(G21:G34)</f>
        <v>352345.69999999995</v>
      </c>
      <c r="H35" s="705">
        <f>SUM(H21:H34)</f>
        <v>80080</v>
      </c>
      <c r="J35" s="692"/>
      <c r="K35" s="655"/>
    </row>
    <row r="36" spans="2:11" ht="12" customHeight="1" x14ac:dyDescent="0.2">
      <c r="C36" s="655"/>
    </row>
    <row r="37" spans="2:11" ht="15.75" x14ac:dyDescent="0.25">
      <c r="B37" s="707"/>
      <c r="E37" s="674">
        <f>SUM(E35-E30-E27-E31)-12*21*C25+225873.9</f>
        <v>530302.5</v>
      </c>
      <c r="H37" s="708">
        <f>E15</f>
        <v>80080</v>
      </c>
    </row>
    <row r="38" spans="2:11" ht="4.9000000000000004" customHeight="1" x14ac:dyDescent="0.25">
      <c r="B38" s="707"/>
      <c r="E38" s="655"/>
      <c r="G38" s="709"/>
      <c r="H38" s="709"/>
    </row>
    <row r="39" spans="2:11" ht="13.5" thickBot="1" x14ac:dyDescent="0.25">
      <c r="B39" s="710"/>
    </row>
    <row r="40" spans="2:11" ht="13.5" thickBot="1" x14ac:dyDescent="0.25">
      <c r="H40" s="711">
        <f>ROUND(H37/E37,7)</f>
        <v>0.15100820000000001</v>
      </c>
    </row>
    <row r="43" spans="2:11" ht="14.25" x14ac:dyDescent="0.2">
      <c r="B43" s="712" t="s">
        <v>1307</v>
      </c>
      <c r="C43" s="712"/>
      <c r="D43" s="712"/>
      <c r="E43" s="712"/>
      <c r="F43" s="712"/>
      <c r="G43" s="712"/>
      <c r="H43" s="712"/>
      <c r="I43" s="712"/>
      <c r="J43" s="712"/>
    </row>
    <row r="44" spans="2:11" ht="15" x14ac:dyDescent="0.25">
      <c r="B44" s="713"/>
      <c r="C44" s="713"/>
      <c r="D44" s="713"/>
      <c r="E44" s="713"/>
      <c r="F44" s="713"/>
      <c r="G44" s="714"/>
      <c r="H44" s="715">
        <v>0.9</v>
      </c>
      <c r="I44" s="715">
        <v>0.1</v>
      </c>
      <c r="J44" s="713"/>
    </row>
    <row r="45" spans="2:11" ht="14.25" x14ac:dyDescent="0.2">
      <c r="B45" s="2210"/>
      <c r="C45" s="2211" t="s">
        <v>682</v>
      </c>
      <c r="D45" s="2211" t="s">
        <v>683</v>
      </c>
      <c r="E45" s="2211" t="s">
        <v>684</v>
      </c>
      <c r="F45" s="2212" t="s">
        <v>685</v>
      </c>
      <c r="G45" s="2214" t="s">
        <v>686</v>
      </c>
      <c r="H45" s="2207" t="s">
        <v>687</v>
      </c>
      <c r="I45" s="2208"/>
      <c r="J45" s="2209"/>
    </row>
    <row r="46" spans="2:11" ht="15" x14ac:dyDescent="0.2">
      <c r="B46" s="2210"/>
      <c r="C46" s="2211"/>
      <c r="D46" s="2211"/>
      <c r="E46" s="2211"/>
      <c r="F46" s="2213"/>
      <c r="G46" s="2215"/>
      <c r="H46" s="716" t="s">
        <v>688</v>
      </c>
      <c r="I46" s="716" t="s">
        <v>689</v>
      </c>
      <c r="J46" s="716" t="s">
        <v>690</v>
      </c>
    </row>
    <row r="47" spans="2:11" ht="15.75" x14ac:dyDescent="0.25">
      <c r="B47" s="717" t="s">
        <v>651</v>
      </c>
      <c r="C47" s="718">
        <v>4</v>
      </c>
      <c r="D47" s="719">
        <f>C9</f>
        <v>14414.19</v>
      </c>
      <c r="E47" s="217">
        <f>C47*D47</f>
        <v>57656.76</v>
      </c>
      <c r="F47" s="720">
        <v>8969.1</v>
      </c>
      <c r="G47" s="219">
        <f>ROUND(F47*C47,2)</f>
        <v>35876.400000000001</v>
      </c>
      <c r="H47" s="220">
        <f>ROUND(G47/100*90,2)+0.01</f>
        <v>32288.769999999997</v>
      </c>
      <c r="I47" s="220">
        <f>G47-H47</f>
        <v>3587.6300000000047</v>
      </c>
      <c r="J47" s="220">
        <f>E47-H47-I47</f>
        <v>21780.36</v>
      </c>
    </row>
    <row r="48" spans="2:11" ht="15" x14ac:dyDescent="0.25">
      <c r="B48" s="713"/>
      <c r="C48" s="713"/>
      <c r="D48" s="713"/>
      <c r="E48" s="713"/>
      <c r="F48" s="713"/>
      <c r="G48" s="714"/>
      <c r="H48" s="713"/>
      <c r="I48" s="713"/>
      <c r="J48" s="713"/>
    </row>
    <row r="49" spans="7:8" x14ac:dyDescent="0.2">
      <c r="G49" s="689">
        <f>G35-E47</f>
        <v>294688.93999999994</v>
      </c>
      <c r="H49" s="689">
        <f>G49+I47+J47</f>
        <v>320056.92999999993</v>
      </c>
    </row>
  </sheetData>
  <mergeCells count="7">
    <mergeCell ref="H45:J45"/>
    <mergeCell ref="B45:B46"/>
    <mergeCell ref="C45:C46"/>
    <mergeCell ref="D45:D46"/>
    <mergeCell ref="E45:E46"/>
    <mergeCell ref="F45:F46"/>
    <mergeCell ref="G45:G46"/>
  </mergeCells>
  <pageMargins left="0.25" right="0.25" top="0.75" bottom="0.75" header="0.3" footer="0.3"/>
  <pageSetup paperSize="9" scale="75" fitToHeight="0" orientation="landscape"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CI103"/>
  <sheetViews>
    <sheetView zoomScale="85" zoomScaleNormal="85" workbookViewId="0">
      <selection activeCell="EK21" sqref="EK21"/>
    </sheetView>
  </sheetViews>
  <sheetFormatPr defaultColWidth="1.140625" defaultRowHeight="12.75" x14ac:dyDescent="0.2"/>
  <cols>
    <col min="1" max="64" width="1.140625" style="8"/>
    <col min="65" max="65" width="2.7109375" style="8" customWidth="1"/>
    <col min="66" max="80" width="1.140625" style="8"/>
    <col min="81" max="81" width="16.5703125" style="8" customWidth="1"/>
    <col min="82" max="82" width="18" style="8" customWidth="1"/>
    <col min="83" max="83" width="11.7109375" style="8" customWidth="1"/>
    <col min="84" max="84" width="15.140625" style="8" customWidth="1"/>
    <col min="85" max="85" width="15.28515625" style="8" customWidth="1"/>
    <col min="86" max="86" width="23.5703125" style="8" customWidth="1"/>
    <col min="87" max="16384" width="1.140625" style="8"/>
  </cols>
  <sheetData>
    <row r="1" spans="1:86" s="4" customFormat="1" ht="15.75" customHeight="1" x14ac:dyDescent="0.25">
      <c r="A1" s="1817" t="s">
        <v>138</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c r="AM1" s="1817"/>
      <c r="AN1" s="1817"/>
      <c r="AO1" s="1817"/>
      <c r="AP1" s="1817"/>
      <c r="AQ1" s="1817"/>
      <c r="AR1" s="1817"/>
      <c r="AS1" s="1817"/>
      <c r="AT1" s="1817"/>
      <c r="AU1" s="1817"/>
      <c r="AV1" s="1817"/>
      <c r="AW1" s="1817"/>
      <c r="AX1" s="1817"/>
      <c r="AY1" s="1817"/>
      <c r="AZ1" s="1817"/>
      <c r="BA1" s="1817"/>
      <c r="BB1" s="1817"/>
      <c r="BC1" s="1817"/>
      <c r="BD1" s="1817"/>
      <c r="BE1" s="1817"/>
      <c r="BF1" s="1817"/>
      <c r="BG1" s="1817"/>
      <c r="BH1" s="1817"/>
      <c r="BI1" s="1817"/>
      <c r="BJ1" s="1817"/>
      <c r="BK1" s="1817"/>
      <c r="BL1" s="1817"/>
      <c r="BM1" s="1817"/>
      <c r="BN1" s="1817"/>
      <c r="BO1" s="1817"/>
      <c r="BP1" s="1817"/>
      <c r="BQ1" s="1817"/>
      <c r="BR1" s="1817"/>
      <c r="BS1" s="1817"/>
      <c r="BT1" s="1817"/>
      <c r="BU1" s="1817"/>
      <c r="BV1" s="1817"/>
      <c r="BW1" s="1817"/>
      <c r="BX1" s="1817"/>
      <c r="BY1" s="1817"/>
      <c r="BZ1" s="1817"/>
      <c r="CA1" s="1817"/>
      <c r="CB1" s="1817"/>
    </row>
    <row r="2" spans="1:86" s="7" customFormat="1" ht="9.75"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row>
    <row r="3" spans="1:86" x14ac:dyDescent="0.2">
      <c r="A3" s="1818" t="s">
        <v>71</v>
      </c>
      <c r="B3" s="1819"/>
      <c r="C3" s="1819"/>
      <c r="D3" s="1820"/>
      <c r="E3" s="1819" t="s">
        <v>4</v>
      </c>
      <c r="F3" s="1819"/>
      <c r="G3" s="1819"/>
      <c r="H3" s="1819"/>
      <c r="I3" s="1819"/>
      <c r="J3" s="1819"/>
      <c r="K3" s="1819"/>
      <c r="L3" s="1819"/>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20"/>
      <c r="AN3" s="1781" t="s">
        <v>139</v>
      </c>
      <c r="AO3" s="1925"/>
      <c r="AP3" s="1925"/>
      <c r="AQ3" s="1925"/>
      <c r="AR3" s="1925"/>
      <c r="AS3" s="1925"/>
      <c r="AT3" s="1925"/>
      <c r="AU3" s="1925"/>
      <c r="AV3" s="1925"/>
      <c r="AW3" s="1925"/>
      <c r="AX3" s="1925"/>
      <c r="AY3" s="1925"/>
      <c r="AZ3" s="1925"/>
      <c r="BA3" s="1925"/>
      <c r="BB3" s="1925"/>
      <c r="BC3" s="1782"/>
      <c r="BD3" s="1781" t="s">
        <v>140</v>
      </c>
      <c r="BE3" s="1925"/>
      <c r="BF3" s="1925"/>
      <c r="BG3" s="1925"/>
      <c r="BH3" s="1925"/>
      <c r="BI3" s="1925"/>
      <c r="BJ3" s="1925"/>
      <c r="BK3" s="1925"/>
      <c r="BL3" s="1925"/>
      <c r="BM3" s="1782"/>
      <c r="BN3" s="1819" t="s">
        <v>105</v>
      </c>
      <c r="BO3" s="1819"/>
      <c r="BP3" s="1819"/>
      <c r="BQ3" s="1819"/>
      <c r="BR3" s="1819"/>
      <c r="BS3" s="1819"/>
      <c r="BT3" s="1819"/>
      <c r="BU3" s="1819"/>
      <c r="BV3" s="1819"/>
      <c r="BW3" s="1819"/>
      <c r="BX3" s="1819"/>
      <c r="BY3" s="1819"/>
      <c r="BZ3" s="1819"/>
      <c r="CA3" s="1819"/>
      <c r="CB3" s="1820"/>
      <c r="CC3" s="1799" t="s">
        <v>52</v>
      </c>
      <c r="CD3" s="1806"/>
      <c r="CE3" s="1806"/>
      <c r="CF3" s="1806"/>
      <c r="CG3" s="1806"/>
      <c r="CH3" s="1806"/>
    </row>
    <row r="4" spans="1:86" ht="12.75" customHeight="1" x14ac:dyDescent="0.2">
      <c r="A4" s="1807" t="s">
        <v>77</v>
      </c>
      <c r="B4" s="1808"/>
      <c r="C4" s="1808"/>
      <c r="D4" s="1809"/>
      <c r="E4" s="1808"/>
      <c r="F4" s="1808"/>
      <c r="G4" s="1808"/>
      <c r="H4" s="1808"/>
      <c r="I4" s="1808"/>
      <c r="J4" s="1808"/>
      <c r="K4" s="1808"/>
      <c r="L4" s="1808"/>
      <c r="M4" s="1808"/>
      <c r="N4" s="1808"/>
      <c r="O4" s="1808"/>
      <c r="P4" s="1808"/>
      <c r="Q4" s="1808"/>
      <c r="R4" s="1808"/>
      <c r="S4" s="1808"/>
      <c r="T4" s="1808"/>
      <c r="U4" s="1808"/>
      <c r="V4" s="1808"/>
      <c r="W4" s="1808"/>
      <c r="X4" s="1808"/>
      <c r="Y4" s="1808"/>
      <c r="Z4" s="1808"/>
      <c r="AA4" s="1808"/>
      <c r="AB4" s="1808"/>
      <c r="AC4" s="1808"/>
      <c r="AD4" s="1808"/>
      <c r="AE4" s="1808"/>
      <c r="AF4" s="1808"/>
      <c r="AG4" s="1808"/>
      <c r="AH4" s="1808"/>
      <c r="AI4" s="1808"/>
      <c r="AJ4" s="1808"/>
      <c r="AK4" s="1808"/>
      <c r="AL4" s="1808"/>
      <c r="AM4" s="1809"/>
      <c r="AN4" s="1783"/>
      <c r="AO4" s="1926"/>
      <c r="AP4" s="1926"/>
      <c r="AQ4" s="1926"/>
      <c r="AR4" s="1926"/>
      <c r="AS4" s="1926"/>
      <c r="AT4" s="1926"/>
      <c r="AU4" s="1926"/>
      <c r="AV4" s="1926"/>
      <c r="AW4" s="1926"/>
      <c r="AX4" s="1926"/>
      <c r="AY4" s="1926"/>
      <c r="AZ4" s="1926"/>
      <c r="BA4" s="1926"/>
      <c r="BB4" s="1926"/>
      <c r="BC4" s="1784"/>
      <c r="BD4" s="1783"/>
      <c r="BE4" s="1926"/>
      <c r="BF4" s="1926"/>
      <c r="BG4" s="1926"/>
      <c r="BH4" s="1926"/>
      <c r="BI4" s="1926"/>
      <c r="BJ4" s="1926"/>
      <c r="BK4" s="1926"/>
      <c r="BL4" s="1926"/>
      <c r="BM4" s="1784"/>
      <c r="BN4" s="1808" t="s">
        <v>141</v>
      </c>
      <c r="BO4" s="1808"/>
      <c r="BP4" s="1808"/>
      <c r="BQ4" s="1808"/>
      <c r="BR4" s="1808"/>
      <c r="BS4" s="1808"/>
      <c r="BT4" s="1808"/>
      <c r="BU4" s="1808"/>
      <c r="BV4" s="1808"/>
      <c r="BW4" s="1808"/>
      <c r="BX4" s="1808"/>
      <c r="BY4" s="1808"/>
      <c r="BZ4" s="1808"/>
      <c r="CA4" s="1808"/>
      <c r="CB4" s="1809"/>
      <c r="CC4" s="1789" t="s">
        <v>35</v>
      </c>
      <c r="CD4" s="1810"/>
      <c r="CE4" s="1788" t="s">
        <v>45</v>
      </c>
      <c r="CF4" s="1790"/>
      <c r="CG4" s="1789"/>
      <c r="CH4" s="1778" t="s">
        <v>46</v>
      </c>
    </row>
    <row r="5" spans="1:86" ht="59.25" customHeight="1" x14ac:dyDescent="0.2">
      <c r="A5" s="1807"/>
      <c r="B5" s="1808"/>
      <c r="C5" s="1808"/>
      <c r="D5" s="1809"/>
      <c r="E5" s="1808"/>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8"/>
      <c r="AJ5" s="1808"/>
      <c r="AK5" s="1808"/>
      <c r="AL5" s="1808"/>
      <c r="AM5" s="1809"/>
      <c r="AN5" s="1783"/>
      <c r="AO5" s="1926"/>
      <c r="AP5" s="1926"/>
      <c r="AQ5" s="1926"/>
      <c r="AR5" s="1926"/>
      <c r="AS5" s="1926"/>
      <c r="AT5" s="1926"/>
      <c r="AU5" s="1926"/>
      <c r="AV5" s="1926"/>
      <c r="AW5" s="1926"/>
      <c r="AX5" s="1926"/>
      <c r="AY5" s="1926"/>
      <c r="AZ5" s="1926"/>
      <c r="BA5" s="1926"/>
      <c r="BB5" s="1926"/>
      <c r="BC5" s="1784"/>
      <c r="BD5" s="1783"/>
      <c r="BE5" s="1926"/>
      <c r="BF5" s="1926"/>
      <c r="BG5" s="1926"/>
      <c r="BH5" s="1926"/>
      <c r="BI5" s="1926"/>
      <c r="BJ5" s="1926"/>
      <c r="BK5" s="1926"/>
      <c r="BL5" s="1926"/>
      <c r="BM5" s="1784"/>
      <c r="BN5" s="1808" t="s">
        <v>111</v>
      </c>
      <c r="BO5" s="1928"/>
      <c r="BP5" s="1928"/>
      <c r="BQ5" s="1928"/>
      <c r="BR5" s="1928"/>
      <c r="BS5" s="1928"/>
      <c r="BT5" s="1928"/>
      <c r="BU5" s="1928"/>
      <c r="BV5" s="1928"/>
      <c r="BW5" s="1928"/>
      <c r="BX5" s="1928"/>
      <c r="BY5" s="1928"/>
      <c r="BZ5" s="1928"/>
      <c r="CA5" s="1928"/>
      <c r="CB5" s="1929"/>
      <c r="CC5" s="1930" t="s">
        <v>43</v>
      </c>
      <c r="CD5" s="1811" t="s">
        <v>44</v>
      </c>
      <c r="CE5" s="1812" t="s">
        <v>55</v>
      </c>
      <c r="CF5" s="1811" t="s">
        <v>43</v>
      </c>
      <c r="CG5" s="1811" t="s">
        <v>44</v>
      </c>
      <c r="CH5" s="1779"/>
    </row>
    <row r="6" spans="1:86" x14ac:dyDescent="0.2">
      <c r="A6" s="1814"/>
      <c r="B6" s="1815"/>
      <c r="C6" s="1815"/>
      <c r="D6" s="1816"/>
      <c r="E6" s="1815"/>
      <c r="F6" s="1815"/>
      <c r="G6" s="1815"/>
      <c r="H6" s="1815"/>
      <c r="I6" s="1815"/>
      <c r="J6" s="1815"/>
      <c r="K6" s="1815"/>
      <c r="L6" s="1815"/>
      <c r="M6" s="1815"/>
      <c r="N6" s="1815"/>
      <c r="O6" s="1815"/>
      <c r="P6" s="1815"/>
      <c r="Q6" s="1815"/>
      <c r="R6" s="1815"/>
      <c r="S6" s="1815"/>
      <c r="T6" s="1815"/>
      <c r="U6" s="1815"/>
      <c r="V6" s="1815"/>
      <c r="W6" s="1815"/>
      <c r="X6" s="1815"/>
      <c r="Y6" s="1815"/>
      <c r="Z6" s="1815"/>
      <c r="AA6" s="1815"/>
      <c r="AB6" s="1815"/>
      <c r="AC6" s="1815"/>
      <c r="AD6" s="1815"/>
      <c r="AE6" s="1815"/>
      <c r="AF6" s="1815"/>
      <c r="AG6" s="1815"/>
      <c r="AH6" s="1815"/>
      <c r="AI6" s="1815"/>
      <c r="AJ6" s="1815"/>
      <c r="AK6" s="1815"/>
      <c r="AL6" s="1815"/>
      <c r="AM6" s="1816"/>
      <c r="AN6" s="1785"/>
      <c r="AO6" s="1927"/>
      <c r="AP6" s="1927"/>
      <c r="AQ6" s="1927"/>
      <c r="AR6" s="1927"/>
      <c r="AS6" s="1927"/>
      <c r="AT6" s="1927"/>
      <c r="AU6" s="1927"/>
      <c r="AV6" s="1927"/>
      <c r="AW6" s="1927"/>
      <c r="AX6" s="1927"/>
      <c r="AY6" s="1927"/>
      <c r="AZ6" s="1927"/>
      <c r="BA6" s="1927"/>
      <c r="BB6" s="1927"/>
      <c r="BC6" s="1786"/>
      <c r="BD6" s="1785"/>
      <c r="BE6" s="1927"/>
      <c r="BF6" s="1927"/>
      <c r="BG6" s="1927"/>
      <c r="BH6" s="1927"/>
      <c r="BI6" s="1927"/>
      <c r="BJ6" s="1927"/>
      <c r="BK6" s="1927"/>
      <c r="BL6" s="1927"/>
      <c r="BM6" s="1786"/>
      <c r="BN6" s="1815"/>
      <c r="BO6" s="1931"/>
      <c r="BP6" s="1931"/>
      <c r="BQ6" s="1931"/>
      <c r="BR6" s="1931"/>
      <c r="BS6" s="1931"/>
      <c r="BT6" s="1931"/>
      <c r="BU6" s="1931"/>
      <c r="BV6" s="1931"/>
      <c r="BW6" s="1931"/>
      <c r="BX6" s="1931"/>
      <c r="BY6" s="1931"/>
      <c r="BZ6" s="1931"/>
      <c r="CA6" s="1931"/>
      <c r="CB6" s="1932"/>
      <c r="CC6" s="1930"/>
      <c r="CD6" s="1811"/>
      <c r="CE6" s="1813"/>
      <c r="CF6" s="1811"/>
      <c r="CG6" s="1811"/>
      <c r="CH6" s="1780"/>
    </row>
    <row r="7" spans="1:86" x14ac:dyDescent="0.2">
      <c r="A7" s="1814">
        <v>1</v>
      </c>
      <c r="B7" s="1815"/>
      <c r="C7" s="1815"/>
      <c r="D7" s="1816"/>
      <c r="E7" s="1814">
        <v>2</v>
      </c>
      <c r="F7" s="1815"/>
      <c r="G7" s="1815"/>
      <c r="H7" s="1815"/>
      <c r="I7" s="1815"/>
      <c r="J7" s="1815"/>
      <c r="K7" s="1815"/>
      <c r="L7" s="1815"/>
      <c r="M7" s="1815"/>
      <c r="N7" s="1815"/>
      <c r="O7" s="1815"/>
      <c r="P7" s="1815"/>
      <c r="Q7" s="1815"/>
      <c r="R7" s="1815"/>
      <c r="S7" s="1815"/>
      <c r="T7" s="1815"/>
      <c r="U7" s="1815"/>
      <c r="V7" s="1815"/>
      <c r="W7" s="1815"/>
      <c r="X7" s="1815"/>
      <c r="Y7" s="1815"/>
      <c r="Z7" s="1815"/>
      <c r="AA7" s="1815"/>
      <c r="AB7" s="1815"/>
      <c r="AC7" s="1815"/>
      <c r="AD7" s="1815"/>
      <c r="AE7" s="1815"/>
      <c r="AF7" s="1815"/>
      <c r="AG7" s="1815"/>
      <c r="AH7" s="1815"/>
      <c r="AI7" s="1815"/>
      <c r="AJ7" s="1815"/>
      <c r="AK7" s="1815"/>
      <c r="AL7" s="1815"/>
      <c r="AM7" s="1816"/>
      <c r="AN7" s="1814">
        <v>3</v>
      </c>
      <c r="AO7" s="1815"/>
      <c r="AP7" s="1815"/>
      <c r="AQ7" s="1815"/>
      <c r="AR7" s="1815"/>
      <c r="AS7" s="1815"/>
      <c r="AT7" s="1815"/>
      <c r="AU7" s="1815"/>
      <c r="AV7" s="1815"/>
      <c r="AW7" s="1815"/>
      <c r="AX7" s="1815"/>
      <c r="AY7" s="1815"/>
      <c r="AZ7" s="1815"/>
      <c r="BA7" s="1815"/>
      <c r="BB7" s="1815"/>
      <c r="BC7" s="1816"/>
      <c r="BD7" s="1814">
        <v>4</v>
      </c>
      <c r="BE7" s="1815"/>
      <c r="BF7" s="1815"/>
      <c r="BG7" s="1815"/>
      <c r="BH7" s="1815"/>
      <c r="BI7" s="1815"/>
      <c r="BJ7" s="1815"/>
      <c r="BK7" s="1815"/>
      <c r="BL7" s="1815"/>
      <c r="BM7" s="1816"/>
      <c r="BN7" s="1830" t="s">
        <v>49</v>
      </c>
      <c r="BO7" s="1830"/>
      <c r="BP7" s="1830"/>
      <c r="BQ7" s="1830"/>
      <c r="BR7" s="1830"/>
      <c r="BS7" s="1830"/>
      <c r="BT7" s="1830"/>
      <c r="BU7" s="1830"/>
      <c r="BV7" s="1830"/>
      <c r="BW7" s="1830"/>
      <c r="BX7" s="1830"/>
      <c r="BY7" s="1830"/>
      <c r="BZ7" s="1830"/>
      <c r="CA7" s="1830"/>
      <c r="CB7" s="1830"/>
      <c r="CC7" s="249">
        <v>6</v>
      </c>
      <c r="CD7" s="249">
        <v>7</v>
      </c>
      <c r="CE7" s="250">
        <v>8</v>
      </c>
      <c r="CF7" s="249">
        <v>9</v>
      </c>
      <c r="CG7" s="249">
        <v>10</v>
      </c>
      <c r="CH7" s="252">
        <v>11</v>
      </c>
    </row>
    <row r="8" spans="1:86" ht="41.25" customHeight="1" x14ac:dyDescent="0.2">
      <c r="A8" s="1803">
        <v>1</v>
      </c>
      <c r="B8" s="1804"/>
      <c r="C8" s="1804"/>
      <c r="D8" s="1805"/>
      <c r="E8" s="1904" t="s">
        <v>1188</v>
      </c>
      <c r="F8" s="1905"/>
      <c r="G8" s="1905"/>
      <c r="H8" s="1905"/>
      <c r="I8" s="1905"/>
      <c r="J8" s="1905"/>
      <c r="K8" s="1905"/>
      <c r="L8" s="1905"/>
      <c r="M8" s="1905"/>
      <c r="N8" s="1905"/>
      <c r="O8" s="1905"/>
      <c r="P8" s="1905"/>
      <c r="Q8" s="1905"/>
      <c r="R8" s="1905"/>
      <c r="S8" s="1905"/>
      <c r="T8" s="1905"/>
      <c r="U8" s="1905"/>
      <c r="V8" s="1905"/>
      <c r="W8" s="1905"/>
      <c r="X8" s="1905"/>
      <c r="Y8" s="1905"/>
      <c r="Z8" s="1905"/>
      <c r="AA8" s="1905"/>
      <c r="AB8" s="1905"/>
      <c r="AC8" s="1905"/>
      <c r="AD8" s="1905"/>
      <c r="AE8" s="1905"/>
      <c r="AF8" s="1905"/>
      <c r="AG8" s="1905"/>
      <c r="AH8" s="1905"/>
      <c r="AI8" s="1905"/>
      <c r="AJ8" s="1905"/>
      <c r="AK8" s="1905"/>
      <c r="AL8" s="1905"/>
      <c r="AM8" s="1906"/>
      <c r="AN8" s="1914">
        <v>4200</v>
      </c>
      <c r="AO8" s="1915"/>
      <c r="AP8" s="1915"/>
      <c r="AQ8" s="1915"/>
      <c r="AR8" s="1915"/>
      <c r="AS8" s="1915"/>
      <c r="AT8" s="1915"/>
      <c r="AU8" s="1915"/>
      <c r="AV8" s="1915"/>
      <c r="AW8" s="1915"/>
      <c r="AX8" s="1915"/>
      <c r="AY8" s="1915"/>
      <c r="AZ8" s="1915"/>
      <c r="BA8" s="1915"/>
      <c r="BB8" s="1915"/>
      <c r="BC8" s="1916"/>
      <c r="BD8" s="1901">
        <v>12</v>
      </c>
      <c r="BE8" s="1902"/>
      <c r="BF8" s="1902"/>
      <c r="BG8" s="1902"/>
      <c r="BH8" s="1902"/>
      <c r="BI8" s="1902"/>
      <c r="BJ8" s="1902"/>
      <c r="BK8" s="1902"/>
      <c r="BL8" s="1902"/>
      <c r="BM8" s="1903"/>
      <c r="BN8" s="1791">
        <f>AN8*BD8</f>
        <v>50400</v>
      </c>
      <c r="BO8" s="1792"/>
      <c r="BP8" s="1792"/>
      <c r="BQ8" s="1792"/>
      <c r="BR8" s="1792"/>
      <c r="BS8" s="1792"/>
      <c r="BT8" s="1792"/>
      <c r="BU8" s="1792"/>
      <c r="BV8" s="1792"/>
      <c r="BW8" s="1792"/>
      <c r="BX8" s="1792"/>
      <c r="BY8" s="1792"/>
      <c r="BZ8" s="1792"/>
      <c r="CA8" s="1792"/>
      <c r="CB8" s="1793"/>
      <c r="CC8" s="17"/>
      <c r="CD8" s="253">
        <f t="shared" ref="CD8:CD11" si="0">BN8</f>
        <v>50400</v>
      </c>
      <c r="CE8" s="17"/>
      <c r="CF8" s="17"/>
      <c r="CG8" s="17"/>
      <c r="CH8" s="17"/>
    </row>
    <row r="9" spans="1:86" ht="31.5" customHeight="1" x14ac:dyDescent="0.2">
      <c r="A9" s="1803">
        <v>2</v>
      </c>
      <c r="B9" s="1804"/>
      <c r="C9" s="1804"/>
      <c r="D9" s="1805"/>
      <c r="E9" s="1904" t="s">
        <v>1193</v>
      </c>
      <c r="F9" s="1905"/>
      <c r="G9" s="1905"/>
      <c r="H9" s="1905"/>
      <c r="I9" s="1905"/>
      <c r="J9" s="1905"/>
      <c r="K9" s="1905"/>
      <c r="L9" s="1905"/>
      <c r="M9" s="1905"/>
      <c r="N9" s="1905"/>
      <c r="O9" s="1905"/>
      <c r="P9" s="1905"/>
      <c r="Q9" s="1905"/>
      <c r="R9" s="1905"/>
      <c r="S9" s="1905"/>
      <c r="T9" s="1905"/>
      <c r="U9" s="1905"/>
      <c r="V9" s="1905"/>
      <c r="W9" s="1905"/>
      <c r="X9" s="1905"/>
      <c r="Y9" s="1905"/>
      <c r="Z9" s="1905"/>
      <c r="AA9" s="1905"/>
      <c r="AB9" s="1905"/>
      <c r="AC9" s="1905"/>
      <c r="AD9" s="1905"/>
      <c r="AE9" s="1905"/>
      <c r="AF9" s="1905"/>
      <c r="AG9" s="1905"/>
      <c r="AH9" s="1905"/>
      <c r="AI9" s="1905"/>
      <c r="AJ9" s="1905"/>
      <c r="AK9" s="1905"/>
      <c r="AL9" s="1905"/>
      <c r="AM9" s="1906"/>
      <c r="AN9" s="1914">
        <v>4153</v>
      </c>
      <c r="AO9" s="1915"/>
      <c r="AP9" s="1915"/>
      <c r="AQ9" s="1915"/>
      <c r="AR9" s="1915"/>
      <c r="AS9" s="1915"/>
      <c r="AT9" s="1915"/>
      <c r="AU9" s="1915"/>
      <c r="AV9" s="1915"/>
      <c r="AW9" s="1915"/>
      <c r="AX9" s="1915"/>
      <c r="AY9" s="1915"/>
      <c r="AZ9" s="1915"/>
      <c r="BA9" s="1915"/>
      <c r="BB9" s="1915"/>
      <c r="BC9" s="1916"/>
      <c r="BD9" s="1901">
        <v>12</v>
      </c>
      <c r="BE9" s="1902"/>
      <c r="BF9" s="1902"/>
      <c r="BG9" s="1902"/>
      <c r="BH9" s="1902"/>
      <c r="BI9" s="1902"/>
      <c r="BJ9" s="1902"/>
      <c r="BK9" s="1902"/>
      <c r="BL9" s="1902"/>
      <c r="BM9" s="1903"/>
      <c r="BN9" s="1791">
        <f>AN9*BD9</f>
        <v>49836</v>
      </c>
      <c r="BO9" s="1792"/>
      <c r="BP9" s="1792"/>
      <c r="BQ9" s="1792"/>
      <c r="BR9" s="1792"/>
      <c r="BS9" s="1792"/>
      <c r="BT9" s="1792"/>
      <c r="BU9" s="1792"/>
      <c r="BV9" s="1792"/>
      <c r="BW9" s="1792"/>
      <c r="BX9" s="1792"/>
      <c r="BY9" s="1792"/>
      <c r="BZ9" s="1792"/>
      <c r="CA9" s="1792"/>
      <c r="CB9" s="1793"/>
      <c r="CC9" s="17"/>
      <c r="CD9" s="253">
        <f t="shared" si="0"/>
        <v>49836</v>
      </c>
      <c r="CE9" s="17"/>
      <c r="CF9" s="17"/>
      <c r="CG9" s="17"/>
      <c r="CH9" s="17"/>
    </row>
    <row r="10" spans="1:86" ht="31.5" customHeight="1" x14ac:dyDescent="0.2">
      <c r="A10" s="1803">
        <v>3</v>
      </c>
      <c r="B10" s="1804"/>
      <c r="C10" s="1804"/>
      <c r="D10" s="1805"/>
      <c r="E10" s="1904" t="s">
        <v>1192</v>
      </c>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6"/>
      <c r="AN10" s="1922">
        <f>BN10</f>
        <v>3859</v>
      </c>
      <c r="AO10" s="1923"/>
      <c r="AP10" s="1923"/>
      <c r="AQ10" s="1923"/>
      <c r="AR10" s="1923"/>
      <c r="AS10" s="1923"/>
      <c r="AT10" s="1923"/>
      <c r="AU10" s="1923"/>
      <c r="AV10" s="1923"/>
      <c r="AW10" s="1923"/>
      <c r="AX10" s="1923"/>
      <c r="AY10" s="1923"/>
      <c r="AZ10" s="1923"/>
      <c r="BA10" s="1923"/>
      <c r="BB10" s="1923"/>
      <c r="BC10" s="1924"/>
      <c r="BD10" s="1901">
        <v>1</v>
      </c>
      <c r="BE10" s="1902"/>
      <c r="BF10" s="1902"/>
      <c r="BG10" s="1902"/>
      <c r="BH10" s="1902"/>
      <c r="BI10" s="1902"/>
      <c r="BJ10" s="1902"/>
      <c r="BK10" s="1902"/>
      <c r="BL10" s="1902"/>
      <c r="BM10" s="1903"/>
      <c r="BN10" s="1791">
        <f>CD10</f>
        <v>3859</v>
      </c>
      <c r="BO10" s="1792"/>
      <c r="BP10" s="1792"/>
      <c r="BQ10" s="1792"/>
      <c r="BR10" s="1792"/>
      <c r="BS10" s="1792"/>
      <c r="BT10" s="1792"/>
      <c r="BU10" s="1792"/>
      <c r="BV10" s="1792"/>
      <c r="BW10" s="1792"/>
      <c r="BX10" s="1792"/>
      <c r="BY10" s="1792"/>
      <c r="BZ10" s="1792"/>
      <c r="CA10" s="1792"/>
      <c r="CB10" s="1793"/>
      <c r="CC10" s="15"/>
      <c r="CD10" s="253">
        <f>2844+1015</f>
        <v>3859</v>
      </c>
      <c r="CE10" s="15"/>
      <c r="CF10" s="15"/>
      <c r="CG10" s="15"/>
      <c r="CH10" s="15"/>
    </row>
    <row r="11" spans="1:86" ht="27" customHeight="1" x14ac:dyDescent="0.2">
      <c r="A11" s="1803">
        <v>4</v>
      </c>
      <c r="B11" s="1804"/>
      <c r="C11" s="1804"/>
      <c r="D11" s="1805"/>
      <c r="E11" s="1904" t="s">
        <v>1187</v>
      </c>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6"/>
      <c r="AN11" s="1914">
        <f>BN11/BD11</f>
        <v>1800</v>
      </c>
      <c r="AO11" s="1915"/>
      <c r="AP11" s="1915"/>
      <c r="AQ11" s="1915"/>
      <c r="AR11" s="1915"/>
      <c r="AS11" s="1915"/>
      <c r="AT11" s="1915"/>
      <c r="AU11" s="1915"/>
      <c r="AV11" s="1915"/>
      <c r="AW11" s="1915"/>
      <c r="AX11" s="1915"/>
      <c r="AY11" s="1915"/>
      <c r="AZ11" s="1915"/>
      <c r="BA11" s="1915"/>
      <c r="BB11" s="1915"/>
      <c r="BC11" s="1916"/>
      <c r="BD11" s="1901">
        <v>12</v>
      </c>
      <c r="BE11" s="1902"/>
      <c r="BF11" s="1902"/>
      <c r="BG11" s="1902"/>
      <c r="BH11" s="1902"/>
      <c r="BI11" s="1902"/>
      <c r="BJ11" s="1902"/>
      <c r="BK11" s="1902"/>
      <c r="BL11" s="1902"/>
      <c r="BM11" s="1903"/>
      <c r="BN11" s="1791">
        <v>21600</v>
      </c>
      <c r="BO11" s="1792"/>
      <c r="BP11" s="1792"/>
      <c r="BQ11" s="1792"/>
      <c r="BR11" s="1792"/>
      <c r="BS11" s="1792"/>
      <c r="BT11" s="1792"/>
      <c r="BU11" s="1792"/>
      <c r="BV11" s="1792"/>
      <c r="BW11" s="1792"/>
      <c r="BX11" s="1792"/>
      <c r="BY11" s="1792"/>
      <c r="BZ11" s="1792"/>
      <c r="CA11" s="1792"/>
      <c r="CB11" s="1793"/>
      <c r="CC11" s="17"/>
      <c r="CD11" s="253">
        <f t="shared" si="0"/>
        <v>21600</v>
      </c>
      <c r="CE11" s="17"/>
      <c r="CF11" s="17"/>
      <c r="CG11" s="17"/>
      <c r="CH11" s="17"/>
    </row>
    <row r="12" spans="1:86" ht="31.5" customHeight="1" x14ac:dyDescent="0.2">
      <c r="A12" s="1803">
        <v>5</v>
      </c>
      <c r="B12" s="1804"/>
      <c r="C12" s="1804"/>
      <c r="D12" s="1805"/>
      <c r="E12" s="1904" t="s">
        <v>1203</v>
      </c>
      <c r="F12" s="1905"/>
      <c r="G12" s="1905"/>
      <c r="H12" s="1905"/>
      <c r="I12" s="1905"/>
      <c r="J12" s="1905"/>
      <c r="K12" s="1905"/>
      <c r="L12" s="1905"/>
      <c r="M12" s="1905"/>
      <c r="N12" s="1905"/>
      <c r="O12" s="1905"/>
      <c r="P12" s="1905"/>
      <c r="Q12" s="1905"/>
      <c r="R12" s="1905"/>
      <c r="S12" s="1905"/>
      <c r="T12" s="1905"/>
      <c r="U12" s="1905"/>
      <c r="V12" s="1905"/>
      <c r="W12" s="1905"/>
      <c r="X12" s="1905"/>
      <c r="Y12" s="1905"/>
      <c r="Z12" s="1905"/>
      <c r="AA12" s="1905"/>
      <c r="AB12" s="1905"/>
      <c r="AC12" s="1905"/>
      <c r="AD12" s="1905"/>
      <c r="AE12" s="1905"/>
      <c r="AF12" s="1905"/>
      <c r="AG12" s="1905"/>
      <c r="AH12" s="1905"/>
      <c r="AI12" s="1905"/>
      <c r="AJ12" s="1905"/>
      <c r="AK12" s="1905"/>
      <c r="AL12" s="1905"/>
      <c r="AM12" s="1906"/>
      <c r="AN12" s="1914">
        <f>CD12</f>
        <v>15000</v>
      </c>
      <c r="AO12" s="1915"/>
      <c r="AP12" s="1915"/>
      <c r="AQ12" s="1915"/>
      <c r="AR12" s="1915"/>
      <c r="AS12" s="1915"/>
      <c r="AT12" s="1915"/>
      <c r="AU12" s="1915"/>
      <c r="AV12" s="1915"/>
      <c r="AW12" s="1915"/>
      <c r="AX12" s="1915"/>
      <c r="AY12" s="1915"/>
      <c r="AZ12" s="1915"/>
      <c r="BA12" s="1915"/>
      <c r="BB12" s="1915"/>
      <c r="BC12" s="1916"/>
      <c r="BD12" s="1901">
        <v>1</v>
      </c>
      <c r="BE12" s="1902"/>
      <c r="BF12" s="1902"/>
      <c r="BG12" s="1902"/>
      <c r="BH12" s="1902"/>
      <c r="BI12" s="1902"/>
      <c r="BJ12" s="1902"/>
      <c r="BK12" s="1902"/>
      <c r="BL12" s="1902"/>
      <c r="BM12" s="1903"/>
      <c r="BN12" s="1791">
        <f>AN12</f>
        <v>15000</v>
      </c>
      <c r="BO12" s="1792"/>
      <c r="BP12" s="1792"/>
      <c r="BQ12" s="1792"/>
      <c r="BR12" s="1792"/>
      <c r="BS12" s="1792"/>
      <c r="BT12" s="1792"/>
      <c r="BU12" s="1792"/>
      <c r="BV12" s="1792"/>
      <c r="BW12" s="1792"/>
      <c r="BX12" s="1792"/>
      <c r="BY12" s="1792"/>
      <c r="BZ12" s="1792"/>
      <c r="CA12" s="1792"/>
      <c r="CB12" s="1793"/>
      <c r="CC12" s="17"/>
      <c r="CD12" s="253">
        <v>15000</v>
      </c>
      <c r="CE12" s="17"/>
      <c r="CF12" s="17"/>
      <c r="CG12" s="17"/>
      <c r="CH12" s="17"/>
    </row>
    <row r="13" spans="1:86" ht="19.5" customHeight="1" x14ac:dyDescent="0.2">
      <c r="A13" s="1803">
        <v>6</v>
      </c>
      <c r="B13" s="1804"/>
      <c r="C13" s="1804"/>
      <c r="D13" s="1805"/>
      <c r="E13" s="1904" t="s">
        <v>583</v>
      </c>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906"/>
      <c r="AN13" s="1922">
        <f>CD13</f>
        <v>5000</v>
      </c>
      <c r="AO13" s="1923"/>
      <c r="AP13" s="1923"/>
      <c r="AQ13" s="1923"/>
      <c r="AR13" s="1923"/>
      <c r="AS13" s="1923"/>
      <c r="AT13" s="1923"/>
      <c r="AU13" s="1923"/>
      <c r="AV13" s="1923"/>
      <c r="AW13" s="1923"/>
      <c r="AX13" s="1923"/>
      <c r="AY13" s="1923"/>
      <c r="AZ13" s="1923"/>
      <c r="BA13" s="1923"/>
      <c r="BB13" s="1923"/>
      <c r="BC13" s="1924"/>
      <c r="BD13" s="1901">
        <v>1</v>
      </c>
      <c r="BE13" s="1902"/>
      <c r="BF13" s="1902"/>
      <c r="BG13" s="1902"/>
      <c r="BH13" s="1902"/>
      <c r="BI13" s="1902"/>
      <c r="BJ13" s="1902"/>
      <c r="BK13" s="1902"/>
      <c r="BL13" s="1902"/>
      <c r="BM13" s="1903"/>
      <c r="BN13" s="1852">
        <f>AN13*BD13</f>
        <v>5000</v>
      </c>
      <c r="BO13" s="1853"/>
      <c r="BP13" s="1853"/>
      <c r="BQ13" s="1853"/>
      <c r="BR13" s="1853"/>
      <c r="BS13" s="1853"/>
      <c r="BT13" s="1853"/>
      <c r="BU13" s="1853"/>
      <c r="BV13" s="1853"/>
      <c r="BW13" s="1853"/>
      <c r="BX13" s="1853"/>
      <c r="BY13" s="1853"/>
      <c r="BZ13" s="1853"/>
      <c r="CA13" s="1853"/>
      <c r="CB13" s="1854"/>
      <c r="CC13" s="17"/>
      <c r="CD13" s="253">
        <v>5000</v>
      </c>
      <c r="CE13" s="17"/>
      <c r="CF13" s="17"/>
      <c r="CG13" s="17"/>
      <c r="CH13" s="17"/>
    </row>
    <row r="14" spans="1:86" ht="19.5" customHeight="1" x14ac:dyDescent="0.2">
      <c r="A14" s="1803">
        <v>7</v>
      </c>
      <c r="B14" s="1804"/>
      <c r="C14" s="1804"/>
      <c r="D14" s="1805"/>
      <c r="E14" s="1904" t="s">
        <v>142</v>
      </c>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6"/>
      <c r="AN14" s="1914">
        <f>CD14</f>
        <v>0</v>
      </c>
      <c r="AO14" s="1915"/>
      <c r="AP14" s="1915"/>
      <c r="AQ14" s="1915"/>
      <c r="AR14" s="1915"/>
      <c r="AS14" s="1915"/>
      <c r="AT14" s="1915"/>
      <c r="AU14" s="1915"/>
      <c r="AV14" s="1915"/>
      <c r="AW14" s="1915"/>
      <c r="AX14" s="1915"/>
      <c r="AY14" s="1915"/>
      <c r="AZ14" s="1915"/>
      <c r="BA14" s="1915"/>
      <c r="BB14" s="1915"/>
      <c r="BC14" s="1916"/>
      <c r="BD14" s="1901"/>
      <c r="BE14" s="1902"/>
      <c r="BF14" s="1902"/>
      <c r="BG14" s="1902"/>
      <c r="BH14" s="1902"/>
      <c r="BI14" s="1902"/>
      <c r="BJ14" s="1902"/>
      <c r="BK14" s="1902"/>
      <c r="BL14" s="1902"/>
      <c r="BM14" s="1903"/>
      <c r="BN14" s="1791">
        <f>AN14*BD14</f>
        <v>0</v>
      </c>
      <c r="BO14" s="1792"/>
      <c r="BP14" s="1792"/>
      <c r="BQ14" s="1792"/>
      <c r="BR14" s="1792"/>
      <c r="BS14" s="1792"/>
      <c r="BT14" s="1792"/>
      <c r="BU14" s="1792"/>
      <c r="BV14" s="1792"/>
      <c r="BW14" s="1792"/>
      <c r="BX14" s="1792"/>
      <c r="BY14" s="1792"/>
      <c r="BZ14" s="1792"/>
      <c r="CA14" s="1792"/>
      <c r="CB14" s="1793"/>
      <c r="CC14" s="17"/>
      <c r="CD14" s="253"/>
      <c r="CE14" s="17"/>
      <c r="CF14" s="17"/>
      <c r="CG14" s="17"/>
      <c r="CH14" s="17"/>
    </row>
    <row r="15" spans="1:86" ht="19.5" customHeight="1" x14ac:dyDescent="0.2">
      <c r="A15" s="1803">
        <v>8</v>
      </c>
      <c r="B15" s="1804"/>
      <c r="C15" s="1804"/>
      <c r="D15" s="1805"/>
      <c r="E15" s="1904" t="s">
        <v>1204</v>
      </c>
      <c r="F15" s="1905"/>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5"/>
      <c r="AJ15" s="1905"/>
      <c r="AK15" s="1905"/>
      <c r="AL15" s="1905"/>
      <c r="AM15" s="1906"/>
      <c r="AN15" s="1914">
        <f>CD15</f>
        <v>0</v>
      </c>
      <c r="AO15" s="1915"/>
      <c r="AP15" s="1915"/>
      <c r="AQ15" s="1915"/>
      <c r="AR15" s="1915"/>
      <c r="AS15" s="1915"/>
      <c r="AT15" s="1915"/>
      <c r="AU15" s="1915"/>
      <c r="AV15" s="1915"/>
      <c r="AW15" s="1915"/>
      <c r="AX15" s="1915"/>
      <c r="AY15" s="1915"/>
      <c r="AZ15" s="1915"/>
      <c r="BA15" s="1915"/>
      <c r="BB15" s="1915"/>
      <c r="BC15" s="1916"/>
      <c r="BD15" s="1901"/>
      <c r="BE15" s="1902"/>
      <c r="BF15" s="1902"/>
      <c r="BG15" s="1902"/>
      <c r="BH15" s="1902"/>
      <c r="BI15" s="1902"/>
      <c r="BJ15" s="1902"/>
      <c r="BK15" s="1902"/>
      <c r="BL15" s="1902"/>
      <c r="BM15" s="1903"/>
      <c r="BN15" s="1791">
        <f>AN15*BD15</f>
        <v>0</v>
      </c>
      <c r="BO15" s="1792"/>
      <c r="BP15" s="1792"/>
      <c r="BQ15" s="1792"/>
      <c r="BR15" s="1792"/>
      <c r="BS15" s="1792"/>
      <c r="BT15" s="1792"/>
      <c r="BU15" s="1792"/>
      <c r="BV15" s="1792"/>
      <c r="BW15" s="1792"/>
      <c r="BX15" s="1792"/>
      <c r="BY15" s="1792"/>
      <c r="BZ15" s="1792"/>
      <c r="CA15" s="1792"/>
      <c r="CB15" s="1793"/>
      <c r="CC15" s="17"/>
      <c r="CD15" s="253"/>
      <c r="CE15" s="17"/>
      <c r="CF15" s="17"/>
      <c r="CG15" s="17"/>
      <c r="CH15" s="17"/>
    </row>
    <row r="16" spans="1:86" ht="17.25" customHeight="1" x14ac:dyDescent="0.2">
      <c r="A16" s="1803">
        <v>9</v>
      </c>
      <c r="B16" s="1804"/>
      <c r="C16" s="1804"/>
      <c r="D16" s="1805"/>
      <c r="E16" s="1904" t="s">
        <v>143</v>
      </c>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5"/>
      <c r="AK16" s="1905"/>
      <c r="AL16" s="1905"/>
      <c r="AM16" s="1906"/>
      <c r="AN16" s="1914">
        <v>12000</v>
      </c>
      <c r="AO16" s="1915"/>
      <c r="AP16" s="1915"/>
      <c r="AQ16" s="1915"/>
      <c r="AR16" s="1915"/>
      <c r="AS16" s="1915"/>
      <c r="AT16" s="1915"/>
      <c r="AU16" s="1915"/>
      <c r="AV16" s="1915"/>
      <c r="AW16" s="1915"/>
      <c r="AX16" s="1915"/>
      <c r="AY16" s="1915"/>
      <c r="AZ16" s="1915"/>
      <c r="BA16" s="1915"/>
      <c r="BB16" s="1915"/>
      <c r="BC16" s="1916"/>
      <c r="BD16" s="1901">
        <v>1</v>
      </c>
      <c r="BE16" s="1902"/>
      <c r="BF16" s="1902"/>
      <c r="BG16" s="1902"/>
      <c r="BH16" s="1902"/>
      <c r="BI16" s="1902"/>
      <c r="BJ16" s="1902"/>
      <c r="BK16" s="1902"/>
      <c r="BL16" s="1902"/>
      <c r="BM16" s="1903"/>
      <c r="BN16" s="1791">
        <f>AN16</f>
        <v>12000</v>
      </c>
      <c r="BO16" s="1792"/>
      <c r="BP16" s="1792"/>
      <c r="BQ16" s="1792"/>
      <c r="BR16" s="1792"/>
      <c r="BS16" s="1792"/>
      <c r="BT16" s="1792"/>
      <c r="BU16" s="1792"/>
      <c r="BV16" s="1792"/>
      <c r="BW16" s="1792"/>
      <c r="BX16" s="1792"/>
      <c r="BY16" s="1792"/>
      <c r="BZ16" s="1792"/>
      <c r="CA16" s="1792"/>
      <c r="CB16" s="1793"/>
      <c r="CC16" s="17"/>
      <c r="CD16" s="253">
        <f>BN16</f>
        <v>12000</v>
      </c>
      <c r="CE16" s="17"/>
      <c r="CF16" s="17"/>
      <c r="CG16" s="17"/>
      <c r="CH16" s="17"/>
    </row>
    <row r="17" spans="1:86" ht="17.25" customHeight="1" x14ac:dyDescent="0.2">
      <c r="A17" s="1803">
        <v>10</v>
      </c>
      <c r="B17" s="1804"/>
      <c r="C17" s="1804"/>
      <c r="D17" s="1805"/>
      <c r="E17" s="1904" t="s">
        <v>645</v>
      </c>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6"/>
      <c r="AN17" s="1914">
        <f>CD17</f>
        <v>0</v>
      </c>
      <c r="AO17" s="1915"/>
      <c r="AP17" s="1915"/>
      <c r="AQ17" s="1915"/>
      <c r="AR17" s="1915"/>
      <c r="AS17" s="1915"/>
      <c r="AT17" s="1915"/>
      <c r="AU17" s="1915"/>
      <c r="AV17" s="1915"/>
      <c r="AW17" s="1915"/>
      <c r="AX17" s="1915"/>
      <c r="AY17" s="1915"/>
      <c r="AZ17" s="1915"/>
      <c r="BA17" s="1915"/>
      <c r="BB17" s="1915"/>
      <c r="BC17" s="1916"/>
      <c r="BD17" s="1901"/>
      <c r="BE17" s="1902"/>
      <c r="BF17" s="1902"/>
      <c r="BG17" s="1902"/>
      <c r="BH17" s="1902"/>
      <c r="BI17" s="1902"/>
      <c r="BJ17" s="1902"/>
      <c r="BK17" s="1902"/>
      <c r="BL17" s="1902"/>
      <c r="BM17" s="1903"/>
      <c r="BN17" s="1791">
        <f>AN17</f>
        <v>0</v>
      </c>
      <c r="BO17" s="1792"/>
      <c r="BP17" s="1792"/>
      <c r="BQ17" s="1792"/>
      <c r="BR17" s="1792"/>
      <c r="BS17" s="1792"/>
      <c r="BT17" s="1792"/>
      <c r="BU17" s="1792"/>
      <c r="BV17" s="1792"/>
      <c r="BW17" s="1792"/>
      <c r="BX17" s="1792"/>
      <c r="BY17" s="1792"/>
      <c r="BZ17" s="1792"/>
      <c r="CA17" s="1792"/>
      <c r="CB17" s="1793"/>
      <c r="CC17" s="17"/>
      <c r="CD17" s="253"/>
      <c r="CE17" s="17"/>
      <c r="CF17" s="17"/>
      <c r="CG17" s="17"/>
      <c r="CH17" s="17"/>
    </row>
    <row r="18" spans="1:86" ht="17.25" customHeight="1" x14ac:dyDescent="0.2">
      <c r="A18" s="1803">
        <v>11</v>
      </c>
      <c r="B18" s="1804"/>
      <c r="C18" s="1804"/>
      <c r="D18" s="1805"/>
      <c r="E18" s="1904" t="s">
        <v>646</v>
      </c>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6"/>
      <c r="AN18" s="1914">
        <f>CD18</f>
        <v>0</v>
      </c>
      <c r="AO18" s="1915"/>
      <c r="AP18" s="1915"/>
      <c r="AQ18" s="1915"/>
      <c r="AR18" s="1915"/>
      <c r="AS18" s="1915"/>
      <c r="AT18" s="1915"/>
      <c r="AU18" s="1915"/>
      <c r="AV18" s="1915"/>
      <c r="AW18" s="1915"/>
      <c r="AX18" s="1915"/>
      <c r="AY18" s="1915"/>
      <c r="AZ18" s="1915"/>
      <c r="BA18" s="1915"/>
      <c r="BB18" s="1915"/>
      <c r="BC18" s="1916"/>
      <c r="BD18" s="1901"/>
      <c r="BE18" s="1902"/>
      <c r="BF18" s="1902"/>
      <c r="BG18" s="1902"/>
      <c r="BH18" s="1902"/>
      <c r="BI18" s="1902"/>
      <c r="BJ18" s="1902"/>
      <c r="BK18" s="1902"/>
      <c r="BL18" s="1902"/>
      <c r="BM18" s="1903"/>
      <c r="BN18" s="1791">
        <f>AN18</f>
        <v>0</v>
      </c>
      <c r="BO18" s="1792"/>
      <c r="BP18" s="1792"/>
      <c r="BQ18" s="1792"/>
      <c r="BR18" s="1792"/>
      <c r="BS18" s="1792"/>
      <c r="BT18" s="1792"/>
      <c r="BU18" s="1792"/>
      <c r="BV18" s="1792"/>
      <c r="BW18" s="1792"/>
      <c r="BX18" s="1792"/>
      <c r="BY18" s="1792"/>
      <c r="BZ18" s="1792"/>
      <c r="CA18" s="1792"/>
      <c r="CB18" s="1793"/>
      <c r="CC18" s="50"/>
      <c r="CD18" s="253"/>
      <c r="CE18" s="50"/>
      <c r="CF18" s="50"/>
      <c r="CG18" s="50"/>
      <c r="CH18" s="50"/>
    </row>
    <row r="19" spans="1:86" ht="24.75" customHeight="1" x14ac:dyDescent="0.2">
      <c r="A19" s="1803">
        <v>12</v>
      </c>
      <c r="B19" s="1804"/>
      <c r="C19" s="1804"/>
      <c r="D19" s="1805"/>
      <c r="E19" s="1904" t="s">
        <v>146</v>
      </c>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6"/>
      <c r="AN19" s="1914">
        <f>CD19</f>
        <v>0</v>
      </c>
      <c r="AO19" s="1915"/>
      <c r="AP19" s="1915"/>
      <c r="AQ19" s="1915"/>
      <c r="AR19" s="1915"/>
      <c r="AS19" s="1915"/>
      <c r="AT19" s="1915"/>
      <c r="AU19" s="1915"/>
      <c r="AV19" s="1915"/>
      <c r="AW19" s="1915"/>
      <c r="AX19" s="1915"/>
      <c r="AY19" s="1915"/>
      <c r="AZ19" s="1915"/>
      <c r="BA19" s="1915"/>
      <c r="BB19" s="1915"/>
      <c r="BC19" s="1916"/>
      <c r="BD19" s="1901"/>
      <c r="BE19" s="1902"/>
      <c r="BF19" s="1902"/>
      <c r="BG19" s="1902"/>
      <c r="BH19" s="1902"/>
      <c r="BI19" s="1902"/>
      <c r="BJ19" s="1902"/>
      <c r="BK19" s="1902"/>
      <c r="BL19" s="1902"/>
      <c r="BM19" s="1903"/>
      <c r="BN19" s="1791">
        <f>AN19*BD19</f>
        <v>0</v>
      </c>
      <c r="BO19" s="1792"/>
      <c r="BP19" s="1792"/>
      <c r="BQ19" s="1792"/>
      <c r="BR19" s="1792"/>
      <c r="BS19" s="1792"/>
      <c r="BT19" s="1792"/>
      <c r="BU19" s="1792"/>
      <c r="BV19" s="1792"/>
      <c r="BW19" s="1792"/>
      <c r="BX19" s="1792"/>
      <c r="BY19" s="1792"/>
      <c r="BZ19" s="1792"/>
      <c r="CA19" s="1792"/>
      <c r="CB19" s="1793"/>
      <c r="CC19" s="17"/>
      <c r="CD19" s="253"/>
      <c r="CE19" s="17"/>
      <c r="CF19" s="17"/>
      <c r="CG19" s="17"/>
      <c r="CH19" s="17"/>
    </row>
    <row r="20" spans="1:86" ht="27" customHeight="1" x14ac:dyDescent="0.2">
      <c r="A20" s="1803">
        <v>13</v>
      </c>
      <c r="B20" s="1804"/>
      <c r="C20" s="1804"/>
      <c r="D20" s="1805"/>
      <c r="E20" s="1904" t="s">
        <v>148</v>
      </c>
      <c r="F20" s="1917"/>
      <c r="G20" s="1917"/>
      <c r="H20" s="1917"/>
      <c r="I20" s="1917"/>
      <c r="J20" s="1917"/>
      <c r="K20" s="1917"/>
      <c r="L20" s="1917"/>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c r="AL20" s="1917"/>
      <c r="AM20" s="1918"/>
      <c r="AN20" s="1914">
        <v>6000</v>
      </c>
      <c r="AO20" s="1915"/>
      <c r="AP20" s="1915"/>
      <c r="AQ20" s="1915"/>
      <c r="AR20" s="1915"/>
      <c r="AS20" s="1915"/>
      <c r="AT20" s="1915"/>
      <c r="AU20" s="1915"/>
      <c r="AV20" s="1915"/>
      <c r="AW20" s="1915"/>
      <c r="AX20" s="1915"/>
      <c r="AY20" s="1915"/>
      <c r="AZ20" s="1915"/>
      <c r="BA20" s="1915"/>
      <c r="BB20" s="1915"/>
      <c r="BC20" s="1916"/>
      <c r="BD20" s="1901">
        <v>2</v>
      </c>
      <c r="BE20" s="1902"/>
      <c r="BF20" s="1902"/>
      <c r="BG20" s="1902"/>
      <c r="BH20" s="1902"/>
      <c r="BI20" s="1902"/>
      <c r="BJ20" s="1902"/>
      <c r="BK20" s="1902"/>
      <c r="BL20" s="1902"/>
      <c r="BM20" s="1903"/>
      <c r="BN20" s="1791">
        <v>12000</v>
      </c>
      <c r="BO20" s="1792"/>
      <c r="BP20" s="1792"/>
      <c r="BQ20" s="1792"/>
      <c r="BR20" s="1792"/>
      <c r="BS20" s="1792"/>
      <c r="BT20" s="1792"/>
      <c r="BU20" s="1792"/>
      <c r="BV20" s="1792"/>
      <c r="BW20" s="1792"/>
      <c r="BX20" s="1792"/>
      <c r="BY20" s="1792"/>
      <c r="BZ20" s="1792"/>
      <c r="CA20" s="1792"/>
      <c r="CB20" s="1793"/>
      <c r="CC20" s="17"/>
      <c r="CD20" s="253">
        <v>12000</v>
      </c>
      <c r="CE20" s="17"/>
      <c r="CF20" s="17"/>
      <c r="CG20" s="17"/>
      <c r="CH20" s="17"/>
    </row>
    <row r="21" spans="1:86" ht="31.5" customHeight="1" x14ac:dyDescent="0.2">
      <c r="A21" s="1803">
        <v>14</v>
      </c>
      <c r="B21" s="1804"/>
      <c r="C21" s="1804"/>
      <c r="D21" s="1805"/>
      <c r="E21" s="1904" t="s">
        <v>149</v>
      </c>
      <c r="F21" s="1905"/>
      <c r="G21" s="1905"/>
      <c r="H21" s="1905"/>
      <c r="I21" s="1905"/>
      <c r="J21" s="1905"/>
      <c r="K21" s="1905"/>
      <c r="L21" s="1905"/>
      <c r="M21" s="1905"/>
      <c r="N21" s="1905"/>
      <c r="O21" s="1905"/>
      <c r="P21" s="1905"/>
      <c r="Q21" s="1905"/>
      <c r="R21" s="1905"/>
      <c r="S21" s="1905"/>
      <c r="T21" s="1905"/>
      <c r="U21" s="1905"/>
      <c r="V21" s="1905"/>
      <c r="W21" s="1905"/>
      <c r="X21" s="1905"/>
      <c r="Y21" s="1905"/>
      <c r="Z21" s="1905"/>
      <c r="AA21" s="1905"/>
      <c r="AB21" s="1905"/>
      <c r="AC21" s="1905"/>
      <c r="AD21" s="1905"/>
      <c r="AE21" s="1905"/>
      <c r="AF21" s="1905"/>
      <c r="AG21" s="1905"/>
      <c r="AH21" s="1905"/>
      <c r="AI21" s="1905"/>
      <c r="AJ21" s="1905"/>
      <c r="AK21" s="1905"/>
      <c r="AL21" s="1905"/>
      <c r="AM21" s="1906"/>
      <c r="AN21" s="1914">
        <v>2000</v>
      </c>
      <c r="AO21" s="1915"/>
      <c r="AP21" s="1915"/>
      <c r="AQ21" s="1915"/>
      <c r="AR21" s="1915"/>
      <c r="AS21" s="1915"/>
      <c r="AT21" s="1915"/>
      <c r="AU21" s="1915"/>
      <c r="AV21" s="1915"/>
      <c r="AW21" s="1915"/>
      <c r="AX21" s="1915"/>
      <c r="AY21" s="1915"/>
      <c r="AZ21" s="1915"/>
      <c r="BA21" s="1915"/>
      <c r="BB21" s="1915"/>
      <c r="BC21" s="1916"/>
      <c r="BD21" s="1901">
        <v>2</v>
      </c>
      <c r="BE21" s="1902"/>
      <c r="BF21" s="1902"/>
      <c r="BG21" s="1902"/>
      <c r="BH21" s="1902"/>
      <c r="BI21" s="1902"/>
      <c r="BJ21" s="1902"/>
      <c r="BK21" s="1902"/>
      <c r="BL21" s="1902"/>
      <c r="BM21" s="1903"/>
      <c r="BN21" s="1791">
        <f t="shared" ref="BN21:BN26" si="1">AN21*BD21</f>
        <v>4000</v>
      </c>
      <c r="BO21" s="1792"/>
      <c r="BP21" s="1792"/>
      <c r="BQ21" s="1792"/>
      <c r="BR21" s="1792"/>
      <c r="BS21" s="1792"/>
      <c r="BT21" s="1792"/>
      <c r="BU21" s="1792"/>
      <c r="BV21" s="1792"/>
      <c r="BW21" s="1792"/>
      <c r="BX21" s="1792"/>
      <c r="BY21" s="1792"/>
      <c r="BZ21" s="1792"/>
      <c r="CA21" s="1792"/>
      <c r="CB21" s="1793"/>
      <c r="CC21" s="17"/>
      <c r="CD21" s="253">
        <f t="shared" ref="CD21:CD26" si="2">BN21</f>
        <v>4000</v>
      </c>
      <c r="CE21" s="17"/>
      <c r="CF21" s="17"/>
      <c r="CG21" s="17"/>
      <c r="CH21" s="17"/>
    </row>
    <row r="22" spans="1:86" x14ac:dyDescent="0.2">
      <c r="A22" s="1803">
        <v>15</v>
      </c>
      <c r="B22" s="1804"/>
      <c r="C22" s="1804"/>
      <c r="D22" s="1805"/>
      <c r="E22" s="1904" t="s">
        <v>647</v>
      </c>
      <c r="F22" s="1905"/>
      <c r="G22" s="1905"/>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1905"/>
      <c r="AM22" s="1906"/>
      <c r="AN22" s="1914">
        <f>CD22</f>
        <v>0</v>
      </c>
      <c r="AO22" s="1915"/>
      <c r="AP22" s="1915"/>
      <c r="AQ22" s="1915"/>
      <c r="AR22" s="1915"/>
      <c r="AS22" s="1915"/>
      <c r="AT22" s="1915"/>
      <c r="AU22" s="1915"/>
      <c r="AV22" s="1915"/>
      <c r="AW22" s="1915"/>
      <c r="AX22" s="1915"/>
      <c r="AY22" s="1915"/>
      <c r="AZ22" s="1915"/>
      <c r="BA22" s="1915"/>
      <c r="BB22" s="1915"/>
      <c r="BC22" s="1916"/>
      <c r="BD22" s="1901"/>
      <c r="BE22" s="1902"/>
      <c r="BF22" s="1902"/>
      <c r="BG22" s="1902"/>
      <c r="BH22" s="1902"/>
      <c r="BI22" s="1902"/>
      <c r="BJ22" s="1902"/>
      <c r="BK22" s="1902"/>
      <c r="BL22" s="1902"/>
      <c r="BM22" s="1903"/>
      <c r="BN22" s="1791">
        <f t="shared" si="1"/>
        <v>0</v>
      </c>
      <c r="BO22" s="1792"/>
      <c r="BP22" s="1792"/>
      <c r="BQ22" s="1792"/>
      <c r="BR22" s="1792"/>
      <c r="BS22" s="1792"/>
      <c r="BT22" s="1792"/>
      <c r="BU22" s="1792"/>
      <c r="BV22" s="1792"/>
      <c r="BW22" s="1792"/>
      <c r="BX22" s="1792"/>
      <c r="BY22" s="1792"/>
      <c r="BZ22" s="1792"/>
      <c r="CA22" s="1792"/>
      <c r="CB22" s="1793"/>
      <c r="CC22" s="17"/>
      <c r="CD22" s="253"/>
      <c r="CE22" s="17"/>
      <c r="CF22" s="17"/>
      <c r="CG22" s="17"/>
      <c r="CH22" s="17"/>
    </row>
    <row r="23" spans="1:86" ht="27.75" customHeight="1" x14ac:dyDescent="0.2">
      <c r="A23" s="1803">
        <v>16</v>
      </c>
      <c r="B23" s="1804"/>
      <c r="C23" s="1804"/>
      <c r="D23" s="1805"/>
      <c r="E23" s="1904" t="s">
        <v>1185</v>
      </c>
      <c r="F23" s="1905"/>
      <c r="G23" s="1905"/>
      <c r="H23" s="1905"/>
      <c r="I23" s="1905"/>
      <c r="J23" s="1905"/>
      <c r="K23" s="1905"/>
      <c r="L23" s="1905"/>
      <c r="M23" s="1905"/>
      <c r="N23" s="1905"/>
      <c r="O23" s="1905"/>
      <c r="P23" s="1905"/>
      <c r="Q23" s="1905"/>
      <c r="R23" s="1905"/>
      <c r="S23" s="1905"/>
      <c r="T23" s="1905"/>
      <c r="U23" s="1905"/>
      <c r="V23" s="1905"/>
      <c r="W23" s="1905"/>
      <c r="X23" s="1905"/>
      <c r="Y23" s="1905"/>
      <c r="Z23" s="1905"/>
      <c r="AA23" s="1905"/>
      <c r="AB23" s="1905"/>
      <c r="AC23" s="1905"/>
      <c r="AD23" s="1905"/>
      <c r="AE23" s="1905"/>
      <c r="AF23" s="1905"/>
      <c r="AG23" s="1905"/>
      <c r="AH23" s="1905"/>
      <c r="AI23" s="1905"/>
      <c r="AJ23" s="1905"/>
      <c r="AK23" s="1905"/>
      <c r="AL23" s="1905"/>
      <c r="AM23" s="1906"/>
      <c r="AN23" s="1914">
        <v>1643</v>
      </c>
      <c r="AO23" s="1915"/>
      <c r="AP23" s="1915"/>
      <c r="AQ23" s="1915"/>
      <c r="AR23" s="1915"/>
      <c r="AS23" s="1915"/>
      <c r="AT23" s="1915"/>
      <c r="AU23" s="1915"/>
      <c r="AV23" s="1915"/>
      <c r="AW23" s="1915"/>
      <c r="AX23" s="1915"/>
      <c r="AY23" s="1915"/>
      <c r="AZ23" s="1915"/>
      <c r="BA23" s="1915"/>
      <c r="BB23" s="1915"/>
      <c r="BC23" s="1916"/>
      <c r="BD23" s="1901">
        <v>12</v>
      </c>
      <c r="BE23" s="1902"/>
      <c r="BF23" s="1902"/>
      <c r="BG23" s="1902"/>
      <c r="BH23" s="1902"/>
      <c r="BI23" s="1902"/>
      <c r="BJ23" s="1902"/>
      <c r="BK23" s="1902"/>
      <c r="BL23" s="1902"/>
      <c r="BM23" s="1903"/>
      <c r="BN23" s="1791">
        <f t="shared" si="1"/>
        <v>19716</v>
      </c>
      <c r="BO23" s="1792"/>
      <c r="BP23" s="1792"/>
      <c r="BQ23" s="1792"/>
      <c r="BR23" s="1792"/>
      <c r="BS23" s="1792"/>
      <c r="BT23" s="1792"/>
      <c r="BU23" s="1792"/>
      <c r="BV23" s="1792"/>
      <c r="BW23" s="1792"/>
      <c r="BX23" s="1792"/>
      <c r="BY23" s="1792"/>
      <c r="BZ23" s="1792"/>
      <c r="CA23" s="1792"/>
      <c r="CB23" s="1793"/>
      <c r="CC23" s="17"/>
      <c r="CD23" s="253">
        <f t="shared" si="2"/>
        <v>19716</v>
      </c>
      <c r="CE23" s="17"/>
      <c r="CF23" s="17"/>
      <c r="CG23" s="17"/>
      <c r="CH23" s="17"/>
    </row>
    <row r="24" spans="1:86" ht="26.25" customHeight="1" x14ac:dyDescent="0.2">
      <c r="A24" s="1803">
        <v>17</v>
      </c>
      <c r="B24" s="1804"/>
      <c r="C24" s="1804"/>
      <c r="D24" s="1805"/>
      <c r="E24" s="1904" t="s">
        <v>587</v>
      </c>
      <c r="F24" s="1917"/>
      <c r="G24" s="1917"/>
      <c r="H24" s="1917"/>
      <c r="I24" s="1917"/>
      <c r="J24" s="1917"/>
      <c r="K24" s="1917"/>
      <c r="L24" s="1917"/>
      <c r="M24" s="1917"/>
      <c r="N24" s="1917"/>
      <c r="O24" s="1917"/>
      <c r="P24" s="1917"/>
      <c r="Q24" s="1917"/>
      <c r="R24" s="1917"/>
      <c r="S24" s="1917"/>
      <c r="T24" s="1917"/>
      <c r="U24" s="1917"/>
      <c r="V24" s="1917"/>
      <c r="W24" s="1917"/>
      <c r="X24" s="1917"/>
      <c r="Y24" s="1917"/>
      <c r="Z24" s="1917"/>
      <c r="AA24" s="1917"/>
      <c r="AB24" s="1917"/>
      <c r="AC24" s="1917"/>
      <c r="AD24" s="1917"/>
      <c r="AE24" s="1917"/>
      <c r="AF24" s="1917"/>
      <c r="AG24" s="1917"/>
      <c r="AH24" s="1917"/>
      <c r="AI24" s="1917"/>
      <c r="AJ24" s="1917"/>
      <c r="AK24" s="1917"/>
      <c r="AL24" s="1917"/>
      <c r="AM24" s="1918"/>
      <c r="AN24" s="1919">
        <v>1246</v>
      </c>
      <c r="AO24" s="1920"/>
      <c r="AP24" s="1920"/>
      <c r="AQ24" s="1920"/>
      <c r="AR24" s="1920"/>
      <c r="AS24" s="1920"/>
      <c r="AT24" s="1920"/>
      <c r="AU24" s="1920"/>
      <c r="AV24" s="1920"/>
      <c r="AW24" s="1920"/>
      <c r="AX24" s="1920"/>
      <c r="AY24" s="1920"/>
      <c r="AZ24" s="1920"/>
      <c r="BA24" s="1920"/>
      <c r="BB24" s="1920"/>
      <c r="BC24" s="1921"/>
      <c r="BD24" s="1901">
        <v>12</v>
      </c>
      <c r="BE24" s="1546"/>
      <c r="BF24" s="1546"/>
      <c r="BG24" s="1546"/>
      <c r="BH24" s="1546"/>
      <c r="BI24" s="1546"/>
      <c r="BJ24" s="1546"/>
      <c r="BK24" s="1546"/>
      <c r="BL24" s="1546"/>
      <c r="BM24" s="1547"/>
      <c r="BN24" s="1852">
        <f t="shared" si="1"/>
        <v>14952</v>
      </c>
      <c r="BO24" s="1853"/>
      <c r="BP24" s="1853"/>
      <c r="BQ24" s="1853"/>
      <c r="BR24" s="1853"/>
      <c r="BS24" s="1853"/>
      <c r="BT24" s="1853"/>
      <c r="BU24" s="1853"/>
      <c r="BV24" s="1853"/>
      <c r="BW24" s="1853"/>
      <c r="BX24" s="1853"/>
      <c r="BY24" s="1853"/>
      <c r="BZ24" s="1853"/>
      <c r="CA24" s="1853"/>
      <c r="CB24" s="1854"/>
      <c r="CC24" s="17"/>
      <c r="CD24" s="23">
        <f t="shared" si="2"/>
        <v>14952</v>
      </c>
      <c r="CE24" s="17"/>
      <c r="CF24" s="17"/>
      <c r="CG24" s="17"/>
      <c r="CH24" s="17"/>
    </row>
    <row r="25" spans="1:86" x14ac:dyDescent="0.2">
      <c r="A25" s="1803">
        <v>18</v>
      </c>
      <c r="B25" s="1804"/>
      <c r="C25" s="1804"/>
      <c r="D25" s="1805"/>
      <c r="E25" s="1904" t="s">
        <v>1107</v>
      </c>
      <c r="F25" s="1905"/>
      <c r="G25" s="1905"/>
      <c r="H25" s="1905"/>
      <c r="I25" s="1905"/>
      <c r="J25" s="1905"/>
      <c r="K25" s="1905"/>
      <c r="L25" s="1905"/>
      <c r="M25" s="1905"/>
      <c r="N25" s="1905"/>
      <c r="O25" s="1905"/>
      <c r="P25" s="1905"/>
      <c r="Q25" s="1905"/>
      <c r="R25" s="1905"/>
      <c r="S25" s="1905"/>
      <c r="T25" s="1905"/>
      <c r="U25" s="1905"/>
      <c r="V25" s="1905"/>
      <c r="W25" s="1905"/>
      <c r="X25" s="1905"/>
      <c r="Y25" s="1905"/>
      <c r="Z25" s="1905"/>
      <c r="AA25" s="1905"/>
      <c r="AB25" s="1905"/>
      <c r="AC25" s="1905"/>
      <c r="AD25" s="1905"/>
      <c r="AE25" s="1905"/>
      <c r="AF25" s="1905"/>
      <c r="AG25" s="1905"/>
      <c r="AH25" s="1905"/>
      <c r="AI25" s="1905"/>
      <c r="AJ25" s="1905"/>
      <c r="AK25" s="1905"/>
      <c r="AL25" s="1905"/>
      <c r="AM25" s="1906"/>
      <c r="AN25" s="1914">
        <v>3783.24</v>
      </c>
      <c r="AO25" s="1915"/>
      <c r="AP25" s="1915"/>
      <c r="AQ25" s="1915"/>
      <c r="AR25" s="1915"/>
      <c r="AS25" s="1915"/>
      <c r="AT25" s="1915"/>
      <c r="AU25" s="1915"/>
      <c r="AV25" s="1915"/>
      <c r="AW25" s="1915"/>
      <c r="AX25" s="1915"/>
      <c r="AY25" s="1915"/>
      <c r="AZ25" s="1915"/>
      <c r="BA25" s="1915"/>
      <c r="BB25" s="1915"/>
      <c r="BC25" s="1916"/>
      <c r="BD25" s="1901">
        <v>12</v>
      </c>
      <c r="BE25" s="1902"/>
      <c r="BF25" s="1902"/>
      <c r="BG25" s="1902"/>
      <c r="BH25" s="1902"/>
      <c r="BI25" s="1902"/>
      <c r="BJ25" s="1902"/>
      <c r="BK25" s="1902"/>
      <c r="BL25" s="1902"/>
      <c r="BM25" s="1903"/>
      <c r="BN25" s="1791">
        <f t="shared" si="1"/>
        <v>45398.879999999997</v>
      </c>
      <c r="BO25" s="1792"/>
      <c r="BP25" s="1792"/>
      <c r="BQ25" s="1792"/>
      <c r="BR25" s="1792"/>
      <c r="BS25" s="1792"/>
      <c r="BT25" s="1792"/>
      <c r="BU25" s="1792"/>
      <c r="BV25" s="1792"/>
      <c r="BW25" s="1792"/>
      <c r="BX25" s="1792"/>
      <c r="BY25" s="1792"/>
      <c r="BZ25" s="1792"/>
      <c r="CA25" s="1792"/>
      <c r="CB25" s="1793"/>
      <c r="CC25" s="17"/>
      <c r="CD25" s="253">
        <f t="shared" si="2"/>
        <v>45398.879999999997</v>
      </c>
      <c r="CE25" s="17"/>
      <c r="CF25" s="17"/>
      <c r="CG25" s="17"/>
      <c r="CH25" s="17"/>
    </row>
    <row r="26" spans="1:86" x14ac:dyDescent="0.2">
      <c r="A26" s="1803">
        <v>19</v>
      </c>
      <c r="B26" s="1804"/>
      <c r="C26" s="1804"/>
      <c r="D26" s="1805"/>
      <c r="E26" s="1904" t="s">
        <v>157</v>
      </c>
      <c r="F26" s="1917"/>
      <c r="G26" s="1917"/>
      <c r="H26" s="1917"/>
      <c r="I26" s="1917"/>
      <c r="J26" s="1917"/>
      <c r="K26" s="1917"/>
      <c r="L26" s="1917"/>
      <c r="M26" s="1917"/>
      <c r="N26" s="1917"/>
      <c r="O26" s="1917"/>
      <c r="P26" s="1917"/>
      <c r="Q26" s="1917"/>
      <c r="R26" s="1917"/>
      <c r="S26" s="1917"/>
      <c r="T26" s="1917"/>
      <c r="U26" s="1917"/>
      <c r="V26" s="1917"/>
      <c r="W26" s="1917"/>
      <c r="X26" s="1917"/>
      <c r="Y26" s="1917"/>
      <c r="Z26" s="1917"/>
      <c r="AA26" s="1917"/>
      <c r="AB26" s="1917"/>
      <c r="AC26" s="1917"/>
      <c r="AD26" s="1917"/>
      <c r="AE26" s="1917"/>
      <c r="AF26" s="1917"/>
      <c r="AG26" s="1917"/>
      <c r="AH26" s="1917"/>
      <c r="AI26" s="1917"/>
      <c r="AJ26" s="1917"/>
      <c r="AK26" s="1917"/>
      <c r="AL26" s="1917"/>
      <c r="AM26" s="1918"/>
      <c r="AN26" s="1919">
        <v>10000</v>
      </c>
      <c r="AO26" s="1920"/>
      <c r="AP26" s="1920"/>
      <c r="AQ26" s="1920"/>
      <c r="AR26" s="1920"/>
      <c r="AS26" s="1920"/>
      <c r="AT26" s="1920"/>
      <c r="AU26" s="1920"/>
      <c r="AV26" s="1920"/>
      <c r="AW26" s="1920"/>
      <c r="AX26" s="1920"/>
      <c r="AY26" s="1920"/>
      <c r="AZ26" s="1920"/>
      <c r="BA26" s="1920"/>
      <c r="BB26" s="1920"/>
      <c r="BC26" s="1921"/>
      <c r="BD26" s="1901">
        <v>1</v>
      </c>
      <c r="BE26" s="1546"/>
      <c r="BF26" s="1546"/>
      <c r="BG26" s="1546"/>
      <c r="BH26" s="1546"/>
      <c r="BI26" s="1546"/>
      <c r="BJ26" s="1546"/>
      <c r="BK26" s="1546"/>
      <c r="BL26" s="1546"/>
      <c r="BM26" s="1547"/>
      <c r="BN26" s="1852">
        <f t="shared" si="1"/>
        <v>10000</v>
      </c>
      <c r="BO26" s="1853"/>
      <c r="BP26" s="1853"/>
      <c r="BQ26" s="1853"/>
      <c r="BR26" s="1853"/>
      <c r="BS26" s="1853"/>
      <c r="BT26" s="1853"/>
      <c r="BU26" s="1853"/>
      <c r="BV26" s="1853"/>
      <c r="BW26" s="1853"/>
      <c r="BX26" s="1853"/>
      <c r="BY26" s="1853"/>
      <c r="BZ26" s="1853"/>
      <c r="CA26" s="1853"/>
      <c r="CB26" s="1854"/>
      <c r="CC26" s="17"/>
      <c r="CD26" s="23">
        <f t="shared" si="2"/>
        <v>10000</v>
      </c>
      <c r="CE26" s="17"/>
      <c r="CF26" s="17"/>
      <c r="CG26" s="17"/>
      <c r="CH26" s="17"/>
    </row>
    <row r="27" spans="1:86" x14ac:dyDescent="0.2">
      <c r="A27" s="1803">
        <v>20</v>
      </c>
      <c r="B27" s="1804"/>
      <c r="C27" s="1804"/>
      <c r="D27" s="1805"/>
      <c r="E27" s="1904" t="s">
        <v>1234</v>
      </c>
      <c r="F27" s="1917"/>
      <c r="G27" s="1917"/>
      <c r="H27" s="1917"/>
      <c r="I27" s="1917"/>
      <c r="J27" s="1917"/>
      <c r="K27" s="1917"/>
      <c r="L27" s="1917"/>
      <c r="M27" s="1917"/>
      <c r="N27" s="1917"/>
      <c r="O27" s="1917"/>
      <c r="P27" s="1917"/>
      <c r="Q27" s="1917"/>
      <c r="R27" s="1917"/>
      <c r="S27" s="1917"/>
      <c r="T27" s="1917"/>
      <c r="U27" s="1917"/>
      <c r="V27" s="1917"/>
      <c r="W27" s="1917"/>
      <c r="X27" s="1917"/>
      <c r="Y27" s="1917"/>
      <c r="Z27" s="1917"/>
      <c r="AA27" s="1917"/>
      <c r="AB27" s="1917"/>
      <c r="AC27" s="1917"/>
      <c r="AD27" s="1917"/>
      <c r="AE27" s="1917"/>
      <c r="AF27" s="1917"/>
      <c r="AG27" s="1917"/>
      <c r="AH27" s="1917"/>
      <c r="AI27" s="1917"/>
      <c r="AJ27" s="1917"/>
      <c r="AK27" s="1917"/>
      <c r="AL27" s="1917"/>
      <c r="AM27" s="1918"/>
      <c r="AN27" s="1919">
        <f>BN27</f>
        <v>9000000</v>
      </c>
      <c r="AO27" s="1920"/>
      <c r="AP27" s="1920"/>
      <c r="AQ27" s="1920"/>
      <c r="AR27" s="1920"/>
      <c r="AS27" s="1920"/>
      <c r="AT27" s="1920"/>
      <c r="AU27" s="1920"/>
      <c r="AV27" s="1920"/>
      <c r="AW27" s="1920"/>
      <c r="AX27" s="1920"/>
      <c r="AY27" s="1920"/>
      <c r="AZ27" s="1920"/>
      <c r="BA27" s="1920"/>
      <c r="BB27" s="1920"/>
      <c r="BC27" s="1921"/>
      <c r="BD27" s="1901">
        <v>1</v>
      </c>
      <c r="BE27" s="1546"/>
      <c r="BF27" s="1546"/>
      <c r="BG27" s="1546"/>
      <c r="BH27" s="1546"/>
      <c r="BI27" s="1546"/>
      <c r="BJ27" s="1546"/>
      <c r="BK27" s="1546"/>
      <c r="BL27" s="1546"/>
      <c r="BM27" s="1547"/>
      <c r="BN27" s="1852">
        <f>CG27</f>
        <v>9000000</v>
      </c>
      <c r="BO27" s="1853"/>
      <c r="BP27" s="1853"/>
      <c r="BQ27" s="1853"/>
      <c r="BR27" s="1853"/>
      <c r="BS27" s="1853"/>
      <c r="BT27" s="1853"/>
      <c r="BU27" s="1853"/>
      <c r="BV27" s="1853"/>
      <c r="BW27" s="1853"/>
      <c r="BX27" s="1853"/>
      <c r="BY27" s="1853"/>
      <c r="BZ27" s="1853"/>
      <c r="CA27" s="1853"/>
      <c r="CB27" s="1854"/>
      <c r="CC27" s="17"/>
      <c r="CD27" s="23"/>
      <c r="CE27" s="17">
        <v>963324045</v>
      </c>
      <c r="CF27" s="17"/>
      <c r="CG27" s="23">
        <v>9000000</v>
      </c>
      <c r="CH27" s="17"/>
    </row>
    <row r="28" spans="1:86" x14ac:dyDescent="0.2">
      <c r="A28" s="1803"/>
      <c r="B28" s="1804"/>
      <c r="C28" s="1804"/>
      <c r="D28" s="1805"/>
      <c r="E28" s="1831" t="s">
        <v>151</v>
      </c>
      <c r="F28" s="1832"/>
      <c r="G28" s="1832"/>
      <c r="H28" s="1832"/>
      <c r="I28" s="1832"/>
      <c r="J28" s="1832"/>
      <c r="K28" s="1832"/>
      <c r="L28" s="1832"/>
      <c r="M28" s="1832"/>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c r="AL28" s="1832"/>
      <c r="AM28" s="1833"/>
      <c r="AN28" s="1824" t="s">
        <v>3</v>
      </c>
      <c r="AO28" s="1825"/>
      <c r="AP28" s="1825"/>
      <c r="AQ28" s="1825"/>
      <c r="AR28" s="1825"/>
      <c r="AS28" s="1825"/>
      <c r="AT28" s="1825"/>
      <c r="AU28" s="1825"/>
      <c r="AV28" s="1825"/>
      <c r="AW28" s="1825"/>
      <c r="AX28" s="1825"/>
      <c r="AY28" s="1825"/>
      <c r="AZ28" s="1825"/>
      <c r="BA28" s="1825"/>
      <c r="BB28" s="1825"/>
      <c r="BC28" s="1826"/>
      <c r="BD28" s="1797" t="s">
        <v>3</v>
      </c>
      <c r="BE28" s="1798"/>
      <c r="BF28" s="1798"/>
      <c r="BG28" s="1798"/>
      <c r="BH28" s="1798"/>
      <c r="BI28" s="1798"/>
      <c r="BJ28" s="1798"/>
      <c r="BK28" s="1798"/>
      <c r="BL28" s="1798"/>
      <c r="BM28" s="1799"/>
      <c r="BN28" s="1800">
        <f>SUM(BN8:CB27)</f>
        <v>9263761.8800000008</v>
      </c>
      <c r="BO28" s="1801"/>
      <c r="BP28" s="1801"/>
      <c r="BQ28" s="1801"/>
      <c r="BR28" s="1801"/>
      <c r="BS28" s="1801"/>
      <c r="BT28" s="1801"/>
      <c r="BU28" s="1801"/>
      <c r="BV28" s="1801"/>
      <c r="BW28" s="1801"/>
      <c r="BX28" s="1801"/>
      <c r="BY28" s="1801"/>
      <c r="BZ28" s="1801"/>
      <c r="CA28" s="1801"/>
      <c r="CB28" s="1802"/>
      <c r="CC28" s="17"/>
      <c r="CD28" s="254">
        <f>SUM(CD8:CD26)</f>
        <v>263761.88</v>
      </c>
      <c r="CE28" s="254"/>
      <c r="CF28" s="254"/>
      <c r="CG28" s="254">
        <f>CG27</f>
        <v>9000000</v>
      </c>
      <c r="CH28" s="17"/>
    </row>
    <row r="29" spans="1:86" s="4" customFormat="1" ht="30.75" customHeight="1" x14ac:dyDescent="0.25">
      <c r="A29" s="1817" t="s">
        <v>152</v>
      </c>
      <c r="B29" s="1817"/>
      <c r="C29" s="1817"/>
      <c r="D29" s="1817"/>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1817"/>
      <c r="AM29" s="1817"/>
      <c r="AN29" s="1817"/>
      <c r="AO29" s="1817"/>
      <c r="AP29" s="1817"/>
      <c r="AQ29" s="1817"/>
      <c r="AR29" s="1817"/>
      <c r="AS29" s="1817"/>
      <c r="AT29" s="1817"/>
      <c r="AU29" s="1817"/>
      <c r="AV29" s="1817"/>
      <c r="AW29" s="1817"/>
      <c r="AX29" s="1817"/>
      <c r="AY29" s="1817"/>
      <c r="AZ29" s="1817"/>
      <c r="BA29" s="1817"/>
      <c r="BB29" s="1817"/>
      <c r="BC29" s="1817"/>
      <c r="BD29" s="1817"/>
      <c r="BE29" s="1817"/>
      <c r="BF29" s="1817"/>
      <c r="BG29" s="1817"/>
      <c r="BH29" s="1817"/>
      <c r="BI29" s="1817"/>
      <c r="BJ29" s="1817"/>
      <c r="BK29" s="1817"/>
      <c r="BL29" s="1817"/>
      <c r="BM29" s="1817"/>
      <c r="BN29" s="1817"/>
      <c r="BO29" s="1817"/>
      <c r="BP29" s="1817"/>
      <c r="BQ29" s="1817"/>
      <c r="BR29" s="1817"/>
      <c r="BS29" s="1817"/>
      <c r="BT29" s="1817"/>
      <c r="BU29" s="1817"/>
      <c r="BV29" s="1817"/>
      <c r="BW29" s="1817"/>
      <c r="BX29" s="1817"/>
      <c r="BY29" s="1817"/>
      <c r="BZ29" s="1817"/>
      <c r="CA29" s="1817"/>
      <c r="CB29" s="1817"/>
      <c r="CD29" s="255"/>
    </row>
    <row r="30" spans="1:86" x14ac:dyDescent="0.2">
      <c r="A30" s="1818" t="s">
        <v>71</v>
      </c>
      <c r="B30" s="1819"/>
      <c r="C30" s="1819"/>
      <c r="D30" s="1820"/>
      <c r="E30" s="1818" t="s">
        <v>4</v>
      </c>
      <c r="F30" s="1933"/>
      <c r="G30" s="1933"/>
      <c r="H30" s="1933"/>
      <c r="I30" s="1933"/>
      <c r="J30" s="1933"/>
      <c r="K30" s="1933"/>
      <c r="L30" s="1933"/>
      <c r="M30" s="1933"/>
      <c r="N30" s="1933"/>
      <c r="O30" s="1933"/>
      <c r="P30" s="1933"/>
      <c r="Q30" s="1933"/>
      <c r="R30" s="1933"/>
      <c r="S30" s="1933"/>
      <c r="T30" s="1933"/>
      <c r="U30" s="1933"/>
      <c r="V30" s="1933"/>
      <c r="W30" s="1933"/>
      <c r="X30" s="1933"/>
      <c r="Y30" s="1933"/>
      <c r="Z30" s="1933"/>
      <c r="AA30" s="1933"/>
      <c r="AB30" s="1933"/>
      <c r="AC30" s="1933"/>
      <c r="AD30" s="1933"/>
      <c r="AE30" s="1933"/>
      <c r="AF30" s="1933"/>
      <c r="AG30" s="1933"/>
      <c r="AH30" s="1933"/>
      <c r="AI30" s="1933"/>
      <c r="AJ30" s="1933"/>
      <c r="AK30" s="1933"/>
      <c r="AL30" s="1933"/>
      <c r="AM30" s="1934"/>
      <c r="AN30" s="1781" t="s">
        <v>139</v>
      </c>
      <c r="AO30" s="1925"/>
      <c r="AP30" s="1925"/>
      <c r="AQ30" s="1925"/>
      <c r="AR30" s="1925"/>
      <c r="AS30" s="1925"/>
      <c r="AT30" s="1925"/>
      <c r="AU30" s="1925"/>
      <c r="AV30" s="1925"/>
      <c r="AW30" s="1925"/>
      <c r="AX30" s="1925"/>
      <c r="AY30" s="1925"/>
      <c r="AZ30" s="1925"/>
      <c r="BA30" s="1925"/>
      <c r="BB30" s="1925"/>
      <c r="BC30" s="1782"/>
      <c r="BD30" s="1781" t="s">
        <v>140</v>
      </c>
      <c r="BE30" s="1925"/>
      <c r="BF30" s="1925"/>
      <c r="BG30" s="1925"/>
      <c r="BH30" s="1925"/>
      <c r="BI30" s="1925"/>
      <c r="BJ30" s="1925"/>
      <c r="BK30" s="1925"/>
      <c r="BL30" s="1925"/>
      <c r="BM30" s="1782"/>
      <c r="BN30" s="1818" t="s">
        <v>105</v>
      </c>
      <c r="BO30" s="1819"/>
      <c r="BP30" s="1819"/>
      <c r="BQ30" s="1819"/>
      <c r="BR30" s="1819"/>
      <c r="BS30" s="1819"/>
      <c r="BT30" s="1819"/>
      <c r="BU30" s="1819"/>
      <c r="BV30" s="1819"/>
      <c r="BW30" s="1819"/>
      <c r="BX30" s="1819"/>
      <c r="BY30" s="1819"/>
      <c r="BZ30" s="1819"/>
      <c r="CA30" s="1819"/>
      <c r="CB30" s="1820"/>
      <c r="CC30" s="1799" t="s">
        <v>52</v>
      </c>
      <c r="CD30" s="1806"/>
      <c r="CE30" s="1806"/>
      <c r="CF30" s="1806"/>
      <c r="CG30" s="1806"/>
      <c r="CH30" s="1806"/>
    </row>
    <row r="31" spans="1:86" ht="12.75" customHeight="1" x14ac:dyDescent="0.2">
      <c r="A31" s="1807" t="s">
        <v>77</v>
      </c>
      <c r="B31" s="1808"/>
      <c r="C31" s="1808"/>
      <c r="D31" s="1809"/>
      <c r="E31" s="1935"/>
      <c r="F31" s="1936"/>
      <c r="G31" s="1936"/>
      <c r="H31" s="1936"/>
      <c r="I31" s="1936"/>
      <c r="J31" s="1936"/>
      <c r="K31" s="1936"/>
      <c r="L31" s="1936"/>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7"/>
      <c r="AN31" s="1783"/>
      <c r="AO31" s="1926"/>
      <c r="AP31" s="1926"/>
      <c r="AQ31" s="1926"/>
      <c r="AR31" s="1926"/>
      <c r="AS31" s="1926"/>
      <c r="AT31" s="1926"/>
      <c r="AU31" s="1926"/>
      <c r="AV31" s="1926"/>
      <c r="AW31" s="1926"/>
      <c r="AX31" s="1926"/>
      <c r="AY31" s="1926"/>
      <c r="AZ31" s="1926"/>
      <c r="BA31" s="1926"/>
      <c r="BB31" s="1926"/>
      <c r="BC31" s="1784"/>
      <c r="BD31" s="1783"/>
      <c r="BE31" s="1926"/>
      <c r="BF31" s="1926"/>
      <c r="BG31" s="1926"/>
      <c r="BH31" s="1926"/>
      <c r="BI31" s="1926"/>
      <c r="BJ31" s="1926"/>
      <c r="BK31" s="1926"/>
      <c r="BL31" s="1926"/>
      <c r="BM31" s="1784"/>
      <c r="BN31" s="1807" t="s">
        <v>153</v>
      </c>
      <c r="BO31" s="1808"/>
      <c r="BP31" s="1808"/>
      <c r="BQ31" s="1808"/>
      <c r="BR31" s="1808"/>
      <c r="BS31" s="1808"/>
      <c r="BT31" s="1808"/>
      <c r="BU31" s="1808"/>
      <c r="BV31" s="1808"/>
      <c r="BW31" s="1808"/>
      <c r="BX31" s="1808"/>
      <c r="BY31" s="1808"/>
      <c r="BZ31" s="1808"/>
      <c r="CA31" s="1808"/>
      <c r="CB31" s="1809"/>
      <c r="CC31" s="1789" t="s">
        <v>35</v>
      </c>
      <c r="CD31" s="1810"/>
      <c r="CE31" s="1788" t="s">
        <v>45</v>
      </c>
      <c r="CF31" s="1790"/>
      <c r="CG31" s="1789"/>
      <c r="CH31" s="1778" t="s">
        <v>46</v>
      </c>
    </row>
    <row r="32" spans="1:86" ht="12.75" customHeight="1" x14ac:dyDescent="0.2">
      <c r="A32" s="1807"/>
      <c r="B32" s="1808"/>
      <c r="C32" s="1808"/>
      <c r="D32" s="1809"/>
      <c r="E32" s="1935"/>
      <c r="F32" s="1936"/>
      <c r="G32" s="1936"/>
      <c r="H32" s="1936"/>
      <c r="I32" s="1936"/>
      <c r="J32" s="1936"/>
      <c r="K32" s="1936"/>
      <c r="L32" s="1936"/>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7"/>
      <c r="AN32" s="1783"/>
      <c r="AO32" s="1926"/>
      <c r="AP32" s="1926"/>
      <c r="AQ32" s="1926"/>
      <c r="AR32" s="1926"/>
      <c r="AS32" s="1926"/>
      <c r="AT32" s="1926"/>
      <c r="AU32" s="1926"/>
      <c r="AV32" s="1926"/>
      <c r="AW32" s="1926"/>
      <c r="AX32" s="1926"/>
      <c r="AY32" s="1926"/>
      <c r="AZ32" s="1926"/>
      <c r="BA32" s="1926"/>
      <c r="BB32" s="1926"/>
      <c r="BC32" s="1784"/>
      <c r="BD32" s="1783"/>
      <c r="BE32" s="1926"/>
      <c r="BF32" s="1926"/>
      <c r="BG32" s="1926"/>
      <c r="BH32" s="1926"/>
      <c r="BI32" s="1926"/>
      <c r="BJ32" s="1926"/>
      <c r="BK32" s="1926"/>
      <c r="BL32" s="1926"/>
      <c r="BM32" s="1784"/>
      <c r="BN32" s="1807"/>
      <c r="BO32" s="1808"/>
      <c r="BP32" s="1808"/>
      <c r="BQ32" s="1808"/>
      <c r="BR32" s="1808"/>
      <c r="BS32" s="1808"/>
      <c r="BT32" s="1808"/>
      <c r="BU32" s="1808"/>
      <c r="BV32" s="1808"/>
      <c r="BW32" s="1808"/>
      <c r="BX32" s="1808"/>
      <c r="BY32" s="1808"/>
      <c r="BZ32" s="1808"/>
      <c r="CA32" s="1808"/>
      <c r="CB32" s="1809"/>
      <c r="CC32" s="1930" t="s">
        <v>43</v>
      </c>
      <c r="CD32" s="1811" t="s">
        <v>44</v>
      </c>
      <c r="CE32" s="1812" t="s">
        <v>55</v>
      </c>
      <c r="CF32" s="1811" t="s">
        <v>43</v>
      </c>
      <c r="CG32" s="1811" t="s">
        <v>44</v>
      </c>
      <c r="CH32" s="1779"/>
    </row>
    <row r="33" spans="1:86" x14ac:dyDescent="0.2">
      <c r="A33" s="1814"/>
      <c r="B33" s="1815"/>
      <c r="C33" s="1815"/>
      <c r="D33" s="1816"/>
      <c r="E33" s="1938"/>
      <c r="F33" s="1939"/>
      <c r="G33" s="1939"/>
      <c r="H33" s="1939"/>
      <c r="I33" s="1939"/>
      <c r="J33" s="1939"/>
      <c r="K33" s="1939"/>
      <c r="L33" s="1939"/>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40"/>
      <c r="AN33" s="1785"/>
      <c r="AO33" s="1927"/>
      <c r="AP33" s="1927"/>
      <c r="AQ33" s="1927"/>
      <c r="AR33" s="1927"/>
      <c r="AS33" s="1927"/>
      <c r="AT33" s="1927"/>
      <c r="AU33" s="1927"/>
      <c r="AV33" s="1927"/>
      <c r="AW33" s="1927"/>
      <c r="AX33" s="1927"/>
      <c r="AY33" s="1927"/>
      <c r="AZ33" s="1927"/>
      <c r="BA33" s="1927"/>
      <c r="BB33" s="1927"/>
      <c r="BC33" s="1786"/>
      <c r="BD33" s="1785"/>
      <c r="BE33" s="1927"/>
      <c r="BF33" s="1927"/>
      <c r="BG33" s="1927"/>
      <c r="BH33" s="1927"/>
      <c r="BI33" s="1927"/>
      <c r="BJ33" s="1927"/>
      <c r="BK33" s="1927"/>
      <c r="BL33" s="1927"/>
      <c r="BM33" s="1786"/>
      <c r="BN33" s="1814"/>
      <c r="BO33" s="1815"/>
      <c r="BP33" s="1815"/>
      <c r="BQ33" s="1815"/>
      <c r="BR33" s="1815"/>
      <c r="BS33" s="1815"/>
      <c r="BT33" s="1815"/>
      <c r="BU33" s="1815"/>
      <c r="BV33" s="1815"/>
      <c r="BW33" s="1815"/>
      <c r="BX33" s="1815"/>
      <c r="BY33" s="1815"/>
      <c r="BZ33" s="1815"/>
      <c r="CA33" s="1815"/>
      <c r="CB33" s="1816"/>
      <c r="CC33" s="1930"/>
      <c r="CD33" s="1811"/>
      <c r="CE33" s="1813"/>
      <c r="CF33" s="1811"/>
      <c r="CG33" s="1811"/>
      <c r="CH33" s="1780"/>
    </row>
    <row r="34" spans="1:86" x14ac:dyDescent="0.2">
      <c r="A34" s="1814">
        <v>1</v>
      </c>
      <c r="B34" s="1815"/>
      <c r="C34" s="1815"/>
      <c r="D34" s="1816"/>
      <c r="E34" s="1770">
        <v>2</v>
      </c>
      <c r="F34" s="1944"/>
      <c r="G34" s="1944"/>
      <c r="H34" s="1944"/>
      <c r="I34" s="1944"/>
      <c r="J34" s="1944"/>
      <c r="K34" s="1944"/>
      <c r="L34" s="1944"/>
      <c r="M34" s="1944"/>
      <c r="N34" s="1944"/>
      <c r="O34" s="1944"/>
      <c r="P34" s="1944"/>
      <c r="Q34" s="1944"/>
      <c r="R34" s="1944"/>
      <c r="S34" s="1944"/>
      <c r="T34" s="1944"/>
      <c r="U34" s="1944"/>
      <c r="V34" s="1944"/>
      <c r="W34" s="1944"/>
      <c r="X34" s="1944"/>
      <c r="Y34" s="1944"/>
      <c r="Z34" s="1944"/>
      <c r="AA34" s="1944"/>
      <c r="AB34" s="1944"/>
      <c r="AC34" s="1944"/>
      <c r="AD34" s="1944"/>
      <c r="AE34" s="1944"/>
      <c r="AF34" s="1944"/>
      <c r="AG34" s="1944"/>
      <c r="AH34" s="1944"/>
      <c r="AI34" s="1944"/>
      <c r="AJ34" s="1944"/>
      <c r="AK34" s="1944"/>
      <c r="AL34" s="1944"/>
      <c r="AM34" s="1945"/>
      <c r="AN34" s="1770">
        <v>3</v>
      </c>
      <c r="AO34" s="1944"/>
      <c r="AP34" s="1944"/>
      <c r="AQ34" s="1944"/>
      <c r="AR34" s="1944"/>
      <c r="AS34" s="1944"/>
      <c r="AT34" s="1944"/>
      <c r="AU34" s="1944"/>
      <c r="AV34" s="1944"/>
      <c r="AW34" s="1944"/>
      <c r="AX34" s="1944"/>
      <c r="AY34" s="1944"/>
      <c r="AZ34" s="1944"/>
      <c r="BA34" s="1944"/>
      <c r="BB34" s="1944"/>
      <c r="BC34" s="1945"/>
      <c r="BD34" s="1770">
        <v>4</v>
      </c>
      <c r="BE34" s="1546"/>
      <c r="BF34" s="1546"/>
      <c r="BG34" s="1546"/>
      <c r="BH34" s="1546"/>
      <c r="BI34" s="1546"/>
      <c r="BJ34" s="1546"/>
      <c r="BK34" s="1546"/>
      <c r="BL34" s="1546"/>
      <c r="BM34" s="1547"/>
      <c r="BN34" s="1830" t="s">
        <v>49</v>
      </c>
      <c r="BO34" s="1830"/>
      <c r="BP34" s="1830"/>
      <c r="BQ34" s="1830"/>
      <c r="BR34" s="1830"/>
      <c r="BS34" s="1830"/>
      <c r="BT34" s="1830"/>
      <c r="BU34" s="1830"/>
      <c r="BV34" s="1830"/>
      <c r="BW34" s="1830"/>
      <c r="BX34" s="1830"/>
      <c r="BY34" s="1830"/>
      <c r="BZ34" s="1830"/>
      <c r="CA34" s="1830"/>
      <c r="CB34" s="1830"/>
      <c r="CC34" s="249">
        <v>6</v>
      </c>
      <c r="CD34" s="249">
        <v>7</v>
      </c>
      <c r="CE34" s="250">
        <v>8</v>
      </c>
      <c r="CF34" s="249">
        <v>9</v>
      </c>
      <c r="CG34" s="249">
        <v>10</v>
      </c>
      <c r="CH34" s="252">
        <v>11</v>
      </c>
    </row>
    <row r="35" spans="1:86" ht="30" hidden="1" customHeight="1" x14ac:dyDescent="0.2">
      <c r="A35" s="1803"/>
      <c r="B35" s="1804"/>
      <c r="C35" s="1804"/>
      <c r="D35" s="1805"/>
      <c r="E35" s="1843"/>
      <c r="F35" s="1946"/>
      <c r="G35" s="1946"/>
      <c r="H35" s="1946"/>
      <c r="I35" s="1946"/>
      <c r="J35" s="1946"/>
      <c r="K35" s="1946"/>
      <c r="L35" s="1946"/>
      <c r="M35" s="1946"/>
      <c r="N35" s="1946"/>
      <c r="O35" s="1946"/>
      <c r="P35" s="1946"/>
      <c r="Q35" s="1946"/>
      <c r="R35" s="1946"/>
      <c r="S35" s="1946"/>
      <c r="T35" s="1946"/>
      <c r="U35" s="1946"/>
      <c r="V35" s="1946"/>
      <c r="W35" s="1946"/>
      <c r="X35" s="1946"/>
      <c r="Y35" s="1946"/>
      <c r="Z35" s="1946"/>
      <c r="AA35" s="1946"/>
      <c r="AB35" s="1946"/>
      <c r="AC35" s="1946"/>
      <c r="AD35" s="1946"/>
      <c r="AE35" s="1946"/>
      <c r="AF35" s="1946"/>
      <c r="AG35" s="1946"/>
      <c r="AH35" s="1946"/>
      <c r="AI35" s="1946"/>
      <c r="AJ35" s="1946"/>
      <c r="AK35" s="1946"/>
      <c r="AL35" s="1946"/>
      <c r="AM35" s="1947"/>
      <c r="AN35" s="1843"/>
      <c r="AO35" s="1946"/>
      <c r="AP35" s="1946"/>
      <c r="AQ35" s="1946"/>
      <c r="AR35" s="1946"/>
      <c r="AS35" s="1946"/>
      <c r="AT35" s="1946"/>
      <c r="AU35" s="1946"/>
      <c r="AV35" s="1946"/>
      <c r="AW35" s="1946"/>
      <c r="AX35" s="1946"/>
      <c r="AY35" s="1946"/>
      <c r="AZ35" s="1946"/>
      <c r="BA35" s="1946"/>
      <c r="BB35" s="1946"/>
      <c r="BC35" s="1947"/>
      <c r="BD35" s="1901"/>
      <c r="BE35" s="1546"/>
      <c r="BF35" s="1546"/>
      <c r="BG35" s="1546"/>
      <c r="BH35" s="1546"/>
      <c r="BI35" s="1546"/>
      <c r="BJ35" s="1546"/>
      <c r="BK35" s="1546"/>
      <c r="BL35" s="1546"/>
      <c r="BM35" s="1547"/>
      <c r="BN35" s="1852"/>
      <c r="BO35" s="1853"/>
      <c r="BP35" s="1853"/>
      <c r="BQ35" s="1853"/>
      <c r="BR35" s="1853"/>
      <c r="BS35" s="1853"/>
      <c r="BT35" s="1853"/>
      <c r="BU35" s="1853"/>
      <c r="BV35" s="1853"/>
      <c r="BW35" s="1853"/>
      <c r="BX35" s="1853"/>
      <c r="BY35" s="1853"/>
      <c r="BZ35" s="1853"/>
      <c r="CA35" s="1853"/>
      <c r="CB35" s="1854"/>
      <c r="CC35" s="17"/>
      <c r="CD35" s="23"/>
      <c r="CE35" s="17"/>
      <c r="CF35" s="256"/>
      <c r="CG35" s="256"/>
      <c r="CH35" s="17"/>
    </row>
    <row r="36" spans="1:86" ht="29.25" customHeight="1" x14ac:dyDescent="0.2">
      <c r="A36" s="1843">
        <v>1</v>
      </c>
      <c r="B36" s="1844"/>
      <c r="C36" s="1844"/>
      <c r="D36" s="1845"/>
      <c r="E36" s="1904" t="s">
        <v>1189</v>
      </c>
      <c r="F36" s="1917"/>
      <c r="G36" s="1917"/>
      <c r="H36" s="1917"/>
      <c r="I36" s="1917"/>
      <c r="J36" s="1917"/>
      <c r="K36" s="1917"/>
      <c r="L36" s="1917"/>
      <c r="M36" s="1917"/>
      <c r="N36" s="1917"/>
      <c r="O36" s="1917"/>
      <c r="P36" s="1917"/>
      <c r="Q36" s="1917"/>
      <c r="R36" s="1917"/>
      <c r="S36" s="1917"/>
      <c r="T36" s="1917"/>
      <c r="U36" s="1917"/>
      <c r="V36" s="1917"/>
      <c r="W36" s="1917"/>
      <c r="X36" s="1917"/>
      <c r="Y36" s="1917"/>
      <c r="Z36" s="1917"/>
      <c r="AA36" s="1917"/>
      <c r="AB36" s="1917"/>
      <c r="AC36" s="1917"/>
      <c r="AD36" s="1917"/>
      <c r="AE36" s="1917"/>
      <c r="AF36" s="1917"/>
      <c r="AG36" s="1917"/>
      <c r="AH36" s="1917"/>
      <c r="AI36" s="1917"/>
      <c r="AJ36" s="1917"/>
      <c r="AK36" s="1917"/>
      <c r="AL36" s="1917"/>
      <c r="AM36" s="1918"/>
      <c r="AN36" s="1919">
        <v>4487.16</v>
      </c>
      <c r="AO36" s="1920"/>
      <c r="AP36" s="1920"/>
      <c r="AQ36" s="1920"/>
      <c r="AR36" s="1920"/>
      <c r="AS36" s="1920"/>
      <c r="AT36" s="1920"/>
      <c r="AU36" s="1920"/>
      <c r="AV36" s="1920"/>
      <c r="AW36" s="1920"/>
      <c r="AX36" s="1920"/>
      <c r="AY36" s="1920"/>
      <c r="AZ36" s="1920"/>
      <c r="BA36" s="1920"/>
      <c r="BB36" s="1920"/>
      <c r="BC36" s="1921"/>
      <c r="BD36" s="1901">
        <v>12</v>
      </c>
      <c r="BE36" s="1546"/>
      <c r="BF36" s="1546"/>
      <c r="BG36" s="1546"/>
      <c r="BH36" s="1546"/>
      <c r="BI36" s="1546"/>
      <c r="BJ36" s="1546"/>
      <c r="BK36" s="1546"/>
      <c r="BL36" s="1546"/>
      <c r="BM36" s="1547"/>
      <c r="BN36" s="1852">
        <f>AN36*BD36</f>
        <v>53845.919999999998</v>
      </c>
      <c r="BO36" s="1853"/>
      <c r="BP36" s="1853"/>
      <c r="BQ36" s="1853"/>
      <c r="BR36" s="1853"/>
      <c r="BS36" s="1853"/>
      <c r="BT36" s="1853"/>
      <c r="BU36" s="1853"/>
      <c r="BV36" s="1853"/>
      <c r="BW36" s="1853"/>
      <c r="BX36" s="1853"/>
      <c r="BY36" s="1853"/>
      <c r="BZ36" s="1853"/>
      <c r="CA36" s="1853"/>
      <c r="CB36" s="1854"/>
      <c r="CC36" s="17"/>
      <c r="CD36" s="23">
        <f t="shared" ref="CD36:CD38" si="3">BN36</f>
        <v>53845.919999999998</v>
      </c>
      <c r="CE36" s="17"/>
      <c r="CF36" s="17"/>
      <c r="CG36" s="17"/>
      <c r="CH36" s="17"/>
    </row>
    <row r="37" spans="1:86" ht="19.5" customHeight="1" x14ac:dyDescent="0.2">
      <c r="A37" s="1803">
        <v>2</v>
      </c>
      <c r="B37" s="1804"/>
      <c r="C37" s="1804"/>
      <c r="D37" s="1805"/>
      <c r="E37" s="1904" t="s">
        <v>154</v>
      </c>
      <c r="F37" s="1917"/>
      <c r="G37" s="1917"/>
      <c r="H37" s="1917"/>
      <c r="I37" s="1917"/>
      <c r="J37" s="1917"/>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917"/>
      <c r="AG37" s="1917"/>
      <c r="AH37" s="1917"/>
      <c r="AI37" s="1917"/>
      <c r="AJ37" s="1917"/>
      <c r="AK37" s="1917"/>
      <c r="AL37" s="1917"/>
      <c r="AM37" s="1918"/>
      <c r="AN37" s="1919">
        <f>CD37</f>
        <v>50000</v>
      </c>
      <c r="AO37" s="1920"/>
      <c r="AP37" s="1920"/>
      <c r="AQ37" s="1920"/>
      <c r="AR37" s="1920"/>
      <c r="AS37" s="1920"/>
      <c r="AT37" s="1920"/>
      <c r="AU37" s="1920"/>
      <c r="AV37" s="1920"/>
      <c r="AW37" s="1920"/>
      <c r="AX37" s="1920"/>
      <c r="AY37" s="1920"/>
      <c r="AZ37" s="1920"/>
      <c r="BA37" s="1920"/>
      <c r="BB37" s="1920"/>
      <c r="BC37" s="1921"/>
      <c r="BD37" s="1901">
        <v>1</v>
      </c>
      <c r="BE37" s="1546"/>
      <c r="BF37" s="1546"/>
      <c r="BG37" s="1546"/>
      <c r="BH37" s="1546"/>
      <c r="BI37" s="1546"/>
      <c r="BJ37" s="1546"/>
      <c r="BK37" s="1546"/>
      <c r="BL37" s="1546"/>
      <c r="BM37" s="1547"/>
      <c r="BN37" s="1852">
        <f>AN37</f>
        <v>50000</v>
      </c>
      <c r="BO37" s="1853"/>
      <c r="BP37" s="1853"/>
      <c r="BQ37" s="1853"/>
      <c r="BR37" s="1853"/>
      <c r="BS37" s="1853"/>
      <c r="BT37" s="1853"/>
      <c r="BU37" s="1853"/>
      <c r="BV37" s="1853"/>
      <c r="BW37" s="1853"/>
      <c r="BX37" s="1853"/>
      <c r="BY37" s="1853"/>
      <c r="BZ37" s="1853"/>
      <c r="CA37" s="1853"/>
      <c r="CB37" s="1854"/>
      <c r="CC37" s="17"/>
      <c r="CD37" s="23">
        <v>50000</v>
      </c>
      <c r="CE37" s="17"/>
      <c r="CF37" s="17"/>
      <c r="CG37" s="17"/>
      <c r="CH37" s="17"/>
    </row>
    <row r="38" spans="1:86" ht="31.5" customHeight="1" x14ac:dyDescent="0.2">
      <c r="A38" s="1803">
        <v>3</v>
      </c>
      <c r="B38" s="1804"/>
      <c r="C38" s="1804"/>
      <c r="D38" s="1805"/>
      <c r="E38" s="1904" t="s">
        <v>642</v>
      </c>
      <c r="F38" s="1917"/>
      <c r="G38" s="1917"/>
      <c r="H38" s="1917"/>
      <c r="I38" s="1917"/>
      <c r="J38" s="1917"/>
      <c r="K38" s="1917"/>
      <c r="L38" s="1917"/>
      <c r="M38" s="1917"/>
      <c r="N38" s="1917"/>
      <c r="O38" s="1917"/>
      <c r="P38" s="1917"/>
      <c r="Q38" s="1917"/>
      <c r="R38" s="1917"/>
      <c r="S38" s="1917"/>
      <c r="T38" s="1917"/>
      <c r="U38" s="1917"/>
      <c r="V38" s="1917"/>
      <c r="W38" s="1917"/>
      <c r="X38" s="1917"/>
      <c r="Y38" s="1917"/>
      <c r="Z38" s="1917"/>
      <c r="AA38" s="1917"/>
      <c r="AB38" s="1917"/>
      <c r="AC38" s="1917"/>
      <c r="AD38" s="1917"/>
      <c r="AE38" s="1917"/>
      <c r="AF38" s="1917"/>
      <c r="AG38" s="1917"/>
      <c r="AH38" s="1917"/>
      <c r="AI38" s="1917"/>
      <c r="AJ38" s="1917"/>
      <c r="AK38" s="1917"/>
      <c r="AL38" s="1917"/>
      <c r="AM38" s="1918"/>
      <c r="AN38" s="1941">
        <v>5060</v>
      </c>
      <c r="AO38" s="1942"/>
      <c r="AP38" s="1942"/>
      <c r="AQ38" s="1942"/>
      <c r="AR38" s="1942"/>
      <c r="AS38" s="1942"/>
      <c r="AT38" s="1942"/>
      <c r="AU38" s="1942"/>
      <c r="AV38" s="1942"/>
      <c r="AW38" s="1942"/>
      <c r="AX38" s="1942"/>
      <c r="AY38" s="1942"/>
      <c r="AZ38" s="1942"/>
      <c r="BA38" s="1942"/>
      <c r="BB38" s="1942"/>
      <c r="BC38" s="1943"/>
      <c r="BD38" s="1901">
        <v>12</v>
      </c>
      <c r="BE38" s="1546"/>
      <c r="BF38" s="1546"/>
      <c r="BG38" s="1546"/>
      <c r="BH38" s="1546"/>
      <c r="BI38" s="1546"/>
      <c r="BJ38" s="1546"/>
      <c r="BK38" s="1546"/>
      <c r="BL38" s="1546"/>
      <c r="BM38" s="1547"/>
      <c r="BN38" s="1852">
        <f>AN38*BD38</f>
        <v>60720</v>
      </c>
      <c r="BO38" s="1853"/>
      <c r="BP38" s="1853"/>
      <c r="BQ38" s="1853"/>
      <c r="BR38" s="1853"/>
      <c r="BS38" s="1853"/>
      <c r="BT38" s="1853"/>
      <c r="BU38" s="1853"/>
      <c r="BV38" s="1853"/>
      <c r="BW38" s="1853"/>
      <c r="BX38" s="1853"/>
      <c r="BY38" s="1853"/>
      <c r="BZ38" s="1853"/>
      <c r="CA38" s="1853"/>
      <c r="CB38" s="1854"/>
      <c r="CC38" s="17"/>
      <c r="CD38" s="23">
        <f t="shared" si="3"/>
        <v>60720</v>
      </c>
      <c r="CE38" s="17"/>
      <c r="CF38" s="17"/>
      <c r="CG38" s="17"/>
      <c r="CH38" s="17"/>
    </row>
    <row r="39" spans="1:86" ht="91.5" customHeight="1" x14ac:dyDescent="0.2">
      <c r="A39" s="1803">
        <v>4</v>
      </c>
      <c r="B39" s="1804"/>
      <c r="C39" s="1804"/>
      <c r="D39" s="1805"/>
      <c r="E39" s="1904" t="s">
        <v>1202</v>
      </c>
      <c r="F39" s="1917"/>
      <c r="G39" s="1917"/>
      <c r="H39" s="1917"/>
      <c r="I39" s="1917"/>
      <c r="J39" s="1917"/>
      <c r="K39" s="1917"/>
      <c r="L39" s="1917"/>
      <c r="M39" s="1917"/>
      <c r="N39" s="1917"/>
      <c r="O39" s="1917"/>
      <c r="P39" s="1917"/>
      <c r="Q39" s="1917"/>
      <c r="R39" s="1917"/>
      <c r="S39" s="1917"/>
      <c r="T39" s="1917"/>
      <c r="U39" s="1917"/>
      <c r="V39" s="1917"/>
      <c r="W39" s="1917"/>
      <c r="X39" s="1917"/>
      <c r="Y39" s="1917"/>
      <c r="Z39" s="1917"/>
      <c r="AA39" s="1917"/>
      <c r="AB39" s="1917"/>
      <c r="AC39" s="1917"/>
      <c r="AD39" s="1917"/>
      <c r="AE39" s="1917"/>
      <c r="AF39" s="1917"/>
      <c r="AG39" s="1917"/>
      <c r="AH39" s="1917"/>
      <c r="AI39" s="1917"/>
      <c r="AJ39" s="1917"/>
      <c r="AK39" s="1917"/>
      <c r="AL39" s="1917"/>
      <c r="AM39" s="1918"/>
      <c r="AN39" s="1919">
        <f>CD39</f>
        <v>0</v>
      </c>
      <c r="AO39" s="1920"/>
      <c r="AP39" s="1920"/>
      <c r="AQ39" s="1920"/>
      <c r="AR39" s="1920"/>
      <c r="AS39" s="1920"/>
      <c r="AT39" s="1920"/>
      <c r="AU39" s="1920"/>
      <c r="AV39" s="1920"/>
      <c r="AW39" s="1920"/>
      <c r="AX39" s="1920"/>
      <c r="AY39" s="1920"/>
      <c r="AZ39" s="1920"/>
      <c r="BA39" s="1920"/>
      <c r="BB39" s="1920"/>
      <c r="BC39" s="1921"/>
      <c r="BD39" s="1901"/>
      <c r="BE39" s="1546"/>
      <c r="BF39" s="1546"/>
      <c r="BG39" s="1546"/>
      <c r="BH39" s="1546"/>
      <c r="BI39" s="1546"/>
      <c r="BJ39" s="1546"/>
      <c r="BK39" s="1546"/>
      <c r="BL39" s="1546"/>
      <c r="BM39" s="1547"/>
      <c r="BN39" s="1852">
        <f t="shared" ref="BN39" si="4">AN39*BD39</f>
        <v>0</v>
      </c>
      <c r="BO39" s="1853"/>
      <c r="BP39" s="1853"/>
      <c r="BQ39" s="1853"/>
      <c r="BR39" s="1853"/>
      <c r="BS39" s="1853"/>
      <c r="BT39" s="1853"/>
      <c r="BU39" s="1853"/>
      <c r="BV39" s="1853"/>
      <c r="BW39" s="1853"/>
      <c r="BX39" s="1853"/>
      <c r="BY39" s="1853"/>
      <c r="BZ39" s="1853"/>
      <c r="CA39" s="1853"/>
      <c r="CB39" s="1854"/>
      <c r="CC39" s="17"/>
      <c r="CD39" s="23"/>
      <c r="CE39" s="17"/>
      <c r="CF39" s="17"/>
      <c r="CG39" s="17"/>
      <c r="CH39" s="17"/>
    </row>
    <row r="40" spans="1:86" ht="18.75" customHeight="1" x14ac:dyDescent="0.2">
      <c r="A40" s="1803">
        <v>5</v>
      </c>
      <c r="B40" s="1804"/>
      <c r="C40" s="1804"/>
      <c r="D40" s="1805"/>
      <c r="E40" s="1904" t="s">
        <v>593</v>
      </c>
      <c r="F40" s="1917"/>
      <c r="G40" s="1917"/>
      <c r="H40" s="1917"/>
      <c r="I40" s="1917"/>
      <c r="J40" s="1917"/>
      <c r="K40" s="1917"/>
      <c r="L40" s="1917"/>
      <c r="M40" s="1917"/>
      <c r="N40" s="1917"/>
      <c r="O40" s="1917"/>
      <c r="P40" s="1917"/>
      <c r="Q40" s="1917"/>
      <c r="R40" s="1917"/>
      <c r="S40" s="1917"/>
      <c r="T40" s="1917"/>
      <c r="U40" s="1917"/>
      <c r="V40" s="1917"/>
      <c r="W40" s="1917"/>
      <c r="X40" s="1917"/>
      <c r="Y40" s="1917"/>
      <c r="Z40" s="1917"/>
      <c r="AA40" s="1917"/>
      <c r="AB40" s="1917"/>
      <c r="AC40" s="1917"/>
      <c r="AD40" s="1917"/>
      <c r="AE40" s="1917"/>
      <c r="AF40" s="1917"/>
      <c r="AG40" s="1917"/>
      <c r="AH40" s="1917"/>
      <c r="AI40" s="1917"/>
      <c r="AJ40" s="1917"/>
      <c r="AK40" s="1917"/>
      <c r="AL40" s="1917"/>
      <c r="AM40" s="1918"/>
      <c r="AN40" s="1948">
        <f>CD40</f>
        <v>7430</v>
      </c>
      <c r="AO40" s="1942"/>
      <c r="AP40" s="1942"/>
      <c r="AQ40" s="1942"/>
      <c r="AR40" s="1942"/>
      <c r="AS40" s="1942"/>
      <c r="AT40" s="1942"/>
      <c r="AU40" s="1942"/>
      <c r="AV40" s="1942"/>
      <c r="AW40" s="1942"/>
      <c r="AX40" s="1942"/>
      <c r="AY40" s="1942"/>
      <c r="AZ40" s="1942"/>
      <c r="BA40" s="1942"/>
      <c r="BB40" s="1942"/>
      <c r="BC40" s="1943"/>
      <c r="BD40" s="1901">
        <v>1</v>
      </c>
      <c r="BE40" s="1546"/>
      <c r="BF40" s="1546"/>
      <c r="BG40" s="1546"/>
      <c r="BH40" s="1546"/>
      <c r="BI40" s="1546"/>
      <c r="BJ40" s="1546"/>
      <c r="BK40" s="1546"/>
      <c r="BL40" s="1546"/>
      <c r="BM40" s="1547"/>
      <c r="BN40" s="1852">
        <f>AN40</f>
        <v>7430</v>
      </c>
      <c r="BO40" s="1853"/>
      <c r="BP40" s="1853"/>
      <c r="BQ40" s="1853"/>
      <c r="BR40" s="1853"/>
      <c r="BS40" s="1853"/>
      <c r="BT40" s="1853"/>
      <c r="BU40" s="1853"/>
      <c r="BV40" s="1853"/>
      <c r="BW40" s="1853"/>
      <c r="BX40" s="1853"/>
      <c r="BY40" s="1853"/>
      <c r="BZ40" s="1853"/>
      <c r="CA40" s="1853"/>
      <c r="CB40" s="1854"/>
      <c r="CC40" s="17"/>
      <c r="CD40" s="23">
        <f>20000-12570</f>
        <v>7430</v>
      </c>
      <c r="CE40" s="17"/>
      <c r="CF40" s="17"/>
      <c r="CG40" s="17"/>
      <c r="CH40" s="17"/>
    </row>
    <row r="41" spans="1:86" ht="17.25" customHeight="1" x14ac:dyDescent="0.2">
      <c r="A41" s="1803">
        <v>6</v>
      </c>
      <c r="B41" s="1804"/>
      <c r="C41" s="1804"/>
      <c r="D41" s="1805"/>
      <c r="E41" s="1904" t="s">
        <v>1194</v>
      </c>
      <c r="F41" s="1917"/>
      <c r="G41" s="1917"/>
      <c r="H41" s="1917"/>
      <c r="I41" s="1917"/>
      <c r="J41" s="1917"/>
      <c r="K41" s="1917"/>
      <c r="L41" s="1917"/>
      <c r="M41" s="1917"/>
      <c r="N41" s="1917"/>
      <c r="O41" s="1917"/>
      <c r="P41" s="1917"/>
      <c r="Q41" s="1917"/>
      <c r="R41" s="1917"/>
      <c r="S41" s="1917"/>
      <c r="T41" s="1917"/>
      <c r="U41" s="1917"/>
      <c r="V41" s="1917"/>
      <c r="W41" s="1917"/>
      <c r="X41" s="1917"/>
      <c r="Y41" s="1917"/>
      <c r="Z41" s="1917"/>
      <c r="AA41" s="1917"/>
      <c r="AB41" s="1917"/>
      <c r="AC41" s="1917"/>
      <c r="AD41" s="1917"/>
      <c r="AE41" s="1917"/>
      <c r="AF41" s="1917"/>
      <c r="AG41" s="1917"/>
      <c r="AH41" s="1917"/>
      <c r="AI41" s="1917"/>
      <c r="AJ41" s="1917"/>
      <c r="AK41" s="1917"/>
      <c r="AL41" s="1917"/>
      <c r="AM41" s="1918"/>
      <c r="AN41" s="1919">
        <v>18900</v>
      </c>
      <c r="AO41" s="1920"/>
      <c r="AP41" s="1920"/>
      <c r="AQ41" s="1920"/>
      <c r="AR41" s="1920"/>
      <c r="AS41" s="1920"/>
      <c r="AT41" s="1920"/>
      <c r="AU41" s="1920"/>
      <c r="AV41" s="1920"/>
      <c r="AW41" s="1920"/>
      <c r="AX41" s="1920"/>
      <c r="AY41" s="1920"/>
      <c r="AZ41" s="1920"/>
      <c r="BA41" s="1920"/>
      <c r="BB41" s="1920"/>
      <c r="BC41" s="1921"/>
      <c r="BD41" s="1901">
        <v>1</v>
      </c>
      <c r="BE41" s="1546"/>
      <c r="BF41" s="1546"/>
      <c r="BG41" s="1546"/>
      <c r="BH41" s="1546"/>
      <c r="BI41" s="1546"/>
      <c r="BJ41" s="1546"/>
      <c r="BK41" s="1546"/>
      <c r="BL41" s="1546"/>
      <c r="BM41" s="1547"/>
      <c r="BN41" s="1852">
        <f>AN41*BD41</f>
        <v>18900</v>
      </c>
      <c r="BO41" s="1853"/>
      <c r="BP41" s="1853"/>
      <c r="BQ41" s="1853"/>
      <c r="BR41" s="1853"/>
      <c r="BS41" s="1853"/>
      <c r="BT41" s="1853"/>
      <c r="BU41" s="1853"/>
      <c r="BV41" s="1853"/>
      <c r="BW41" s="1853"/>
      <c r="BX41" s="1853"/>
      <c r="BY41" s="1853"/>
      <c r="BZ41" s="1853"/>
      <c r="CA41" s="1853"/>
      <c r="CB41" s="1854"/>
      <c r="CC41" s="17"/>
      <c r="CD41" s="23">
        <v>18900</v>
      </c>
      <c r="CE41" s="17"/>
      <c r="CF41" s="17"/>
      <c r="CG41" s="17"/>
      <c r="CH41" s="242"/>
    </row>
    <row r="42" spans="1:86" x14ac:dyDescent="0.2">
      <c r="A42" s="1843"/>
      <c r="B42" s="1844"/>
      <c r="C42" s="1844"/>
      <c r="D42" s="1845"/>
      <c r="E42" s="1879" t="s">
        <v>159</v>
      </c>
      <c r="F42" s="1880"/>
      <c r="G42" s="1880"/>
      <c r="H42" s="1880"/>
      <c r="I42" s="1880"/>
      <c r="J42" s="1880"/>
      <c r="K42" s="1880"/>
      <c r="L42" s="1880"/>
      <c r="M42" s="1880"/>
      <c r="N42" s="1880"/>
      <c r="O42" s="1880"/>
      <c r="P42" s="1880"/>
      <c r="Q42" s="1880"/>
      <c r="R42" s="1880"/>
      <c r="S42" s="1880"/>
      <c r="T42" s="1880"/>
      <c r="U42" s="1880"/>
      <c r="V42" s="1880"/>
      <c r="W42" s="1880"/>
      <c r="X42" s="1880"/>
      <c r="Y42" s="1880"/>
      <c r="Z42" s="1880"/>
      <c r="AA42" s="1880"/>
      <c r="AB42" s="1880"/>
      <c r="AC42" s="1880"/>
      <c r="AD42" s="1880"/>
      <c r="AE42" s="1880"/>
      <c r="AF42" s="1880"/>
      <c r="AG42" s="1880"/>
      <c r="AH42" s="1880"/>
      <c r="AI42" s="1880"/>
      <c r="AJ42" s="1880"/>
      <c r="AK42" s="1880"/>
      <c r="AL42" s="1880"/>
      <c r="AM42" s="1880"/>
      <c r="AN42" s="1880"/>
      <c r="AO42" s="1880"/>
      <c r="AP42" s="1880"/>
      <c r="AQ42" s="1880"/>
      <c r="AR42" s="1880"/>
      <c r="AS42" s="1880"/>
      <c r="AT42" s="1880"/>
      <c r="AU42" s="1880"/>
      <c r="AV42" s="1880"/>
      <c r="AW42" s="1880"/>
      <c r="AX42" s="1880"/>
      <c r="AY42" s="1880"/>
      <c r="AZ42" s="1880"/>
      <c r="BA42" s="1880"/>
      <c r="BB42" s="1880"/>
      <c r="BC42" s="1881"/>
      <c r="BD42" s="1797" t="s">
        <v>3</v>
      </c>
      <c r="BE42" s="1798"/>
      <c r="BF42" s="1798"/>
      <c r="BG42" s="1798"/>
      <c r="BH42" s="1798"/>
      <c r="BI42" s="1798"/>
      <c r="BJ42" s="1798"/>
      <c r="BK42" s="1798"/>
      <c r="BL42" s="1798"/>
      <c r="BM42" s="1799"/>
      <c r="BN42" s="1855">
        <f>SUM(BN35:BO41)</f>
        <v>190895.91999999998</v>
      </c>
      <c r="BO42" s="1856"/>
      <c r="BP42" s="1856"/>
      <c r="BQ42" s="1856"/>
      <c r="BR42" s="1856"/>
      <c r="BS42" s="1856"/>
      <c r="BT42" s="1856"/>
      <c r="BU42" s="1856"/>
      <c r="BV42" s="1856"/>
      <c r="BW42" s="1856"/>
      <c r="BX42" s="1856"/>
      <c r="BY42" s="1856"/>
      <c r="BZ42" s="1856"/>
      <c r="CA42" s="1856"/>
      <c r="CB42" s="1857"/>
      <c r="CC42" s="28">
        <f>SUM(CC35:CC40)</f>
        <v>0</v>
      </c>
      <c r="CD42" s="28">
        <f>SUM(CD35:CD41)</f>
        <v>190895.91999999998</v>
      </c>
      <c r="CE42" s="17"/>
      <c r="CF42" s="257">
        <f>SUM(CF35:CF40)</f>
        <v>0</v>
      </c>
      <c r="CG42" s="257"/>
      <c r="CH42" s="300"/>
    </row>
    <row r="43" spans="1:86" x14ac:dyDescent="0.2">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45"/>
      <c r="BE43" s="45"/>
      <c r="BF43" s="45"/>
      <c r="BG43" s="45"/>
      <c r="BH43" s="45"/>
      <c r="BI43" s="45"/>
      <c r="BJ43" s="45"/>
      <c r="BK43" s="45"/>
      <c r="BL43" s="45"/>
      <c r="BM43" s="45"/>
      <c r="BN43" s="47"/>
      <c r="BO43" s="47"/>
      <c r="BP43" s="47"/>
      <c r="BQ43" s="47"/>
      <c r="BR43" s="47"/>
      <c r="BS43" s="47"/>
      <c r="BT43" s="47"/>
      <c r="BU43" s="47"/>
      <c r="BV43" s="47"/>
      <c r="BW43" s="47"/>
      <c r="BX43" s="47"/>
      <c r="BY43" s="47"/>
      <c r="BZ43" s="47"/>
      <c r="CA43" s="47"/>
      <c r="CB43" s="47"/>
      <c r="CD43" s="258"/>
    </row>
    <row r="44" spans="1:86" s="4" customFormat="1" ht="15.75" x14ac:dyDescent="0.25">
      <c r="A44" s="19" t="s">
        <v>160</v>
      </c>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row>
    <row r="45" spans="1:86" s="7" customFormat="1" ht="3" customHeight="1" x14ac:dyDescent="0.2">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row>
    <row r="46" spans="1:86" x14ac:dyDescent="0.2">
      <c r="A46" s="1810" t="s">
        <v>38</v>
      </c>
      <c r="B46" s="1810"/>
      <c r="C46" s="1810"/>
      <c r="D46" s="1810"/>
      <c r="E46" s="1830" t="s">
        <v>4</v>
      </c>
      <c r="F46" s="1830"/>
      <c r="G46" s="1830"/>
      <c r="H46" s="1830"/>
      <c r="I46" s="1830"/>
      <c r="J46" s="1830"/>
      <c r="K46" s="1830"/>
      <c r="L46" s="1830"/>
      <c r="M46" s="1830"/>
      <c r="N46" s="1830"/>
      <c r="O46" s="1830"/>
      <c r="P46" s="1830"/>
      <c r="Q46" s="1830"/>
      <c r="R46" s="1830"/>
      <c r="S46" s="1830"/>
      <c r="T46" s="1830"/>
      <c r="U46" s="1830"/>
      <c r="V46" s="1830"/>
      <c r="W46" s="1830"/>
      <c r="X46" s="1830"/>
      <c r="Y46" s="1830"/>
      <c r="Z46" s="1830"/>
      <c r="AA46" s="1830"/>
      <c r="AB46" s="1830"/>
      <c r="AC46" s="1830"/>
      <c r="AD46" s="1830"/>
      <c r="AE46" s="1830"/>
      <c r="AF46" s="1830"/>
      <c r="AG46" s="1830"/>
      <c r="AH46" s="1830"/>
      <c r="AI46" s="1830"/>
      <c r="AJ46" s="1830"/>
      <c r="AK46" s="1830"/>
      <c r="AL46" s="1830"/>
      <c r="AM46" s="1830"/>
      <c r="AN46" s="1830"/>
      <c r="AO46" s="1830"/>
      <c r="AP46" s="1830"/>
      <c r="AQ46" s="1830"/>
      <c r="AR46" s="1830"/>
      <c r="AS46" s="1830" t="s">
        <v>5</v>
      </c>
      <c r="AT46" s="1830"/>
      <c r="AU46" s="1830"/>
      <c r="AV46" s="1830"/>
      <c r="AW46" s="1830"/>
      <c r="AX46" s="1830"/>
      <c r="AY46" s="1830"/>
      <c r="AZ46" s="1830"/>
      <c r="BA46" s="1830"/>
      <c r="BB46" s="1830"/>
      <c r="BC46" s="1810" t="s">
        <v>51</v>
      </c>
      <c r="BD46" s="1810"/>
      <c r="BE46" s="1810"/>
      <c r="BF46" s="1810"/>
      <c r="BG46" s="1810"/>
      <c r="BH46" s="1810"/>
      <c r="BI46" s="1810"/>
      <c r="BJ46" s="1810"/>
      <c r="BK46" s="1810"/>
      <c r="BL46" s="1810"/>
      <c r="BM46" s="1810"/>
      <c r="BN46" s="1830" t="s">
        <v>6</v>
      </c>
      <c r="BO46" s="1830"/>
      <c r="BP46" s="1830"/>
      <c r="BQ46" s="1830"/>
      <c r="BR46" s="1830"/>
      <c r="BS46" s="1830"/>
      <c r="BT46" s="1830"/>
      <c r="BU46" s="1830"/>
      <c r="BV46" s="1830"/>
      <c r="BW46" s="1830"/>
      <c r="BX46" s="1830"/>
      <c r="BY46" s="1830"/>
      <c r="BZ46" s="1830"/>
      <c r="CA46" s="1830"/>
      <c r="CB46" s="1830"/>
      <c r="CC46" s="1806" t="s">
        <v>52</v>
      </c>
      <c r="CD46" s="1806"/>
      <c r="CE46" s="1806"/>
      <c r="CF46" s="1806"/>
      <c r="CG46" s="1806"/>
      <c r="CH46" s="1806"/>
    </row>
    <row r="47" spans="1:86" ht="48" customHeight="1" x14ac:dyDescent="0.2">
      <c r="A47" s="1810"/>
      <c r="B47" s="1810"/>
      <c r="C47" s="1810"/>
      <c r="D47" s="1810"/>
      <c r="E47" s="1830"/>
      <c r="F47" s="1830"/>
      <c r="G47" s="1830"/>
      <c r="H47" s="1830"/>
      <c r="I47" s="1830"/>
      <c r="J47" s="1830"/>
      <c r="K47" s="1830"/>
      <c r="L47" s="1830"/>
      <c r="M47" s="1830"/>
      <c r="N47" s="1830"/>
      <c r="O47" s="1830"/>
      <c r="P47" s="1830"/>
      <c r="Q47" s="1830"/>
      <c r="R47" s="1830"/>
      <c r="S47" s="1830"/>
      <c r="T47" s="1830"/>
      <c r="U47" s="1830"/>
      <c r="V47" s="1830"/>
      <c r="W47" s="1830"/>
      <c r="X47" s="1830"/>
      <c r="Y47" s="1830"/>
      <c r="Z47" s="1830"/>
      <c r="AA47" s="1830"/>
      <c r="AB47" s="1830"/>
      <c r="AC47" s="1830"/>
      <c r="AD47" s="1830"/>
      <c r="AE47" s="1830"/>
      <c r="AF47" s="1830"/>
      <c r="AG47" s="1830"/>
      <c r="AH47" s="1830"/>
      <c r="AI47" s="1830"/>
      <c r="AJ47" s="1830"/>
      <c r="AK47" s="1830"/>
      <c r="AL47" s="1830"/>
      <c r="AM47" s="1830"/>
      <c r="AN47" s="1830"/>
      <c r="AO47" s="1830"/>
      <c r="AP47" s="1830"/>
      <c r="AQ47" s="1830"/>
      <c r="AR47" s="1830"/>
      <c r="AS47" s="1830"/>
      <c r="AT47" s="1830"/>
      <c r="AU47" s="1830"/>
      <c r="AV47" s="1830"/>
      <c r="AW47" s="1830"/>
      <c r="AX47" s="1830"/>
      <c r="AY47" s="1830"/>
      <c r="AZ47" s="1830"/>
      <c r="BA47" s="1830"/>
      <c r="BB47" s="1830"/>
      <c r="BC47" s="1810"/>
      <c r="BD47" s="1810"/>
      <c r="BE47" s="1810"/>
      <c r="BF47" s="1810"/>
      <c r="BG47" s="1810"/>
      <c r="BH47" s="1810"/>
      <c r="BI47" s="1810"/>
      <c r="BJ47" s="1810"/>
      <c r="BK47" s="1810"/>
      <c r="BL47" s="1810"/>
      <c r="BM47" s="1810"/>
      <c r="BN47" s="1830"/>
      <c r="BO47" s="1830"/>
      <c r="BP47" s="1830"/>
      <c r="BQ47" s="1830"/>
      <c r="BR47" s="1830"/>
      <c r="BS47" s="1830"/>
      <c r="BT47" s="1830"/>
      <c r="BU47" s="1830"/>
      <c r="BV47" s="1830"/>
      <c r="BW47" s="1830"/>
      <c r="BX47" s="1830"/>
      <c r="BY47" s="1830"/>
      <c r="BZ47" s="1830"/>
      <c r="CA47" s="1830"/>
      <c r="CB47" s="1830"/>
      <c r="CC47" s="1810" t="s">
        <v>35</v>
      </c>
      <c r="CD47" s="1810"/>
      <c r="CE47" s="1788" t="s">
        <v>45</v>
      </c>
      <c r="CF47" s="1790"/>
      <c r="CG47" s="1789"/>
      <c r="CH47" s="1778" t="s">
        <v>46</v>
      </c>
    </row>
    <row r="48" spans="1:86" ht="12.75" customHeight="1" x14ac:dyDescent="0.2">
      <c r="A48" s="1810"/>
      <c r="B48" s="1810"/>
      <c r="C48" s="1810"/>
      <c r="D48" s="1810"/>
      <c r="E48" s="1830"/>
      <c r="F48" s="1830"/>
      <c r="G48" s="1830"/>
      <c r="H48" s="1830"/>
      <c r="I48" s="1830"/>
      <c r="J48" s="1830"/>
      <c r="K48" s="1830"/>
      <c r="L48" s="1830"/>
      <c r="M48" s="1830"/>
      <c r="N48" s="1830"/>
      <c r="O48" s="1830"/>
      <c r="P48" s="1830"/>
      <c r="Q48" s="1830"/>
      <c r="R48" s="1830"/>
      <c r="S48" s="1830"/>
      <c r="T48" s="1830"/>
      <c r="U48" s="1830"/>
      <c r="V48" s="1830"/>
      <c r="W48" s="1830"/>
      <c r="X48" s="1830"/>
      <c r="Y48" s="1830"/>
      <c r="Z48" s="1830"/>
      <c r="AA48" s="1830"/>
      <c r="AB48" s="1830"/>
      <c r="AC48" s="1830"/>
      <c r="AD48" s="1830"/>
      <c r="AE48" s="1830"/>
      <c r="AF48" s="1830"/>
      <c r="AG48" s="1830"/>
      <c r="AH48" s="1830"/>
      <c r="AI48" s="1830"/>
      <c r="AJ48" s="1830"/>
      <c r="AK48" s="1830"/>
      <c r="AL48" s="1830"/>
      <c r="AM48" s="1830"/>
      <c r="AN48" s="1830"/>
      <c r="AO48" s="1830"/>
      <c r="AP48" s="1830"/>
      <c r="AQ48" s="1830"/>
      <c r="AR48" s="1830"/>
      <c r="AS48" s="1830"/>
      <c r="AT48" s="1830"/>
      <c r="AU48" s="1830"/>
      <c r="AV48" s="1830"/>
      <c r="AW48" s="1830"/>
      <c r="AX48" s="1830"/>
      <c r="AY48" s="1830"/>
      <c r="AZ48" s="1830"/>
      <c r="BA48" s="1830"/>
      <c r="BB48" s="1830"/>
      <c r="BC48" s="1810"/>
      <c r="BD48" s="1810"/>
      <c r="BE48" s="1810"/>
      <c r="BF48" s="1810"/>
      <c r="BG48" s="1810"/>
      <c r="BH48" s="1810"/>
      <c r="BI48" s="1810"/>
      <c r="BJ48" s="1810"/>
      <c r="BK48" s="1810"/>
      <c r="BL48" s="1810"/>
      <c r="BM48" s="1810"/>
      <c r="BN48" s="1830"/>
      <c r="BO48" s="1830"/>
      <c r="BP48" s="1830"/>
      <c r="BQ48" s="1830"/>
      <c r="BR48" s="1830"/>
      <c r="BS48" s="1830"/>
      <c r="BT48" s="1830"/>
      <c r="BU48" s="1830"/>
      <c r="BV48" s="1830"/>
      <c r="BW48" s="1830"/>
      <c r="BX48" s="1830"/>
      <c r="BY48" s="1830"/>
      <c r="BZ48" s="1830"/>
      <c r="CA48" s="1830"/>
      <c r="CB48" s="1830"/>
      <c r="CC48" s="1811" t="s">
        <v>43</v>
      </c>
      <c r="CD48" s="1811" t="s">
        <v>44</v>
      </c>
      <c r="CE48" s="1812" t="s">
        <v>55</v>
      </c>
      <c r="CF48" s="1811" t="s">
        <v>43</v>
      </c>
      <c r="CG48" s="1811" t="s">
        <v>44</v>
      </c>
      <c r="CH48" s="1779"/>
    </row>
    <row r="49" spans="1:86" x14ac:dyDescent="0.2">
      <c r="A49" s="1810"/>
      <c r="B49" s="1810"/>
      <c r="C49" s="1810"/>
      <c r="D49" s="1810"/>
      <c r="E49" s="1830"/>
      <c r="F49" s="1830"/>
      <c r="G49" s="1830"/>
      <c r="H49" s="1830"/>
      <c r="I49" s="1830"/>
      <c r="J49" s="1830"/>
      <c r="K49" s="1830"/>
      <c r="L49" s="1830"/>
      <c r="M49" s="1830"/>
      <c r="N49" s="1830"/>
      <c r="O49" s="1830"/>
      <c r="P49" s="1830"/>
      <c r="Q49" s="1830"/>
      <c r="R49" s="1830"/>
      <c r="S49" s="1830"/>
      <c r="T49" s="1830"/>
      <c r="U49" s="1830"/>
      <c r="V49" s="1830"/>
      <c r="W49" s="1830"/>
      <c r="X49" s="1830"/>
      <c r="Y49" s="1830"/>
      <c r="Z49" s="1830"/>
      <c r="AA49" s="1830"/>
      <c r="AB49" s="1830"/>
      <c r="AC49" s="1830"/>
      <c r="AD49" s="1830"/>
      <c r="AE49" s="1830"/>
      <c r="AF49" s="1830"/>
      <c r="AG49" s="1830"/>
      <c r="AH49" s="1830"/>
      <c r="AI49" s="1830"/>
      <c r="AJ49" s="1830"/>
      <c r="AK49" s="1830"/>
      <c r="AL49" s="1830"/>
      <c r="AM49" s="1830"/>
      <c r="AN49" s="1830"/>
      <c r="AO49" s="1830"/>
      <c r="AP49" s="1830"/>
      <c r="AQ49" s="1830"/>
      <c r="AR49" s="1830"/>
      <c r="AS49" s="1830"/>
      <c r="AT49" s="1830"/>
      <c r="AU49" s="1830"/>
      <c r="AV49" s="1830"/>
      <c r="AW49" s="1830"/>
      <c r="AX49" s="1830"/>
      <c r="AY49" s="1830"/>
      <c r="AZ49" s="1830"/>
      <c r="BA49" s="1830"/>
      <c r="BB49" s="1830"/>
      <c r="BC49" s="1810"/>
      <c r="BD49" s="1810"/>
      <c r="BE49" s="1810"/>
      <c r="BF49" s="1810"/>
      <c r="BG49" s="1810"/>
      <c r="BH49" s="1810"/>
      <c r="BI49" s="1810"/>
      <c r="BJ49" s="1810"/>
      <c r="BK49" s="1810"/>
      <c r="BL49" s="1810"/>
      <c r="BM49" s="1810"/>
      <c r="BN49" s="1830"/>
      <c r="BO49" s="1830"/>
      <c r="BP49" s="1830"/>
      <c r="BQ49" s="1830"/>
      <c r="BR49" s="1830"/>
      <c r="BS49" s="1830"/>
      <c r="BT49" s="1830"/>
      <c r="BU49" s="1830"/>
      <c r="BV49" s="1830"/>
      <c r="BW49" s="1830"/>
      <c r="BX49" s="1830"/>
      <c r="BY49" s="1830"/>
      <c r="BZ49" s="1830"/>
      <c r="CA49" s="1830"/>
      <c r="CB49" s="1830"/>
      <c r="CC49" s="1811"/>
      <c r="CD49" s="1811"/>
      <c r="CE49" s="1813"/>
      <c r="CF49" s="1811"/>
      <c r="CG49" s="1811"/>
      <c r="CH49" s="1780"/>
    </row>
    <row r="50" spans="1:86" x14ac:dyDescent="0.2">
      <c r="A50" s="1770">
        <v>1</v>
      </c>
      <c r="B50" s="1787"/>
      <c r="C50" s="1787"/>
      <c r="D50" s="1771"/>
      <c r="E50" s="1770">
        <v>2</v>
      </c>
      <c r="F50" s="1787"/>
      <c r="G50" s="1787"/>
      <c r="H50" s="1787"/>
      <c r="I50" s="1787"/>
      <c r="J50" s="1787"/>
      <c r="K50" s="1787"/>
      <c r="L50" s="1787"/>
      <c r="M50" s="1787"/>
      <c r="N50" s="1787"/>
      <c r="O50" s="1787"/>
      <c r="P50" s="1787"/>
      <c r="Q50" s="1787"/>
      <c r="R50" s="1787"/>
      <c r="S50" s="1787"/>
      <c r="T50" s="1787"/>
      <c r="U50" s="1787"/>
      <c r="V50" s="1787"/>
      <c r="W50" s="1787"/>
      <c r="X50" s="1787"/>
      <c r="Y50" s="1787"/>
      <c r="Z50" s="1787"/>
      <c r="AA50" s="1787"/>
      <c r="AB50" s="1787"/>
      <c r="AC50" s="1787"/>
      <c r="AD50" s="1787"/>
      <c r="AE50" s="1787"/>
      <c r="AF50" s="1787"/>
      <c r="AG50" s="1787"/>
      <c r="AH50" s="1787"/>
      <c r="AI50" s="1787"/>
      <c r="AJ50" s="1787"/>
      <c r="AK50" s="1787"/>
      <c r="AL50" s="1787"/>
      <c r="AM50" s="1787"/>
      <c r="AN50" s="1787"/>
      <c r="AO50" s="1787"/>
      <c r="AP50" s="1787"/>
      <c r="AQ50" s="1787"/>
      <c r="AR50" s="1771"/>
      <c r="AS50" s="1770">
        <v>3</v>
      </c>
      <c r="AT50" s="1787"/>
      <c r="AU50" s="1787"/>
      <c r="AV50" s="1787"/>
      <c r="AW50" s="1787"/>
      <c r="AX50" s="1787"/>
      <c r="AY50" s="1787"/>
      <c r="AZ50" s="1787"/>
      <c r="BA50" s="1787"/>
      <c r="BB50" s="1771"/>
      <c r="BC50" s="1770">
        <v>4</v>
      </c>
      <c r="BD50" s="1787"/>
      <c r="BE50" s="1787"/>
      <c r="BF50" s="1787"/>
      <c r="BG50" s="1787"/>
      <c r="BH50" s="1787"/>
      <c r="BI50" s="1787"/>
      <c r="BJ50" s="1787"/>
      <c r="BK50" s="1787"/>
      <c r="BL50" s="1787"/>
      <c r="BM50" s="1771"/>
      <c r="BN50" s="1770" t="s">
        <v>49</v>
      </c>
      <c r="BO50" s="1787"/>
      <c r="BP50" s="1787"/>
      <c r="BQ50" s="1787"/>
      <c r="BR50" s="1787"/>
      <c r="BS50" s="1787"/>
      <c r="BT50" s="1787"/>
      <c r="BU50" s="1787"/>
      <c r="BV50" s="1787"/>
      <c r="BW50" s="1787"/>
      <c r="BX50" s="1787"/>
      <c r="BY50" s="1787"/>
      <c r="BZ50" s="1787"/>
      <c r="CA50" s="1787"/>
      <c r="CB50" s="1771"/>
      <c r="CC50" s="15">
        <v>6</v>
      </c>
      <c r="CD50" s="15">
        <v>7</v>
      </c>
      <c r="CE50" s="15">
        <v>8</v>
      </c>
      <c r="CF50" s="15">
        <v>9</v>
      </c>
      <c r="CG50" s="15">
        <v>10</v>
      </c>
      <c r="CH50" s="15">
        <v>11</v>
      </c>
    </row>
    <row r="51" spans="1:86" ht="12.75" customHeight="1" x14ac:dyDescent="0.2">
      <c r="A51" s="2219"/>
      <c r="B51" s="2219"/>
      <c r="C51" s="2219"/>
      <c r="D51" s="2219"/>
      <c r="E51" s="1887"/>
      <c r="F51" s="1888"/>
      <c r="G51" s="1888"/>
      <c r="H51" s="1888"/>
      <c r="I51" s="1888"/>
      <c r="J51" s="1888"/>
      <c r="K51" s="1888"/>
      <c r="L51" s="1888"/>
      <c r="M51" s="1888"/>
      <c r="N51" s="1888"/>
      <c r="O51" s="1888"/>
      <c r="P51" s="1888"/>
      <c r="Q51" s="1888"/>
      <c r="R51" s="1888"/>
      <c r="S51" s="1888"/>
      <c r="T51" s="1888"/>
      <c r="U51" s="1888"/>
      <c r="V51" s="1888"/>
      <c r="W51" s="1888"/>
      <c r="X51" s="1888"/>
      <c r="Y51" s="1888"/>
      <c r="Z51" s="1888"/>
      <c r="AA51" s="1888"/>
      <c r="AB51" s="1888"/>
      <c r="AC51" s="1888"/>
      <c r="AD51" s="1888"/>
      <c r="AE51" s="1888"/>
      <c r="AF51" s="1888"/>
      <c r="AG51" s="1888"/>
      <c r="AH51" s="1888"/>
      <c r="AI51" s="1888"/>
      <c r="AJ51" s="1888"/>
      <c r="AK51" s="1888"/>
      <c r="AL51" s="1888"/>
      <c r="AM51" s="1888"/>
      <c r="AN51" s="1888"/>
      <c r="AO51" s="1888"/>
      <c r="AP51" s="1888"/>
      <c r="AQ51" s="1888"/>
      <c r="AR51" s="1889"/>
      <c r="AS51" s="1890"/>
      <c r="AT51" s="1890"/>
      <c r="AU51" s="1890"/>
      <c r="AV51" s="1890"/>
      <c r="AW51" s="1890"/>
      <c r="AX51" s="1890"/>
      <c r="AY51" s="1890"/>
      <c r="AZ51" s="1890"/>
      <c r="BA51" s="1890"/>
      <c r="BB51" s="1890"/>
      <c r="BC51" s="1891"/>
      <c r="BD51" s="1891"/>
      <c r="BE51" s="1891"/>
      <c r="BF51" s="1891"/>
      <c r="BG51" s="1891"/>
      <c r="BH51" s="1891"/>
      <c r="BI51" s="1891"/>
      <c r="BJ51" s="1891"/>
      <c r="BK51" s="1891"/>
      <c r="BL51" s="1891"/>
      <c r="BM51" s="1891"/>
      <c r="BN51" s="1891"/>
      <c r="BO51" s="1891"/>
      <c r="BP51" s="1891"/>
      <c r="BQ51" s="1891"/>
      <c r="BR51" s="1891"/>
      <c r="BS51" s="1891"/>
      <c r="BT51" s="1891"/>
      <c r="BU51" s="1891"/>
      <c r="BV51" s="1891"/>
      <c r="BW51" s="1891"/>
      <c r="BX51" s="1891"/>
      <c r="BY51" s="1891"/>
      <c r="BZ51" s="1891"/>
      <c r="CA51" s="1891"/>
      <c r="CB51" s="1891"/>
      <c r="CC51" s="259"/>
      <c r="CD51" s="259"/>
      <c r="CE51" s="260"/>
      <c r="CF51" s="259"/>
      <c r="CG51" s="259"/>
      <c r="CH51" s="259"/>
    </row>
    <row r="52" spans="1:86" ht="27.75" customHeight="1" x14ac:dyDescent="0.2">
      <c r="A52" s="2219"/>
      <c r="B52" s="2219"/>
      <c r="C52" s="2219"/>
      <c r="D52" s="2219"/>
      <c r="E52" s="1887"/>
      <c r="F52" s="1888"/>
      <c r="G52" s="1888"/>
      <c r="H52" s="1888"/>
      <c r="I52" s="1888"/>
      <c r="J52" s="1888"/>
      <c r="K52" s="1888"/>
      <c r="L52" s="1888"/>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8"/>
      <c r="AK52" s="1888"/>
      <c r="AL52" s="1888"/>
      <c r="AM52" s="1888"/>
      <c r="AN52" s="1888"/>
      <c r="AO52" s="1888"/>
      <c r="AP52" s="1888"/>
      <c r="AQ52" s="1888"/>
      <c r="AR52" s="1889"/>
      <c r="AS52" s="1890"/>
      <c r="AT52" s="1890"/>
      <c r="AU52" s="1890"/>
      <c r="AV52" s="1890"/>
      <c r="AW52" s="1890"/>
      <c r="AX52" s="1890"/>
      <c r="AY52" s="1890"/>
      <c r="AZ52" s="1890"/>
      <c r="BA52" s="1890"/>
      <c r="BB52" s="1890"/>
      <c r="BC52" s="1891"/>
      <c r="BD52" s="1891"/>
      <c r="BE52" s="1891"/>
      <c r="BF52" s="1891"/>
      <c r="BG52" s="1891"/>
      <c r="BH52" s="1891"/>
      <c r="BI52" s="1891"/>
      <c r="BJ52" s="1891"/>
      <c r="BK52" s="1891"/>
      <c r="BL52" s="1891"/>
      <c r="BM52" s="1891"/>
      <c r="BN52" s="1891"/>
      <c r="BO52" s="1891"/>
      <c r="BP52" s="1891"/>
      <c r="BQ52" s="1891"/>
      <c r="BR52" s="1891"/>
      <c r="BS52" s="1891"/>
      <c r="BT52" s="1891"/>
      <c r="BU52" s="1891"/>
      <c r="BV52" s="1891"/>
      <c r="BW52" s="1891"/>
      <c r="BX52" s="1891"/>
      <c r="BY52" s="1891"/>
      <c r="BZ52" s="1891"/>
      <c r="CA52" s="1891"/>
      <c r="CB52" s="1891"/>
      <c r="CC52" s="259"/>
      <c r="CD52" s="259"/>
      <c r="CE52" s="260"/>
      <c r="CF52" s="259"/>
      <c r="CG52" s="259"/>
      <c r="CH52" s="259"/>
    </row>
    <row r="53" spans="1:86" ht="27.75" customHeight="1" x14ac:dyDescent="0.2">
      <c r="A53" s="2219"/>
      <c r="B53" s="2219"/>
      <c r="C53" s="2219"/>
      <c r="D53" s="2219"/>
      <c r="E53" s="1887"/>
      <c r="F53" s="1888"/>
      <c r="G53" s="1888"/>
      <c r="H53" s="1888"/>
      <c r="I53" s="1888"/>
      <c r="J53" s="1888"/>
      <c r="K53" s="1888"/>
      <c r="L53" s="1888"/>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c r="AN53" s="1888"/>
      <c r="AO53" s="1888"/>
      <c r="AP53" s="1888"/>
      <c r="AQ53" s="1888"/>
      <c r="AR53" s="1889"/>
      <c r="AS53" s="1890"/>
      <c r="AT53" s="1890"/>
      <c r="AU53" s="1890"/>
      <c r="AV53" s="1890"/>
      <c r="AW53" s="1890"/>
      <c r="AX53" s="1890"/>
      <c r="AY53" s="1890"/>
      <c r="AZ53" s="1890"/>
      <c r="BA53" s="1890"/>
      <c r="BB53" s="1890"/>
      <c r="BC53" s="1891"/>
      <c r="BD53" s="1891"/>
      <c r="BE53" s="1891"/>
      <c r="BF53" s="1891"/>
      <c r="BG53" s="1891"/>
      <c r="BH53" s="1891"/>
      <c r="BI53" s="1891"/>
      <c r="BJ53" s="1891"/>
      <c r="BK53" s="1891"/>
      <c r="BL53" s="1891"/>
      <c r="BM53" s="1891"/>
      <c r="BN53" s="1891"/>
      <c r="BO53" s="1891"/>
      <c r="BP53" s="1891"/>
      <c r="BQ53" s="1891"/>
      <c r="BR53" s="1891"/>
      <c r="BS53" s="1891"/>
      <c r="BT53" s="1891"/>
      <c r="BU53" s="1891"/>
      <c r="BV53" s="1891"/>
      <c r="BW53" s="1891"/>
      <c r="BX53" s="1891"/>
      <c r="BY53" s="1891"/>
      <c r="BZ53" s="1891"/>
      <c r="CA53" s="1891"/>
      <c r="CB53" s="1891"/>
      <c r="CC53" s="259"/>
      <c r="CD53" s="259"/>
      <c r="CE53" s="260"/>
      <c r="CF53" s="259"/>
      <c r="CG53" s="259"/>
      <c r="CH53" s="259"/>
    </row>
    <row r="54" spans="1:86" ht="27.75" customHeight="1" x14ac:dyDescent="0.2">
      <c r="A54" s="2219"/>
      <c r="B54" s="2219"/>
      <c r="C54" s="2219"/>
      <c r="D54" s="2219"/>
      <c r="E54" s="1887"/>
      <c r="F54" s="1888"/>
      <c r="G54" s="1888"/>
      <c r="H54" s="1888"/>
      <c r="I54" s="1888"/>
      <c r="J54" s="1888"/>
      <c r="K54" s="1888"/>
      <c r="L54" s="1888"/>
      <c r="M54" s="1888"/>
      <c r="N54" s="1888"/>
      <c r="O54" s="1888"/>
      <c r="P54" s="1888"/>
      <c r="Q54" s="1888"/>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c r="AN54" s="1888"/>
      <c r="AO54" s="1888"/>
      <c r="AP54" s="1888"/>
      <c r="AQ54" s="1888"/>
      <c r="AR54" s="1889"/>
      <c r="AS54" s="1890"/>
      <c r="AT54" s="1890"/>
      <c r="AU54" s="1890"/>
      <c r="AV54" s="1890"/>
      <c r="AW54" s="1890"/>
      <c r="AX54" s="1890"/>
      <c r="AY54" s="1890"/>
      <c r="AZ54" s="1890"/>
      <c r="BA54" s="1890"/>
      <c r="BB54" s="1890"/>
      <c r="BC54" s="1891"/>
      <c r="BD54" s="1891"/>
      <c r="BE54" s="1891"/>
      <c r="BF54" s="1891"/>
      <c r="BG54" s="1891"/>
      <c r="BH54" s="1891"/>
      <c r="BI54" s="1891"/>
      <c r="BJ54" s="1891"/>
      <c r="BK54" s="1891"/>
      <c r="BL54" s="1891"/>
      <c r="BM54" s="1891"/>
      <c r="BN54" s="1891"/>
      <c r="BO54" s="1891"/>
      <c r="BP54" s="1891"/>
      <c r="BQ54" s="1891"/>
      <c r="BR54" s="1891"/>
      <c r="BS54" s="1891"/>
      <c r="BT54" s="1891"/>
      <c r="BU54" s="1891"/>
      <c r="BV54" s="1891"/>
      <c r="BW54" s="1891"/>
      <c r="BX54" s="1891"/>
      <c r="BY54" s="1891"/>
      <c r="BZ54" s="1891"/>
      <c r="CA54" s="1891"/>
      <c r="CB54" s="1891"/>
      <c r="CC54" s="259"/>
      <c r="CD54" s="259"/>
      <c r="CE54" s="260"/>
      <c r="CF54" s="259"/>
      <c r="CG54" s="259"/>
      <c r="CH54" s="259"/>
    </row>
    <row r="55" spans="1:86" x14ac:dyDescent="0.2">
      <c r="A55" s="1831" t="s">
        <v>162</v>
      </c>
      <c r="B55" s="1832"/>
      <c r="C55" s="1832"/>
      <c r="D55" s="1832"/>
      <c r="E55" s="1832"/>
      <c r="F55" s="1832"/>
      <c r="G55" s="1832"/>
      <c r="H55" s="1832"/>
      <c r="I55" s="1832"/>
      <c r="J55" s="1832"/>
      <c r="K55" s="1832"/>
      <c r="L55" s="1832"/>
      <c r="M55" s="1832"/>
      <c r="N55" s="1832"/>
      <c r="O55" s="1832"/>
      <c r="P55" s="1832"/>
      <c r="Q55" s="1832"/>
      <c r="R55" s="1832"/>
      <c r="S55" s="1832"/>
      <c r="T55" s="1832"/>
      <c r="U55" s="1832"/>
      <c r="V55" s="1832"/>
      <c r="W55" s="1832"/>
      <c r="X55" s="1832"/>
      <c r="Y55" s="1832"/>
      <c r="Z55" s="1832"/>
      <c r="AA55" s="1832"/>
      <c r="AB55" s="1832"/>
      <c r="AC55" s="1832"/>
      <c r="AD55" s="1832"/>
      <c r="AE55" s="1832"/>
      <c r="AF55" s="1832"/>
      <c r="AG55" s="1832"/>
      <c r="AH55" s="1832"/>
      <c r="AI55" s="1832"/>
      <c r="AJ55" s="1832"/>
      <c r="AK55" s="1832"/>
      <c r="AL55" s="1832"/>
      <c r="AM55" s="1832"/>
      <c r="AN55" s="1832"/>
      <c r="AO55" s="1832"/>
      <c r="AP55" s="1832"/>
      <c r="AQ55" s="1832"/>
      <c r="AR55" s="1833"/>
      <c r="AS55" s="1913" t="s">
        <v>3</v>
      </c>
      <c r="AT55" s="1913"/>
      <c r="AU55" s="1913"/>
      <c r="AV55" s="1913"/>
      <c r="AW55" s="1913"/>
      <c r="AX55" s="1913"/>
      <c r="AY55" s="1913"/>
      <c r="AZ55" s="1913"/>
      <c r="BA55" s="1913"/>
      <c r="BB55" s="1913"/>
      <c r="BC55" s="1913" t="s">
        <v>3</v>
      </c>
      <c r="BD55" s="1913"/>
      <c r="BE55" s="1913"/>
      <c r="BF55" s="1913"/>
      <c r="BG55" s="1913"/>
      <c r="BH55" s="1913"/>
      <c r="BI55" s="1913"/>
      <c r="BJ55" s="1913"/>
      <c r="BK55" s="1913"/>
      <c r="BL55" s="1913"/>
      <c r="BM55" s="1913"/>
      <c r="BN55" s="1972">
        <f>SUM(BN51:CB54)</f>
        <v>0</v>
      </c>
      <c r="BO55" s="1972"/>
      <c r="BP55" s="1972"/>
      <c r="BQ55" s="1972"/>
      <c r="BR55" s="1972"/>
      <c r="BS55" s="1972"/>
      <c r="BT55" s="1972"/>
      <c r="BU55" s="1972"/>
      <c r="BV55" s="1972"/>
      <c r="BW55" s="1972"/>
      <c r="BX55" s="1972"/>
      <c r="BY55" s="1972"/>
      <c r="BZ55" s="1972"/>
      <c r="CA55" s="1972"/>
      <c r="CB55" s="1972"/>
      <c r="CC55" s="251">
        <f>SUM(CC54)</f>
        <v>0</v>
      </c>
      <c r="CD55" s="251"/>
      <c r="CE55" s="251"/>
      <c r="CF55" s="251"/>
      <c r="CG55" s="251">
        <f>SUM(CG51:CG53)</f>
        <v>0</v>
      </c>
      <c r="CH55" s="251"/>
    </row>
    <row r="56" spans="1:86" ht="8.25" customHeight="1" x14ac:dyDescent="0.2"/>
    <row r="57" spans="1:86" ht="0.75" customHeight="1" x14ac:dyDescent="0.2">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5"/>
      <c r="AT57" s="45"/>
      <c r="AU57" s="45"/>
      <c r="AV57" s="45"/>
      <c r="AW57" s="45"/>
      <c r="AX57" s="45"/>
      <c r="AY57" s="45"/>
      <c r="AZ57" s="45"/>
      <c r="BA57" s="45"/>
      <c r="BB57" s="45"/>
      <c r="BC57" s="45"/>
      <c r="BD57" s="45"/>
      <c r="BE57" s="45"/>
      <c r="BF57" s="45"/>
      <c r="BG57" s="45"/>
      <c r="BH57" s="45"/>
      <c r="BI57" s="45"/>
      <c r="BJ57" s="45"/>
      <c r="BK57" s="45"/>
      <c r="BL57" s="45"/>
      <c r="BM57" s="45"/>
      <c r="BN57" s="47"/>
      <c r="BO57" s="47"/>
      <c r="BP57" s="47"/>
      <c r="BQ57" s="47"/>
      <c r="BR57" s="47"/>
      <c r="BS57" s="47"/>
      <c r="BT57" s="47"/>
      <c r="BU57" s="47"/>
      <c r="BV57" s="47"/>
      <c r="BW57" s="47"/>
      <c r="BX57" s="47"/>
      <c r="BY57" s="47"/>
      <c r="BZ57" s="47"/>
      <c r="CA57" s="47"/>
      <c r="CB57" s="47"/>
    </row>
    <row r="58" spans="1:86" ht="15.75" x14ac:dyDescent="0.25">
      <c r="A58" s="19" t="s">
        <v>60</v>
      </c>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row>
    <row r="59" spans="1:86" ht="6" customHeight="1" x14ac:dyDescent="0.2">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5"/>
      <c r="AT59" s="45"/>
      <c r="AU59" s="45"/>
      <c r="AV59" s="45"/>
      <c r="AW59" s="45"/>
      <c r="AX59" s="45"/>
      <c r="AY59" s="45"/>
      <c r="AZ59" s="45"/>
      <c r="BA59" s="45"/>
      <c r="BB59" s="45"/>
      <c r="BC59" s="45"/>
      <c r="BD59" s="45"/>
      <c r="BE59" s="45"/>
      <c r="BF59" s="45"/>
      <c r="BG59" s="45"/>
      <c r="BH59" s="45"/>
      <c r="BI59" s="45"/>
      <c r="BJ59" s="45"/>
      <c r="BK59" s="45"/>
      <c r="BL59" s="45"/>
      <c r="BM59" s="45"/>
      <c r="BN59" s="47"/>
      <c r="BO59" s="47"/>
      <c r="BP59" s="47"/>
      <c r="BQ59" s="47"/>
      <c r="BR59" s="47"/>
      <c r="BS59" s="47"/>
      <c r="BT59" s="47"/>
      <c r="BU59" s="47"/>
      <c r="BV59" s="47"/>
      <c r="BW59" s="47"/>
      <c r="BX59" s="47"/>
      <c r="BY59" s="47"/>
      <c r="BZ59" s="47"/>
      <c r="CA59" s="47"/>
      <c r="CB59" s="47"/>
    </row>
    <row r="60" spans="1:86" ht="12.75" customHeight="1" x14ac:dyDescent="0.2">
      <c r="A60" s="1818" t="s">
        <v>71</v>
      </c>
      <c r="B60" s="1819"/>
      <c r="C60" s="1819"/>
      <c r="D60" s="1820"/>
      <c r="E60" s="1818" t="s">
        <v>4</v>
      </c>
      <c r="F60" s="1819"/>
      <c r="G60" s="1819"/>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c r="AE60" s="1819"/>
      <c r="AF60" s="1819"/>
      <c r="AG60" s="1819"/>
      <c r="AH60" s="1819"/>
      <c r="AI60" s="1819"/>
      <c r="AJ60" s="1819"/>
      <c r="AK60" s="1819"/>
      <c r="AL60" s="1819"/>
      <c r="AM60" s="1819"/>
      <c r="AN60" s="1819"/>
      <c r="AO60" s="1819"/>
      <c r="AP60" s="1819"/>
      <c r="AQ60" s="1819"/>
      <c r="AR60" s="1820"/>
      <c r="AS60" s="1818" t="s">
        <v>5</v>
      </c>
      <c r="AT60" s="1819"/>
      <c r="AU60" s="1819"/>
      <c r="AV60" s="1819"/>
      <c r="AW60" s="1819"/>
      <c r="AX60" s="1819"/>
      <c r="AY60" s="1819"/>
      <c r="AZ60" s="1819"/>
      <c r="BA60" s="1819"/>
      <c r="BB60" s="1820"/>
      <c r="BC60" s="1818" t="s">
        <v>164</v>
      </c>
      <c r="BD60" s="1975"/>
      <c r="BE60" s="1975"/>
      <c r="BF60" s="1975"/>
      <c r="BG60" s="1975"/>
      <c r="BH60" s="1975"/>
      <c r="BI60" s="1975"/>
      <c r="BJ60" s="1975"/>
      <c r="BK60" s="1975"/>
      <c r="BL60" s="1975"/>
      <c r="BM60" s="1976"/>
      <c r="BN60" s="1818" t="s">
        <v>6</v>
      </c>
      <c r="BO60" s="1819"/>
      <c r="BP60" s="1819"/>
      <c r="BQ60" s="1819"/>
      <c r="BR60" s="1819"/>
      <c r="BS60" s="1819"/>
      <c r="BT60" s="1819"/>
      <c r="BU60" s="1819"/>
      <c r="BV60" s="1819"/>
      <c r="BW60" s="1819"/>
      <c r="BX60" s="1819"/>
      <c r="BY60" s="1819"/>
      <c r="BZ60" s="1819"/>
      <c r="CA60" s="1819"/>
      <c r="CB60" s="1820"/>
      <c r="CC60" s="1806" t="s">
        <v>52</v>
      </c>
      <c r="CD60" s="1806"/>
      <c r="CE60" s="1806"/>
      <c r="CF60" s="1806"/>
      <c r="CG60" s="1806"/>
      <c r="CH60" s="1806"/>
    </row>
    <row r="61" spans="1:86" ht="55.5" customHeight="1" x14ac:dyDescent="0.2">
      <c r="A61" s="1807" t="s">
        <v>77</v>
      </c>
      <c r="B61" s="1808"/>
      <c r="C61" s="1808"/>
      <c r="D61" s="1809"/>
      <c r="E61" s="1807"/>
      <c r="F61" s="1808"/>
      <c r="G61" s="1808"/>
      <c r="H61" s="1808"/>
      <c r="I61" s="1808"/>
      <c r="J61" s="1808"/>
      <c r="K61" s="1808"/>
      <c r="L61" s="1808"/>
      <c r="M61" s="1808"/>
      <c r="N61" s="1808"/>
      <c r="O61" s="1808"/>
      <c r="P61" s="1808"/>
      <c r="Q61" s="1808"/>
      <c r="R61" s="1808"/>
      <c r="S61" s="1808"/>
      <c r="T61" s="1808"/>
      <c r="U61" s="1808"/>
      <c r="V61" s="1808"/>
      <c r="W61" s="1808"/>
      <c r="X61" s="1808"/>
      <c r="Y61" s="1808"/>
      <c r="Z61" s="1808"/>
      <c r="AA61" s="1808"/>
      <c r="AB61" s="1808"/>
      <c r="AC61" s="1808"/>
      <c r="AD61" s="1808"/>
      <c r="AE61" s="1808"/>
      <c r="AF61" s="1808"/>
      <c r="AG61" s="1808"/>
      <c r="AH61" s="1808"/>
      <c r="AI61" s="1808"/>
      <c r="AJ61" s="1808"/>
      <c r="AK61" s="1808"/>
      <c r="AL61" s="1808"/>
      <c r="AM61" s="1808"/>
      <c r="AN61" s="1808"/>
      <c r="AO61" s="1808"/>
      <c r="AP61" s="1808"/>
      <c r="AQ61" s="1808"/>
      <c r="AR61" s="1809"/>
      <c r="AS61" s="1807"/>
      <c r="AT61" s="1808"/>
      <c r="AU61" s="1808"/>
      <c r="AV61" s="1808"/>
      <c r="AW61" s="1808"/>
      <c r="AX61" s="1808"/>
      <c r="AY61" s="1808"/>
      <c r="AZ61" s="1808"/>
      <c r="BA61" s="1808"/>
      <c r="BB61" s="1809"/>
      <c r="BC61" s="1807" t="s">
        <v>165</v>
      </c>
      <c r="BD61" s="1928"/>
      <c r="BE61" s="1928"/>
      <c r="BF61" s="1928"/>
      <c r="BG61" s="1928"/>
      <c r="BH61" s="1928"/>
      <c r="BI61" s="1928"/>
      <c r="BJ61" s="1928"/>
      <c r="BK61" s="1928"/>
      <c r="BL61" s="1928"/>
      <c r="BM61" s="1929"/>
      <c r="BN61" s="1807"/>
      <c r="BO61" s="1808"/>
      <c r="BP61" s="1808"/>
      <c r="BQ61" s="1808"/>
      <c r="BR61" s="1808"/>
      <c r="BS61" s="1808"/>
      <c r="BT61" s="1808"/>
      <c r="BU61" s="1808"/>
      <c r="BV61" s="1808"/>
      <c r="BW61" s="1808"/>
      <c r="BX61" s="1808"/>
      <c r="BY61" s="1808"/>
      <c r="BZ61" s="1808"/>
      <c r="CA61" s="1808"/>
      <c r="CB61" s="1809"/>
      <c r="CC61" s="1810" t="s">
        <v>35</v>
      </c>
      <c r="CD61" s="1810"/>
      <c r="CE61" s="1788" t="s">
        <v>45</v>
      </c>
      <c r="CF61" s="1790"/>
      <c r="CG61" s="1789"/>
      <c r="CH61" s="1778" t="s">
        <v>46</v>
      </c>
    </row>
    <row r="62" spans="1:86" ht="12.75" customHeight="1" x14ac:dyDescent="0.2">
      <c r="A62" s="1807"/>
      <c r="B62" s="1808"/>
      <c r="C62" s="1808"/>
      <c r="D62" s="1809"/>
      <c r="E62" s="1807"/>
      <c r="F62" s="1808"/>
      <c r="G62" s="1808"/>
      <c r="H62" s="1808"/>
      <c r="I62" s="1808"/>
      <c r="J62" s="1808"/>
      <c r="K62" s="1808"/>
      <c r="L62" s="1808"/>
      <c r="M62" s="1808"/>
      <c r="N62" s="1808"/>
      <c r="O62" s="1808"/>
      <c r="P62" s="1808"/>
      <c r="Q62" s="1808"/>
      <c r="R62" s="1808"/>
      <c r="S62" s="1808"/>
      <c r="T62" s="1808"/>
      <c r="U62" s="1808"/>
      <c r="V62" s="1808"/>
      <c r="W62" s="1808"/>
      <c r="X62" s="1808"/>
      <c r="Y62" s="1808"/>
      <c r="Z62" s="1808"/>
      <c r="AA62" s="1808"/>
      <c r="AB62" s="1808"/>
      <c r="AC62" s="1808"/>
      <c r="AD62" s="1808"/>
      <c r="AE62" s="1808"/>
      <c r="AF62" s="1808"/>
      <c r="AG62" s="1808"/>
      <c r="AH62" s="1808"/>
      <c r="AI62" s="1808"/>
      <c r="AJ62" s="1808"/>
      <c r="AK62" s="1808"/>
      <c r="AL62" s="1808"/>
      <c r="AM62" s="1808"/>
      <c r="AN62" s="1808"/>
      <c r="AO62" s="1808"/>
      <c r="AP62" s="1808"/>
      <c r="AQ62" s="1808"/>
      <c r="AR62" s="1809"/>
      <c r="AS62" s="1807"/>
      <c r="AT62" s="1808"/>
      <c r="AU62" s="1808"/>
      <c r="AV62" s="1808"/>
      <c r="AW62" s="1808"/>
      <c r="AX62" s="1808"/>
      <c r="AY62" s="1808"/>
      <c r="AZ62" s="1808"/>
      <c r="BA62" s="1808"/>
      <c r="BB62" s="1809"/>
      <c r="BC62" s="1807" t="s">
        <v>111</v>
      </c>
      <c r="BD62" s="1928"/>
      <c r="BE62" s="1928"/>
      <c r="BF62" s="1928"/>
      <c r="BG62" s="1928"/>
      <c r="BH62" s="1928"/>
      <c r="BI62" s="1928"/>
      <c r="BJ62" s="1928"/>
      <c r="BK62" s="1928"/>
      <c r="BL62" s="1928"/>
      <c r="BM62" s="1929"/>
      <c r="BN62" s="1807"/>
      <c r="BO62" s="1808"/>
      <c r="BP62" s="1808"/>
      <c r="BQ62" s="1808"/>
      <c r="BR62" s="1808"/>
      <c r="BS62" s="1808"/>
      <c r="BT62" s="1808"/>
      <c r="BU62" s="1808"/>
      <c r="BV62" s="1808"/>
      <c r="BW62" s="1808"/>
      <c r="BX62" s="1808"/>
      <c r="BY62" s="1808"/>
      <c r="BZ62" s="1808"/>
      <c r="CA62" s="1808"/>
      <c r="CB62" s="1809"/>
      <c r="CC62" s="1811" t="s">
        <v>43</v>
      </c>
      <c r="CD62" s="1811" t="s">
        <v>44</v>
      </c>
      <c r="CE62" s="1812" t="s">
        <v>55</v>
      </c>
      <c r="CF62" s="1811" t="s">
        <v>43</v>
      </c>
      <c r="CG62" s="1811" t="s">
        <v>44</v>
      </c>
      <c r="CH62" s="1779"/>
    </row>
    <row r="63" spans="1:86" ht="12.75" customHeight="1" x14ac:dyDescent="0.2">
      <c r="A63" s="246"/>
      <c r="B63" s="247"/>
      <c r="C63" s="247"/>
      <c r="D63" s="248"/>
      <c r="E63" s="1814"/>
      <c r="F63" s="1815"/>
      <c r="G63" s="1815"/>
      <c r="H63" s="1815"/>
      <c r="I63" s="1815"/>
      <c r="J63" s="1815"/>
      <c r="K63" s="1815"/>
      <c r="L63" s="1815"/>
      <c r="M63" s="1815"/>
      <c r="N63" s="1815"/>
      <c r="O63" s="1815"/>
      <c r="P63" s="1815"/>
      <c r="Q63" s="1815"/>
      <c r="R63" s="1815"/>
      <c r="S63" s="1815"/>
      <c r="T63" s="1815"/>
      <c r="U63" s="1815"/>
      <c r="V63" s="1815"/>
      <c r="W63" s="1815"/>
      <c r="X63" s="1815"/>
      <c r="Y63" s="1815"/>
      <c r="Z63" s="1815"/>
      <c r="AA63" s="1815"/>
      <c r="AB63" s="1815"/>
      <c r="AC63" s="1815"/>
      <c r="AD63" s="1815"/>
      <c r="AE63" s="1815"/>
      <c r="AF63" s="1815"/>
      <c r="AG63" s="1815"/>
      <c r="AH63" s="1815"/>
      <c r="AI63" s="1815"/>
      <c r="AJ63" s="1815"/>
      <c r="AK63" s="1815"/>
      <c r="AL63" s="1815"/>
      <c r="AM63" s="1815"/>
      <c r="AN63" s="1815"/>
      <c r="AO63" s="1815"/>
      <c r="AP63" s="1815"/>
      <c r="AQ63" s="1815"/>
      <c r="AR63" s="1816"/>
      <c r="AS63" s="1814"/>
      <c r="AT63" s="1815"/>
      <c r="AU63" s="1815"/>
      <c r="AV63" s="1815"/>
      <c r="AW63" s="1815"/>
      <c r="AX63" s="1815"/>
      <c r="AY63" s="1815"/>
      <c r="AZ63" s="1815"/>
      <c r="BA63" s="1815"/>
      <c r="BB63" s="1816"/>
      <c r="BC63" s="1814"/>
      <c r="BD63" s="1815"/>
      <c r="BE63" s="1815"/>
      <c r="BF63" s="1815"/>
      <c r="BG63" s="1815"/>
      <c r="BH63" s="1815"/>
      <c r="BI63" s="1815"/>
      <c r="BJ63" s="1815"/>
      <c r="BK63" s="1815"/>
      <c r="BL63" s="1815"/>
      <c r="BM63" s="1816"/>
      <c r="BN63" s="1814"/>
      <c r="BO63" s="1815"/>
      <c r="BP63" s="1815"/>
      <c r="BQ63" s="1815"/>
      <c r="BR63" s="1815"/>
      <c r="BS63" s="1815"/>
      <c r="BT63" s="1815"/>
      <c r="BU63" s="1815"/>
      <c r="BV63" s="1815"/>
      <c r="BW63" s="1815"/>
      <c r="BX63" s="1815"/>
      <c r="BY63" s="1815"/>
      <c r="BZ63" s="1815"/>
      <c r="CA63" s="1815"/>
      <c r="CB63" s="1816"/>
      <c r="CC63" s="1811"/>
      <c r="CD63" s="1811"/>
      <c r="CE63" s="1813"/>
      <c r="CF63" s="1811"/>
      <c r="CG63" s="1811"/>
      <c r="CH63" s="1780"/>
    </row>
    <row r="64" spans="1:86" x14ac:dyDescent="0.2">
      <c r="A64" s="1814">
        <v>1</v>
      </c>
      <c r="B64" s="1815"/>
      <c r="C64" s="1815"/>
      <c r="D64" s="1816"/>
      <c r="E64" s="1814">
        <v>2</v>
      </c>
      <c r="F64" s="1815"/>
      <c r="G64" s="1815"/>
      <c r="H64" s="1815"/>
      <c r="I64" s="1815"/>
      <c r="J64" s="1815"/>
      <c r="K64" s="1815"/>
      <c r="L64" s="1815"/>
      <c r="M64" s="1815"/>
      <c r="N64" s="1815"/>
      <c r="O64" s="1815"/>
      <c r="P64" s="1815"/>
      <c r="Q64" s="1815"/>
      <c r="R64" s="1815"/>
      <c r="S64" s="1815"/>
      <c r="T64" s="1815"/>
      <c r="U64" s="1815"/>
      <c r="V64" s="1815"/>
      <c r="W64" s="1815"/>
      <c r="X64" s="1815"/>
      <c r="Y64" s="1815"/>
      <c r="Z64" s="1815"/>
      <c r="AA64" s="1815"/>
      <c r="AB64" s="1815"/>
      <c r="AC64" s="1815"/>
      <c r="AD64" s="1815"/>
      <c r="AE64" s="1815"/>
      <c r="AF64" s="1815"/>
      <c r="AG64" s="1815"/>
      <c r="AH64" s="1815"/>
      <c r="AI64" s="1815"/>
      <c r="AJ64" s="1815"/>
      <c r="AK64" s="1815"/>
      <c r="AL64" s="1815"/>
      <c r="AM64" s="1815"/>
      <c r="AN64" s="1815"/>
      <c r="AO64" s="1815"/>
      <c r="AP64" s="1815"/>
      <c r="AQ64" s="1815"/>
      <c r="AR64" s="1816"/>
      <c r="AS64" s="1814">
        <v>3</v>
      </c>
      <c r="AT64" s="1815"/>
      <c r="AU64" s="1815"/>
      <c r="AV64" s="1815"/>
      <c r="AW64" s="1815"/>
      <c r="AX64" s="1815"/>
      <c r="AY64" s="1815"/>
      <c r="AZ64" s="1815"/>
      <c r="BA64" s="1815"/>
      <c r="BB64" s="1816"/>
      <c r="BC64" s="1814">
        <v>4</v>
      </c>
      <c r="BD64" s="1815"/>
      <c r="BE64" s="1815"/>
      <c r="BF64" s="1815"/>
      <c r="BG64" s="1815"/>
      <c r="BH64" s="1815"/>
      <c r="BI64" s="1815"/>
      <c r="BJ64" s="1815"/>
      <c r="BK64" s="1815"/>
      <c r="BL64" s="1815"/>
      <c r="BM64" s="1816"/>
      <c r="BN64" s="1830" t="s">
        <v>49</v>
      </c>
      <c r="BO64" s="1830"/>
      <c r="BP64" s="1830"/>
      <c r="BQ64" s="1830"/>
      <c r="BR64" s="1830"/>
      <c r="BS64" s="1830"/>
      <c r="BT64" s="1830"/>
      <c r="BU64" s="1830"/>
      <c r="BV64" s="1830"/>
      <c r="BW64" s="1830"/>
      <c r="BX64" s="1830"/>
      <c r="BY64" s="1830"/>
      <c r="BZ64" s="1830"/>
      <c r="CA64" s="1830"/>
      <c r="CB64" s="1830"/>
      <c r="CC64" s="15">
        <v>6</v>
      </c>
      <c r="CD64" s="15">
        <v>7</v>
      </c>
      <c r="CE64" s="15">
        <v>8</v>
      </c>
      <c r="CF64" s="15">
        <v>9</v>
      </c>
      <c r="CG64" s="15">
        <v>10</v>
      </c>
      <c r="CH64" s="15">
        <v>11</v>
      </c>
    </row>
    <row r="65" spans="1:87" ht="18.75" customHeight="1" x14ac:dyDescent="0.2">
      <c r="A65" s="1772">
        <v>1</v>
      </c>
      <c r="B65" s="1882"/>
      <c r="C65" s="1882"/>
      <c r="D65" s="1882"/>
      <c r="E65" s="1772" t="s">
        <v>588</v>
      </c>
      <c r="F65" s="1882"/>
      <c r="G65" s="1882"/>
      <c r="H65" s="1882"/>
      <c r="I65" s="1882"/>
      <c r="J65" s="1882"/>
      <c r="K65" s="1882"/>
      <c r="L65" s="1882"/>
      <c r="M65" s="1882"/>
      <c r="N65" s="1882"/>
      <c r="O65" s="1882"/>
      <c r="P65" s="1882"/>
      <c r="Q65" s="1882"/>
      <c r="R65" s="1882"/>
      <c r="S65" s="1882"/>
      <c r="T65" s="1882"/>
      <c r="U65" s="1882"/>
      <c r="V65" s="1882"/>
      <c r="W65" s="1882"/>
      <c r="X65" s="1882"/>
      <c r="Y65" s="1882"/>
      <c r="Z65" s="1882"/>
      <c r="AA65" s="1882"/>
      <c r="AB65" s="1882"/>
      <c r="AC65" s="1882"/>
      <c r="AD65" s="1882"/>
      <c r="AE65" s="1882"/>
      <c r="AF65" s="1882"/>
      <c r="AG65" s="1882"/>
      <c r="AH65" s="1882"/>
      <c r="AI65" s="1882"/>
      <c r="AJ65" s="1882"/>
      <c r="AK65" s="1882"/>
      <c r="AL65" s="1882"/>
      <c r="AM65" s="1882"/>
      <c r="AN65" s="1882"/>
      <c r="AO65" s="1882"/>
      <c r="AP65" s="1882"/>
      <c r="AQ65" s="1882"/>
      <c r="AR65" s="1773"/>
      <c r="AS65" s="1895"/>
      <c r="AT65" s="1896"/>
      <c r="AU65" s="1896"/>
      <c r="AV65" s="1896"/>
      <c r="AW65" s="1896"/>
      <c r="AX65" s="1896"/>
      <c r="AY65" s="1896"/>
      <c r="AZ65" s="1896"/>
      <c r="BA65" s="1896"/>
      <c r="BB65" s="1897"/>
      <c r="BC65" s="1898"/>
      <c r="BD65" s="1899"/>
      <c r="BE65" s="1899"/>
      <c r="BF65" s="1899"/>
      <c r="BG65" s="1899"/>
      <c r="BH65" s="1899"/>
      <c r="BI65" s="1899"/>
      <c r="BJ65" s="1899"/>
      <c r="BK65" s="1899"/>
      <c r="BL65" s="1899"/>
      <c r="BM65" s="1900"/>
      <c r="BN65" s="1910">
        <f>CD65</f>
        <v>0</v>
      </c>
      <c r="BO65" s="1911"/>
      <c r="BP65" s="1911"/>
      <c r="BQ65" s="1911"/>
      <c r="BR65" s="1911"/>
      <c r="BS65" s="1911"/>
      <c r="BT65" s="1911"/>
      <c r="BU65" s="1911"/>
      <c r="BV65" s="1911"/>
      <c r="BW65" s="1911"/>
      <c r="BX65" s="1911"/>
      <c r="BY65" s="1911"/>
      <c r="BZ65" s="1911"/>
      <c r="CA65" s="1911"/>
      <c r="CB65" s="1912"/>
      <c r="CC65" s="261"/>
      <c r="CD65" s="261"/>
      <c r="CE65" s="262"/>
      <c r="CF65" s="262"/>
      <c r="CG65" s="261"/>
      <c r="CH65" s="262"/>
    </row>
    <row r="66" spans="1:87" ht="20.25" customHeight="1" x14ac:dyDescent="0.2">
      <c r="A66" s="1843"/>
      <c r="B66" s="1844"/>
      <c r="C66" s="1844"/>
      <c r="D66" s="1845"/>
      <c r="E66" s="1892" t="s">
        <v>166</v>
      </c>
      <c r="F66" s="1893"/>
      <c r="G66" s="1893"/>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3"/>
      <c r="AK66" s="1893"/>
      <c r="AL66" s="1893"/>
      <c r="AM66" s="1893"/>
      <c r="AN66" s="1893"/>
      <c r="AO66" s="1893"/>
      <c r="AP66" s="1893"/>
      <c r="AQ66" s="1893"/>
      <c r="AR66" s="1894"/>
      <c r="AS66" s="1895"/>
      <c r="AT66" s="1896"/>
      <c r="AU66" s="1896"/>
      <c r="AV66" s="1896"/>
      <c r="AW66" s="1896"/>
      <c r="AX66" s="1896"/>
      <c r="AY66" s="1896"/>
      <c r="AZ66" s="1896"/>
      <c r="BA66" s="1896"/>
      <c r="BB66" s="1897"/>
      <c r="BC66" s="1898"/>
      <c r="BD66" s="1899"/>
      <c r="BE66" s="1899"/>
      <c r="BF66" s="1899"/>
      <c r="BG66" s="1899"/>
      <c r="BH66" s="1899"/>
      <c r="BI66" s="1899"/>
      <c r="BJ66" s="1899"/>
      <c r="BK66" s="1899"/>
      <c r="BL66" s="1899"/>
      <c r="BM66" s="1900"/>
      <c r="BN66" s="1984">
        <f>CD66+CG66</f>
        <v>0</v>
      </c>
      <c r="BO66" s="1985"/>
      <c r="BP66" s="1985"/>
      <c r="BQ66" s="1985"/>
      <c r="BR66" s="1985"/>
      <c r="BS66" s="1985"/>
      <c r="BT66" s="1985"/>
      <c r="BU66" s="1985"/>
      <c r="BV66" s="1985"/>
      <c r="BW66" s="1985"/>
      <c r="BX66" s="1985"/>
      <c r="BY66" s="1985"/>
      <c r="BZ66" s="1985"/>
      <c r="CA66" s="1985"/>
      <c r="CB66" s="1986"/>
      <c r="CC66" s="261"/>
      <c r="CD66" s="263">
        <f>SUM(CD65)</f>
        <v>0</v>
      </c>
      <c r="CE66" s="262"/>
      <c r="CF66" s="262"/>
      <c r="CG66" s="586">
        <f>CG65</f>
        <v>0</v>
      </c>
      <c r="CH66" s="262"/>
    </row>
    <row r="67" spans="1:87" ht="19.5" customHeight="1" x14ac:dyDescent="0.2">
      <c r="A67" s="1772">
        <v>1</v>
      </c>
      <c r="B67" s="1882"/>
      <c r="C67" s="1882"/>
      <c r="D67" s="1882"/>
      <c r="E67" s="1772" t="s">
        <v>167</v>
      </c>
      <c r="F67" s="1882"/>
      <c r="G67" s="1882"/>
      <c r="H67" s="1882"/>
      <c r="I67" s="1882"/>
      <c r="J67" s="1882"/>
      <c r="K67" s="1882"/>
      <c r="L67" s="1882"/>
      <c r="M67" s="1882"/>
      <c r="N67" s="1882"/>
      <c r="O67" s="1882"/>
      <c r="P67" s="1882"/>
      <c r="Q67" s="1882"/>
      <c r="R67" s="1882"/>
      <c r="S67" s="1882"/>
      <c r="T67" s="1882"/>
      <c r="U67" s="1882"/>
      <c r="V67" s="1882"/>
      <c r="W67" s="1882"/>
      <c r="X67" s="1882"/>
      <c r="Y67" s="1882"/>
      <c r="Z67" s="1882"/>
      <c r="AA67" s="1882"/>
      <c r="AB67" s="1882"/>
      <c r="AC67" s="1882"/>
      <c r="AD67" s="1882"/>
      <c r="AE67" s="1882"/>
      <c r="AF67" s="1882"/>
      <c r="AG67" s="1882"/>
      <c r="AH67" s="1882"/>
      <c r="AI67" s="1882"/>
      <c r="AJ67" s="1882"/>
      <c r="AK67" s="1882"/>
      <c r="AL67" s="1882"/>
      <c r="AM67" s="1882"/>
      <c r="AN67" s="1882"/>
      <c r="AO67" s="1882"/>
      <c r="AP67" s="1882"/>
      <c r="AQ67" s="1882"/>
      <c r="AR67" s="1773"/>
      <c r="AS67" s="1981"/>
      <c r="AT67" s="1982"/>
      <c r="AU67" s="1982"/>
      <c r="AV67" s="1982"/>
      <c r="AW67" s="1982"/>
      <c r="AX67" s="1982"/>
      <c r="AY67" s="1982"/>
      <c r="AZ67" s="1982"/>
      <c r="BA67" s="1982"/>
      <c r="BB67" s="1983"/>
      <c r="BC67" s="1978"/>
      <c r="BD67" s="1884"/>
      <c r="BE67" s="1884"/>
      <c r="BF67" s="1884"/>
      <c r="BG67" s="1884"/>
      <c r="BH67" s="1884"/>
      <c r="BI67" s="1884"/>
      <c r="BJ67" s="1884"/>
      <c r="BK67" s="1884"/>
      <c r="BL67" s="1884"/>
      <c r="BM67" s="1885"/>
      <c r="BN67" s="2216">
        <v>2008650</v>
      </c>
      <c r="BO67" s="2217"/>
      <c r="BP67" s="2217"/>
      <c r="BQ67" s="2217"/>
      <c r="BR67" s="2217"/>
      <c r="BS67" s="2217"/>
      <c r="BT67" s="2217"/>
      <c r="BU67" s="2217"/>
      <c r="BV67" s="2217"/>
      <c r="BW67" s="2217"/>
      <c r="BX67" s="2217"/>
      <c r="BY67" s="2217"/>
      <c r="BZ67" s="2217"/>
      <c r="CA67" s="2217"/>
      <c r="CB67" s="2218"/>
      <c r="CC67" s="264"/>
      <c r="CD67" s="261">
        <f>CD69</f>
        <v>851020</v>
      </c>
      <c r="CE67" s="265"/>
      <c r="CF67" s="266"/>
      <c r="CG67" s="265"/>
      <c r="CH67" s="267">
        <f>CH69</f>
        <v>1288090</v>
      </c>
      <c r="CI67" s="51"/>
    </row>
    <row r="68" spans="1:87" ht="19.5" customHeight="1" x14ac:dyDescent="0.2">
      <c r="A68" s="1772"/>
      <c r="B68" s="1882"/>
      <c r="C68" s="1882"/>
      <c r="D68" s="1773"/>
      <c r="E68" s="1772"/>
      <c r="F68" s="1882"/>
      <c r="G68" s="1882"/>
      <c r="H68" s="1882"/>
      <c r="I68" s="1882"/>
      <c r="J68" s="1882"/>
      <c r="K68" s="1882"/>
      <c r="L68" s="1882"/>
      <c r="M68" s="1882"/>
      <c r="N68" s="1882"/>
      <c r="O68" s="1882"/>
      <c r="P68" s="1882"/>
      <c r="Q68" s="1882"/>
      <c r="R68" s="1882"/>
      <c r="S68" s="1882"/>
      <c r="T68" s="1882"/>
      <c r="U68" s="1882"/>
      <c r="V68" s="1882"/>
      <c r="W68" s="1882"/>
      <c r="X68" s="1882"/>
      <c r="Y68" s="1882"/>
      <c r="Z68" s="1882"/>
      <c r="AA68" s="1882"/>
      <c r="AB68" s="1882"/>
      <c r="AC68" s="1882"/>
      <c r="AD68" s="1882"/>
      <c r="AE68" s="1882"/>
      <c r="AF68" s="1882"/>
      <c r="AG68" s="1882"/>
      <c r="AH68" s="1882"/>
      <c r="AI68" s="1882"/>
      <c r="AJ68" s="1882"/>
      <c r="AK68" s="1882"/>
      <c r="AL68" s="1882"/>
      <c r="AM68" s="1882"/>
      <c r="AN68" s="1882"/>
      <c r="AO68" s="1882"/>
      <c r="AP68" s="1882"/>
      <c r="AQ68" s="1882"/>
      <c r="AR68" s="1773"/>
      <c r="AS68" s="1883"/>
      <c r="AT68" s="1884"/>
      <c r="AU68" s="1884"/>
      <c r="AV68" s="1884"/>
      <c r="AW68" s="1884"/>
      <c r="AX68" s="1884"/>
      <c r="AY68" s="1884"/>
      <c r="AZ68" s="1884"/>
      <c r="BA68" s="1884"/>
      <c r="BB68" s="1885"/>
      <c r="BC68" s="1978"/>
      <c r="BD68" s="1979"/>
      <c r="BE68" s="1979"/>
      <c r="BF68" s="1979"/>
      <c r="BG68" s="1979"/>
      <c r="BH68" s="1979"/>
      <c r="BI68" s="1979"/>
      <c r="BJ68" s="1979"/>
      <c r="BK68" s="1979"/>
      <c r="BL68" s="1979"/>
      <c r="BM68" s="1980"/>
      <c r="BN68" s="1910">
        <f>CD68+CH68</f>
        <v>0</v>
      </c>
      <c r="BO68" s="1911"/>
      <c r="BP68" s="1911"/>
      <c r="BQ68" s="1911"/>
      <c r="BR68" s="1911"/>
      <c r="BS68" s="1911"/>
      <c r="BT68" s="1911"/>
      <c r="BU68" s="1911"/>
      <c r="BV68" s="1911"/>
      <c r="BW68" s="1911"/>
      <c r="BX68" s="1911"/>
      <c r="BY68" s="1911"/>
      <c r="BZ68" s="1911"/>
      <c r="CA68" s="1911"/>
      <c r="CB68" s="1912"/>
      <c r="CC68" s="264"/>
      <c r="CD68" s="261">
        <v>0</v>
      </c>
      <c r="CE68" s="265"/>
      <c r="CF68" s="266"/>
      <c r="CG68" s="265"/>
      <c r="CH68" s="267"/>
      <c r="CI68" s="51"/>
    </row>
    <row r="69" spans="1:87" ht="20.25" customHeight="1" x14ac:dyDescent="0.2">
      <c r="A69" s="243"/>
      <c r="B69" s="244"/>
      <c r="C69" s="244"/>
      <c r="D69" s="245"/>
      <c r="E69" s="1892" t="s">
        <v>168</v>
      </c>
      <c r="F69" s="1893"/>
      <c r="G69" s="1893"/>
      <c r="H69" s="1893"/>
      <c r="I69" s="1893"/>
      <c r="J69" s="1893"/>
      <c r="K69" s="1893"/>
      <c r="L69" s="1893"/>
      <c r="M69" s="1893"/>
      <c r="N69" s="1893"/>
      <c r="O69" s="1893"/>
      <c r="P69" s="1893"/>
      <c r="Q69" s="1893"/>
      <c r="R69" s="1893"/>
      <c r="S69" s="1893"/>
      <c r="T69" s="1893"/>
      <c r="U69" s="1893"/>
      <c r="V69" s="1893"/>
      <c r="W69" s="1893"/>
      <c r="X69" s="1893"/>
      <c r="Y69" s="1893"/>
      <c r="Z69" s="1893"/>
      <c r="AA69" s="1893"/>
      <c r="AB69" s="1893"/>
      <c r="AC69" s="1893"/>
      <c r="AD69" s="1893"/>
      <c r="AE69" s="1893"/>
      <c r="AF69" s="1893"/>
      <c r="AG69" s="1893"/>
      <c r="AH69" s="1893"/>
      <c r="AI69" s="1893"/>
      <c r="AJ69" s="1893"/>
      <c r="AK69" s="1893"/>
      <c r="AL69" s="1893"/>
      <c r="AM69" s="1893"/>
      <c r="AN69" s="1893"/>
      <c r="AO69" s="1893"/>
      <c r="AP69" s="1893"/>
      <c r="AQ69" s="1893"/>
      <c r="AR69" s="1894"/>
      <c r="AS69" s="1895"/>
      <c r="AT69" s="1896"/>
      <c r="AU69" s="1896"/>
      <c r="AV69" s="1896"/>
      <c r="AW69" s="1896"/>
      <c r="AX69" s="1896"/>
      <c r="AY69" s="1896"/>
      <c r="AZ69" s="1896"/>
      <c r="BA69" s="1896"/>
      <c r="BB69" s="1897"/>
      <c r="BC69" s="1898"/>
      <c r="BD69" s="1899"/>
      <c r="BE69" s="1899"/>
      <c r="BF69" s="1899"/>
      <c r="BG69" s="1899"/>
      <c r="BH69" s="1899"/>
      <c r="BI69" s="1899"/>
      <c r="BJ69" s="1899"/>
      <c r="BK69" s="1899"/>
      <c r="BL69" s="1899"/>
      <c r="BM69" s="1900"/>
      <c r="BN69" s="1984">
        <v>2008650</v>
      </c>
      <c r="BO69" s="1985"/>
      <c r="BP69" s="1985"/>
      <c r="BQ69" s="1985"/>
      <c r="BR69" s="1985"/>
      <c r="BS69" s="1985"/>
      <c r="BT69" s="1985"/>
      <c r="BU69" s="1985"/>
      <c r="BV69" s="1985"/>
      <c r="BW69" s="1985"/>
      <c r="BX69" s="1985"/>
      <c r="BY69" s="1985"/>
      <c r="BZ69" s="1985"/>
      <c r="CA69" s="1985"/>
      <c r="CB69" s="1986"/>
      <c r="CC69" s="263"/>
      <c r="CD69" s="263">
        <v>851020</v>
      </c>
      <c r="CE69" s="262"/>
      <c r="CF69" s="262"/>
      <c r="CG69" s="262"/>
      <c r="CH69" s="268">
        <f>'расчет по питанию (3)'!D30+CH68</f>
        <v>1288090</v>
      </c>
    </row>
    <row r="70" spans="1:87" x14ac:dyDescent="0.2">
      <c r="A70" s="1973">
        <v>1</v>
      </c>
      <c r="B70" s="1973"/>
      <c r="C70" s="1973"/>
      <c r="D70" s="1973"/>
      <c r="E70" s="1973" t="s">
        <v>880</v>
      </c>
      <c r="F70" s="1973"/>
      <c r="G70" s="1973"/>
      <c r="H70" s="1973"/>
      <c r="I70" s="1973"/>
      <c r="J70" s="1973"/>
      <c r="K70" s="1973"/>
      <c r="L70" s="1973"/>
      <c r="M70" s="1973"/>
      <c r="N70" s="1973"/>
      <c r="O70" s="1973"/>
      <c r="P70" s="1973"/>
      <c r="Q70" s="1973"/>
      <c r="R70" s="1973"/>
      <c r="S70" s="1973"/>
      <c r="T70" s="1973"/>
      <c r="U70" s="1973"/>
      <c r="V70" s="1973"/>
      <c r="W70" s="1973"/>
      <c r="X70" s="1973"/>
      <c r="Y70" s="1973"/>
      <c r="Z70" s="1973"/>
      <c r="AA70" s="1973"/>
      <c r="AB70" s="1973"/>
      <c r="AC70" s="1973"/>
      <c r="AD70" s="1973"/>
      <c r="AE70" s="1973"/>
      <c r="AF70" s="1973"/>
      <c r="AG70" s="1973"/>
      <c r="AH70" s="1973"/>
      <c r="AI70" s="1973"/>
      <c r="AJ70" s="1973"/>
      <c r="AK70" s="1973"/>
      <c r="AL70" s="1973"/>
      <c r="AM70" s="1973"/>
      <c r="AN70" s="1973"/>
      <c r="AO70" s="1973"/>
      <c r="AP70" s="1973"/>
      <c r="AQ70" s="1973"/>
      <c r="AR70" s="1973"/>
      <c r="AS70" s="1974">
        <v>20</v>
      </c>
      <c r="AT70" s="1974"/>
      <c r="AU70" s="1974"/>
      <c r="AV70" s="1974"/>
      <c r="AW70" s="1974"/>
      <c r="AX70" s="1974"/>
      <c r="AY70" s="1974"/>
      <c r="AZ70" s="1974"/>
      <c r="BA70" s="1974"/>
      <c r="BB70" s="1974"/>
      <c r="BC70" s="1977">
        <v>50</v>
      </c>
      <c r="BD70" s="1977"/>
      <c r="BE70" s="1977"/>
      <c r="BF70" s="1977"/>
      <c r="BG70" s="1977"/>
      <c r="BH70" s="1977"/>
      <c r="BI70" s="1977"/>
      <c r="BJ70" s="1977"/>
      <c r="BK70" s="1977"/>
      <c r="BL70" s="1977"/>
      <c r="BM70" s="1977"/>
      <c r="BN70" s="1977">
        <f>AS70*BC70</f>
        <v>1000</v>
      </c>
      <c r="BO70" s="1977"/>
      <c r="BP70" s="1977"/>
      <c r="BQ70" s="1977"/>
      <c r="BR70" s="1977"/>
      <c r="BS70" s="1977"/>
      <c r="BT70" s="1977"/>
      <c r="BU70" s="1977"/>
      <c r="BV70" s="1977"/>
      <c r="BW70" s="1977"/>
      <c r="BX70" s="1977"/>
      <c r="BY70" s="1977"/>
      <c r="BZ70" s="1977"/>
      <c r="CA70" s="1977"/>
      <c r="CB70" s="1977"/>
      <c r="CC70" s="223"/>
      <c r="CD70" s="223">
        <v>1000</v>
      </c>
      <c r="CE70" s="223"/>
      <c r="CF70" s="223"/>
      <c r="CG70" s="223"/>
      <c r="CH70" s="223"/>
    </row>
    <row r="71" spans="1:87" s="29" customFormat="1" x14ac:dyDescent="0.2">
      <c r="A71" s="1831" t="s">
        <v>620</v>
      </c>
      <c r="B71" s="1832"/>
      <c r="C71" s="1832"/>
      <c r="D71" s="1832"/>
      <c r="E71" s="1832"/>
      <c r="F71" s="1832"/>
      <c r="G71" s="1832"/>
      <c r="H71" s="1832"/>
      <c r="I71" s="1832"/>
      <c r="J71" s="1832"/>
      <c r="K71" s="1832"/>
      <c r="L71" s="1832"/>
      <c r="M71" s="1832"/>
      <c r="N71" s="1832"/>
      <c r="O71" s="1832"/>
      <c r="P71" s="1832"/>
      <c r="Q71" s="1832"/>
      <c r="R71" s="1832"/>
      <c r="S71" s="1832"/>
      <c r="T71" s="1832"/>
      <c r="U71" s="1832"/>
      <c r="V71" s="1832"/>
      <c r="W71" s="1832"/>
      <c r="X71" s="1832"/>
      <c r="Y71" s="1832"/>
      <c r="Z71" s="1832"/>
      <c r="AA71" s="1832"/>
      <c r="AB71" s="1832"/>
      <c r="AC71" s="1832"/>
      <c r="AD71" s="1832"/>
      <c r="AE71" s="1832"/>
      <c r="AF71" s="1832"/>
      <c r="AG71" s="1832"/>
      <c r="AH71" s="1832"/>
      <c r="AI71" s="1832"/>
      <c r="AJ71" s="1832"/>
      <c r="AK71" s="1832"/>
      <c r="AL71" s="1832"/>
      <c r="AM71" s="1832"/>
      <c r="AN71" s="1832"/>
      <c r="AO71" s="1832"/>
      <c r="AP71" s="1832"/>
      <c r="AQ71" s="1832"/>
      <c r="AR71" s="1833"/>
      <c r="AS71" s="1913" t="s">
        <v>3</v>
      </c>
      <c r="AT71" s="1913"/>
      <c r="AU71" s="1913"/>
      <c r="AV71" s="1913"/>
      <c r="AW71" s="1913"/>
      <c r="AX71" s="1913"/>
      <c r="AY71" s="1913"/>
      <c r="AZ71" s="1913"/>
      <c r="BA71" s="1913"/>
      <c r="BB71" s="1913"/>
      <c r="BC71" s="1971" t="s">
        <v>3</v>
      </c>
      <c r="BD71" s="1971"/>
      <c r="BE71" s="1971"/>
      <c r="BF71" s="1971"/>
      <c r="BG71" s="1971"/>
      <c r="BH71" s="1971"/>
      <c r="BI71" s="1971"/>
      <c r="BJ71" s="1971"/>
      <c r="BK71" s="1971"/>
      <c r="BL71" s="1971"/>
      <c r="BM71" s="1971"/>
      <c r="BN71" s="1971">
        <f>BN70</f>
        <v>1000</v>
      </c>
      <c r="BO71" s="1971"/>
      <c r="BP71" s="1971"/>
      <c r="BQ71" s="1971"/>
      <c r="BR71" s="1971"/>
      <c r="BS71" s="1971"/>
      <c r="BT71" s="1971"/>
      <c r="BU71" s="1971"/>
      <c r="BV71" s="1971"/>
      <c r="BW71" s="1971"/>
      <c r="BX71" s="1971"/>
      <c r="BY71" s="1971"/>
      <c r="BZ71" s="1971"/>
      <c r="CA71" s="1971"/>
      <c r="CB71" s="1971"/>
      <c r="CC71" s="239"/>
      <c r="CD71" s="239">
        <f>SUM(CD70)</f>
        <v>1000</v>
      </c>
      <c r="CE71" s="239"/>
      <c r="CF71" s="239"/>
      <c r="CG71" s="239"/>
      <c r="CH71" s="239"/>
    </row>
    <row r="72" spans="1:87" ht="17.25" customHeight="1" x14ac:dyDescent="0.2">
      <c r="A72" s="1772">
        <v>1</v>
      </c>
      <c r="B72" s="1882"/>
      <c r="C72" s="1882"/>
      <c r="D72" s="1773"/>
      <c r="E72" s="1772" t="s">
        <v>169</v>
      </c>
      <c r="F72" s="1882"/>
      <c r="G72" s="1882"/>
      <c r="H72" s="1882"/>
      <c r="I72" s="1882"/>
      <c r="J72" s="1882"/>
      <c r="K72" s="1882"/>
      <c r="L72" s="1882"/>
      <c r="M72" s="1882"/>
      <c r="N72" s="1882"/>
      <c r="O72" s="1882"/>
      <c r="P72" s="1882"/>
      <c r="Q72" s="1882"/>
      <c r="R72" s="1882"/>
      <c r="S72" s="1882"/>
      <c r="T72" s="1882"/>
      <c r="U72" s="1882"/>
      <c r="V72" s="1882"/>
      <c r="W72" s="1882"/>
      <c r="X72" s="1882"/>
      <c r="Y72" s="1882"/>
      <c r="Z72" s="1882"/>
      <c r="AA72" s="1882"/>
      <c r="AB72" s="1882"/>
      <c r="AC72" s="1882"/>
      <c r="AD72" s="1882"/>
      <c r="AE72" s="1882"/>
      <c r="AF72" s="1882"/>
      <c r="AG72" s="1882"/>
      <c r="AH72" s="1882"/>
      <c r="AI72" s="1882"/>
      <c r="AJ72" s="1882"/>
      <c r="AK72" s="1882"/>
      <c r="AL72" s="1882"/>
      <c r="AM72" s="1882"/>
      <c r="AN72" s="1882"/>
      <c r="AO72" s="1882"/>
      <c r="AP72" s="1882"/>
      <c r="AQ72" s="1882"/>
      <c r="AR72" s="1773"/>
      <c r="AS72" s="1895"/>
      <c r="AT72" s="1896"/>
      <c r="AU72" s="1896"/>
      <c r="AV72" s="1896"/>
      <c r="AW72" s="1896"/>
      <c r="AX72" s="1896"/>
      <c r="AY72" s="1896"/>
      <c r="AZ72" s="1896"/>
      <c r="BA72" s="1896"/>
      <c r="BB72" s="1897"/>
      <c r="BC72" s="1898"/>
      <c r="BD72" s="1899"/>
      <c r="BE72" s="1899"/>
      <c r="BF72" s="1899"/>
      <c r="BG72" s="1899"/>
      <c r="BH72" s="1899"/>
      <c r="BI72" s="1899"/>
      <c r="BJ72" s="1899"/>
      <c r="BK72" s="1899"/>
      <c r="BL72" s="1899"/>
      <c r="BM72" s="1900"/>
      <c r="BN72" s="1910">
        <f>CH72</f>
        <v>0</v>
      </c>
      <c r="BO72" s="1911"/>
      <c r="BP72" s="1911"/>
      <c r="BQ72" s="1911"/>
      <c r="BR72" s="1911"/>
      <c r="BS72" s="1911"/>
      <c r="BT72" s="1911"/>
      <c r="BU72" s="1911"/>
      <c r="BV72" s="1911"/>
      <c r="BW72" s="1911"/>
      <c r="BX72" s="1911"/>
      <c r="BY72" s="1911"/>
      <c r="BZ72" s="1911"/>
      <c r="CA72" s="1911"/>
      <c r="CB72" s="1912"/>
      <c r="CC72" s="261"/>
      <c r="CD72" s="261">
        <v>0</v>
      </c>
      <c r="CE72" s="262"/>
      <c r="CF72" s="262"/>
      <c r="CG72" s="262"/>
      <c r="CH72" s="269"/>
    </row>
    <row r="73" spans="1:87" ht="18.75" customHeight="1" x14ac:dyDescent="0.2">
      <c r="A73" s="48"/>
      <c r="B73" s="9"/>
      <c r="C73" s="9"/>
      <c r="D73" s="49"/>
      <c r="E73" s="1892" t="s">
        <v>170</v>
      </c>
      <c r="F73" s="1893"/>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1893"/>
      <c r="AC73" s="1893"/>
      <c r="AD73" s="1893"/>
      <c r="AE73" s="1893"/>
      <c r="AF73" s="1893"/>
      <c r="AG73" s="1893"/>
      <c r="AH73" s="1893"/>
      <c r="AI73" s="1893"/>
      <c r="AJ73" s="1893"/>
      <c r="AK73" s="1893"/>
      <c r="AL73" s="1893"/>
      <c r="AM73" s="1893"/>
      <c r="AN73" s="1893"/>
      <c r="AO73" s="1893"/>
      <c r="AP73" s="1893"/>
      <c r="AQ73" s="1893"/>
      <c r="AR73" s="1894"/>
      <c r="AS73" s="1895"/>
      <c r="AT73" s="1896"/>
      <c r="AU73" s="1896"/>
      <c r="AV73" s="1896"/>
      <c r="AW73" s="1896"/>
      <c r="AX73" s="1896"/>
      <c r="AY73" s="1896"/>
      <c r="AZ73" s="1896"/>
      <c r="BA73" s="1896"/>
      <c r="BB73" s="1897"/>
      <c r="BC73" s="1898"/>
      <c r="BD73" s="1899"/>
      <c r="BE73" s="1899"/>
      <c r="BF73" s="1899"/>
      <c r="BG73" s="1899"/>
      <c r="BH73" s="1899"/>
      <c r="BI73" s="1899"/>
      <c r="BJ73" s="1899"/>
      <c r="BK73" s="1899"/>
      <c r="BL73" s="1899"/>
      <c r="BM73" s="1900"/>
      <c r="BN73" s="1984">
        <f>CH73</f>
        <v>0</v>
      </c>
      <c r="BO73" s="1985"/>
      <c r="BP73" s="1985"/>
      <c r="BQ73" s="1985"/>
      <c r="BR73" s="1985"/>
      <c r="BS73" s="1985"/>
      <c r="BT73" s="1985"/>
      <c r="BU73" s="1985"/>
      <c r="BV73" s="1985"/>
      <c r="BW73" s="1985"/>
      <c r="BX73" s="1985"/>
      <c r="BY73" s="1985"/>
      <c r="BZ73" s="1985"/>
      <c r="CA73" s="1985"/>
      <c r="CB73" s="1986"/>
      <c r="CC73" s="261"/>
      <c r="CD73" s="263">
        <f>SUM(CD72:CD72)</f>
        <v>0</v>
      </c>
      <c r="CE73" s="262"/>
      <c r="CF73" s="262"/>
      <c r="CG73" s="262"/>
      <c r="CH73" s="268">
        <f>CH72</f>
        <v>0</v>
      </c>
    </row>
    <row r="74" spans="1:87" ht="27" customHeight="1" x14ac:dyDescent="0.2">
      <c r="A74" s="1772">
        <v>1</v>
      </c>
      <c r="B74" s="1882"/>
      <c r="C74" s="1882"/>
      <c r="D74" s="1882"/>
      <c r="E74" s="1772" t="s">
        <v>67</v>
      </c>
      <c r="F74" s="1882"/>
      <c r="G74" s="1882"/>
      <c r="H74" s="1882"/>
      <c r="I74" s="1882"/>
      <c r="J74" s="1882"/>
      <c r="K74" s="1882"/>
      <c r="L74" s="1882"/>
      <c r="M74" s="1882"/>
      <c r="N74" s="1882"/>
      <c r="O74" s="1882"/>
      <c r="P74" s="1882"/>
      <c r="Q74" s="1882"/>
      <c r="R74" s="1882"/>
      <c r="S74" s="1882"/>
      <c r="T74" s="1882"/>
      <c r="U74" s="1882"/>
      <c r="V74" s="1882"/>
      <c r="W74" s="1882"/>
      <c r="X74" s="1882"/>
      <c r="Y74" s="1882"/>
      <c r="Z74" s="1882"/>
      <c r="AA74" s="1882"/>
      <c r="AB74" s="1882"/>
      <c r="AC74" s="1882"/>
      <c r="AD74" s="1882"/>
      <c r="AE74" s="1882"/>
      <c r="AF74" s="1882"/>
      <c r="AG74" s="1882"/>
      <c r="AH74" s="1882"/>
      <c r="AI74" s="1882"/>
      <c r="AJ74" s="1882"/>
      <c r="AK74" s="1882"/>
      <c r="AL74" s="1882"/>
      <c r="AM74" s="1882"/>
      <c r="AN74" s="1882"/>
      <c r="AO74" s="1882"/>
      <c r="AP74" s="1882"/>
      <c r="AQ74" s="1882"/>
      <c r="AR74" s="1773"/>
      <c r="AS74" s="1901"/>
      <c r="AT74" s="1902"/>
      <c r="AU74" s="1902"/>
      <c r="AV74" s="1902"/>
      <c r="AW74" s="1902"/>
      <c r="AX74" s="1902"/>
      <c r="AY74" s="1902"/>
      <c r="AZ74" s="1902"/>
      <c r="BA74" s="1902"/>
      <c r="BB74" s="1903"/>
      <c r="BC74" s="1907"/>
      <c r="BD74" s="1908"/>
      <c r="BE74" s="1908"/>
      <c r="BF74" s="1908"/>
      <c r="BG74" s="1908"/>
      <c r="BH74" s="1908"/>
      <c r="BI74" s="1908"/>
      <c r="BJ74" s="1908"/>
      <c r="BK74" s="1908"/>
      <c r="BL74" s="1908"/>
      <c r="BM74" s="1909"/>
      <c r="BN74" s="1910">
        <f>CD74+CC74+CH74</f>
        <v>13148.810000000001</v>
      </c>
      <c r="BO74" s="1911"/>
      <c r="BP74" s="1911"/>
      <c r="BQ74" s="1911"/>
      <c r="BR74" s="1911"/>
      <c r="BS74" s="1911"/>
      <c r="BT74" s="1911"/>
      <c r="BU74" s="1911"/>
      <c r="BV74" s="1911"/>
      <c r="BW74" s="1911"/>
      <c r="BX74" s="1911"/>
      <c r="BY74" s="1911"/>
      <c r="BZ74" s="1911"/>
      <c r="CA74" s="1911"/>
      <c r="CB74" s="1912"/>
      <c r="CC74" s="261"/>
      <c r="CD74" s="261">
        <f>37684.25+14000-18900-18620.44-1015</f>
        <v>13148.810000000001</v>
      </c>
      <c r="CE74" s="262"/>
      <c r="CF74" s="262"/>
      <c r="CG74" s="262"/>
      <c r="CH74" s="269"/>
    </row>
    <row r="75" spans="1:87" ht="27" customHeight="1" x14ac:dyDescent="0.2">
      <c r="A75" s="1772">
        <v>2</v>
      </c>
      <c r="B75" s="1882"/>
      <c r="C75" s="1882"/>
      <c r="D75" s="1882"/>
      <c r="E75" s="1772" t="s">
        <v>1274</v>
      </c>
      <c r="F75" s="1882"/>
      <c r="G75" s="1882"/>
      <c r="H75" s="1882"/>
      <c r="I75" s="1882"/>
      <c r="J75" s="1882"/>
      <c r="K75" s="1882"/>
      <c r="L75" s="1882"/>
      <c r="M75" s="1882"/>
      <c r="N75" s="1882"/>
      <c r="O75" s="1882"/>
      <c r="P75" s="1882"/>
      <c r="Q75" s="1882"/>
      <c r="R75" s="1882"/>
      <c r="S75" s="1882"/>
      <c r="T75" s="1882"/>
      <c r="U75" s="1882"/>
      <c r="V75" s="1882"/>
      <c r="W75" s="1882"/>
      <c r="X75" s="1882"/>
      <c r="Y75" s="1882"/>
      <c r="Z75" s="1882"/>
      <c r="AA75" s="1882"/>
      <c r="AB75" s="1882"/>
      <c r="AC75" s="1882"/>
      <c r="AD75" s="1882"/>
      <c r="AE75" s="1882"/>
      <c r="AF75" s="1882"/>
      <c r="AG75" s="1882"/>
      <c r="AH75" s="1882"/>
      <c r="AI75" s="1882"/>
      <c r="AJ75" s="1882"/>
      <c r="AK75" s="1882"/>
      <c r="AL75" s="1882"/>
      <c r="AM75" s="1882"/>
      <c r="AN75" s="1882"/>
      <c r="AO75" s="1882"/>
      <c r="AP75" s="1882"/>
      <c r="AQ75" s="1882"/>
      <c r="AR75" s="1773"/>
      <c r="AS75" s="1901"/>
      <c r="AT75" s="1902"/>
      <c r="AU75" s="1902"/>
      <c r="AV75" s="1902"/>
      <c r="AW75" s="1902"/>
      <c r="AX75" s="1902"/>
      <c r="AY75" s="1902"/>
      <c r="AZ75" s="1902"/>
      <c r="BA75" s="1902"/>
      <c r="BB75" s="1903"/>
      <c r="BC75" s="1907"/>
      <c r="BD75" s="1908"/>
      <c r="BE75" s="1908"/>
      <c r="BF75" s="1908"/>
      <c r="BG75" s="1908"/>
      <c r="BH75" s="1908"/>
      <c r="BI75" s="1908"/>
      <c r="BJ75" s="1908"/>
      <c r="BK75" s="1908"/>
      <c r="BL75" s="1908"/>
      <c r="BM75" s="1909"/>
      <c r="BN75" s="1910">
        <f>CD75+CC75</f>
        <v>1146711.19</v>
      </c>
      <c r="BO75" s="1911"/>
      <c r="BP75" s="1911"/>
      <c r="BQ75" s="1911"/>
      <c r="BR75" s="1911"/>
      <c r="BS75" s="1911"/>
      <c r="BT75" s="1911"/>
      <c r="BU75" s="1911"/>
      <c r="BV75" s="1911"/>
      <c r="BW75" s="1911"/>
      <c r="BX75" s="1911"/>
      <c r="BY75" s="1911"/>
      <c r="BZ75" s="1911"/>
      <c r="CA75" s="1911"/>
      <c r="CB75" s="1912"/>
      <c r="CC75" s="261">
        <v>1146711.19</v>
      </c>
      <c r="CD75" s="261"/>
      <c r="CE75" s="262"/>
      <c r="CF75" s="262"/>
      <c r="CG75" s="262"/>
      <c r="CH75" s="269"/>
    </row>
    <row r="76" spans="1:87" ht="27" customHeight="1" x14ac:dyDescent="0.2">
      <c r="A76" s="1772">
        <v>3</v>
      </c>
      <c r="B76" s="1882"/>
      <c r="C76" s="1882"/>
      <c r="D76" s="1882"/>
      <c r="E76" s="1772" t="s">
        <v>1293</v>
      </c>
      <c r="F76" s="1882"/>
      <c r="G76" s="1882"/>
      <c r="H76" s="1882"/>
      <c r="I76" s="1882"/>
      <c r="J76" s="1882"/>
      <c r="K76" s="1882"/>
      <c r="L76" s="1882"/>
      <c r="M76" s="1882"/>
      <c r="N76" s="1882"/>
      <c r="O76" s="1882"/>
      <c r="P76" s="1882"/>
      <c r="Q76" s="1882"/>
      <c r="R76" s="1882"/>
      <c r="S76" s="1882"/>
      <c r="T76" s="1882"/>
      <c r="U76" s="1882"/>
      <c r="V76" s="1882"/>
      <c r="W76" s="1882"/>
      <c r="X76" s="1882"/>
      <c r="Y76" s="1882"/>
      <c r="Z76" s="1882"/>
      <c r="AA76" s="1882"/>
      <c r="AB76" s="1882"/>
      <c r="AC76" s="1882"/>
      <c r="AD76" s="1882"/>
      <c r="AE76" s="1882"/>
      <c r="AF76" s="1882"/>
      <c r="AG76" s="1882"/>
      <c r="AH76" s="1882"/>
      <c r="AI76" s="1882"/>
      <c r="AJ76" s="1882"/>
      <c r="AK76" s="1882"/>
      <c r="AL76" s="1882"/>
      <c r="AM76" s="1882"/>
      <c r="AN76" s="1882"/>
      <c r="AO76" s="1882"/>
      <c r="AP76" s="1882"/>
      <c r="AQ76" s="1882"/>
      <c r="AR76" s="1773"/>
      <c r="AS76" s="1901"/>
      <c r="AT76" s="1902"/>
      <c r="AU76" s="1902"/>
      <c r="AV76" s="1902"/>
      <c r="AW76" s="1902"/>
      <c r="AX76" s="1902"/>
      <c r="AY76" s="1902"/>
      <c r="AZ76" s="1902"/>
      <c r="BA76" s="1902"/>
      <c r="BB76" s="1903"/>
      <c r="BC76" s="1907"/>
      <c r="BD76" s="1908"/>
      <c r="BE76" s="1908"/>
      <c r="BF76" s="1908"/>
      <c r="BG76" s="1908"/>
      <c r="BH76" s="1908"/>
      <c r="BI76" s="1908"/>
      <c r="BJ76" s="1908"/>
      <c r="BK76" s="1908"/>
      <c r="BL76" s="1908"/>
      <c r="BM76" s="1909"/>
      <c r="BN76" s="1910">
        <f>CH76</f>
        <v>0</v>
      </c>
      <c r="BO76" s="1911"/>
      <c r="BP76" s="1911"/>
      <c r="BQ76" s="1911"/>
      <c r="BR76" s="1911"/>
      <c r="BS76" s="1911"/>
      <c r="BT76" s="1911"/>
      <c r="BU76" s="1911"/>
      <c r="BV76" s="1911"/>
      <c r="BW76" s="1911"/>
      <c r="BX76" s="1911"/>
      <c r="BY76" s="1911"/>
      <c r="BZ76" s="1911"/>
      <c r="CA76" s="1911"/>
      <c r="CB76" s="1912"/>
      <c r="CC76" s="261"/>
      <c r="CD76" s="261"/>
      <c r="CE76" s="262"/>
      <c r="CF76" s="262"/>
      <c r="CG76" s="262"/>
      <c r="CH76" s="269"/>
    </row>
    <row r="77" spans="1:87" x14ac:dyDescent="0.2">
      <c r="A77" s="1814"/>
      <c r="B77" s="1815"/>
      <c r="C77" s="1815"/>
      <c r="D77" s="1816"/>
      <c r="E77" s="1892" t="s">
        <v>174</v>
      </c>
      <c r="F77" s="1893"/>
      <c r="G77" s="1893"/>
      <c r="H77" s="1893"/>
      <c r="I77" s="1893"/>
      <c r="J77" s="1893"/>
      <c r="K77" s="1893"/>
      <c r="L77" s="1893"/>
      <c r="M77" s="1893"/>
      <c r="N77" s="1893"/>
      <c r="O77" s="1893"/>
      <c r="P77" s="1893"/>
      <c r="Q77" s="1893"/>
      <c r="R77" s="1893"/>
      <c r="S77" s="1893"/>
      <c r="T77" s="1893"/>
      <c r="U77" s="1893"/>
      <c r="V77" s="1893"/>
      <c r="W77" s="1893"/>
      <c r="X77" s="1893"/>
      <c r="Y77" s="1893"/>
      <c r="Z77" s="1893"/>
      <c r="AA77" s="1893"/>
      <c r="AB77" s="1893"/>
      <c r="AC77" s="1893"/>
      <c r="AD77" s="1893"/>
      <c r="AE77" s="1893"/>
      <c r="AF77" s="1893"/>
      <c r="AG77" s="1893"/>
      <c r="AH77" s="1893"/>
      <c r="AI77" s="1893"/>
      <c r="AJ77" s="1893"/>
      <c r="AK77" s="1893"/>
      <c r="AL77" s="1893"/>
      <c r="AM77" s="1893"/>
      <c r="AN77" s="1893"/>
      <c r="AO77" s="1893"/>
      <c r="AP77" s="1893"/>
      <c r="AQ77" s="1893"/>
      <c r="AR77" s="1894"/>
      <c r="AS77" s="1895"/>
      <c r="AT77" s="1896"/>
      <c r="AU77" s="1896"/>
      <c r="AV77" s="1896"/>
      <c r="AW77" s="1896"/>
      <c r="AX77" s="1896"/>
      <c r="AY77" s="1896"/>
      <c r="AZ77" s="1896"/>
      <c r="BA77" s="1896"/>
      <c r="BB77" s="1897"/>
      <c r="BC77" s="1898"/>
      <c r="BD77" s="1899"/>
      <c r="BE77" s="1899"/>
      <c r="BF77" s="1899"/>
      <c r="BG77" s="1899"/>
      <c r="BH77" s="1899"/>
      <c r="BI77" s="1899"/>
      <c r="BJ77" s="1899"/>
      <c r="BK77" s="1899"/>
      <c r="BL77" s="1899"/>
      <c r="BM77" s="1900"/>
      <c r="BN77" s="1959">
        <f>SUM(BN74:CB76)</f>
        <v>1159860</v>
      </c>
      <c r="BO77" s="1960"/>
      <c r="BP77" s="1960"/>
      <c r="BQ77" s="1960"/>
      <c r="BR77" s="1960"/>
      <c r="BS77" s="1960"/>
      <c r="BT77" s="1960"/>
      <c r="BU77" s="1960"/>
      <c r="BV77" s="1960"/>
      <c r="BW77" s="1960"/>
      <c r="BX77" s="1960"/>
      <c r="BY77" s="1960"/>
      <c r="BZ77" s="1960"/>
      <c r="CA77" s="1960"/>
      <c r="CB77" s="1961"/>
      <c r="CC77" s="257">
        <f>SUM(CC75:CC76)</f>
        <v>1146711.19</v>
      </c>
      <c r="CD77" s="272">
        <f>SUM(CD74:CD76)</f>
        <v>13148.810000000001</v>
      </c>
      <c r="CE77" s="272"/>
      <c r="CF77" s="272"/>
      <c r="CG77" s="272"/>
      <c r="CH77" s="272">
        <f>SUM(CH74:CH76)</f>
        <v>0</v>
      </c>
    </row>
    <row r="78" spans="1:87" x14ac:dyDescent="0.2">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c r="AF78" s="273"/>
      <c r="AG78" s="273"/>
      <c r="AH78" s="273"/>
      <c r="AI78" s="273"/>
      <c r="AJ78" s="273"/>
      <c r="AK78" s="273"/>
      <c r="AL78" s="273"/>
      <c r="AM78" s="273"/>
      <c r="AN78" s="273"/>
      <c r="AO78" s="273"/>
      <c r="AP78" s="273"/>
      <c r="AQ78" s="273"/>
      <c r="AR78" s="273"/>
      <c r="AS78" s="33"/>
      <c r="AT78" s="33"/>
      <c r="AU78" s="33"/>
      <c r="AV78" s="33"/>
      <c r="AW78" s="33"/>
      <c r="AX78" s="33"/>
      <c r="AY78" s="33"/>
      <c r="AZ78" s="33"/>
      <c r="BA78" s="33"/>
      <c r="BB78" s="33"/>
      <c r="BC78" s="33"/>
      <c r="BD78" s="33"/>
      <c r="BE78" s="33"/>
      <c r="BF78" s="33"/>
      <c r="BG78" s="33"/>
      <c r="BH78" s="33"/>
      <c r="BI78" s="33"/>
      <c r="BJ78" s="33"/>
      <c r="BK78" s="33"/>
      <c r="BL78" s="33"/>
      <c r="BM78" s="33"/>
      <c r="BN78" s="274"/>
      <c r="BO78" s="274"/>
      <c r="BP78" s="274"/>
      <c r="BQ78" s="274"/>
      <c r="BR78" s="274"/>
      <c r="BS78" s="274"/>
      <c r="BT78" s="274"/>
      <c r="BU78" s="274"/>
      <c r="BV78" s="274"/>
      <c r="BW78" s="274"/>
      <c r="BX78" s="274"/>
      <c r="BY78" s="274"/>
      <c r="BZ78" s="274"/>
      <c r="CA78" s="274"/>
      <c r="CB78" s="274"/>
      <c r="CC78" s="275"/>
      <c r="CD78" s="276"/>
      <c r="CE78" s="275"/>
      <c r="CF78" s="275"/>
      <c r="CG78" s="275"/>
      <c r="CH78" s="275"/>
    </row>
    <row r="79" spans="1:87" s="4" customFormat="1" ht="15.75" x14ac:dyDescent="0.25">
      <c r="A79" s="1955" t="s">
        <v>175</v>
      </c>
      <c r="B79" s="1955"/>
      <c r="C79" s="1955"/>
      <c r="D79" s="1955"/>
      <c r="E79" s="1955"/>
      <c r="F79" s="1955"/>
      <c r="G79" s="1955"/>
      <c r="H79" s="1955"/>
      <c r="I79" s="1955"/>
      <c r="J79" s="1955"/>
      <c r="K79" s="1955"/>
      <c r="L79" s="1955"/>
      <c r="M79" s="1955"/>
      <c r="N79" s="1955"/>
      <c r="O79" s="1955"/>
      <c r="P79" s="1955"/>
      <c r="Q79" s="1955"/>
      <c r="R79" s="1955"/>
      <c r="S79" s="1955"/>
      <c r="T79" s="1955"/>
      <c r="U79" s="1955"/>
      <c r="V79" s="1955"/>
      <c r="W79" s="1955"/>
      <c r="X79" s="1955"/>
      <c r="Y79" s="1955"/>
      <c r="Z79" s="1955"/>
      <c r="AA79" s="1955"/>
      <c r="AB79" s="1955"/>
      <c r="AC79" s="1955"/>
      <c r="AD79" s="1955"/>
      <c r="AE79" s="1955"/>
      <c r="AF79" s="1955"/>
      <c r="AG79" s="1955"/>
      <c r="AH79" s="1955"/>
      <c r="AI79" s="1955"/>
      <c r="AJ79" s="1955"/>
      <c r="AK79" s="1955"/>
      <c r="AL79" s="1955"/>
      <c r="AM79" s="1955"/>
      <c r="AN79" s="1955"/>
      <c r="AO79" s="1955"/>
      <c r="AP79" s="1955"/>
      <c r="AQ79" s="1955"/>
      <c r="AR79" s="1955"/>
      <c r="AS79" s="1955"/>
      <c r="AT79" s="1955"/>
      <c r="AU79" s="1955"/>
      <c r="AV79" s="1955"/>
      <c r="AW79" s="1955"/>
      <c r="AX79" s="1955"/>
      <c r="AY79" s="1955"/>
      <c r="AZ79" s="1955"/>
      <c r="BA79" s="1955"/>
      <c r="BB79" s="1955"/>
      <c r="BC79" s="1955"/>
      <c r="BD79" s="1955"/>
      <c r="BE79" s="1955"/>
      <c r="BF79" s="1955"/>
      <c r="BG79" s="1955"/>
      <c r="BH79" s="1955"/>
      <c r="BI79" s="1955"/>
      <c r="BJ79" s="1955"/>
      <c r="BK79" s="1955"/>
      <c r="BL79" s="1955"/>
      <c r="BM79" s="1955"/>
      <c r="BN79" s="1955"/>
      <c r="BO79" s="1955"/>
      <c r="BP79" s="1955"/>
      <c r="BQ79" s="1955"/>
      <c r="BR79" s="1955"/>
      <c r="BS79" s="1955"/>
      <c r="BT79" s="1955"/>
      <c r="BU79" s="1955"/>
      <c r="BV79" s="1955"/>
      <c r="BW79" s="1955"/>
      <c r="BX79" s="1955"/>
      <c r="BY79" s="1955"/>
      <c r="BZ79" s="1955"/>
      <c r="CA79" s="1955"/>
      <c r="CB79" s="1955"/>
      <c r="CC79" s="1955"/>
      <c r="CD79" s="1955"/>
      <c r="CE79" s="1955"/>
      <c r="CF79" s="1955"/>
      <c r="CG79" s="1955"/>
      <c r="CH79" s="1955"/>
    </row>
    <row r="80" spans="1:87" ht="15.75" x14ac:dyDescent="0.25">
      <c r="A80" s="19" t="s">
        <v>176</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row>
    <row r="82" spans="1:86" ht="12.75" customHeight="1" x14ac:dyDescent="0.2">
      <c r="A82" s="1818" t="s">
        <v>71</v>
      </c>
      <c r="B82" s="1819"/>
      <c r="C82" s="1819"/>
      <c r="D82" s="1820"/>
      <c r="E82" s="1818" t="s">
        <v>4</v>
      </c>
      <c r="F82" s="1819"/>
      <c r="G82" s="1819"/>
      <c r="H82" s="1819"/>
      <c r="I82" s="1819"/>
      <c r="J82" s="1819"/>
      <c r="K82" s="1819"/>
      <c r="L82" s="1819"/>
      <c r="M82" s="1819"/>
      <c r="N82" s="1819"/>
      <c r="O82" s="1819"/>
      <c r="P82" s="1819"/>
      <c r="Q82" s="1819"/>
      <c r="R82" s="1819"/>
      <c r="S82" s="1819"/>
      <c r="T82" s="1819"/>
      <c r="U82" s="1819"/>
      <c r="V82" s="1819"/>
      <c r="W82" s="1819"/>
      <c r="X82" s="1819"/>
      <c r="Y82" s="1819"/>
      <c r="Z82" s="1819"/>
      <c r="AA82" s="1819"/>
      <c r="AB82" s="1819"/>
      <c r="AC82" s="1819"/>
      <c r="AD82" s="1819"/>
      <c r="AE82" s="1819"/>
      <c r="AF82" s="1819"/>
      <c r="AG82" s="1819"/>
      <c r="AH82" s="1819"/>
      <c r="AI82" s="1819"/>
      <c r="AJ82" s="1819"/>
      <c r="AK82" s="1819"/>
      <c r="AL82" s="1819"/>
      <c r="AM82" s="1819"/>
      <c r="AN82" s="1819"/>
      <c r="AO82" s="1819"/>
      <c r="AP82" s="1819"/>
      <c r="AQ82" s="1819"/>
      <c r="AR82" s="1820"/>
      <c r="AS82" s="1818" t="s">
        <v>5</v>
      </c>
      <c r="AT82" s="1819"/>
      <c r="AU82" s="1819"/>
      <c r="AV82" s="1819"/>
      <c r="AW82" s="1819"/>
      <c r="AX82" s="1819"/>
      <c r="AY82" s="1819"/>
      <c r="AZ82" s="1819"/>
      <c r="BA82" s="1819"/>
      <c r="BB82" s="1820"/>
      <c r="BC82" s="1818" t="s">
        <v>164</v>
      </c>
      <c r="BD82" s="1819"/>
      <c r="BE82" s="1819"/>
      <c r="BF82" s="1819"/>
      <c r="BG82" s="1819"/>
      <c r="BH82" s="1819"/>
      <c r="BI82" s="1819"/>
      <c r="BJ82" s="1819"/>
      <c r="BK82" s="1819"/>
      <c r="BL82" s="1819"/>
      <c r="BM82" s="1820"/>
      <c r="BN82" s="1818" t="s">
        <v>6</v>
      </c>
      <c r="BO82" s="1819"/>
      <c r="BP82" s="1819"/>
      <c r="BQ82" s="1819"/>
      <c r="BR82" s="1819"/>
      <c r="BS82" s="1819"/>
      <c r="BT82" s="1819"/>
      <c r="BU82" s="1819"/>
      <c r="BV82" s="1819"/>
      <c r="BW82" s="1819"/>
      <c r="BX82" s="1819"/>
      <c r="BY82" s="1819"/>
      <c r="BZ82" s="1819"/>
      <c r="CA82" s="1819"/>
      <c r="CB82" s="1820"/>
      <c r="CC82" s="1797" t="s">
        <v>52</v>
      </c>
      <c r="CD82" s="1798"/>
      <c r="CE82" s="1798"/>
      <c r="CF82" s="1798"/>
      <c r="CG82" s="1798"/>
      <c r="CH82" s="1799"/>
    </row>
    <row r="83" spans="1:86" ht="55.5" customHeight="1" x14ac:dyDescent="0.2">
      <c r="A83" s="1807" t="s">
        <v>77</v>
      </c>
      <c r="B83" s="1808"/>
      <c r="C83" s="1808"/>
      <c r="D83" s="1809"/>
      <c r="E83" s="1807"/>
      <c r="F83" s="1808"/>
      <c r="G83" s="1808"/>
      <c r="H83" s="1808"/>
      <c r="I83" s="1808"/>
      <c r="J83" s="1808"/>
      <c r="K83" s="1808"/>
      <c r="L83" s="1808"/>
      <c r="M83" s="1808"/>
      <c r="N83" s="1808"/>
      <c r="O83" s="1808"/>
      <c r="P83" s="1808"/>
      <c r="Q83" s="1808"/>
      <c r="R83" s="1808"/>
      <c r="S83" s="1808"/>
      <c r="T83" s="1808"/>
      <c r="U83" s="1808"/>
      <c r="V83" s="1808"/>
      <c r="W83" s="1808"/>
      <c r="X83" s="1808"/>
      <c r="Y83" s="1808"/>
      <c r="Z83" s="1808"/>
      <c r="AA83" s="1808"/>
      <c r="AB83" s="1808"/>
      <c r="AC83" s="1808"/>
      <c r="AD83" s="1808"/>
      <c r="AE83" s="1808"/>
      <c r="AF83" s="1808"/>
      <c r="AG83" s="1808"/>
      <c r="AH83" s="1808"/>
      <c r="AI83" s="1808"/>
      <c r="AJ83" s="1808"/>
      <c r="AK83" s="1808"/>
      <c r="AL83" s="1808"/>
      <c r="AM83" s="1808"/>
      <c r="AN83" s="1808"/>
      <c r="AO83" s="1808"/>
      <c r="AP83" s="1808"/>
      <c r="AQ83" s="1808"/>
      <c r="AR83" s="1809"/>
      <c r="AS83" s="1807"/>
      <c r="AT83" s="1808"/>
      <c r="AU83" s="1808"/>
      <c r="AV83" s="1808"/>
      <c r="AW83" s="1808"/>
      <c r="AX83" s="1808"/>
      <c r="AY83" s="1808"/>
      <c r="AZ83" s="1808"/>
      <c r="BA83" s="1808"/>
      <c r="BB83" s="1809"/>
      <c r="BC83" s="1807" t="s">
        <v>165</v>
      </c>
      <c r="BD83" s="1808"/>
      <c r="BE83" s="1808"/>
      <c r="BF83" s="1808"/>
      <c r="BG83" s="1808"/>
      <c r="BH83" s="1808"/>
      <c r="BI83" s="1808"/>
      <c r="BJ83" s="1808"/>
      <c r="BK83" s="1808"/>
      <c r="BL83" s="1808"/>
      <c r="BM83" s="1809"/>
      <c r="BN83" s="1807"/>
      <c r="BO83" s="1808"/>
      <c r="BP83" s="1808"/>
      <c r="BQ83" s="1808"/>
      <c r="BR83" s="1808"/>
      <c r="BS83" s="1808"/>
      <c r="BT83" s="1808"/>
      <c r="BU83" s="1808"/>
      <c r="BV83" s="1808"/>
      <c r="BW83" s="1808"/>
      <c r="BX83" s="1808"/>
      <c r="BY83" s="1808"/>
      <c r="BZ83" s="1808"/>
      <c r="CA83" s="1808"/>
      <c r="CB83" s="1809"/>
      <c r="CC83" s="1788" t="s">
        <v>35</v>
      </c>
      <c r="CD83" s="1789"/>
      <c r="CE83" s="1788" t="s">
        <v>45</v>
      </c>
      <c r="CF83" s="1790"/>
      <c r="CG83" s="1789"/>
      <c r="CH83" s="1778" t="s">
        <v>46</v>
      </c>
    </row>
    <row r="84" spans="1:86" ht="12.75" customHeight="1" x14ac:dyDescent="0.2">
      <c r="A84" s="1807"/>
      <c r="B84" s="1808"/>
      <c r="C84" s="1808"/>
      <c r="D84" s="1809"/>
      <c r="E84" s="1807"/>
      <c r="F84" s="1808"/>
      <c r="G84" s="1808"/>
      <c r="H84" s="1808"/>
      <c r="I84" s="1808"/>
      <c r="J84" s="1808"/>
      <c r="K84" s="1808"/>
      <c r="L84" s="1808"/>
      <c r="M84" s="1808"/>
      <c r="N84" s="1808"/>
      <c r="O84" s="1808"/>
      <c r="P84" s="1808"/>
      <c r="Q84" s="1808"/>
      <c r="R84" s="1808"/>
      <c r="S84" s="1808"/>
      <c r="T84" s="1808"/>
      <c r="U84" s="1808"/>
      <c r="V84" s="1808"/>
      <c r="W84" s="1808"/>
      <c r="X84" s="1808"/>
      <c r="Y84" s="1808"/>
      <c r="Z84" s="1808"/>
      <c r="AA84" s="1808"/>
      <c r="AB84" s="1808"/>
      <c r="AC84" s="1808"/>
      <c r="AD84" s="1808"/>
      <c r="AE84" s="1808"/>
      <c r="AF84" s="1808"/>
      <c r="AG84" s="1808"/>
      <c r="AH84" s="1808"/>
      <c r="AI84" s="1808"/>
      <c r="AJ84" s="1808"/>
      <c r="AK84" s="1808"/>
      <c r="AL84" s="1808"/>
      <c r="AM84" s="1808"/>
      <c r="AN84" s="1808"/>
      <c r="AO84" s="1808"/>
      <c r="AP84" s="1808"/>
      <c r="AQ84" s="1808"/>
      <c r="AR84" s="1809"/>
      <c r="AS84" s="1807"/>
      <c r="AT84" s="1808"/>
      <c r="AU84" s="1808"/>
      <c r="AV84" s="1808"/>
      <c r="AW84" s="1808"/>
      <c r="AX84" s="1808"/>
      <c r="AY84" s="1808"/>
      <c r="AZ84" s="1808"/>
      <c r="BA84" s="1808"/>
      <c r="BB84" s="1809"/>
      <c r="BC84" s="1807" t="s">
        <v>111</v>
      </c>
      <c r="BD84" s="1808"/>
      <c r="BE84" s="1808"/>
      <c r="BF84" s="1808"/>
      <c r="BG84" s="1808"/>
      <c r="BH84" s="1808"/>
      <c r="BI84" s="1808"/>
      <c r="BJ84" s="1808"/>
      <c r="BK84" s="1808"/>
      <c r="BL84" s="1808"/>
      <c r="BM84" s="1809"/>
      <c r="BN84" s="1807"/>
      <c r="BO84" s="1808"/>
      <c r="BP84" s="1808"/>
      <c r="BQ84" s="1808"/>
      <c r="BR84" s="1808"/>
      <c r="BS84" s="1808"/>
      <c r="BT84" s="1808"/>
      <c r="BU84" s="1808"/>
      <c r="BV84" s="1808"/>
      <c r="BW84" s="1808"/>
      <c r="BX84" s="1808"/>
      <c r="BY84" s="1808"/>
      <c r="BZ84" s="1808"/>
      <c r="CA84" s="1808"/>
      <c r="CB84" s="1809"/>
      <c r="CC84" s="1812" t="s">
        <v>43</v>
      </c>
      <c r="CD84" s="1812" t="s">
        <v>44</v>
      </c>
      <c r="CE84" s="1812" t="s">
        <v>55</v>
      </c>
      <c r="CF84" s="1812" t="s">
        <v>43</v>
      </c>
      <c r="CG84" s="1812" t="s">
        <v>44</v>
      </c>
      <c r="CH84" s="1779"/>
    </row>
    <row r="85" spans="1:86" ht="12.75" customHeight="1" x14ac:dyDescent="0.2">
      <c r="A85" s="246"/>
      <c r="B85" s="247"/>
      <c r="C85" s="247"/>
      <c r="D85" s="248"/>
      <c r="E85" s="1814"/>
      <c r="F85" s="1815"/>
      <c r="G85" s="1815"/>
      <c r="H85" s="1815"/>
      <c r="I85" s="1815"/>
      <c r="J85" s="1815"/>
      <c r="K85" s="1815"/>
      <c r="L85" s="1815"/>
      <c r="M85" s="1815"/>
      <c r="N85" s="1815"/>
      <c r="O85" s="1815"/>
      <c r="P85" s="1815"/>
      <c r="Q85" s="1815"/>
      <c r="R85" s="1815"/>
      <c r="S85" s="1815"/>
      <c r="T85" s="1815"/>
      <c r="U85" s="1815"/>
      <c r="V85" s="1815"/>
      <c r="W85" s="1815"/>
      <c r="X85" s="1815"/>
      <c r="Y85" s="1815"/>
      <c r="Z85" s="1815"/>
      <c r="AA85" s="1815"/>
      <c r="AB85" s="1815"/>
      <c r="AC85" s="1815"/>
      <c r="AD85" s="1815"/>
      <c r="AE85" s="1815"/>
      <c r="AF85" s="1815"/>
      <c r="AG85" s="1815"/>
      <c r="AH85" s="1815"/>
      <c r="AI85" s="1815"/>
      <c r="AJ85" s="1815"/>
      <c r="AK85" s="1815"/>
      <c r="AL85" s="1815"/>
      <c r="AM85" s="1815"/>
      <c r="AN85" s="1815"/>
      <c r="AO85" s="1815"/>
      <c r="AP85" s="1815"/>
      <c r="AQ85" s="1815"/>
      <c r="AR85" s="1816"/>
      <c r="AS85" s="1814"/>
      <c r="AT85" s="1815"/>
      <c r="AU85" s="1815"/>
      <c r="AV85" s="1815"/>
      <c r="AW85" s="1815"/>
      <c r="AX85" s="1815"/>
      <c r="AY85" s="1815"/>
      <c r="AZ85" s="1815"/>
      <c r="BA85" s="1815"/>
      <c r="BB85" s="1816"/>
      <c r="BC85" s="1814"/>
      <c r="BD85" s="1815"/>
      <c r="BE85" s="1815"/>
      <c r="BF85" s="1815"/>
      <c r="BG85" s="1815"/>
      <c r="BH85" s="1815"/>
      <c r="BI85" s="1815"/>
      <c r="BJ85" s="1815"/>
      <c r="BK85" s="1815"/>
      <c r="BL85" s="1815"/>
      <c r="BM85" s="1816"/>
      <c r="BN85" s="1814"/>
      <c r="BO85" s="1815"/>
      <c r="BP85" s="1815"/>
      <c r="BQ85" s="1815"/>
      <c r="BR85" s="1815"/>
      <c r="BS85" s="1815"/>
      <c r="BT85" s="1815"/>
      <c r="BU85" s="1815"/>
      <c r="BV85" s="1815"/>
      <c r="BW85" s="1815"/>
      <c r="BX85" s="1815"/>
      <c r="BY85" s="1815"/>
      <c r="BZ85" s="1815"/>
      <c r="CA85" s="1815"/>
      <c r="CB85" s="1816"/>
      <c r="CC85" s="1813"/>
      <c r="CD85" s="1813"/>
      <c r="CE85" s="1813"/>
      <c r="CF85" s="1813"/>
      <c r="CG85" s="1813"/>
      <c r="CH85" s="1780"/>
    </row>
    <row r="86" spans="1:86" x14ac:dyDescent="0.2">
      <c r="A86" s="1770">
        <v>1</v>
      </c>
      <c r="B86" s="1787"/>
      <c r="C86" s="1787"/>
      <c r="D86" s="1771"/>
      <c r="E86" s="1770">
        <v>2</v>
      </c>
      <c r="F86" s="1787"/>
      <c r="G86" s="1787"/>
      <c r="H86" s="1787"/>
      <c r="I86" s="1787"/>
      <c r="J86" s="1787"/>
      <c r="K86" s="1787"/>
      <c r="L86" s="1787"/>
      <c r="M86" s="1787"/>
      <c r="N86" s="1787"/>
      <c r="O86" s="1787"/>
      <c r="P86" s="1787"/>
      <c r="Q86" s="1787"/>
      <c r="R86" s="1787"/>
      <c r="S86" s="1787"/>
      <c r="T86" s="1787"/>
      <c r="U86" s="1787"/>
      <c r="V86" s="1787"/>
      <c r="W86" s="1787"/>
      <c r="X86" s="1787"/>
      <c r="Y86" s="1787"/>
      <c r="Z86" s="1787"/>
      <c r="AA86" s="1787"/>
      <c r="AB86" s="1787"/>
      <c r="AC86" s="1787"/>
      <c r="AD86" s="1787"/>
      <c r="AE86" s="1787"/>
      <c r="AF86" s="1787"/>
      <c r="AG86" s="1787"/>
      <c r="AH86" s="1787"/>
      <c r="AI86" s="1787"/>
      <c r="AJ86" s="1787"/>
      <c r="AK86" s="1787"/>
      <c r="AL86" s="1787"/>
      <c r="AM86" s="1787"/>
      <c r="AN86" s="1787"/>
      <c r="AO86" s="1787"/>
      <c r="AP86" s="1787"/>
      <c r="AQ86" s="1787"/>
      <c r="AR86" s="1771"/>
      <c r="AS86" s="1770">
        <v>3</v>
      </c>
      <c r="AT86" s="1787"/>
      <c r="AU86" s="1787"/>
      <c r="AV86" s="1787"/>
      <c r="AW86" s="1787"/>
      <c r="AX86" s="1787"/>
      <c r="AY86" s="1787"/>
      <c r="AZ86" s="1787"/>
      <c r="BA86" s="1787"/>
      <c r="BB86" s="1771"/>
      <c r="BC86" s="1770">
        <v>4</v>
      </c>
      <c r="BD86" s="1787"/>
      <c r="BE86" s="1787"/>
      <c r="BF86" s="1787"/>
      <c r="BG86" s="1787"/>
      <c r="BH86" s="1787"/>
      <c r="BI86" s="1787"/>
      <c r="BJ86" s="1787"/>
      <c r="BK86" s="1787"/>
      <c r="BL86" s="1787"/>
      <c r="BM86" s="1771"/>
      <c r="BN86" s="1770" t="s">
        <v>49</v>
      </c>
      <c r="BO86" s="1787"/>
      <c r="BP86" s="1787"/>
      <c r="BQ86" s="1787"/>
      <c r="BR86" s="1787"/>
      <c r="BS86" s="1787"/>
      <c r="BT86" s="1787"/>
      <c r="BU86" s="1787"/>
      <c r="BV86" s="1787"/>
      <c r="BW86" s="1787"/>
      <c r="BX86" s="1787"/>
      <c r="BY86" s="1787"/>
      <c r="BZ86" s="1787"/>
      <c r="CA86" s="1787"/>
      <c r="CB86" s="1771"/>
      <c r="CC86" s="15">
        <v>6</v>
      </c>
      <c r="CD86" s="15">
        <v>7</v>
      </c>
      <c r="CE86" s="15">
        <v>8</v>
      </c>
      <c r="CF86" s="15">
        <v>9</v>
      </c>
      <c r="CG86" s="15">
        <v>10</v>
      </c>
      <c r="CH86" s="15">
        <v>11</v>
      </c>
    </row>
    <row r="87" spans="1:86" ht="33" customHeight="1" x14ac:dyDescent="0.2">
      <c r="A87" s="243"/>
      <c r="B87" s="244"/>
      <c r="C87" s="244"/>
      <c r="D87" s="245"/>
      <c r="E87" s="1772" t="s">
        <v>793</v>
      </c>
      <c r="F87" s="1882"/>
      <c r="G87" s="1882"/>
      <c r="H87" s="1882"/>
      <c r="I87" s="1882"/>
      <c r="J87" s="1882"/>
      <c r="K87" s="1882"/>
      <c r="L87" s="1882"/>
      <c r="M87" s="1882"/>
      <c r="N87" s="1882"/>
      <c r="O87" s="1882"/>
      <c r="P87" s="1882"/>
      <c r="Q87" s="1882"/>
      <c r="R87" s="1882"/>
      <c r="S87" s="1882"/>
      <c r="T87" s="1882"/>
      <c r="U87" s="1882"/>
      <c r="V87" s="1882"/>
      <c r="W87" s="1882"/>
      <c r="X87" s="1882"/>
      <c r="Y87" s="1882"/>
      <c r="Z87" s="1882"/>
      <c r="AA87" s="1882"/>
      <c r="AB87" s="1882"/>
      <c r="AC87" s="1882"/>
      <c r="AD87" s="1882"/>
      <c r="AE87" s="1882"/>
      <c r="AF87" s="1882"/>
      <c r="AG87" s="1882"/>
      <c r="AH87" s="1882"/>
      <c r="AI87" s="1882"/>
      <c r="AJ87" s="1882"/>
      <c r="AK87" s="1882"/>
      <c r="AL87" s="1882"/>
      <c r="AM87" s="1882"/>
      <c r="AN87" s="1882"/>
      <c r="AO87" s="1882"/>
      <c r="AP87" s="1882"/>
      <c r="AQ87" s="1882"/>
      <c r="AR87" s="1773"/>
      <c r="AS87" s="1895"/>
      <c r="AT87" s="1896"/>
      <c r="AU87" s="1896"/>
      <c r="AV87" s="1896"/>
      <c r="AW87" s="1896"/>
      <c r="AX87" s="1896"/>
      <c r="AY87" s="1896"/>
      <c r="AZ87" s="1896"/>
      <c r="BA87" s="1896"/>
      <c r="BB87" s="1897"/>
      <c r="BC87" s="1898"/>
      <c r="BD87" s="1899"/>
      <c r="BE87" s="1899"/>
      <c r="BF87" s="1899"/>
      <c r="BG87" s="1899"/>
      <c r="BH87" s="1899"/>
      <c r="BI87" s="1899"/>
      <c r="BJ87" s="1899"/>
      <c r="BK87" s="1899"/>
      <c r="BL87" s="1899"/>
      <c r="BM87" s="1900"/>
      <c r="BN87" s="1949">
        <f>CC87</f>
        <v>600000</v>
      </c>
      <c r="BO87" s="1950"/>
      <c r="BP87" s="1950"/>
      <c r="BQ87" s="1950"/>
      <c r="BR87" s="1950"/>
      <c r="BS87" s="1950"/>
      <c r="BT87" s="1950"/>
      <c r="BU87" s="1950"/>
      <c r="BV87" s="1950"/>
      <c r="BW87" s="1950"/>
      <c r="BX87" s="1950"/>
      <c r="BY87" s="1950"/>
      <c r="BZ87" s="1950"/>
      <c r="CA87" s="1950"/>
      <c r="CB87" s="1951"/>
      <c r="CC87" s="277">
        <v>600000</v>
      </c>
      <c r="CD87" s="270"/>
      <c r="CE87" s="17"/>
      <c r="CF87" s="17"/>
      <c r="CG87" s="17"/>
      <c r="CH87" s="17"/>
    </row>
    <row r="88" spans="1:86" ht="20.25" customHeight="1" x14ac:dyDescent="0.2">
      <c r="A88" s="243"/>
      <c r="B88" s="244"/>
      <c r="C88" s="244"/>
      <c r="D88" s="245"/>
      <c r="E88" s="1892" t="s">
        <v>168</v>
      </c>
      <c r="F88" s="1893"/>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893"/>
      <c r="AJ88" s="1893"/>
      <c r="AK88" s="1893"/>
      <c r="AL88" s="1893"/>
      <c r="AM88" s="1893"/>
      <c r="AN88" s="1893"/>
      <c r="AO88" s="1893"/>
      <c r="AP88" s="1893"/>
      <c r="AQ88" s="1893"/>
      <c r="AR88" s="1894"/>
      <c r="AS88" s="1895"/>
      <c r="AT88" s="1896"/>
      <c r="AU88" s="1896"/>
      <c r="AV88" s="1896"/>
      <c r="AW88" s="1896"/>
      <c r="AX88" s="1896"/>
      <c r="AY88" s="1896"/>
      <c r="AZ88" s="1896"/>
      <c r="BA88" s="1896"/>
      <c r="BB88" s="1897"/>
      <c r="BC88" s="1898"/>
      <c r="BD88" s="1899"/>
      <c r="BE88" s="1899"/>
      <c r="BF88" s="1899"/>
      <c r="BG88" s="1899"/>
      <c r="BH88" s="1899"/>
      <c r="BI88" s="1899"/>
      <c r="BJ88" s="1899"/>
      <c r="BK88" s="1899"/>
      <c r="BL88" s="1899"/>
      <c r="BM88" s="1900"/>
      <c r="BN88" s="1959">
        <f>SUM(BN87:BN87)</f>
        <v>600000</v>
      </c>
      <c r="BO88" s="1960"/>
      <c r="BP88" s="1960"/>
      <c r="BQ88" s="1960"/>
      <c r="BR88" s="1960"/>
      <c r="BS88" s="1960"/>
      <c r="BT88" s="1960"/>
      <c r="BU88" s="1960"/>
      <c r="BV88" s="1960"/>
      <c r="BW88" s="1960"/>
      <c r="BX88" s="1960"/>
      <c r="BY88" s="1960"/>
      <c r="BZ88" s="1960"/>
      <c r="CA88" s="1960"/>
      <c r="CB88" s="1961"/>
      <c r="CC88" s="278">
        <f>CC87</f>
        <v>600000</v>
      </c>
      <c r="CD88" s="279"/>
      <c r="CE88" s="17"/>
      <c r="CF88" s="17"/>
      <c r="CG88" s="17"/>
      <c r="CH88" s="280"/>
    </row>
    <row r="90" spans="1:86" s="4" customFormat="1" ht="13.5"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
      <c r="CD90" s="281"/>
    </row>
    <row r="91" spans="1:86" x14ac:dyDescent="0.2">
      <c r="CC91" s="8" t="s">
        <v>1197</v>
      </c>
      <c r="CD91" s="52">
        <v>6337600</v>
      </c>
    </row>
    <row r="92" spans="1:86" x14ac:dyDescent="0.2">
      <c r="CC92" s="8" t="s">
        <v>1255</v>
      </c>
      <c r="CD92" s="52">
        <v>2342112.4900000002</v>
      </c>
    </row>
    <row r="93" spans="1:86" x14ac:dyDescent="0.2">
      <c r="CC93" s="8" t="s">
        <v>1256</v>
      </c>
      <c r="CD93" s="52">
        <v>707317.97</v>
      </c>
    </row>
    <row r="94" spans="1:86" x14ac:dyDescent="0.2">
      <c r="CC94" s="8" t="s">
        <v>1199</v>
      </c>
      <c r="CD94" s="258">
        <v>1841831.49</v>
      </c>
      <c r="CF94" s="52"/>
    </row>
    <row r="95" spans="1:86" x14ac:dyDescent="0.2">
      <c r="CD95" s="142"/>
    </row>
    <row r="96" spans="1:86" x14ac:dyDescent="0.2">
      <c r="CC96" s="8" t="s">
        <v>819</v>
      </c>
      <c r="CD96" s="52">
        <f>CD91-CD93-CD94-CD92</f>
        <v>1446338.0499999998</v>
      </c>
      <c r="CE96" s="8">
        <v>221</v>
      </c>
      <c r="CF96" s="8">
        <f>'0701 221,223'!CD12</f>
        <v>57052.3</v>
      </c>
    </row>
    <row r="97" spans="82:84" x14ac:dyDescent="0.2">
      <c r="CD97" s="142">
        <f>CD77+CD73+CD71+CD69+CD66+CD42+CD28+'0701 221,223'!CD12+'0701 221,223'!CD34+'0701 221,223'!CD32+'0701 221,223'!CD33</f>
        <v>1443484.22</v>
      </c>
      <c r="CE97" s="8">
        <v>223</v>
      </c>
      <c r="CF97" s="8">
        <f>'0701 221,223'!CD32+'0701 221,223'!CD33+'0701 221,223'!CD34</f>
        <v>66605.31</v>
      </c>
    </row>
    <row r="98" spans="82:84" x14ac:dyDescent="0.2">
      <c r="CD98" s="52">
        <f>CD96-CD97</f>
        <v>2853.8299999998417</v>
      </c>
      <c r="CE98" s="8">
        <v>225</v>
      </c>
      <c r="CF98" s="258">
        <f>CD28</f>
        <v>263761.88</v>
      </c>
    </row>
    <row r="99" spans="82:84" x14ac:dyDescent="0.2">
      <c r="CE99" s="8">
        <v>226</v>
      </c>
      <c r="CF99" s="258">
        <f>CD42</f>
        <v>190895.91999999998</v>
      </c>
    </row>
    <row r="100" spans="82:84" x14ac:dyDescent="0.2">
      <c r="CE100" s="8">
        <v>342</v>
      </c>
      <c r="CF100" s="258">
        <f>CD67</f>
        <v>851020</v>
      </c>
    </row>
    <row r="101" spans="82:84" x14ac:dyDescent="0.2">
      <c r="CE101" s="8">
        <v>343</v>
      </c>
      <c r="CF101" s="142">
        <f>CD70</f>
        <v>1000</v>
      </c>
    </row>
    <row r="102" spans="82:84" x14ac:dyDescent="0.2">
      <c r="CE102" s="8">
        <v>346</v>
      </c>
      <c r="CF102" s="258" t="e">
        <f>#REF!</f>
        <v>#REF!</v>
      </c>
    </row>
    <row r="103" spans="82:84" x14ac:dyDescent="0.2">
      <c r="CF103" s="8" t="e">
        <f>SUM(CF96:CF102)</f>
        <v>#REF!</v>
      </c>
    </row>
  </sheetData>
  <mergeCells count="379">
    <mergeCell ref="A1:CB1"/>
    <mergeCell ref="A3:D3"/>
    <mergeCell ref="E3:AM3"/>
    <mergeCell ref="AN3:BC6"/>
    <mergeCell ref="BD3:BM6"/>
    <mergeCell ref="BN3:CB3"/>
    <mergeCell ref="CC5:CC6"/>
    <mergeCell ref="CD5:CD6"/>
    <mergeCell ref="CE5:CE6"/>
    <mergeCell ref="CF5:CF6"/>
    <mergeCell ref="CG5:CG6"/>
    <mergeCell ref="A6:D6"/>
    <mergeCell ref="E6:AM6"/>
    <mergeCell ref="BN6:CB6"/>
    <mergeCell ref="CC3:CH3"/>
    <mergeCell ref="A4:D4"/>
    <mergeCell ref="E4:AM4"/>
    <mergeCell ref="BN4:CB4"/>
    <mergeCell ref="CC4:CD4"/>
    <mergeCell ref="CE4:CG4"/>
    <mergeCell ref="CH4:CH6"/>
    <mergeCell ref="A5:D5"/>
    <mergeCell ref="E5:AM5"/>
    <mergeCell ref="BN5:CB5"/>
    <mergeCell ref="A7:D7"/>
    <mergeCell ref="E7:AM7"/>
    <mergeCell ref="AN7:BC7"/>
    <mergeCell ref="BD7:BM7"/>
    <mergeCell ref="BN7:CB7"/>
    <mergeCell ref="A8:D8"/>
    <mergeCell ref="E8:AM8"/>
    <mergeCell ref="AN8:BC8"/>
    <mergeCell ref="BD8:BM8"/>
    <mergeCell ref="BN8:CB8"/>
    <mergeCell ref="A9:D9"/>
    <mergeCell ref="E9:AM9"/>
    <mergeCell ref="AN9:BC9"/>
    <mergeCell ref="BD9:BM9"/>
    <mergeCell ref="BN9:CB9"/>
    <mergeCell ref="A10:D10"/>
    <mergeCell ref="E10:AM10"/>
    <mergeCell ref="AN10:BC10"/>
    <mergeCell ref="BD10:BM10"/>
    <mergeCell ref="BN10:CB10"/>
    <mergeCell ref="A11:D11"/>
    <mergeCell ref="E11:AM11"/>
    <mergeCell ref="AN11:BC11"/>
    <mergeCell ref="BD11:BM11"/>
    <mergeCell ref="BN11:CB11"/>
    <mergeCell ref="A12:D12"/>
    <mergeCell ref="E12:AM12"/>
    <mergeCell ref="AN12:BC12"/>
    <mergeCell ref="BD12:BM12"/>
    <mergeCell ref="BN12:CB12"/>
    <mergeCell ref="A13:D13"/>
    <mergeCell ref="E13:AM13"/>
    <mergeCell ref="AN13:BC13"/>
    <mergeCell ref="BD13:BM13"/>
    <mergeCell ref="BN13:CB13"/>
    <mergeCell ref="A14:D14"/>
    <mergeCell ref="E14:AM14"/>
    <mergeCell ref="AN14:BC14"/>
    <mergeCell ref="BD14:BM14"/>
    <mergeCell ref="BN14:CB14"/>
    <mergeCell ref="A15:D15"/>
    <mergeCell ref="E15:AM15"/>
    <mergeCell ref="AN15:BC15"/>
    <mergeCell ref="BD15:BM15"/>
    <mergeCell ref="BN15:CB15"/>
    <mergeCell ref="A16:D16"/>
    <mergeCell ref="E16:AM16"/>
    <mergeCell ref="AN16:BC16"/>
    <mergeCell ref="BD16:BM16"/>
    <mergeCell ref="BN16:CB16"/>
    <mergeCell ref="A17:D17"/>
    <mergeCell ref="E17:AM17"/>
    <mergeCell ref="AN17:BC17"/>
    <mergeCell ref="BD17:BM17"/>
    <mergeCell ref="BN17:CB17"/>
    <mergeCell ref="A18:D18"/>
    <mergeCell ref="E18:AM18"/>
    <mergeCell ref="AN18:BC18"/>
    <mergeCell ref="BD18:BM18"/>
    <mergeCell ref="BN18:CB18"/>
    <mergeCell ref="A19:D19"/>
    <mergeCell ref="E19:AM19"/>
    <mergeCell ref="AN19:BC19"/>
    <mergeCell ref="BD19:BM19"/>
    <mergeCell ref="BN19:CB19"/>
    <mergeCell ref="A20:D20"/>
    <mergeCell ref="E20:AM20"/>
    <mergeCell ref="AN20:BC20"/>
    <mergeCell ref="BD20:BM20"/>
    <mergeCell ref="BN20:CB20"/>
    <mergeCell ref="A21:D21"/>
    <mergeCell ref="E21:AM21"/>
    <mergeCell ref="AN21:BC21"/>
    <mergeCell ref="BD21:BM21"/>
    <mergeCell ref="BN21:CB21"/>
    <mergeCell ref="A22:D22"/>
    <mergeCell ref="E22:AM22"/>
    <mergeCell ref="AN22:BC22"/>
    <mergeCell ref="BD22:BM22"/>
    <mergeCell ref="BN22:CB22"/>
    <mergeCell ref="A23:D23"/>
    <mergeCell ref="E23:AM23"/>
    <mergeCell ref="AN23:BC23"/>
    <mergeCell ref="BD23:BM23"/>
    <mergeCell ref="BN23:CB23"/>
    <mergeCell ref="A24:D24"/>
    <mergeCell ref="E24:AM24"/>
    <mergeCell ref="AN24:BC24"/>
    <mergeCell ref="BD24:BM24"/>
    <mergeCell ref="BN24:CB24"/>
    <mergeCell ref="A28:D28"/>
    <mergeCell ref="E28:AM28"/>
    <mergeCell ref="AN28:BC28"/>
    <mergeCell ref="BD28:BM28"/>
    <mergeCell ref="BN28:CB28"/>
    <mergeCell ref="A29:CB29"/>
    <mergeCell ref="A25:D25"/>
    <mergeCell ref="E25:AM25"/>
    <mergeCell ref="AN25:BC25"/>
    <mergeCell ref="BD25:BM25"/>
    <mergeCell ref="BN25:CB25"/>
    <mergeCell ref="A26:D26"/>
    <mergeCell ref="E26:AM26"/>
    <mergeCell ref="AN26:BC26"/>
    <mergeCell ref="BD26:BM26"/>
    <mergeCell ref="BN26:CB26"/>
    <mergeCell ref="A27:D27"/>
    <mergeCell ref="E27:AM27"/>
    <mergeCell ref="AN27:BC27"/>
    <mergeCell ref="BD27:BM27"/>
    <mergeCell ref="BN27:CB27"/>
    <mergeCell ref="A30:D30"/>
    <mergeCell ref="E30:AM33"/>
    <mergeCell ref="AN30:BC33"/>
    <mergeCell ref="BD30:BM33"/>
    <mergeCell ref="BN30:CB30"/>
    <mergeCell ref="CC30:CH30"/>
    <mergeCell ref="A31:D31"/>
    <mergeCell ref="BN31:CB31"/>
    <mergeCell ref="CC31:CD31"/>
    <mergeCell ref="CE31:CG31"/>
    <mergeCell ref="CH31:CH33"/>
    <mergeCell ref="A32:D32"/>
    <mergeCell ref="BN32:CB32"/>
    <mergeCell ref="CC32:CC33"/>
    <mergeCell ref="CD32:CD33"/>
    <mergeCell ref="CE32:CE33"/>
    <mergeCell ref="CF32:CF33"/>
    <mergeCell ref="CG32:CG33"/>
    <mergeCell ref="A33:D33"/>
    <mergeCell ref="BN33:CB33"/>
    <mergeCell ref="A34:D34"/>
    <mergeCell ref="E34:AM34"/>
    <mergeCell ref="AN34:BC34"/>
    <mergeCell ref="BD34:BM34"/>
    <mergeCell ref="BN34:CB34"/>
    <mergeCell ref="A35:D35"/>
    <mergeCell ref="E35:AM35"/>
    <mergeCell ref="AN35:BC35"/>
    <mergeCell ref="BD35:BM35"/>
    <mergeCell ref="BN35:CB35"/>
    <mergeCell ref="A36:D36"/>
    <mergeCell ref="E36:AM36"/>
    <mergeCell ref="AN36:BC36"/>
    <mergeCell ref="BD36:BM36"/>
    <mergeCell ref="BN36:CB36"/>
    <mergeCell ref="A37:D37"/>
    <mergeCell ref="E37:AM37"/>
    <mergeCell ref="AN37:BC37"/>
    <mergeCell ref="BD37:BM37"/>
    <mergeCell ref="BN37:CB37"/>
    <mergeCell ref="A38:D38"/>
    <mergeCell ref="E38:AM38"/>
    <mergeCell ref="AN38:BC38"/>
    <mergeCell ref="BD38:BM38"/>
    <mergeCell ref="BN38:CB38"/>
    <mergeCell ref="A39:D39"/>
    <mergeCell ref="E39:AM39"/>
    <mergeCell ref="AN39:BC39"/>
    <mergeCell ref="BD39:BM39"/>
    <mergeCell ref="BN39:CB39"/>
    <mergeCell ref="A40:D40"/>
    <mergeCell ref="E40:AM40"/>
    <mergeCell ref="AN40:BC40"/>
    <mergeCell ref="BD40:BM40"/>
    <mergeCell ref="BN40:CB40"/>
    <mergeCell ref="A41:D41"/>
    <mergeCell ref="E41:AM41"/>
    <mergeCell ref="AN41:BC41"/>
    <mergeCell ref="BD41:BM41"/>
    <mergeCell ref="BN41:CB41"/>
    <mergeCell ref="A42:D42"/>
    <mergeCell ref="E42:BC42"/>
    <mergeCell ref="BD42:BM42"/>
    <mergeCell ref="BN42:CB42"/>
    <mergeCell ref="A46:D49"/>
    <mergeCell ref="E46:AR49"/>
    <mergeCell ref="AS46:BB49"/>
    <mergeCell ref="BC46:BM49"/>
    <mergeCell ref="BN46:CB49"/>
    <mergeCell ref="CC46:CH46"/>
    <mergeCell ref="CC47:CD47"/>
    <mergeCell ref="CE47:CG47"/>
    <mergeCell ref="CH47:CH49"/>
    <mergeCell ref="CC48:CC49"/>
    <mergeCell ref="CD48:CD49"/>
    <mergeCell ref="CE48:CE49"/>
    <mergeCell ref="CF48:CF49"/>
    <mergeCell ref="CG48:CG49"/>
    <mergeCell ref="A50:D50"/>
    <mergeCell ref="E50:AR50"/>
    <mergeCell ref="AS50:BB50"/>
    <mergeCell ref="BC50:BM50"/>
    <mergeCell ref="BN50:CB50"/>
    <mergeCell ref="A51:D51"/>
    <mergeCell ref="E51:AR51"/>
    <mergeCell ref="AS51:BB51"/>
    <mergeCell ref="BC51:BM51"/>
    <mergeCell ref="BN51:CB51"/>
    <mergeCell ref="A52:D52"/>
    <mergeCell ref="E52:AR52"/>
    <mergeCell ref="AS52:BB52"/>
    <mergeCell ref="BC52:BM52"/>
    <mergeCell ref="BN52:CB52"/>
    <mergeCell ref="A53:D53"/>
    <mergeCell ref="E53:AR53"/>
    <mergeCell ref="AS53:BB53"/>
    <mergeCell ref="BC53:BM53"/>
    <mergeCell ref="BN53:CB53"/>
    <mergeCell ref="A60:D60"/>
    <mergeCell ref="E60:AR60"/>
    <mergeCell ref="AS60:BB60"/>
    <mergeCell ref="BC60:BM60"/>
    <mergeCell ref="BN60:CB60"/>
    <mergeCell ref="CC60:CH60"/>
    <mergeCell ref="A54:D54"/>
    <mergeCell ref="E54:AR54"/>
    <mergeCell ref="AS54:BB54"/>
    <mergeCell ref="BC54:BM54"/>
    <mergeCell ref="BN54:CB54"/>
    <mergeCell ref="A55:AR55"/>
    <mergeCell ref="AS55:BB55"/>
    <mergeCell ref="BC55:BM55"/>
    <mergeCell ref="BN55:CB55"/>
    <mergeCell ref="CF62:CF63"/>
    <mergeCell ref="CG62:CG63"/>
    <mergeCell ref="E63:AR63"/>
    <mergeCell ref="AS63:BB63"/>
    <mergeCell ref="BC63:BM63"/>
    <mergeCell ref="BN63:CB63"/>
    <mergeCell ref="CE61:CG61"/>
    <mergeCell ref="CH61:CH63"/>
    <mergeCell ref="A62:D62"/>
    <mergeCell ref="E62:AR62"/>
    <mergeCell ref="AS62:BB62"/>
    <mergeCell ref="BC62:BM62"/>
    <mergeCell ref="BN62:CB62"/>
    <mergeCell ref="CC62:CC63"/>
    <mergeCell ref="CD62:CD63"/>
    <mergeCell ref="CE62:CE63"/>
    <mergeCell ref="A61:D61"/>
    <mergeCell ref="E61:AR61"/>
    <mergeCell ref="AS61:BB61"/>
    <mergeCell ref="BC61:BM61"/>
    <mergeCell ref="BN61:CB61"/>
    <mergeCell ref="CC61:CD61"/>
    <mergeCell ref="A64:D64"/>
    <mergeCell ref="E64:AR64"/>
    <mergeCell ref="AS64:BB64"/>
    <mergeCell ref="BC64:BM64"/>
    <mergeCell ref="BN64:CB64"/>
    <mergeCell ref="A65:D65"/>
    <mergeCell ref="E65:AR65"/>
    <mergeCell ref="AS65:BB65"/>
    <mergeCell ref="BC65:BM65"/>
    <mergeCell ref="BN65:CB65"/>
    <mergeCell ref="A66:D66"/>
    <mergeCell ref="E66:AR66"/>
    <mergeCell ref="AS66:BB66"/>
    <mergeCell ref="BC66:BM66"/>
    <mergeCell ref="BN66:CB66"/>
    <mergeCell ref="A67:D67"/>
    <mergeCell ref="E67:AR67"/>
    <mergeCell ref="AS67:BB67"/>
    <mergeCell ref="BC67:BM67"/>
    <mergeCell ref="BN67:CB67"/>
    <mergeCell ref="A68:D68"/>
    <mergeCell ref="E68:AR68"/>
    <mergeCell ref="AS68:BB68"/>
    <mergeCell ref="BC68:BM68"/>
    <mergeCell ref="BN68:CB68"/>
    <mergeCell ref="E69:AR69"/>
    <mergeCell ref="AS69:BB69"/>
    <mergeCell ref="BC69:BM69"/>
    <mergeCell ref="BN69:CB69"/>
    <mergeCell ref="A70:D70"/>
    <mergeCell ref="E70:AR70"/>
    <mergeCell ref="AS70:BB70"/>
    <mergeCell ref="BC70:BM70"/>
    <mergeCell ref="BN70:CB70"/>
    <mergeCell ref="A71:AR71"/>
    <mergeCell ref="AS71:BB71"/>
    <mergeCell ref="BC71:BM71"/>
    <mergeCell ref="BN71:CB71"/>
    <mergeCell ref="A72:D72"/>
    <mergeCell ref="E72:AR72"/>
    <mergeCell ref="AS72:BB72"/>
    <mergeCell ref="BC72:BM72"/>
    <mergeCell ref="BN72:CB72"/>
    <mergeCell ref="E73:AR73"/>
    <mergeCell ref="AS73:BB73"/>
    <mergeCell ref="BC73:BM73"/>
    <mergeCell ref="BN73:CB73"/>
    <mergeCell ref="A74:D74"/>
    <mergeCell ref="E74:AR74"/>
    <mergeCell ref="AS74:BB74"/>
    <mergeCell ref="BC74:BM74"/>
    <mergeCell ref="BN74:CB74"/>
    <mergeCell ref="A75:D75"/>
    <mergeCell ref="E75:AR75"/>
    <mergeCell ref="AS75:BB75"/>
    <mergeCell ref="BC75:BM75"/>
    <mergeCell ref="BN75:CB75"/>
    <mergeCell ref="A79:CH79"/>
    <mergeCell ref="A82:D82"/>
    <mergeCell ref="E82:AR82"/>
    <mergeCell ref="AS82:BB82"/>
    <mergeCell ref="BC82:BM82"/>
    <mergeCell ref="BN82:CB82"/>
    <mergeCell ref="CC82:CH82"/>
    <mergeCell ref="A76:D76"/>
    <mergeCell ref="E76:AR76"/>
    <mergeCell ref="AS76:BB76"/>
    <mergeCell ref="BC76:BM76"/>
    <mergeCell ref="BN76:CB76"/>
    <mergeCell ref="A77:D77"/>
    <mergeCell ref="E77:AR77"/>
    <mergeCell ref="AS77:BB77"/>
    <mergeCell ref="BC77:BM77"/>
    <mergeCell ref="BN77:CB77"/>
    <mergeCell ref="CF84:CF85"/>
    <mergeCell ref="CG84:CG85"/>
    <mergeCell ref="E85:AR85"/>
    <mergeCell ref="AS85:BB85"/>
    <mergeCell ref="BC85:BM85"/>
    <mergeCell ref="BN85:CB85"/>
    <mergeCell ref="CE83:CG83"/>
    <mergeCell ref="CH83:CH85"/>
    <mergeCell ref="A84:D84"/>
    <mergeCell ref="E84:AR84"/>
    <mergeCell ref="AS84:BB84"/>
    <mergeCell ref="BC84:BM84"/>
    <mergeCell ref="BN84:CB84"/>
    <mergeCell ref="CC84:CC85"/>
    <mergeCell ref="CD84:CD85"/>
    <mergeCell ref="CE84:CE85"/>
    <mergeCell ref="A83:D83"/>
    <mergeCell ref="E83:AR83"/>
    <mergeCell ref="AS83:BB83"/>
    <mergeCell ref="BC83:BM83"/>
    <mergeCell ref="BN83:CB83"/>
    <mergeCell ref="CC83:CD83"/>
    <mergeCell ref="E88:AR88"/>
    <mergeCell ref="AS88:BB88"/>
    <mergeCell ref="BC88:BM88"/>
    <mergeCell ref="BN88:CB88"/>
    <mergeCell ref="A86:D86"/>
    <mergeCell ref="E86:AR86"/>
    <mergeCell ref="AS86:BB86"/>
    <mergeCell ref="BC86:BM86"/>
    <mergeCell ref="BN86:CB86"/>
    <mergeCell ref="E87:AR87"/>
    <mergeCell ref="AS87:BB87"/>
    <mergeCell ref="BC87:BM87"/>
    <mergeCell ref="BN87:CB87"/>
  </mergeCells>
  <pageMargins left="0.25" right="0.25" top="0.75" bottom="0.75" header="0.3" footer="0.3"/>
  <pageSetup paperSize="9" scale="26" orientation="landscape"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Z9"/>
  <sheetViews>
    <sheetView zoomScale="92" zoomScaleNormal="92" zoomScaleSheetLayoutView="89" workbookViewId="0">
      <pane xSplit="3" ySplit="5" topLeftCell="K6" activePane="bottomRight" state="frozen"/>
      <selection pane="topRight" activeCell="D1" sqref="D1"/>
      <selection pane="bottomLeft" activeCell="A6" sqref="A6"/>
      <selection pane="bottomRight" activeCell="V8" sqref="V8"/>
    </sheetView>
  </sheetViews>
  <sheetFormatPr defaultColWidth="9.140625" defaultRowHeight="15" x14ac:dyDescent="0.2"/>
  <cols>
    <col min="1" max="1" width="7.42578125" style="302" customWidth="1"/>
    <col min="2" max="2" width="30" style="302" customWidth="1"/>
    <col min="3" max="3" width="10.28515625" style="302" customWidth="1"/>
    <col min="4" max="9" width="11.7109375" style="302" customWidth="1"/>
    <col min="10" max="10" width="16.85546875" style="302" customWidth="1"/>
    <col min="11" max="11" width="17.5703125" style="302" customWidth="1"/>
    <col min="12" max="12" width="14.5703125" style="302" customWidth="1"/>
    <col min="13" max="14" width="11" style="302" customWidth="1"/>
    <col min="15" max="15" width="11" style="302" hidden="1" customWidth="1"/>
    <col min="16" max="16" width="11" style="302" customWidth="1"/>
    <col min="17" max="17" width="11" style="302" hidden="1" customWidth="1"/>
    <col min="18" max="18" width="11" style="302" customWidth="1"/>
    <col min="19" max="19" width="14.5703125" style="302" customWidth="1"/>
    <col min="20" max="20" width="14.42578125" style="302" customWidth="1"/>
    <col min="21" max="21" width="17.5703125" style="302" customWidth="1"/>
    <col min="22" max="23" width="16.5703125" style="302" customWidth="1"/>
    <col min="24" max="24" width="9.140625" style="302"/>
    <col min="25" max="25" width="16.7109375" style="302" hidden="1" customWidth="1"/>
    <col min="26" max="26" width="19.42578125" style="302" hidden="1" customWidth="1"/>
    <col min="27" max="16384" width="9.140625" style="302"/>
  </cols>
  <sheetData>
    <row r="1" spans="1:23" ht="24" customHeight="1" thickBot="1" x14ac:dyDescent="0.25">
      <c r="A1" s="1646" t="s">
        <v>1219</v>
      </c>
      <c r="B1" s="1646"/>
      <c r="C1" s="1646"/>
      <c r="D1" s="1646"/>
      <c r="E1" s="1646"/>
      <c r="F1" s="1646"/>
      <c r="G1" s="1646"/>
      <c r="H1" s="1646"/>
      <c r="I1" s="1646"/>
      <c r="J1" s="1646"/>
      <c r="K1" s="1646"/>
      <c r="L1" s="1646"/>
      <c r="M1" s="1647"/>
      <c r="N1" s="1647"/>
      <c r="O1" s="1647"/>
      <c r="P1" s="1647"/>
      <c r="Q1" s="1647"/>
      <c r="R1" s="1647"/>
      <c r="S1" s="1646"/>
      <c r="T1" s="1646"/>
      <c r="U1" s="1646"/>
      <c r="V1" s="1646"/>
      <c r="W1" s="301"/>
    </row>
    <row r="2" spans="1:23" ht="52.5" customHeight="1" x14ac:dyDescent="0.2">
      <c r="A2" s="1714" t="s">
        <v>794</v>
      </c>
      <c r="B2" s="1715"/>
      <c r="C2" s="1718" t="s">
        <v>795</v>
      </c>
      <c r="D2" s="1721" t="s">
        <v>796</v>
      </c>
      <c r="E2" s="1724" t="s">
        <v>797</v>
      </c>
      <c r="F2" s="1725"/>
      <c r="G2" s="1725"/>
      <c r="H2" s="1725"/>
      <c r="I2" s="1726"/>
      <c r="J2" s="1727" t="s">
        <v>1220</v>
      </c>
      <c r="K2" s="1727" t="s">
        <v>849</v>
      </c>
      <c r="L2" s="1727" t="s">
        <v>800</v>
      </c>
      <c r="M2" s="1730" t="s">
        <v>801</v>
      </c>
      <c r="N2" s="1730"/>
      <c r="O2" s="1730"/>
      <c r="P2" s="1730"/>
      <c r="Q2" s="1730"/>
      <c r="R2" s="1730"/>
      <c r="S2" s="1731" t="s">
        <v>802</v>
      </c>
      <c r="T2" s="1735" t="s">
        <v>1221</v>
      </c>
      <c r="U2" s="1727" t="s">
        <v>804</v>
      </c>
      <c r="V2" s="1727" t="s">
        <v>1222</v>
      </c>
      <c r="W2" s="1727" t="s">
        <v>806</v>
      </c>
    </row>
    <row r="3" spans="1:23" ht="62.25" customHeight="1" x14ac:dyDescent="0.2">
      <c r="A3" s="1716"/>
      <c r="B3" s="1717"/>
      <c r="C3" s="1719"/>
      <c r="D3" s="1722"/>
      <c r="E3" s="1736" t="s">
        <v>807</v>
      </c>
      <c r="F3" s="1737"/>
      <c r="G3" s="1738" t="s">
        <v>808</v>
      </c>
      <c r="H3" s="1736" t="s">
        <v>809</v>
      </c>
      <c r="I3" s="1737"/>
      <c r="J3" s="1719"/>
      <c r="K3" s="1728"/>
      <c r="L3" s="1728"/>
      <c r="M3" s="1740" t="s">
        <v>850</v>
      </c>
      <c r="N3" s="1740" t="s">
        <v>851</v>
      </c>
      <c r="O3" s="1740" t="s">
        <v>812</v>
      </c>
      <c r="P3" s="1741" t="s">
        <v>852</v>
      </c>
      <c r="Q3" s="1741"/>
      <c r="R3" s="1741" t="s">
        <v>189</v>
      </c>
      <c r="S3" s="1732"/>
      <c r="T3" s="1722"/>
      <c r="U3" s="1719"/>
      <c r="V3" s="1719"/>
      <c r="W3" s="1719"/>
    </row>
    <row r="4" spans="1:23" ht="115.5" customHeight="1" x14ac:dyDescent="0.2">
      <c r="A4" s="1716"/>
      <c r="B4" s="1717"/>
      <c r="C4" s="1720"/>
      <c r="D4" s="1723"/>
      <c r="E4" s="304" t="s">
        <v>814</v>
      </c>
      <c r="F4" s="304" t="s">
        <v>815</v>
      </c>
      <c r="G4" s="1739"/>
      <c r="H4" s="304" t="s">
        <v>816</v>
      </c>
      <c r="I4" s="304" t="s">
        <v>817</v>
      </c>
      <c r="J4" s="1720"/>
      <c r="K4" s="1729"/>
      <c r="L4" s="1729"/>
      <c r="M4" s="1740"/>
      <c r="N4" s="1740"/>
      <c r="O4" s="1740"/>
      <c r="P4" s="1742"/>
      <c r="Q4" s="1742"/>
      <c r="R4" s="1742"/>
      <c r="S4" s="1733"/>
      <c r="T4" s="1723"/>
      <c r="U4" s="1720"/>
      <c r="V4" s="1720"/>
      <c r="W4" s="1720"/>
    </row>
    <row r="5" spans="1:23" x14ac:dyDescent="0.2">
      <c r="A5" s="1743">
        <v>1</v>
      </c>
      <c r="B5" s="1744"/>
      <c r="C5" s="305">
        <v>2</v>
      </c>
      <c r="D5" s="305">
        <v>3</v>
      </c>
      <c r="E5" s="305">
        <v>4</v>
      </c>
      <c r="F5" s="305">
        <v>5</v>
      </c>
      <c r="G5" s="305">
        <v>6</v>
      </c>
      <c r="H5" s="305">
        <v>7</v>
      </c>
      <c r="I5" s="305">
        <v>8</v>
      </c>
      <c r="J5" s="305">
        <v>9</v>
      </c>
      <c r="K5" s="305">
        <v>10</v>
      </c>
      <c r="L5" s="305">
        <v>11</v>
      </c>
      <c r="M5" s="305">
        <v>12</v>
      </c>
      <c r="N5" s="305">
        <v>13</v>
      </c>
      <c r="O5" s="305">
        <v>13</v>
      </c>
      <c r="P5" s="305">
        <v>14</v>
      </c>
      <c r="Q5" s="305">
        <v>15</v>
      </c>
      <c r="R5" s="305">
        <v>15</v>
      </c>
      <c r="S5" s="305">
        <v>16</v>
      </c>
      <c r="T5" s="305">
        <v>17</v>
      </c>
      <c r="U5" s="305">
        <v>18</v>
      </c>
      <c r="V5" s="305">
        <v>19</v>
      </c>
      <c r="W5" s="305">
        <v>19</v>
      </c>
    </row>
    <row r="6" spans="1:23" s="299" customFormat="1" ht="14.25" customHeight="1" x14ac:dyDescent="0.2">
      <c r="A6" s="1734" t="s">
        <v>822</v>
      </c>
      <c r="B6" s="1734"/>
      <c r="C6" s="303">
        <v>2</v>
      </c>
      <c r="D6" s="303">
        <v>12265</v>
      </c>
      <c r="E6" s="303"/>
      <c r="F6" s="303">
        <v>1.9</v>
      </c>
      <c r="G6" s="303"/>
      <c r="H6" s="303"/>
      <c r="I6" s="303"/>
      <c r="J6" s="306">
        <f>ROUND(C6*D6*F6,2)</f>
        <v>46607</v>
      </c>
      <c r="K6" s="306"/>
      <c r="L6" s="306">
        <f t="shared" ref="L6:L7" si="0">J6</f>
        <v>46607</v>
      </c>
      <c r="M6" s="306"/>
      <c r="N6" s="306"/>
      <c r="O6" s="306"/>
      <c r="P6" s="306"/>
      <c r="Q6" s="306"/>
      <c r="R6" s="306">
        <f t="shared" ref="R6:R7" si="1">M6+N6+O6+P6+Q6</f>
        <v>0</v>
      </c>
      <c r="S6" s="306">
        <f t="shared" ref="S6:S7" si="2">L6+R6</f>
        <v>46607</v>
      </c>
      <c r="T6" s="306">
        <f>L6*27.23%</f>
        <v>12691.086099999999</v>
      </c>
      <c r="U6" s="306">
        <f t="shared" ref="U6:U7" si="3">S6+T6</f>
        <v>59298.0861</v>
      </c>
      <c r="V6" s="306">
        <f>U6*12+20</f>
        <v>711597.03319999995</v>
      </c>
      <c r="W6" s="306">
        <f t="shared" ref="W6:W7" si="4">V6*30.2%</f>
        <v>214902.30402639997</v>
      </c>
    </row>
    <row r="7" spans="1:23" s="299" customFormat="1" ht="14.25" customHeight="1" x14ac:dyDescent="0.2">
      <c r="A7" s="1734" t="s">
        <v>821</v>
      </c>
      <c r="B7" s="1734"/>
      <c r="C7" s="303"/>
      <c r="D7" s="303">
        <v>12265</v>
      </c>
      <c r="E7" s="303">
        <v>1.6</v>
      </c>
      <c r="F7" s="303"/>
      <c r="G7" s="303"/>
      <c r="H7" s="303"/>
      <c r="I7" s="303"/>
      <c r="J7" s="306">
        <f>ROUND(C7*D7*E7,2)</f>
        <v>0</v>
      </c>
      <c r="K7" s="306"/>
      <c r="L7" s="306">
        <f t="shared" si="0"/>
        <v>0</v>
      </c>
      <c r="M7" s="306"/>
      <c r="N7" s="306"/>
      <c r="O7" s="306"/>
      <c r="P7" s="306"/>
      <c r="Q7" s="306"/>
      <c r="R7" s="306">
        <f t="shared" si="1"/>
        <v>0</v>
      </c>
      <c r="S7" s="306">
        <f t="shared" si="2"/>
        <v>0</v>
      </c>
      <c r="T7" s="306">
        <f>L7*23%</f>
        <v>0</v>
      </c>
      <c r="U7" s="306">
        <f t="shared" si="3"/>
        <v>0</v>
      </c>
      <c r="V7" s="306">
        <f>U7*12</f>
        <v>0</v>
      </c>
      <c r="W7" s="306">
        <f t="shared" si="4"/>
        <v>0</v>
      </c>
    </row>
    <row r="8" spans="1:23" s="315" customFormat="1" ht="14.25" x14ac:dyDescent="0.2">
      <c r="A8" s="1748" t="s">
        <v>189</v>
      </c>
      <c r="B8" s="1748"/>
      <c r="C8" s="314">
        <f>SUM(C6:C7)</f>
        <v>2</v>
      </c>
      <c r="D8" s="314"/>
      <c r="E8" s="314"/>
      <c r="F8" s="314"/>
      <c r="G8" s="314"/>
      <c r="H8" s="314"/>
      <c r="I8" s="314"/>
      <c r="J8" s="313">
        <f t="shared" ref="J8:W8" si="5">SUM(J6:J7)</f>
        <v>46607</v>
      </c>
      <c r="K8" s="313">
        <f t="shared" si="5"/>
        <v>0</v>
      </c>
      <c r="L8" s="313">
        <f t="shared" si="5"/>
        <v>46607</v>
      </c>
      <c r="M8" s="313">
        <f t="shared" si="5"/>
        <v>0</v>
      </c>
      <c r="N8" s="313">
        <f t="shared" si="5"/>
        <v>0</v>
      </c>
      <c r="O8" s="313">
        <f t="shared" si="5"/>
        <v>0</v>
      </c>
      <c r="P8" s="313">
        <f t="shared" si="5"/>
        <v>0</v>
      </c>
      <c r="Q8" s="313">
        <f t="shared" si="5"/>
        <v>0</v>
      </c>
      <c r="R8" s="313">
        <f t="shared" si="5"/>
        <v>0</v>
      </c>
      <c r="S8" s="313">
        <f t="shared" si="5"/>
        <v>46607</v>
      </c>
      <c r="T8" s="313">
        <f t="shared" si="5"/>
        <v>12691.086099999999</v>
      </c>
      <c r="U8" s="313">
        <f t="shared" si="5"/>
        <v>59298.0861</v>
      </c>
      <c r="V8" s="313">
        <f t="shared" si="5"/>
        <v>711597.03319999995</v>
      </c>
      <c r="W8" s="313">
        <f t="shared" si="5"/>
        <v>214902.30402639997</v>
      </c>
    </row>
    <row r="9" spans="1:23" x14ac:dyDescent="0.2">
      <c r="A9" s="317"/>
      <c r="B9" s="317"/>
      <c r="C9" s="317"/>
      <c r="D9" s="317"/>
      <c r="E9" s="317"/>
      <c r="F9" s="329"/>
      <c r="G9" s="317"/>
      <c r="H9" s="317"/>
      <c r="I9" s="317"/>
      <c r="J9" s="322"/>
      <c r="K9" s="322"/>
      <c r="L9" s="317"/>
      <c r="M9" s="317"/>
      <c r="N9" s="317"/>
      <c r="O9" s="330"/>
      <c r="P9" s="331"/>
      <c r="Q9" s="331"/>
      <c r="R9" s="331"/>
      <c r="S9" s="332"/>
      <c r="T9" s="333"/>
      <c r="U9" s="316"/>
      <c r="V9" s="333"/>
      <c r="W9" s="316"/>
    </row>
  </sheetData>
  <mergeCells count="27">
    <mergeCell ref="A1:V1"/>
    <mergeCell ref="A2:B4"/>
    <mergeCell ref="C2:C4"/>
    <mergeCell ref="D2:D4"/>
    <mergeCell ref="E2:I2"/>
    <mergeCell ref="J2:J4"/>
    <mergeCell ref="K2:K4"/>
    <mergeCell ref="L2:L4"/>
    <mergeCell ref="M2:R2"/>
    <mergeCell ref="S2:S4"/>
    <mergeCell ref="T2:T4"/>
    <mergeCell ref="U2:U4"/>
    <mergeCell ref="V2:V4"/>
    <mergeCell ref="W2:W4"/>
    <mergeCell ref="E3:F3"/>
    <mergeCell ref="G3:G4"/>
    <mergeCell ref="H3:I3"/>
    <mergeCell ref="M3:M4"/>
    <mergeCell ref="N3:N4"/>
    <mergeCell ref="O3:O4"/>
    <mergeCell ref="A8:B8"/>
    <mergeCell ref="P3:P4"/>
    <mergeCell ref="Q3:Q4"/>
    <mergeCell ref="R3:R4"/>
    <mergeCell ref="A5:B5"/>
    <mergeCell ref="A6:B6"/>
    <mergeCell ref="A7:B7"/>
  </mergeCells>
  <printOptions horizontalCentered="1" verticalCentered="1"/>
  <pageMargins left="0.23622047244094491" right="0.23622047244094491" top="0" bottom="0" header="0.31496062992125984" footer="0.31496062992125984"/>
  <pageSetup paperSize="9" scale="53"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K27"/>
  <sheetViews>
    <sheetView topLeftCell="A10" zoomScale="70" zoomScaleNormal="70" workbookViewId="0">
      <selection activeCell="E23" sqref="E23"/>
    </sheetView>
  </sheetViews>
  <sheetFormatPr defaultColWidth="9.140625" defaultRowHeight="15" x14ac:dyDescent="0.25"/>
  <cols>
    <col min="1" max="1" width="8.28515625" style="553" customWidth="1"/>
    <col min="2" max="2" width="56" style="552" customWidth="1"/>
    <col min="3" max="3" width="16.5703125" style="552" customWidth="1"/>
    <col min="4" max="4" width="17" style="552" customWidth="1"/>
    <col min="5" max="6" width="15.140625" style="552" customWidth="1"/>
    <col min="7" max="7" width="16.140625" style="552" customWidth="1"/>
    <col min="8" max="10" width="9.140625" style="552"/>
    <col min="11" max="11" width="16.42578125" style="552" customWidth="1"/>
    <col min="12" max="16384" width="9.140625" style="552"/>
  </cols>
  <sheetData>
    <row r="1" spans="1:11" s="530" customFormat="1" ht="12.75" customHeight="1" x14ac:dyDescent="0.25">
      <c r="A1" s="2224" t="s">
        <v>953</v>
      </c>
      <c r="B1" s="2224"/>
      <c r="C1" s="2224"/>
      <c r="D1" s="2224"/>
      <c r="E1" s="2224"/>
      <c r="F1" s="2224"/>
      <c r="G1" s="2224"/>
      <c r="H1" s="2224"/>
      <c r="I1" s="2224"/>
      <c r="J1" s="2224"/>
      <c r="K1" s="2224"/>
    </row>
    <row r="2" spans="1:11" s="532" customFormat="1" ht="12.75" customHeight="1" x14ac:dyDescent="0.15">
      <c r="A2" s="531"/>
    </row>
    <row r="3" spans="1:11" s="534" customFormat="1" ht="33.75" customHeight="1" x14ac:dyDescent="0.2">
      <c r="A3" s="2225" t="s">
        <v>38</v>
      </c>
      <c r="B3" s="2228" t="s">
        <v>7</v>
      </c>
      <c r="C3" s="2231" t="s">
        <v>56</v>
      </c>
      <c r="D3" s="2231" t="s">
        <v>57</v>
      </c>
      <c r="E3" s="2234" t="s">
        <v>52</v>
      </c>
      <c r="F3" s="2235"/>
      <c r="G3" s="2235"/>
      <c r="H3" s="2235"/>
      <c r="I3" s="2235"/>
      <c r="J3" s="2235"/>
      <c r="K3" s="2236"/>
    </row>
    <row r="4" spans="1:11" s="534" customFormat="1" ht="87.75" customHeight="1" x14ac:dyDescent="0.2">
      <c r="A4" s="2226"/>
      <c r="B4" s="2229"/>
      <c r="C4" s="2232"/>
      <c r="D4" s="2232"/>
      <c r="E4" s="2237" t="s">
        <v>35</v>
      </c>
      <c r="F4" s="2238"/>
      <c r="G4" s="2239"/>
      <c r="H4" s="2237" t="s">
        <v>45</v>
      </c>
      <c r="I4" s="2238"/>
      <c r="J4" s="2239"/>
      <c r="K4" s="2221" t="s">
        <v>46</v>
      </c>
    </row>
    <row r="5" spans="1:11" s="534" customFormat="1" ht="12.75" customHeight="1" x14ac:dyDescent="0.2">
      <c r="A5" s="2226"/>
      <c r="B5" s="2229"/>
      <c r="C5" s="2232"/>
      <c r="D5" s="2232"/>
      <c r="E5" s="2221" t="s">
        <v>43</v>
      </c>
      <c r="F5" s="2221" t="s">
        <v>592</v>
      </c>
      <c r="G5" s="2221" t="s">
        <v>44</v>
      </c>
      <c r="H5" s="2221" t="s">
        <v>55</v>
      </c>
      <c r="I5" s="2221" t="s">
        <v>43</v>
      </c>
      <c r="J5" s="2221" t="s">
        <v>44</v>
      </c>
      <c r="K5" s="2240"/>
    </row>
    <row r="6" spans="1:11" s="534" customFormat="1" ht="30.75" customHeight="1" x14ac:dyDescent="0.2">
      <c r="A6" s="2227"/>
      <c r="B6" s="2230"/>
      <c r="C6" s="2233"/>
      <c r="D6" s="2233"/>
      <c r="E6" s="2222"/>
      <c r="F6" s="2222"/>
      <c r="G6" s="2222"/>
      <c r="H6" s="2222"/>
      <c r="I6" s="2222"/>
      <c r="J6" s="2222"/>
      <c r="K6" s="2222"/>
    </row>
    <row r="7" spans="1:11" s="534" customFormat="1" ht="12.75" x14ac:dyDescent="0.2">
      <c r="A7" s="535">
        <v>1</v>
      </c>
      <c r="B7" s="533">
        <v>2</v>
      </c>
      <c r="C7" s="536">
        <v>3</v>
      </c>
      <c r="D7" s="533">
        <v>4</v>
      </c>
      <c r="E7" s="537">
        <v>5</v>
      </c>
      <c r="F7" s="537">
        <v>6</v>
      </c>
      <c r="G7" s="537">
        <v>7</v>
      </c>
      <c r="H7" s="537">
        <v>8</v>
      </c>
      <c r="I7" s="537">
        <v>9</v>
      </c>
      <c r="J7" s="537">
        <v>10</v>
      </c>
      <c r="K7" s="537">
        <v>11</v>
      </c>
    </row>
    <row r="8" spans="1:11" s="534" customFormat="1" ht="51" x14ac:dyDescent="0.2">
      <c r="A8" s="535">
        <v>1</v>
      </c>
      <c r="B8" s="538" t="s">
        <v>954</v>
      </c>
      <c r="C8" s="535" t="s">
        <v>3</v>
      </c>
      <c r="D8" s="539">
        <f>D9</f>
        <v>4982318.1399999997</v>
      </c>
      <c r="E8" s="539">
        <f>E9</f>
        <v>4526089.6099999994</v>
      </c>
      <c r="F8" s="539">
        <f t="shared" ref="F8:G8" si="0">F9</f>
        <v>252000</v>
      </c>
      <c r="G8" s="539">
        <f t="shared" si="0"/>
        <v>204228.53</v>
      </c>
      <c r="H8" s="540"/>
      <c r="I8" s="540"/>
      <c r="J8" s="540"/>
      <c r="K8" s="540"/>
    </row>
    <row r="9" spans="1:11" s="534" customFormat="1" ht="51" x14ac:dyDescent="0.2">
      <c r="A9" s="535" t="s">
        <v>8</v>
      </c>
      <c r="B9" s="538" t="s">
        <v>955</v>
      </c>
      <c r="C9" s="375" t="e">
        <f>'0702 211,266'!#REF!</f>
        <v>#REF!</v>
      </c>
      <c r="D9" s="539">
        <f>D23-D17</f>
        <v>4982318.1399999997</v>
      </c>
      <c r="E9" s="539">
        <f>E23-E17</f>
        <v>4526089.6099999994</v>
      </c>
      <c r="F9" s="539">
        <f t="shared" ref="F9:G9" si="1">F23-F17</f>
        <v>252000</v>
      </c>
      <c r="G9" s="539">
        <f t="shared" si="1"/>
        <v>204228.53</v>
      </c>
      <c r="H9" s="535"/>
      <c r="I9" s="535"/>
      <c r="J9" s="535"/>
      <c r="K9" s="535"/>
    </row>
    <row r="10" spans="1:11" s="534" customFormat="1" ht="25.5" x14ac:dyDescent="0.2">
      <c r="A10" s="535" t="s">
        <v>12</v>
      </c>
      <c r="B10" s="538" t="s">
        <v>956</v>
      </c>
      <c r="C10" s="541"/>
      <c r="D10" s="541"/>
      <c r="E10" s="540"/>
      <c r="F10" s="540"/>
      <c r="G10" s="540"/>
      <c r="H10" s="540"/>
      <c r="I10" s="540"/>
      <c r="J10" s="540"/>
      <c r="K10" s="540"/>
    </row>
    <row r="11" spans="1:11" s="534" customFormat="1" ht="25.5" x14ac:dyDescent="0.2">
      <c r="A11" s="535" t="s">
        <v>13</v>
      </c>
      <c r="B11" s="538" t="s">
        <v>957</v>
      </c>
      <c r="C11" s="541"/>
      <c r="D11" s="541"/>
      <c r="E11" s="535"/>
      <c r="F11" s="535"/>
      <c r="G11" s="535"/>
      <c r="H11" s="535"/>
      <c r="I11" s="535"/>
      <c r="J11" s="535"/>
      <c r="K11" s="535"/>
    </row>
    <row r="12" spans="1:11" s="534" customFormat="1" ht="38.25" x14ac:dyDescent="0.2">
      <c r="A12" s="542" t="s">
        <v>502</v>
      </c>
      <c r="B12" s="538" t="s">
        <v>958</v>
      </c>
      <c r="C12" s="535" t="s">
        <v>3</v>
      </c>
      <c r="D12" s="535"/>
      <c r="E12" s="535"/>
      <c r="F12" s="535"/>
      <c r="G12" s="535"/>
      <c r="H12" s="535"/>
      <c r="I12" s="535"/>
      <c r="J12" s="535"/>
      <c r="K12" s="535"/>
    </row>
    <row r="13" spans="1:11" s="534" customFormat="1" ht="12.75" x14ac:dyDescent="0.2">
      <c r="A13" s="535"/>
      <c r="B13" s="540"/>
      <c r="C13" s="535"/>
      <c r="D13" s="535"/>
      <c r="E13" s="535"/>
      <c r="F13" s="535"/>
      <c r="G13" s="535"/>
      <c r="H13" s="535"/>
      <c r="I13" s="535"/>
      <c r="J13" s="535"/>
      <c r="K13" s="535"/>
    </row>
    <row r="14" spans="1:11" s="534" customFormat="1" ht="25.5" x14ac:dyDescent="0.2">
      <c r="A14" s="542" t="s">
        <v>512</v>
      </c>
      <c r="B14" s="538" t="s">
        <v>959</v>
      </c>
      <c r="C14" s="543"/>
      <c r="D14" s="543"/>
      <c r="E14" s="543"/>
      <c r="F14" s="543"/>
      <c r="G14" s="543"/>
      <c r="H14" s="543"/>
      <c r="I14" s="543"/>
      <c r="J14" s="543"/>
      <c r="K14" s="543"/>
    </row>
    <row r="15" spans="1:11" s="534" customFormat="1" ht="38.25" x14ac:dyDescent="0.2">
      <c r="A15" s="542" t="s">
        <v>515</v>
      </c>
      <c r="B15" s="538" t="s">
        <v>958</v>
      </c>
      <c r="C15" s="543"/>
      <c r="D15" s="543"/>
      <c r="E15" s="543"/>
      <c r="F15" s="543"/>
      <c r="G15" s="543"/>
      <c r="H15" s="543"/>
      <c r="I15" s="543"/>
      <c r="J15" s="543"/>
      <c r="K15" s="543"/>
    </row>
    <row r="16" spans="1:11" s="534" customFormat="1" ht="12.75" x14ac:dyDescent="0.2">
      <c r="A16" s="535"/>
      <c r="B16" s="540"/>
      <c r="C16" s="543"/>
      <c r="D16" s="543"/>
      <c r="E16" s="543"/>
      <c r="F16" s="543"/>
      <c r="G16" s="543"/>
      <c r="H16" s="543"/>
      <c r="I16" s="543"/>
      <c r="J16" s="543"/>
      <c r="K16" s="543"/>
    </row>
    <row r="17" spans="1:11" s="534" customFormat="1" ht="38.25" x14ac:dyDescent="0.2">
      <c r="A17" s="535" t="s">
        <v>960</v>
      </c>
      <c r="B17" s="538" t="s">
        <v>961</v>
      </c>
      <c r="C17" s="544" t="e">
        <f>C18</f>
        <v>#REF!</v>
      </c>
      <c r="D17" s="544">
        <f t="shared" ref="D17:G17" si="2">D18</f>
        <v>33089.870000000003</v>
      </c>
      <c r="E17" s="544">
        <f t="shared" si="2"/>
        <v>30048.400000000001</v>
      </c>
      <c r="F17" s="544">
        <f>F18</f>
        <v>1680</v>
      </c>
      <c r="G17" s="544">
        <f t="shared" si="2"/>
        <v>1361.47</v>
      </c>
      <c r="H17" s="535"/>
      <c r="I17" s="535"/>
      <c r="J17" s="535"/>
      <c r="K17" s="535"/>
    </row>
    <row r="18" spans="1:11" s="534" customFormat="1" ht="51" x14ac:dyDescent="0.2">
      <c r="A18" s="542" t="s">
        <v>962</v>
      </c>
      <c r="B18" s="538" t="s">
        <v>963</v>
      </c>
      <c r="C18" s="375" t="e">
        <f>C9</f>
        <v>#REF!</v>
      </c>
      <c r="D18" s="375">
        <f>SUM(E18:G18)</f>
        <v>33089.870000000003</v>
      </c>
      <c r="E18" s="358">
        <v>30048.400000000001</v>
      </c>
      <c r="F18" s="358">
        <v>1680</v>
      </c>
      <c r="G18" s="358">
        <v>1361.47</v>
      </c>
      <c r="H18" s="535"/>
      <c r="I18" s="535"/>
      <c r="J18" s="535"/>
      <c r="K18" s="535"/>
    </row>
    <row r="19" spans="1:11" s="534" customFormat="1" ht="25.5" x14ac:dyDescent="0.2">
      <c r="A19" s="542" t="s">
        <v>964</v>
      </c>
      <c r="B19" s="538" t="s">
        <v>965</v>
      </c>
      <c r="C19" s="541"/>
      <c r="D19" s="541"/>
      <c r="E19" s="535"/>
      <c r="F19" s="535"/>
      <c r="G19" s="535"/>
      <c r="H19" s="535"/>
      <c r="I19" s="535"/>
      <c r="J19" s="535"/>
      <c r="K19" s="535"/>
    </row>
    <row r="20" spans="1:11" s="534" customFormat="1" ht="25.5" x14ac:dyDescent="0.2">
      <c r="A20" s="542" t="s">
        <v>966</v>
      </c>
      <c r="B20" s="538" t="s">
        <v>967</v>
      </c>
      <c r="C20" s="541"/>
      <c r="D20" s="541"/>
      <c r="E20" s="535"/>
      <c r="F20" s="535"/>
      <c r="G20" s="535"/>
      <c r="H20" s="535"/>
      <c r="I20" s="535"/>
      <c r="J20" s="535"/>
      <c r="K20" s="535"/>
    </row>
    <row r="21" spans="1:11" s="534" customFormat="1" ht="38.25" x14ac:dyDescent="0.2">
      <c r="A21" s="542" t="s">
        <v>968</v>
      </c>
      <c r="B21" s="538" t="s">
        <v>969</v>
      </c>
      <c r="C21" s="541"/>
      <c r="D21" s="541"/>
      <c r="E21" s="535"/>
      <c r="F21" s="535"/>
      <c r="G21" s="535"/>
      <c r="H21" s="535"/>
      <c r="I21" s="535"/>
      <c r="J21" s="535"/>
      <c r="K21" s="535"/>
    </row>
    <row r="22" spans="1:11" s="534" customFormat="1" ht="25.5" customHeight="1" x14ac:dyDescent="0.2">
      <c r="A22" s="542" t="s">
        <v>970</v>
      </c>
      <c r="B22" s="538" t="s">
        <v>971</v>
      </c>
      <c r="C22" s="541"/>
      <c r="D22" s="541"/>
      <c r="E22" s="535"/>
      <c r="F22" s="535"/>
      <c r="G22" s="535"/>
      <c r="H22" s="535"/>
      <c r="I22" s="535"/>
      <c r="J22" s="535"/>
      <c r="K22" s="535"/>
    </row>
    <row r="23" spans="1:11" s="549" customFormat="1" ht="24" customHeight="1" x14ac:dyDescent="0.2">
      <c r="A23" s="545"/>
      <c r="B23" s="546" t="s">
        <v>61</v>
      </c>
      <c r="C23" s="547" t="s">
        <v>3</v>
      </c>
      <c r="D23" s="381">
        <f>4996571.1+18836.91</f>
        <v>5015408.01</v>
      </c>
      <c r="E23" s="337">
        <f>D23-F23-G23</f>
        <v>4556138.01</v>
      </c>
      <c r="F23" s="337">
        <v>253680</v>
      </c>
      <c r="G23" s="337">
        <v>205590</v>
      </c>
      <c r="H23" s="547" t="s">
        <v>3</v>
      </c>
      <c r="I23" s="548"/>
      <c r="J23" s="548"/>
      <c r="K23" s="548"/>
    </row>
    <row r="24" spans="1:11" s="534" customFormat="1" ht="12.75" x14ac:dyDescent="0.2">
      <c r="A24" s="550"/>
    </row>
    <row r="25" spans="1:11" ht="18.75" x14ac:dyDescent="0.3">
      <c r="A25" s="551" t="s">
        <v>1177</v>
      </c>
    </row>
    <row r="26" spans="1:11" ht="56.25" customHeight="1" x14ac:dyDescent="0.25">
      <c r="A26" s="2223" t="s">
        <v>972</v>
      </c>
      <c r="B26" s="2223"/>
      <c r="C26" s="2223"/>
      <c r="D26" s="2223"/>
      <c r="E26" s="2223"/>
      <c r="F26" s="2223"/>
      <c r="G26" s="2223"/>
      <c r="H26" s="2223"/>
      <c r="I26" s="2223"/>
      <c r="J26" s="2223"/>
      <c r="K26" s="2223"/>
    </row>
    <row r="27" spans="1:11" ht="55.5" customHeight="1" x14ac:dyDescent="0.25">
      <c r="A27" s="2220" t="s">
        <v>973</v>
      </c>
      <c r="B27" s="2220"/>
      <c r="C27" s="2220"/>
      <c r="D27" s="2220"/>
      <c r="E27" s="2220"/>
      <c r="F27" s="2220"/>
      <c r="G27" s="2220"/>
      <c r="H27" s="2220"/>
      <c r="I27" s="2220"/>
      <c r="J27" s="2220"/>
      <c r="K27" s="2220"/>
    </row>
  </sheetData>
  <mergeCells count="17">
    <mergeCell ref="A1:K1"/>
    <mergeCell ref="A3:A6"/>
    <mergeCell ref="B3:B6"/>
    <mergeCell ref="C3:C6"/>
    <mergeCell ref="D3:D6"/>
    <mergeCell ref="E3:K3"/>
    <mergeCell ref="E4:G4"/>
    <mergeCell ref="H4:J4"/>
    <mergeCell ref="K4:K6"/>
    <mergeCell ref="E5:E6"/>
    <mergeCell ref="A27:K27"/>
    <mergeCell ref="F5:F6"/>
    <mergeCell ref="G5:G6"/>
    <mergeCell ref="H5:H6"/>
    <mergeCell ref="I5:I6"/>
    <mergeCell ref="J5:J6"/>
    <mergeCell ref="A26:K26"/>
  </mergeCells>
  <pageMargins left="0.70866141732283472" right="0.70866141732283472" top="0.27" bottom="0.19" header="0.31496062992125984" footer="0.31496062992125984"/>
  <pageSetup paperSize="9" scale="67" orientation="landscape"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fitToPage="1"/>
  </sheetPr>
  <dimension ref="A1:K27"/>
  <sheetViews>
    <sheetView topLeftCell="A4" zoomScale="70" zoomScaleNormal="70" workbookViewId="0">
      <selection activeCell="D23" sqref="D23"/>
    </sheetView>
  </sheetViews>
  <sheetFormatPr defaultColWidth="9.140625" defaultRowHeight="15" x14ac:dyDescent="0.25"/>
  <cols>
    <col min="1" max="1" width="8.28515625" style="359" customWidth="1"/>
    <col min="2" max="2" width="56" style="360" customWidth="1"/>
    <col min="3" max="3" width="16.5703125" style="360" customWidth="1"/>
    <col min="4" max="4" width="17" style="360" customWidth="1"/>
    <col min="5" max="6" width="15.140625" style="360" customWidth="1"/>
    <col min="7" max="7" width="16.140625" style="360" customWidth="1"/>
    <col min="8" max="10" width="9.140625" style="360"/>
    <col min="11" max="11" width="16.42578125" style="360" customWidth="1"/>
    <col min="12" max="16384" width="9.140625" style="360"/>
  </cols>
  <sheetData>
    <row r="1" spans="1:11" s="361" customFormat="1" ht="12.75" customHeight="1" x14ac:dyDescent="0.25">
      <c r="A1" s="1750" t="s">
        <v>953</v>
      </c>
      <c r="B1" s="1750"/>
      <c r="C1" s="1750"/>
      <c r="D1" s="1750"/>
      <c r="E1" s="1750"/>
      <c r="F1" s="1750"/>
      <c r="G1" s="1750"/>
      <c r="H1" s="1750"/>
      <c r="I1" s="1750"/>
      <c r="J1" s="1750"/>
      <c r="K1" s="1750"/>
    </row>
    <row r="2" spans="1:11" s="363" customFormat="1" ht="12.75" customHeight="1" x14ac:dyDescent="0.15">
      <c r="A2" s="362"/>
    </row>
    <row r="3" spans="1:11" s="365" customFormat="1" ht="33.75" customHeight="1" x14ac:dyDescent="0.2">
      <c r="A3" s="1751" t="s">
        <v>38</v>
      </c>
      <c r="B3" s="1754" t="s">
        <v>7</v>
      </c>
      <c r="C3" s="1757" t="s">
        <v>56</v>
      </c>
      <c r="D3" s="1757" t="s">
        <v>57</v>
      </c>
      <c r="E3" s="1760" t="s">
        <v>52</v>
      </c>
      <c r="F3" s="1761"/>
      <c r="G3" s="1761"/>
      <c r="H3" s="1761"/>
      <c r="I3" s="1761"/>
      <c r="J3" s="1761"/>
      <c r="K3" s="1762"/>
    </row>
    <row r="4" spans="1:11" s="365" customFormat="1" ht="87.75" customHeight="1" x14ac:dyDescent="0.2">
      <c r="A4" s="1752"/>
      <c r="B4" s="1755"/>
      <c r="C4" s="1758"/>
      <c r="D4" s="1758"/>
      <c r="E4" s="1763" t="s">
        <v>35</v>
      </c>
      <c r="F4" s="1765"/>
      <c r="G4" s="1764"/>
      <c r="H4" s="1763" t="s">
        <v>45</v>
      </c>
      <c r="I4" s="1765"/>
      <c r="J4" s="1764"/>
      <c r="K4" s="1766" t="s">
        <v>46</v>
      </c>
    </row>
    <row r="5" spans="1:11" s="365" customFormat="1" ht="12.75" customHeight="1" x14ac:dyDescent="0.2">
      <c r="A5" s="1752"/>
      <c r="B5" s="1755"/>
      <c r="C5" s="1758"/>
      <c r="D5" s="1758"/>
      <c r="E5" s="1766" t="s">
        <v>43</v>
      </c>
      <c r="F5" s="1766" t="s">
        <v>592</v>
      </c>
      <c r="G5" s="1766" t="s">
        <v>44</v>
      </c>
      <c r="H5" s="1766" t="s">
        <v>55</v>
      </c>
      <c r="I5" s="1766" t="s">
        <v>43</v>
      </c>
      <c r="J5" s="1766" t="s">
        <v>44</v>
      </c>
      <c r="K5" s="1767"/>
    </row>
    <row r="6" spans="1:11" s="365" customFormat="1" ht="30.75" customHeight="1" x14ac:dyDescent="0.2">
      <c r="A6" s="1753"/>
      <c r="B6" s="1756"/>
      <c r="C6" s="1759"/>
      <c r="D6" s="1759"/>
      <c r="E6" s="1768"/>
      <c r="F6" s="1768"/>
      <c r="G6" s="1768"/>
      <c r="H6" s="1768"/>
      <c r="I6" s="1768"/>
      <c r="J6" s="1768"/>
      <c r="K6" s="1768"/>
    </row>
    <row r="7" spans="1:11" s="365" customFormat="1" ht="12.75" x14ac:dyDescent="0.2">
      <c r="A7" s="366">
        <v>1</v>
      </c>
      <c r="B7" s="364">
        <v>2</v>
      </c>
      <c r="C7" s="367">
        <v>3</v>
      </c>
      <c r="D7" s="364">
        <v>4</v>
      </c>
      <c r="E7" s="368">
        <v>5</v>
      </c>
      <c r="F7" s="368">
        <v>6</v>
      </c>
      <c r="G7" s="368">
        <v>7</v>
      </c>
      <c r="H7" s="368">
        <v>8</v>
      </c>
      <c r="I7" s="368">
        <v>9</v>
      </c>
      <c r="J7" s="368">
        <v>10</v>
      </c>
      <c r="K7" s="368">
        <v>11</v>
      </c>
    </row>
    <row r="8" spans="1:11" s="365" customFormat="1" ht="51" x14ac:dyDescent="0.2">
      <c r="A8" s="366">
        <v>1</v>
      </c>
      <c r="B8" s="369" t="s">
        <v>954</v>
      </c>
      <c r="C8" s="366" t="s">
        <v>3</v>
      </c>
      <c r="D8" s="377">
        <f>D9</f>
        <v>3875727.67</v>
      </c>
      <c r="E8" s="377">
        <f t="shared" ref="E8:G8" si="0">E9</f>
        <v>3419499.14</v>
      </c>
      <c r="F8" s="377">
        <f t="shared" si="0"/>
        <v>252000</v>
      </c>
      <c r="G8" s="377">
        <f t="shared" si="0"/>
        <v>204228.53</v>
      </c>
      <c r="H8" s="371"/>
      <c r="I8" s="371"/>
      <c r="J8" s="371"/>
      <c r="K8" s="371"/>
    </row>
    <row r="9" spans="1:11" s="365" customFormat="1" ht="51" x14ac:dyDescent="0.2">
      <c r="A9" s="366" t="s">
        <v>8</v>
      </c>
      <c r="B9" s="369" t="s">
        <v>955</v>
      </c>
      <c r="C9" s="375" t="e">
        <f>'0702 211,266'!#REF!</f>
        <v>#REF!</v>
      </c>
      <c r="D9" s="377">
        <f>D23-D17</f>
        <v>3875727.67</v>
      </c>
      <c r="E9" s="377">
        <f>E23-E17</f>
        <v>3419499.14</v>
      </c>
      <c r="F9" s="377">
        <f t="shared" ref="F9:G9" si="1">F23-F17</f>
        <v>252000</v>
      </c>
      <c r="G9" s="377">
        <f t="shared" si="1"/>
        <v>204228.53</v>
      </c>
      <c r="H9" s="366"/>
      <c r="I9" s="366"/>
      <c r="J9" s="366"/>
      <c r="K9" s="366"/>
    </row>
    <row r="10" spans="1:11" s="365" customFormat="1" ht="25.5" x14ac:dyDescent="0.2">
      <c r="A10" s="366" t="s">
        <v>12</v>
      </c>
      <c r="B10" s="369" t="s">
        <v>956</v>
      </c>
      <c r="C10" s="370"/>
      <c r="D10" s="370"/>
      <c r="E10" s="371"/>
      <c r="F10" s="371"/>
      <c r="G10" s="371"/>
      <c r="H10" s="371"/>
      <c r="I10" s="371"/>
      <c r="J10" s="371"/>
      <c r="K10" s="371"/>
    </row>
    <row r="11" spans="1:11" s="365" customFormat="1" ht="25.5" x14ac:dyDescent="0.2">
      <c r="A11" s="366" t="s">
        <v>13</v>
      </c>
      <c r="B11" s="369" t="s">
        <v>957</v>
      </c>
      <c r="C11" s="370"/>
      <c r="D11" s="370"/>
      <c r="E11" s="366"/>
      <c r="F11" s="366"/>
      <c r="G11" s="366"/>
      <c r="H11" s="366"/>
      <c r="I11" s="366"/>
      <c r="J11" s="366"/>
      <c r="K11" s="366"/>
    </row>
    <row r="12" spans="1:11" s="365" customFormat="1" ht="38.25" x14ac:dyDescent="0.2">
      <c r="A12" s="372" t="s">
        <v>502</v>
      </c>
      <c r="B12" s="369" t="s">
        <v>958</v>
      </c>
      <c r="C12" s="366" t="s">
        <v>3</v>
      </c>
      <c r="D12" s="366"/>
      <c r="E12" s="366"/>
      <c r="F12" s="366"/>
      <c r="G12" s="366"/>
      <c r="H12" s="366"/>
      <c r="I12" s="366"/>
      <c r="J12" s="366"/>
      <c r="K12" s="366"/>
    </row>
    <row r="13" spans="1:11" s="365" customFormat="1" ht="12.75" x14ac:dyDescent="0.2">
      <c r="A13" s="366"/>
      <c r="B13" s="371"/>
      <c r="C13" s="366"/>
      <c r="D13" s="366"/>
      <c r="E13" s="366"/>
      <c r="F13" s="366"/>
      <c r="G13" s="366"/>
      <c r="H13" s="366"/>
      <c r="I13" s="366"/>
      <c r="J13" s="366"/>
      <c r="K13" s="366"/>
    </row>
    <row r="14" spans="1:11" s="365" customFormat="1" ht="25.5" x14ac:dyDescent="0.2">
      <c r="A14" s="372" t="s">
        <v>512</v>
      </c>
      <c r="B14" s="369" t="s">
        <v>959</v>
      </c>
      <c r="C14" s="373"/>
      <c r="D14" s="373"/>
      <c r="E14" s="373"/>
      <c r="F14" s="373"/>
      <c r="G14" s="373"/>
      <c r="H14" s="373"/>
      <c r="I14" s="373"/>
      <c r="J14" s="373"/>
      <c r="K14" s="373"/>
    </row>
    <row r="15" spans="1:11" s="365" customFormat="1" ht="38.25" x14ac:dyDescent="0.2">
      <c r="A15" s="372" t="s">
        <v>515</v>
      </c>
      <c r="B15" s="369" t="s">
        <v>958</v>
      </c>
      <c r="C15" s="373"/>
      <c r="D15" s="373"/>
      <c r="E15" s="373"/>
      <c r="F15" s="373"/>
      <c r="G15" s="373"/>
      <c r="H15" s="373"/>
      <c r="I15" s="373"/>
      <c r="J15" s="373"/>
      <c r="K15" s="373"/>
    </row>
    <row r="16" spans="1:11" s="365" customFormat="1" ht="12.75" x14ac:dyDescent="0.2">
      <c r="A16" s="366"/>
      <c r="B16" s="371"/>
      <c r="C16" s="373"/>
      <c r="D16" s="373"/>
      <c r="E16" s="373"/>
      <c r="F16" s="373"/>
      <c r="G16" s="373"/>
      <c r="H16" s="373"/>
      <c r="I16" s="373"/>
      <c r="J16" s="373"/>
      <c r="K16" s="373"/>
    </row>
    <row r="17" spans="1:11" s="365" customFormat="1" ht="38.25" x14ac:dyDescent="0.2">
      <c r="A17" s="366" t="s">
        <v>960</v>
      </c>
      <c r="B17" s="369" t="s">
        <v>961</v>
      </c>
      <c r="C17" s="376" t="e">
        <f>C18</f>
        <v>#REF!</v>
      </c>
      <c r="D17" s="376">
        <f t="shared" ref="D17:G17" si="2">D18</f>
        <v>28879.27</v>
      </c>
      <c r="E17" s="376">
        <f t="shared" si="2"/>
        <v>25837.8</v>
      </c>
      <c r="F17" s="376">
        <f>F18</f>
        <v>1680</v>
      </c>
      <c r="G17" s="376">
        <f t="shared" si="2"/>
        <v>1361.47</v>
      </c>
      <c r="H17" s="366"/>
      <c r="I17" s="366"/>
      <c r="J17" s="366"/>
      <c r="K17" s="366"/>
    </row>
    <row r="18" spans="1:11" s="365" customFormat="1" ht="51" x14ac:dyDescent="0.2">
      <c r="A18" s="372" t="s">
        <v>962</v>
      </c>
      <c r="B18" s="369" t="s">
        <v>963</v>
      </c>
      <c r="C18" s="375" t="e">
        <f>C9</f>
        <v>#REF!</v>
      </c>
      <c r="D18" s="375">
        <f>SUM(E18:G18)</f>
        <v>28879.27</v>
      </c>
      <c r="E18" s="358">
        <f>23164.45+2673.35</f>
        <v>25837.8</v>
      </c>
      <c r="F18" s="358">
        <v>1680</v>
      </c>
      <c r="G18" s="358">
        <v>1361.47</v>
      </c>
      <c r="H18" s="366"/>
      <c r="I18" s="366"/>
      <c r="J18" s="366"/>
      <c r="K18" s="366"/>
    </row>
    <row r="19" spans="1:11" s="365" customFormat="1" ht="25.5" x14ac:dyDescent="0.2">
      <c r="A19" s="372" t="s">
        <v>964</v>
      </c>
      <c r="B19" s="369" t="s">
        <v>965</v>
      </c>
      <c r="C19" s="370"/>
      <c r="D19" s="370"/>
      <c r="E19" s="366"/>
      <c r="F19" s="366"/>
      <c r="G19" s="366"/>
      <c r="H19" s="366"/>
      <c r="I19" s="366"/>
      <c r="J19" s="366"/>
      <c r="K19" s="366"/>
    </row>
    <row r="20" spans="1:11" s="365" customFormat="1" ht="25.5" x14ac:dyDescent="0.2">
      <c r="A20" s="372" t="s">
        <v>966</v>
      </c>
      <c r="B20" s="369" t="s">
        <v>967</v>
      </c>
      <c r="C20" s="370"/>
      <c r="D20" s="370"/>
      <c r="E20" s="366"/>
      <c r="F20" s="366"/>
      <c r="G20" s="366"/>
      <c r="H20" s="366"/>
      <c r="I20" s="366"/>
      <c r="J20" s="366"/>
      <c r="K20" s="366"/>
    </row>
    <row r="21" spans="1:11" s="365" customFormat="1" ht="38.25" x14ac:dyDescent="0.2">
      <c r="A21" s="372" t="s">
        <v>968</v>
      </c>
      <c r="B21" s="369" t="s">
        <v>969</v>
      </c>
      <c r="C21" s="370"/>
      <c r="D21" s="370"/>
      <c r="E21" s="366"/>
      <c r="F21" s="366"/>
      <c r="G21" s="366"/>
      <c r="H21" s="366"/>
      <c r="I21" s="366"/>
      <c r="J21" s="366"/>
      <c r="K21" s="366"/>
    </row>
    <row r="22" spans="1:11" s="365" customFormat="1" ht="25.5" customHeight="1" x14ac:dyDescent="0.2">
      <c r="A22" s="372" t="s">
        <v>970</v>
      </c>
      <c r="B22" s="369" t="s">
        <v>971</v>
      </c>
      <c r="C22" s="370"/>
      <c r="D22" s="370"/>
      <c r="E22" s="366"/>
      <c r="F22" s="366"/>
      <c r="G22" s="366"/>
      <c r="H22" s="366"/>
      <c r="I22" s="366"/>
      <c r="J22" s="366"/>
      <c r="K22" s="366"/>
    </row>
    <row r="23" spans="1:11" s="383" customFormat="1" ht="24" customHeight="1" x14ac:dyDescent="0.2">
      <c r="A23" s="378"/>
      <c r="B23" s="379" t="s">
        <v>61</v>
      </c>
      <c r="C23" s="380" t="s">
        <v>3</v>
      </c>
      <c r="D23" s="381">
        <v>3904606.94</v>
      </c>
      <c r="E23" s="337">
        <v>3445336.94</v>
      </c>
      <c r="F23" s="337">
        <v>253680</v>
      </c>
      <c r="G23" s="337">
        <v>205590</v>
      </c>
      <c r="H23" s="380" t="s">
        <v>3</v>
      </c>
      <c r="I23" s="382"/>
      <c r="J23" s="382"/>
      <c r="K23" s="382"/>
    </row>
    <row r="24" spans="1:11" s="365" customFormat="1" ht="12.75" x14ac:dyDescent="0.2">
      <c r="A24" s="374"/>
    </row>
    <row r="26" spans="1:11" ht="56.25" customHeight="1" x14ac:dyDescent="0.25">
      <c r="A26" s="1769" t="s">
        <v>972</v>
      </c>
      <c r="B26" s="1769"/>
      <c r="C26" s="1769"/>
      <c r="D26" s="1769"/>
      <c r="E26" s="1769"/>
      <c r="F26" s="1769"/>
      <c r="G26" s="1769"/>
      <c r="H26" s="1769"/>
      <c r="I26" s="1769"/>
      <c r="J26" s="1769"/>
      <c r="K26" s="1769"/>
    </row>
    <row r="27" spans="1:11" ht="55.5" customHeight="1" x14ac:dyDescent="0.25">
      <c r="A27" s="1749" t="s">
        <v>973</v>
      </c>
      <c r="B27" s="1749"/>
      <c r="C27" s="1749"/>
      <c r="D27" s="1749"/>
      <c r="E27" s="1749"/>
      <c r="F27" s="1749"/>
      <c r="G27" s="1749"/>
      <c r="H27" s="1749"/>
      <c r="I27" s="1749"/>
      <c r="J27" s="1749"/>
      <c r="K27" s="1749"/>
    </row>
  </sheetData>
  <mergeCells count="17">
    <mergeCell ref="A26:K26"/>
    <mergeCell ref="A27:K27"/>
    <mergeCell ref="F5:F6"/>
    <mergeCell ref="A1:K1"/>
    <mergeCell ref="A3:A6"/>
    <mergeCell ref="B3:B6"/>
    <mergeCell ref="C3:C6"/>
    <mergeCell ref="D3:D6"/>
    <mergeCell ref="E3:K3"/>
    <mergeCell ref="E4:G4"/>
    <mergeCell ref="H4:J4"/>
    <mergeCell ref="K4:K6"/>
    <mergeCell ref="E5:E6"/>
    <mergeCell ref="G5:G6"/>
    <mergeCell ref="H5:H6"/>
    <mergeCell ref="I5:I6"/>
    <mergeCell ref="J5:J6"/>
  </mergeCells>
  <pageMargins left="0.70866141732283472" right="0.70866141732283472" top="0.27" bottom="0.19" header="0.31496062992125984" footer="0.31496062992125984"/>
  <pageSetup paperSize="9" scale="67"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281"/>
  <sheetViews>
    <sheetView view="pageBreakPreview" zoomScale="69" zoomScaleNormal="56" zoomScaleSheetLayoutView="69" workbookViewId="0">
      <pane xSplit="1" ySplit="10" topLeftCell="B200" activePane="bottomRight" state="frozen"/>
      <selection pane="topRight" activeCell="B1" sqref="B1"/>
      <selection pane="bottomLeft" activeCell="A11" sqref="A11"/>
      <selection pane="bottomRight" activeCell="H47" sqref="H47"/>
    </sheetView>
  </sheetViews>
  <sheetFormatPr defaultColWidth="9.140625" defaultRowHeight="15.75" x14ac:dyDescent="0.2"/>
  <cols>
    <col min="1" max="1" width="42" style="610" customWidth="1"/>
    <col min="2" max="2" width="11.5703125" style="610" customWidth="1"/>
    <col min="3" max="3" width="9.42578125" style="610" customWidth="1"/>
    <col min="4" max="4" width="11.7109375" style="610" customWidth="1"/>
    <col min="5" max="5" width="20.85546875" style="644" customWidth="1"/>
    <col min="6" max="6" width="19.7109375" style="645" customWidth="1"/>
    <col min="7" max="7" width="20.28515625" style="645" customWidth="1"/>
    <col min="8" max="8" width="21.42578125" style="645" customWidth="1"/>
    <col min="9" max="9" width="14.42578125" style="611" customWidth="1"/>
    <col min="10" max="10" width="14.7109375" style="645" customWidth="1"/>
    <col min="11" max="11" width="20.140625" style="645" customWidth="1"/>
    <col min="12" max="12" width="19.85546875" style="645" customWidth="1"/>
    <col min="13" max="13" width="22.85546875" style="644" customWidth="1"/>
    <col min="14" max="14" width="18.42578125" style="645" customWidth="1"/>
    <col min="15" max="15" width="19.42578125" style="645" customWidth="1"/>
    <col min="16" max="16" width="18.5703125" style="645" customWidth="1"/>
    <col min="17" max="17" width="16.28515625" style="611" customWidth="1"/>
    <col min="18" max="19" width="19" style="645" customWidth="1"/>
    <col min="20" max="20" width="20.140625" style="645" customWidth="1"/>
    <col min="21" max="21" width="22.140625" style="644" customWidth="1"/>
    <col min="22" max="22" width="20" style="645" customWidth="1"/>
    <col min="23" max="23" width="20.42578125" style="645" customWidth="1"/>
    <col min="24" max="24" width="22.7109375" style="645" customWidth="1"/>
    <col min="25" max="25" width="14.140625" style="611" customWidth="1"/>
    <col min="26" max="26" width="15.42578125" style="645" customWidth="1"/>
    <col min="27" max="27" width="20.85546875" style="645" customWidth="1"/>
    <col min="28" max="28" width="22.42578125" style="645" customWidth="1"/>
    <col min="29" max="29" width="30.42578125" style="612" customWidth="1"/>
    <col min="30" max="30" width="19.28515625" style="610" customWidth="1"/>
    <col min="31" max="31" width="18" style="610" customWidth="1"/>
    <col min="32" max="32" width="17.5703125" style="610" bestFit="1" customWidth="1"/>
    <col min="33" max="16384" width="9.140625" style="610"/>
  </cols>
  <sheetData>
    <row r="1" spans="1:29" ht="51.75" customHeight="1" x14ac:dyDescent="0.2">
      <c r="Z1" s="1572" t="s">
        <v>721</v>
      </c>
      <c r="AA1" s="1573"/>
      <c r="AB1" s="1573"/>
    </row>
    <row r="2" spans="1:29" ht="31.9" customHeight="1" x14ac:dyDescent="0.2">
      <c r="Z2" s="1573" t="s">
        <v>722</v>
      </c>
      <c r="AA2" s="1573"/>
      <c r="AB2" s="1573"/>
    </row>
    <row r="3" spans="1:29" s="614" customFormat="1" ht="24.75" customHeight="1" x14ac:dyDescent="0.2">
      <c r="A3" s="1574" t="s">
        <v>1249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613"/>
      <c r="Z3" s="644"/>
      <c r="AA3" s="644"/>
      <c r="AB3" s="644"/>
      <c r="AC3" s="612"/>
    </row>
    <row r="4" spans="1:29" s="614" customFormat="1" ht="25.5" customHeight="1" x14ac:dyDescent="0.2">
      <c r="A4" s="1574" t="s">
        <v>1741</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613"/>
      <c r="Z4" s="644"/>
      <c r="AA4" s="644"/>
      <c r="AB4" s="644"/>
      <c r="AC4" s="612"/>
    </row>
    <row r="5" spans="1:29" x14ac:dyDescent="0.2">
      <c r="A5" s="610" t="s">
        <v>723</v>
      </c>
      <c r="D5" s="1575" t="s">
        <v>204</v>
      </c>
      <c r="E5" s="1576"/>
      <c r="F5" s="1576"/>
      <c r="G5" s="1576"/>
      <c r="H5" s="1576"/>
      <c r="I5" s="1576"/>
      <c r="J5" s="1576"/>
      <c r="K5" s="1576"/>
      <c r="L5" s="1576"/>
      <c r="M5" s="1576"/>
      <c r="N5" s="1576"/>
      <c r="O5" s="1576"/>
      <c r="P5" s="1576"/>
    </row>
    <row r="6" spans="1:29" x14ac:dyDescent="0.2">
      <c r="AC6" s="1002"/>
    </row>
    <row r="7" spans="1:29" s="614" customFormat="1" ht="37.5" customHeight="1" x14ac:dyDescent="0.2">
      <c r="A7" s="1565" t="s">
        <v>724</v>
      </c>
      <c r="B7" s="1566" t="s">
        <v>577</v>
      </c>
      <c r="C7" s="1566" t="s">
        <v>578</v>
      </c>
      <c r="D7" s="1566" t="s">
        <v>579</v>
      </c>
      <c r="E7" s="1567" t="s">
        <v>725</v>
      </c>
      <c r="F7" s="1567"/>
      <c r="G7" s="1567"/>
      <c r="H7" s="1567"/>
      <c r="I7" s="1567"/>
      <c r="J7" s="1567"/>
      <c r="K7" s="1567"/>
      <c r="L7" s="1567"/>
      <c r="M7" s="1567" t="s">
        <v>726</v>
      </c>
      <c r="N7" s="1567"/>
      <c r="O7" s="1567"/>
      <c r="P7" s="1567"/>
      <c r="Q7" s="1567"/>
      <c r="R7" s="1567"/>
      <c r="S7" s="1567"/>
      <c r="T7" s="1567"/>
      <c r="U7" s="1567" t="s">
        <v>727</v>
      </c>
      <c r="V7" s="1567"/>
      <c r="W7" s="1567"/>
      <c r="X7" s="1567"/>
      <c r="Y7" s="1567"/>
      <c r="Z7" s="1567"/>
      <c r="AA7" s="1567"/>
      <c r="AB7" s="1567"/>
      <c r="AC7" s="1577" t="s">
        <v>1178</v>
      </c>
    </row>
    <row r="8" spans="1:29" s="616" customFormat="1" ht="39.75" customHeight="1" x14ac:dyDescent="0.2">
      <c r="A8" s="1565"/>
      <c r="B8" s="1566"/>
      <c r="C8" s="1566"/>
      <c r="D8" s="1566"/>
      <c r="E8" s="1568" t="s">
        <v>6</v>
      </c>
      <c r="F8" s="1569" t="s">
        <v>52</v>
      </c>
      <c r="G8" s="1569"/>
      <c r="H8" s="1569"/>
      <c r="I8" s="1569"/>
      <c r="J8" s="1569"/>
      <c r="K8" s="1569"/>
      <c r="L8" s="1569"/>
      <c r="M8" s="1578" t="s">
        <v>6</v>
      </c>
      <c r="N8" s="1569" t="s">
        <v>52</v>
      </c>
      <c r="O8" s="1569"/>
      <c r="P8" s="1569"/>
      <c r="Q8" s="1569"/>
      <c r="R8" s="1569"/>
      <c r="S8" s="1569"/>
      <c r="T8" s="1569"/>
      <c r="U8" s="1578" t="s">
        <v>6</v>
      </c>
      <c r="V8" s="1569" t="s">
        <v>52</v>
      </c>
      <c r="W8" s="1569"/>
      <c r="X8" s="1569"/>
      <c r="Y8" s="1569"/>
      <c r="Z8" s="1569"/>
      <c r="AA8" s="1569"/>
      <c r="AB8" s="1569"/>
      <c r="AC8" s="1577"/>
    </row>
    <row r="9" spans="1:29" s="616" customFormat="1" ht="39.75" customHeight="1" x14ac:dyDescent="0.2">
      <c r="A9" s="1565"/>
      <c r="B9" s="1566"/>
      <c r="C9" s="1566"/>
      <c r="D9" s="1566"/>
      <c r="E9" s="1568"/>
      <c r="F9" s="1570" t="s">
        <v>35</v>
      </c>
      <c r="G9" s="1570"/>
      <c r="H9" s="1570"/>
      <c r="I9" s="1570" t="s">
        <v>45</v>
      </c>
      <c r="J9" s="1570"/>
      <c r="K9" s="1570"/>
      <c r="L9" s="1571" t="s">
        <v>46</v>
      </c>
      <c r="M9" s="1578"/>
      <c r="N9" s="1570" t="s">
        <v>35</v>
      </c>
      <c r="O9" s="1570"/>
      <c r="P9" s="1570"/>
      <c r="Q9" s="1570" t="s">
        <v>45</v>
      </c>
      <c r="R9" s="1570"/>
      <c r="S9" s="1570"/>
      <c r="T9" s="1571" t="s">
        <v>46</v>
      </c>
      <c r="U9" s="1578"/>
      <c r="V9" s="1570" t="s">
        <v>35</v>
      </c>
      <c r="W9" s="1570"/>
      <c r="X9" s="1570"/>
      <c r="Y9" s="1570" t="s">
        <v>45</v>
      </c>
      <c r="Z9" s="1570"/>
      <c r="AA9" s="1570"/>
      <c r="AB9" s="1571" t="s">
        <v>46</v>
      </c>
      <c r="AC9" s="1577"/>
    </row>
    <row r="10" spans="1:29" s="616" customFormat="1" ht="69" customHeight="1" x14ac:dyDescent="0.2">
      <c r="A10" s="1565"/>
      <c r="B10" s="1566"/>
      <c r="C10" s="1566"/>
      <c r="D10" s="1566"/>
      <c r="E10" s="1568"/>
      <c r="F10" s="642" t="s">
        <v>43</v>
      </c>
      <c r="G10" s="642" t="s">
        <v>592</v>
      </c>
      <c r="H10" s="642" t="s">
        <v>44</v>
      </c>
      <c r="I10" s="617" t="s">
        <v>55</v>
      </c>
      <c r="J10" s="642" t="s">
        <v>43</v>
      </c>
      <c r="K10" s="642" t="s">
        <v>44</v>
      </c>
      <c r="L10" s="1571"/>
      <c r="M10" s="1578"/>
      <c r="N10" s="642" t="s">
        <v>43</v>
      </c>
      <c r="O10" s="642" t="s">
        <v>592</v>
      </c>
      <c r="P10" s="642" t="s">
        <v>44</v>
      </c>
      <c r="Q10" s="617" t="s">
        <v>55</v>
      </c>
      <c r="R10" s="642" t="s">
        <v>43</v>
      </c>
      <c r="S10" s="642" t="s">
        <v>44</v>
      </c>
      <c r="T10" s="1571"/>
      <c r="U10" s="1578"/>
      <c r="V10" s="642" t="s">
        <v>43</v>
      </c>
      <c r="W10" s="642" t="s">
        <v>592</v>
      </c>
      <c r="X10" s="642" t="s">
        <v>44</v>
      </c>
      <c r="Y10" s="617" t="s">
        <v>55</v>
      </c>
      <c r="Z10" s="642" t="s">
        <v>43</v>
      </c>
      <c r="AA10" s="642" t="s">
        <v>44</v>
      </c>
      <c r="AB10" s="1571"/>
      <c r="AC10" s="1577"/>
    </row>
    <row r="11" spans="1:29" ht="31.5" x14ac:dyDescent="0.2">
      <c r="A11" s="618" t="s">
        <v>909</v>
      </c>
      <c r="B11" s="619" t="s">
        <v>747</v>
      </c>
      <c r="C11" s="620"/>
      <c r="D11" s="620">
        <v>510</v>
      </c>
      <c r="E11" s="596">
        <f>L11+K11+J11+H11+G11+F11</f>
        <v>332433.68</v>
      </c>
      <c r="F11" s="595">
        <f>'Прилож 4 24 (10)'!V11</f>
        <v>0</v>
      </c>
      <c r="G11" s="595">
        <f>'Прилож 4 24 (10)'!W11</f>
        <v>0</v>
      </c>
      <c r="H11" s="595">
        <f>'Прилож 4 24 (10)'!X11</f>
        <v>255285.97</v>
      </c>
      <c r="I11" s="595"/>
      <c r="J11" s="595">
        <f>'Прилож 4 24 (10)'!Z11</f>
        <v>0</v>
      </c>
      <c r="K11" s="595">
        <f>'Прилож 4 24 (10)'!AA11</f>
        <v>0</v>
      </c>
      <c r="L11" s="595">
        <f>'Прилож 4 24 (10)'!AB11</f>
        <v>77147.710000000006</v>
      </c>
      <c r="M11" s="596">
        <f t="shared" ref="M11:M27" si="0">N11+P11+R11+S11+T11+O11</f>
        <v>0</v>
      </c>
      <c r="N11" s="595"/>
      <c r="O11" s="595"/>
      <c r="P11" s="595"/>
      <c r="Q11" s="621"/>
      <c r="R11" s="595"/>
      <c r="S11" s="595"/>
      <c r="T11" s="595"/>
      <c r="U11" s="999">
        <f>X11+AB11</f>
        <v>332433.68</v>
      </c>
      <c r="V11" s="835">
        <f t="shared" ref="V11:V31" si="1">F11+N11</f>
        <v>0</v>
      </c>
      <c r="W11" s="835">
        <f t="shared" ref="W11:X31" si="2">O11+G11</f>
        <v>0</v>
      </c>
      <c r="X11" s="835">
        <f t="shared" si="2"/>
        <v>255285.97</v>
      </c>
      <c r="Y11" s="1000"/>
      <c r="Z11" s="835">
        <f t="shared" ref="Z11:AB27" si="3">R11+J11</f>
        <v>0</v>
      </c>
      <c r="AA11" s="835">
        <f t="shared" si="3"/>
        <v>0</v>
      </c>
      <c r="AB11" s="835">
        <f t="shared" si="3"/>
        <v>77147.710000000006</v>
      </c>
      <c r="AC11" s="1003"/>
    </row>
    <row r="12" spans="1:29" ht="98.25" customHeight="1" x14ac:dyDescent="0.2">
      <c r="A12" s="618" t="s">
        <v>728</v>
      </c>
      <c r="B12" s="619" t="s">
        <v>747</v>
      </c>
      <c r="C12" s="620">
        <v>130</v>
      </c>
      <c r="D12" s="620">
        <v>131</v>
      </c>
      <c r="E12" s="596">
        <f>L12+K12+J12+H12+G12+F12</f>
        <v>23228700</v>
      </c>
      <c r="F12" s="595">
        <f>'Прилож 4 24 (10)'!V12</f>
        <v>16891100</v>
      </c>
      <c r="G12" s="595">
        <f>'Прилож 4 24 (10)'!W12</f>
        <v>0</v>
      </c>
      <c r="H12" s="595">
        <f>'Прилож 4 24 (10)'!X12</f>
        <v>6337600</v>
      </c>
      <c r="I12" s="621"/>
      <c r="J12" s="595">
        <f>'Прилож 4 24 (10)'!Z12</f>
        <v>0</v>
      </c>
      <c r="K12" s="595">
        <f>'Прилож 4 24 (10)'!AA12</f>
        <v>0</v>
      </c>
      <c r="L12" s="595">
        <f>'Прилож 4 24 (10)'!AB12</f>
        <v>0</v>
      </c>
      <c r="M12" s="596">
        <f t="shared" si="0"/>
        <v>0</v>
      </c>
      <c r="N12" s="595"/>
      <c r="O12" s="595"/>
      <c r="P12" s="595"/>
      <c r="Q12" s="621"/>
      <c r="R12" s="595"/>
      <c r="S12" s="595"/>
      <c r="T12" s="595"/>
      <c r="U12" s="999">
        <f t="shared" ref="U12:U34" si="4">V12+X12+Z12+AA12+AB12+W12</f>
        <v>23228700</v>
      </c>
      <c r="V12" s="835">
        <f t="shared" si="1"/>
        <v>16891100</v>
      </c>
      <c r="W12" s="835">
        <f t="shared" si="2"/>
        <v>0</v>
      </c>
      <c r="X12" s="835">
        <f t="shared" si="2"/>
        <v>6337600</v>
      </c>
      <c r="Y12" s="1000"/>
      <c r="Z12" s="835">
        <f t="shared" si="3"/>
        <v>0</v>
      </c>
      <c r="AA12" s="835">
        <f t="shared" si="3"/>
        <v>0</v>
      </c>
      <c r="AB12" s="835">
        <f t="shared" si="3"/>
        <v>0</v>
      </c>
    </row>
    <row r="13" spans="1:29" ht="58.5" customHeight="1" x14ac:dyDescent="0.2">
      <c r="A13" s="618" t="s">
        <v>580</v>
      </c>
      <c r="B13" s="619" t="s">
        <v>729</v>
      </c>
      <c r="C13" s="620">
        <v>130</v>
      </c>
      <c r="D13" s="620">
        <v>131</v>
      </c>
      <c r="E13" s="596">
        <f>L13+K13+J13+H13+G13+F13</f>
        <v>926500</v>
      </c>
      <c r="F13" s="595">
        <f>'Прилож 4 24 (10)'!V13</f>
        <v>0</v>
      </c>
      <c r="G13" s="595">
        <f>'Прилож 4 24 (10)'!W13</f>
        <v>0</v>
      </c>
      <c r="H13" s="595">
        <f>'Прилож 4 24 (10)'!X13</f>
        <v>926500</v>
      </c>
      <c r="I13" s="621"/>
      <c r="J13" s="595">
        <f>'Прилож 4 24 (10)'!Z13</f>
        <v>0</v>
      </c>
      <c r="K13" s="595">
        <f>'Прилож 4 24 (10)'!AA13</f>
        <v>0</v>
      </c>
      <c r="L13" s="595">
        <f>'Прилож 4 24 (10)'!AB13</f>
        <v>0</v>
      </c>
      <c r="M13" s="596">
        <f t="shared" si="0"/>
        <v>0</v>
      </c>
      <c r="N13" s="595"/>
      <c r="O13" s="595"/>
      <c r="P13" s="595"/>
      <c r="Q13" s="621"/>
      <c r="R13" s="595"/>
      <c r="S13" s="595"/>
      <c r="T13" s="595"/>
      <c r="U13" s="999">
        <f t="shared" si="4"/>
        <v>926500</v>
      </c>
      <c r="V13" s="835">
        <f t="shared" si="1"/>
        <v>0</v>
      </c>
      <c r="W13" s="835">
        <f t="shared" si="2"/>
        <v>0</v>
      </c>
      <c r="X13" s="835">
        <f t="shared" si="2"/>
        <v>926500</v>
      </c>
      <c r="Y13" s="1000"/>
      <c r="Z13" s="835">
        <f t="shared" si="3"/>
        <v>0</v>
      </c>
      <c r="AA13" s="835">
        <f t="shared" si="3"/>
        <v>0</v>
      </c>
      <c r="AB13" s="835">
        <f t="shared" si="3"/>
        <v>0</v>
      </c>
      <c r="AC13" s="1003"/>
    </row>
    <row r="14" spans="1:29" ht="98.25" customHeight="1" x14ac:dyDescent="0.2">
      <c r="A14" s="618" t="s">
        <v>728</v>
      </c>
      <c r="B14" s="619" t="s">
        <v>729</v>
      </c>
      <c r="C14" s="620">
        <v>130</v>
      </c>
      <c r="D14" s="620">
        <v>131</v>
      </c>
      <c r="E14" s="596">
        <f>L14+K14+J14+H14+G14+F14</f>
        <v>28624636</v>
      </c>
      <c r="F14" s="595">
        <f>'Прилож 4 24 (10)'!V14</f>
        <v>24821370</v>
      </c>
      <c r="G14" s="595">
        <f>'Прилож 4 24 (10)'!W14</f>
        <v>0</v>
      </c>
      <c r="H14" s="595">
        <f>'Прилож 4 24 (10)'!X14</f>
        <v>3803266</v>
      </c>
      <c r="I14" s="621"/>
      <c r="J14" s="595">
        <f>'Прилож 4 24 (10)'!Z14</f>
        <v>0</v>
      </c>
      <c r="K14" s="595">
        <f>'Прилож 4 24 (10)'!AA14</f>
        <v>0</v>
      </c>
      <c r="L14" s="595">
        <f>'Прилож 4 24 (10)'!AB14</f>
        <v>0</v>
      </c>
      <c r="M14" s="596">
        <f t="shared" si="0"/>
        <v>0</v>
      </c>
      <c r="N14" s="835"/>
      <c r="O14" s="595"/>
      <c r="P14" s="595"/>
      <c r="Q14" s="621"/>
      <c r="R14" s="595"/>
      <c r="S14" s="595"/>
      <c r="T14" s="595"/>
      <c r="U14" s="999">
        <f t="shared" si="4"/>
        <v>28624636</v>
      </c>
      <c r="V14" s="835">
        <f t="shared" si="1"/>
        <v>24821370</v>
      </c>
      <c r="W14" s="835">
        <f t="shared" si="2"/>
        <v>0</v>
      </c>
      <c r="X14" s="835">
        <f t="shared" si="2"/>
        <v>3803266</v>
      </c>
      <c r="Y14" s="1000"/>
      <c r="Z14" s="835">
        <f t="shared" si="3"/>
        <v>0</v>
      </c>
      <c r="AA14" s="835">
        <f t="shared" si="3"/>
        <v>0</v>
      </c>
      <c r="AB14" s="835">
        <f t="shared" si="3"/>
        <v>0</v>
      </c>
      <c r="AC14" s="622"/>
    </row>
    <row r="15" spans="1:29" ht="52.9" customHeight="1" x14ac:dyDescent="0.2">
      <c r="A15" s="1241" t="s">
        <v>1550</v>
      </c>
      <c r="B15" s="619" t="s">
        <v>729</v>
      </c>
      <c r="C15" s="620">
        <v>130</v>
      </c>
      <c r="D15" s="620">
        <v>131</v>
      </c>
      <c r="E15" s="596"/>
      <c r="F15" s="595">
        <f>'Прилож 4 24 (10)'!V15</f>
        <v>0</v>
      </c>
      <c r="G15" s="595">
        <f>'Прилож 4 24 (10)'!W15</f>
        <v>2052340</v>
      </c>
      <c r="H15" s="595">
        <f>'Прилож 4 24 (10)'!X15</f>
        <v>0</v>
      </c>
      <c r="I15" s="621"/>
      <c r="J15" s="595">
        <f>'Прилож 4 24 (10)'!Z15</f>
        <v>0</v>
      </c>
      <c r="K15" s="595">
        <f>'Прилож 4 24 (10)'!AA15</f>
        <v>0</v>
      </c>
      <c r="L15" s="595">
        <f>'Прилож 4 24 (10)'!AB15</f>
        <v>0</v>
      </c>
      <c r="M15" s="596">
        <f t="shared" si="0"/>
        <v>0</v>
      </c>
      <c r="N15" s="835"/>
      <c r="O15" s="595"/>
      <c r="P15" s="595"/>
      <c r="Q15" s="621"/>
      <c r="R15" s="595"/>
      <c r="S15" s="595"/>
      <c r="T15" s="595"/>
      <c r="U15" s="999">
        <f t="shared" si="4"/>
        <v>2052340</v>
      </c>
      <c r="V15" s="835">
        <f t="shared" si="1"/>
        <v>0</v>
      </c>
      <c r="W15" s="835">
        <f t="shared" si="2"/>
        <v>2052340</v>
      </c>
      <c r="X15" s="835">
        <f t="shared" si="2"/>
        <v>0</v>
      </c>
      <c r="Y15" s="1000"/>
      <c r="Z15" s="835">
        <f t="shared" si="3"/>
        <v>0</v>
      </c>
      <c r="AA15" s="835">
        <f t="shared" si="3"/>
        <v>0</v>
      </c>
      <c r="AB15" s="835">
        <f t="shared" si="3"/>
        <v>0</v>
      </c>
      <c r="AC15" s="622"/>
    </row>
    <row r="16" spans="1:29" ht="96" customHeight="1" x14ac:dyDescent="0.2">
      <c r="A16" s="618" t="s">
        <v>945</v>
      </c>
      <c r="B16" s="619" t="s">
        <v>729</v>
      </c>
      <c r="C16" s="620">
        <v>130</v>
      </c>
      <c r="D16" s="620">
        <v>131</v>
      </c>
      <c r="E16" s="596">
        <f>L16+K16+J16+H16+G16+F16</f>
        <v>354251.13</v>
      </c>
      <c r="F16" s="595">
        <f>'Прилож 4 24 (10)'!V16</f>
        <v>116903.03999999999</v>
      </c>
      <c r="G16" s="595">
        <f>'Прилож 4 24 (10)'!W16</f>
        <v>237348.09</v>
      </c>
      <c r="H16" s="595">
        <f>'Прилож 4 24 (10)'!X16</f>
        <v>0</v>
      </c>
      <c r="I16" s="621"/>
      <c r="J16" s="595">
        <f>'Прилож 4 24 (10)'!Z16</f>
        <v>0</v>
      </c>
      <c r="K16" s="595">
        <f>'Прилож 4 24 (10)'!AA16</f>
        <v>0</v>
      </c>
      <c r="L16" s="595">
        <f>'Прилож 4 24 (10)'!AB16</f>
        <v>0</v>
      </c>
      <c r="M16" s="596">
        <f t="shared" si="0"/>
        <v>0</v>
      </c>
      <c r="N16" s="595"/>
      <c r="O16" s="595"/>
      <c r="P16" s="595"/>
      <c r="Q16" s="621"/>
      <c r="R16" s="595"/>
      <c r="S16" s="595"/>
      <c r="T16" s="595"/>
      <c r="U16" s="999">
        <f t="shared" si="4"/>
        <v>354251.13</v>
      </c>
      <c r="V16" s="835">
        <f t="shared" si="1"/>
        <v>116903.03999999999</v>
      </c>
      <c r="W16" s="835">
        <f t="shared" si="2"/>
        <v>237348.09</v>
      </c>
      <c r="X16" s="835">
        <f t="shared" si="2"/>
        <v>0</v>
      </c>
      <c r="Y16" s="1000"/>
      <c r="Z16" s="835">
        <f t="shared" si="3"/>
        <v>0</v>
      </c>
      <c r="AA16" s="835">
        <f t="shared" si="3"/>
        <v>0</v>
      </c>
      <c r="AB16" s="835">
        <f t="shared" si="3"/>
        <v>0</v>
      </c>
      <c r="AC16" s="1003"/>
    </row>
    <row r="17" spans="1:29" ht="61.9" customHeight="1" x14ac:dyDescent="0.2">
      <c r="A17" s="618" t="s">
        <v>1551</v>
      </c>
      <c r="B17" s="619" t="s">
        <v>729</v>
      </c>
      <c r="C17" s="620">
        <v>130</v>
      </c>
      <c r="D17" s="620">
        <v>131</v>
      </c>
      <c r="E17" s="596"/>
      <c r="F17" s="595">
        <f>'Прилож 4 24 (10)'!V17</f>
        <v>0</v>
      </c>
      <c r="G17" s="595">
        <f>'Прилож 4 24 (10)'!W17</f>
        <v>26038.46</v>
      </c>
      <c r="H17" s="595">
        <f>'Прилож 4 24 (10)'!X17</f>
        <v>0</v>
      </c>
      <c r="I17" s="621"/>
      <c r="J17" s="595">
        <f>'Прилож 4 24 (10)'!Z17</f>
        <v>0</v>
      </c>
      <c r="K17" s="595">
        <f>'Прилож 4 24 (10)'!AA17</f>
        <v>0</v>
      </c>
      <c r="L17" s="595">
        <f>'Прилож 4 24 (10)'!AB17</f>
        <v>0</v>
      </c>
      <c r="M17" s="596">
        <f t="shared" si="0"/>
        <v>0</v>
      </c>
      <c r="N17" s="595"/>
      <c r="O17" s="595"/>
      <c r="P17" s="595"/>
      <c r="Q17" s="621"/>
      <c r="R17" s="595"/>
      <c r="S17" s="595"/>
      <c r="T17" s="595"/>
      <c r="U17" s="999">
        <f t="shared" si="4"/>
        <v>26038.46</v>
      </c>
      <c r="V17" s="835">
        <f t="shared" si="1"/>
        <v>0</v>
      </c>
      <c r="W17" s="835">
        <f t="shared" si="2"/>
        <v>26038.46</v>
      </c>
      <c r="X17" s="835">
        <f t="shared" si="2"/>
        <v>0</v>
      </c>
      <c r="Y17" s="1000"/>
      <c r="Z17" s="835">
        <f t="shared" si="3"/>
        <v>0</v>
      </c>
      <c r="AA17" s="835">
        <f t="shared" si="3"/>
        <v>0</v>
      </c>
      <c r="AB17" s="835">
        <f t="shared" si="3"/>
        <v>0</v>
      </c>
      <c r="AC17" s="1003"/>
    </row>
    <row r="18" spans="1:29" ht="45.75" customHeight="1" x14ac:dyDescent="0.2">
      <c r="A18" s="994" t="s">
        <v>582</v>
      </c>
      <c r="B18" s="995" t="s">
        <v>691</v>
      </c>
      <c r="C18" s="996">
        <v>130</v>
      </c>
      <c r="D18" s="996">
        <v>131</v>
      </c>
      <c r="E18" s="596">
        <f>L18+K18+J18+H18+G18+F18</f>
        <v>352345.7</v>
      </c>
      <c r="F18" s="595">
        <f>'Прилож 4 24 (10)'!V18</f>
        <v>32288.760000000002</v>
      </c>
      <c r="G18" s="595">
        <f>'Прилож 4 24 (10)'!W18</f>
        <v>0</v>
      </c>
      <c r="H18" s="595">
        <f>'Прилож 4 24 (10)'!X18</f>
        <v>320056.94</v>
      </c>
      <c r="I18" s="993"/>
      <c r="J18" s="595">
        <f>'Прилож 4 24 (10)'!Z18</f>
        <v>0</v>
      </c>
      <c r="K18" s="595">
        <f>'Прилож 4 24 (10)'!AA18</f>
        <v>0</v>
      </c>
      <c r="L18" s="595">
        <f>'Прилож 4 24 (10)'!AB18</f>
        <v>0</v>
      </c>
      <c r="M18" s="997">
        <f t="shared" si="0"/>
        <v>0</v>
      </c>
      <c r="N18" s="998"/>
      <c r="O18" s="998"/>
      <c r="P18" s="998">
        <v>0</v>
      </c>
      <c r="Q18" s="619"/>
      <c r="R18" s="992"/>
      <c r="S18" s="992"/>
      <c r="T18" s="595"/>
      <c r="U18" s="999">
        <f t="shared" si="4"/>
        <v>352345.7</v>
      </c>
      <c r="V18" s="835">
        <f t="shared" si="1"/>
        <v>32288.760000000002</v>
      </c>
      <c r="W18" s="835">
        <f t="shared" si="2"/>
        <v>0</v>
      </c>
      <c r="X18" s="835">
        <f t="shared" si="2"/>
        <v>320056.94</v>
      </c>
      <c r="Y18" s="1000"/>
      <c r="Z18" s="835">
        <f t="shared" si="3"/>
        <v>0</v>
      </c>
      <c r="AA18" s="835">
        <f t="shared" si="3"/>
        <v>0</v>
      </c>
      <c r="AB18" s="835">
        <f t="shared" si="3"/>
        <v>0</v>
      </c>
      <c r="AC18" s="1003"/>
    </row>
    <row r="19" spans="1:29" ht="46.5" customHeight="1" x14ac:dyDescent="0.2">
      <c r="A19" s="618" t="s">
        <v>283</v>
      </c>
      <c r="B19" s="995" t="s">
        <v>691</v>
      </c>
      <c r="C19" s="620">
        <v>130</v>
      </c>
      <c r="D19" s="620">
        <v>131</v>
      </c>
      <c r="E19" s="596">
        <f>L19+K19+J19+H19+G19+F19</f>
        <v>80080</v>
      </c>
      <c r="F19" s="595">
        <f>'Прилож 4 24 (10)'!V19</f>
        <v>0</v>
      </c>
      <c r="G19" s="595">
        <f>'Прилож 4 24 (10)'!W19</f>
        <v>0</v>
      </c>
      <c r="H19" s="595">
        <f>'Прилож 4 24 (10)'!X19</f>
        <v>0</v>
      </c>
      <c r="I19" s="621"/>
      <c r="J19" s="595">
        <f>'Прилож 4 24 (10)'!Z19</f>
        <v>0</v>
      </c>
      <c r="K19" s="595">
        <f>'Прилож 4 24 (10)'!AA19</f>
        <v>0</v>
      </c>
      <c r="L19" s="595">
        <f>'Прилож 4 24 (10)'!AB19</f>
        <v>80080</v>
      </c>
      <c r="M19" s="596">
        <f t="shared" si="0"/>
        <v>0</v>
      </c>
      <c r="N19" s="595"/>
      <c r="O19" s="595"/>
      <c r="P19" s="595"/>
      <c r="Q19" s="621"/>
      <c r="R19" s="595"/>
      <c r="S19" s="595"/>
      <c r="T19" s="595"/>
      <c r="U19" s="999">
        <f t="shared" si="4"/>
        <v>80080</v>
      </c>
      <c r="V19" s="835">
        <f t="shared" si="1"/>
        <v>0</v>
      </c>
      <c r="W19" s="835">
        <f t="shared" si="2"/>
        <v>0</v>
      </c>
      <c r="X19" s="835">
        <f t="shared" si="2"/>
        <v>0</v>
      </c>
      <c r="Y19" s="1000"/>
      <c r="Z19" s="835">
        <f t="shared" si="3"/>
        <v>0</v>
      </c>
      <c r="AA19" s="835">
        <f t="shared" si="3"/>
        <v>0</v>
      </c>
      <c r="AB19" s="835">
        <f t="shared" si="3"/>
        <v>80080</v>
      </c>
      <c r="AC19" s="1003"/>
    </row>
    <row r="20" spans="1:29" ht="48" customHeight="1" x14ac:dyDescent="0.2">
      <c r="A20" s="618" t="s">
        <v>282</v>
      </c>
      <c r="B20" s="619" t="s">
        <v>729</v>
      </c>
      <c r="C20" s="620">
        <v>130</v>
      </c>
      <c r="D20" s="620">
        <v>134</v>
      </c>
      <c r="E20" s="596">
        <f>L20+K20+J20+H20+G20+F20</f>
        <v>1221625.97</v>
      </c>
      <c r="F20" s="595">
        <f>'Прилож 4 24 (10)'!V20</f>
        <v>0</v>
      </c>
      <c r="G20" s="595">
        <f>'Прилож 4 24 (10)'!W20</f>
        <v>0</v>
      </c>
      <c r="H20" s="595">
        <f>'Прилож 4 24 (10)'!X20</f>
        <v>0</v>
      </c>
      <c r="I20" s="621"/>
      <c r="J20" s="595">
        <f>'Прилож 4 24 (10)'!Z20</f>
        <v>0</v>
      </c>
      <c r="K20" s="595">
        <f>'Прилож 4 24 (10)'!AA20</f>
        <v>0</v>
      </c>
      <c r="L20" s="595">
        <f>'Прилож 4 24 (10)'!AB20</f>
        <v>1221625.97</v>
      </c>
      <c r="M20" s="596">
        <f t="shared" si="0"/>
        <v>0</v>
      </c>
      <c r="N20" s="595"/>
      <c r="O20" s="595"/>
      <c r="P20" s="595"/>
      <c r="Q20" s="621"/>
      <c r="R20" s="595"/>
      <c r="S20" s="595"/>
      <c r="T20" s="595"/>
      <c r="U20" s="999">
        <f t="shared" si="4"/>
        <v>1221625.97</v>
      </c>
      <c r="V20" s="835">
        <f t="shared" si="1"/>
        <v>0</v>
      </c>
      <c r="W20" s="835">
        <f t="shared" si="2"/>
        <v>0</v>
      </c>
      <c r="X20" s="835">
        <f t="shared" si="2"/>
        <v>0</v>
      </c>
      <c r="Y20" s="1000"/>
      <c r="Z20" s="835">
        <f t="shared" si="3"/>
        <v>0</v>
      </c>
      <c r="AA20" s="835">
        <f t="shared" si="3"/>
        <v>0</v>
      </c>
      <c r="AB20" s="835">
        <f t="shared" si="3"/>
        <v>1221625.97</v>
      </c>
      <c r="AC20" s="1003"/>
    </row>
    <row r="21" spans="1:29" ht="45.75" customHeight="1" x14ac:dyDescent="0.2">
      <c r="A21" s="1026" t="s">
        <v>273</v>
      </c>
      <c r="B21" s="1027" t="s">
        <v>729</v>
      </c>
      <c r="C21" s="1028">
        <v>120</v>
      </c>
      <c r="D21" s="620">
        <v>121</v>
      </c>
      <c r="E21" s="596">
        <f>L21+K21+J21+H21+G21+F21</f>
        <v>27243.4</v>
      </c>
      <c r="F21" s="595">
        <f>'Прилож 4 24 (10)'!V21</f>
        <v>0</v>
      </c>
      <c r="G21" s="595">
        <f>'Прилож 4 24 (10)'!W21</f>
        <v>0</v>
      </c>
      <c r="H21" s="595">
        <f>'Прилож 4 24 (10)'!X21</f>
        <v>0</v>
      </c>
      <c r="I21" s="621"/>
      <c r="J21" s="595">
        <f>'Прилож 4 24 (10)'!Z21</f>
        <v>0</v>
      </c>
      <c r="K21" s="595">
        <f>'Прилож 4 24 (10)'!AA21</f>
        <v>0</v>
      </c>
      <c r="L21" s="595">
        <f>'Прилож 4 24 (10)'!AB21</f>
        <v>27243.4</v>
      </c>
      <c r="M21" s="596">
        <f t="shared" si="0"/>
        <v>0</v>
      </c>
      <c r="N21" s="595"/>
      <c r="O21" s="595"/>
      <c r="P21" s="595"/>
      <c r="Q21" s="621"/>
      <c r="R21" s="595"/>
      <c r="S21" s="595"/>
      <c r="T21" s="595"/>
      <c r="U21" s="999">
        <f t="shared" si="4"/>
        <v>27243.4</v>
      </c>
      <c r="V21" s="835">
        <f t="shared" si="1"/>
        <v>0</v>
      </c>
      <c r="W21" s="835">
        <f t="shared" si="2"/>
        <v>0</v>
      </c>
      <c r="X21" s="835">
        <f t="shared" si="2"/>
        <v>0</v>
      </c>
      <c r="Y21" s="1000"/>
      <c r="Z21" s="835">
        <f t="shared" si="3"/>
        <v>0</v>
      </c>
      <c r="AA21" s="835">
        <f t="shared" si="3"/>
        <v>0</v>
      </c>
      <c r="AB21" s="835">
        <f t="shared" si="3"/>
        <v>27243.4</v>
      </c>
      <c r="AC21" s="1003"/>
    </row>
    <row r="22" spans="1:29" ht="31.5" x14ac:dyDescent="0.2">
      <c r="A22" s="618" t="s">
        <v>789</v>
      </c>
      <c r="B22" s="619" t="s">
        <v>747</v>
      </c>
      <c r="C22" s="620">
        <v>130</v>
      </c>
      <c r="D22" s="620">
        <v>131</v>
      </c>
      <c r="E22" s="596">
        <f>L22+K22+J22+H22+G22+F22</f>
        <v>964957</v>
      </c>
      <c r="F22" s="595">
        <f>'Прилож 4 24 (10)'!V22</f>
        <v>0</v>
      </c>
      <c r="G22" s="595">
        <f>'Прилож 4 24 (10)'!W22</f>
        <v>0</v>
      </c>
      <c r="H22" s="595">
        <f>'Прилож 4 24 (10)'!X22</f>
        <v>0</v>
      </c>
      <c r="I22" s="621"/>
      <c r="J22" s="595">
        <f>'Прилож 4 24 (10)'!Z22</f>
        <v>0</v>
      </c>
      <c r="K22" s="595">
        <f>'Прилож 4 24 (10)'!AA22</f>
        <v>0</v>
      </c>
      <c r="L22" s="595">
        <f>'Прилож 4 24 (10)'!AB22</f>
        <v>964957</v>
      </c>
      <c r="M22" s="596">
        <f t="shared" si="0"/>
        <v>0</v>
      </c>
      <c r="N22" s="595"/>
      <c r="O22" s="595"/>
      <c r="P22" s="595"/>
      <c r="Q22" s="621"/>
      <c r="R22" s="595"/>
      <c r="S22" s="595"/>
      <c r="T22" s="595"/>
      <c r="U22" s="999">
        <f t="shared" si="4"/>
        <v>964957</v>
      </c>
      <c r="V22" s="835">
        <f t="shared" si="1"/>
        <v>0</v>
      </c>
      <c r="W22" s="835">
        <f t="shared" si="2"/>
        <v>0</v>
      </c>
      <c r="X22" s="835">
        <f t="shared" si="2"/>
        <v>0</v>
      </c>
      <c r="Y22" s="1000"/>
      <c r="Z22" s="835">
        <f t="shared" si="3"/>
        <v>0</v>
      </c>
      <c r="AA22" s="835">
        <f t="shared" si="3"/>
        <v>0</v>
      </c>
      <c r="AB22" s="835">
        <f t="shared" si="3"/>
        <v>964957</v>
      </c>
      <c r="AC22" s="1003"/>
    </row>
    <row r="23" spans="1:29" ht="31.5" x14ac:dyDescent="0.2">
      <c r="A23" s="618" t="s">
        <v>285</v>
      </c>
      <c r="B23" s="619" t="s">
        <v>747</v>
      </c>
      <c r="C23" s="620">
        <v>140</v>
      </c>
      <c r="D23" s="620">
        <v>141</v>
      </c>
      <c r="E23" s="596"/>
      <c r="F23" s="595">
        <f>'Прилож 4 24 (10)'!V23</f>
        <v>0</v>
      </c>
      <c r="G23" s="595">
        <f>'Прилож 4 24 (10)'!W23</f>
        <v>0</v>
      </c>
      <c r="H23" s="595">
        <f>'Прилож 4 24 (10)'!X23</f>
        <v>0</v>
      </c>
      <c r="I23" s="621"/>
      <c r="J23" s="595">
        <f>'Прилож 4 24 (10)'!Z23</f>
        <v>0</v>
      </c>
      <c r="K23" s="595">
        <f>'Прилож 4 24 (10)'!AA23</f>
        <v>0</v>
      </c>
      <c r="L23" s="595">
        <f>'Прилож 4 24 (10)'!AB23</f>
        <v>10676.16</v>
      </c>
      <c r="M23" s="596">
        <f t="shared" si="0"/>
        <v>0</v>
      </c>
      <c r="N23" s="595"/>
      <c r="O23" s="595"/>
      <c r="P23" s="595"/>
      <c r="Q23" s="621"/>
      <c r="R23" s="595"/>
      <c r="S23" s="595"/>
      <c r="T23" s="595"/>
      <c r="U23" s="999">
        <f t="shared" si="4"/>
        <v>10676.16</v>
      </c>
      <c r="V23" s="835">
        <f t="shared" si="1"/>
        <v>0</v>
      </c>
      <c r="W23" s="835">
        <f t="shared" si="2"/>
        <v>0</v>
      </c>
      <c r="X23" s="835">
        <f t="shared" si="2"/>
        <v>0</v>
      </c>
      <c r="Y23" s="1000"/>
      <c r="Z23" s="835">
        <f t="shared" si="3"/>
        <v>0</v>
      </c>
      <c r="AA23" s="835">
        <f t="shared" si="3"/>
        <v>0</v>
      </c>
      <c r="AB23" s="835">
        <f t="shared" si="3"/>
        <v>10676.16</v>
      </c>
      <c r="AC23" s="1003"/>
    </row>
    <row r="24" spans="1:29" ht="111.75" customHeight="1" x14ac:dyDescent="0.2">
      <c r="A24" s="618" t="s">
        <v>1237</v>
      </c>
      <c r="B24" s="619" t="s">
        <v>747</v>
      </c>
      <c r="C24" s="620">
        <v>150</v>
      </c>
      <c r="D24" s="620">
        <v>152</v>
      </c>
      <c r="E24" s="596">
        <f>L24+K24+J24+H24+G24+F24</f>
        <v>0</v>
      </c>
      <c r="F24" s="595">
        <f>'Прилож 4 24 (10)'!V24</f>
        <v>0</v>
      </c>
      <c r="G24" s="595">
        <f>'Прилож 4 24 (10)'!W24</f>
        <v>0</v>
      </c>
      <c r="H24" s="595">
        <f>'Прилож 4 24 (10)'!X24</f>
        <v>0</v>
      </c>
      <c r="I24" s="621"/>
      <c r="J24" s="595">
        <f>'Прилож 4 24 (10)'!Z24</f>
        <v>0</v>
      </c>
      <c r="K24" s="595">
        <f>'Прилож 4 24 (10)'!AA24</f>
        <v>0</v>
      </c>
      <c r="L24" s="595">
        <f>'Прилож 4 24 (10)'!AB24</f>
        <v>0</v>
      </c>
      <c r="M24" s="596">
        <f t="shared" si="0"/>
        <v>0</v>
      </c>
      <c r="N24" s="595"/>
      <c r="O24" s="595"/>
      <c r="P24" s="595"/>
      <c r="Q24" s="621"/>
      <c r="R24" s="595"/>
      <c r="S24" s="595"/>
      <c r="T24" s="595"/>
      <c r="U24" s="999">
        <f t="shared" si="4"/>
        <v>0</v>
      </c>
      <c r="V24" s="835">
        <f t="shared" si="1"/>
        <v>0</v>
      </c>
      <c r="W24" s="835">
        <f t="shared" si="2"/>
        <v>0</v>
      </c>
      <c r="X24" s="835">
        <f t="shared" si="2"/>
        <v>0</v>
      </c>
      <c r="Y24" s="1000"/>
      <c r="Z24" s="835">
        <f t="shared" si="3"/>
        <v>0</v>
      </c>
      <c r="AA24" s="835">
        <f t="shared" si="3"/>
        <v>0</v>
      </c>
      <c r="AB24" s="835">
        <f t="shared" si="3"/>
        <v>0</v>
      </c>
      <c r="AC24" s="1003"/>
    </row>
    <row r="25" spans="1:29" ht="111.75" customHeight="1" x14ac:dyDescent="0.2">
      <c r="A25" s="618" t="s">
        <v>1321</v>
      </c>
      <c r="B25" s="619" t="s">
        <v>729</v>
      </c>
      <c r="C25" s="620">
        <v>150</v>
      </c>
      <c r="D25" s="620">
        <v>152</v>
      </c>
      <c r="E25" s="596">
        <f>L25+K25+J25+H25+G25+F25</f>
        <v>216466</v>
      </c>
      <c r="F25" s="595">
        <f>'Прилож 4 24 (10)'!V25</f>
        <v>0</v>
      </c>
      <c r="G25" s="595">
        <f>'Прилож 4 24 (10)'!W25</f>
        <v>0</v>
      </c>
      <c r="H25" s="595">
        <f>'Прилож 4 24 (10)'!X25</f>
        <v>0</v>
      </c>
      <c r="I25" s="621" t="s">
        <v>1226</v>
      </c>
      <c r="J25" s="595">
        <f>'Прилож 4 24 (10)'!Z25</f>
        <v>0</v>
      </c>
      <c r="K25" s="595">
        <f>'Прилож 4 24 (10)'!AA25</f>
        <v>216466</v>
      </c>
      <c r="L25" s="595">
        <f>'Прилож 4 24 (10)'!AB25</f>
        <v>0</v>
      </c>
      <c r="M25" s="596">
        <f t="shared" si="0"/>
        <v>0</v>
      </c>
      <c r="N25" s="595"/>
      <c r="O25" s="595"/>
      <c r="P25" s="595"/>
      <c r="Q25" s="621"/>
      <c r="R25" s="595"/>
      <c r="S25" s="595"/>
      <c r="T25" s="595"/>
      <c r="U25" s="999">
        <f t="shared" si="4"/>
        <v>216466</v>
      </c>
      <c r="V25" s="835">
        <f t="shared" si="1"/>
        <v>0</v>
      </c>
      <c r="W25" s="835">
        <f t="shared" si="2"/>
        <v>0</v>
      </c>
      <c r="X25" s="835">
        <f t="shared" si="2"/>
        <v>0</v>
      </c>
      <c r="Y25" s="1000" t="s">
        <v>1226</v>
      </c>
      <c r="Z25" s="835">
        <f t="shared" si="3"/>
        <v>0</v>
      </c>
      <c r="AA25" s="835">
        <f t="shared" si="3"/>
        <v>216466</v>
      </c>
      <c r="AB25" s="835">
        <f t="shared" si="3"/>
        <v>0</v>
      </c>
      <c r="AC25" s="1003"/>
    </row>
    <row r="26" spans="1:29" ht="99" customHeight="1" x14ac:dyDescent="0.2">
      <c r="A26" s="618" t="s">
        <v>297</v>
      </c>
      <c r="B26" s="619" t="s">
        <v>729</v>
      </c>
      <c r="C26" s="620">
        <v>150</v>
      </c>
      <c r="D26" s="620">
        <v>152</v>
      </c>
      <c r="E26" s="596">
        <f>L26+K26+J26+H26+G26+F26</f>
        <v>6254280.2499999991</v>
      </c>
      <c r="F26" s="595">
        <f>'Прилож 4 24 (10)'!V26</f>
        <v>0</v>
      </c>
      <c r="G26" s="595">
        <f>'Прилож 4 24 (10)'!W26</f>
        <v>0</v>
      </c>
      <c r="H26" s="595">
        <f>'Прилож 4 24 (10)'!X26</f>
        <v>0</v>
      </c>
      <c r="I26" s="621" t="s">
        <v>1314</v>
      </c>
      <c r="J26" s="595">
        <f>'Прилож 4 24 (10)'!Z26</f>
        <v>0</v>
      </c>
      <c r="K26" s="595">
        <f>'Прилож 4 24 (10)'!AA26</f>
        <v>6254280.2499999991</v>
      </c>
      <c r="L26" s="595">
        <f>'Прилож 4 24 (10)'!AB26</f>
        <v>0</v>
      </c>
      <c r="M26" s="596">
        <f t="shared" si="0"/>
        <v>123388.56</v>
      </c>
      <c r="N26" s="595"/>
      <c r="O26" s="595"/>
      <c r="P26" s="595"/>
      <c r="Q26" s="621" t="s">
        <v>1314</v>
      </c>
      <c r="R26" s="595"/>
      <c r="S26" s="595">
        <v>123388.56</v>
      </c>
      <c r="T26" s="595"/>
      <c r="U26" s="999">
        <f t="shared" si="4"/>
        <v>6377668.8099999987</v>
      </c>
      <c r="V26" s="835">
        <f t="shared" si="1"/>
        <v>0</v>
      </c>
      <c r="W26" s="835">
        <f t="shared" si="2"/>
        <v>0</v>
      </c>
      <c r="X26" s="835">
        <f t="shared" si="2"/>
        <v>0</v>
      </c>
      <c r="Y26" s="1000" t="s">
        <v>1314</v>
      </c>
      <c r="Z26" s="835">
        <f t="shared" si="3"/>
        <v>0</v>
      </c>
      <c r="AA26" s="835">
        <f t="shared" si="3"/>
        <v>6377668.8099999987</v>
      </c>
      <c r="AB26" s="835">
        <f t="shared" si="3"/>
        <v>0</v>
      </c>
      <c r="AC26" s="878" t="s">
        <v>1738</v>
      </c>
    </row>
    <row r="27" spans="1:29" ht="89.45" customHeight="1" x14ac:dyDescent="0.2">
      <c r="A27" s="994" t="s">
        <v>1510</v>
      </c>
      <c r="B27" s="995" t="s">
        <v>729</v>
      </c>
      <c r="C27" s="996">
        <v>150</v>
      </c>
      <c r="D27" s="996">
        <v>152</v>
      </c>
      <c r="E27" s="997"/>
      <c r="F27" s="595">
        <f>'Прилож 4 24 (10)'!V27</f>
        <v>0</v>
      </c>
      <c r="G27" s="595">
        <f>'Прилож 4 24 (10)'!W27</f>
        <v>0</v>
      </c>
      <c r="H27" s="595">
        <f>'Прилож 4 24 (10)'!X27</f>
        <v>0</v>
      </c>
      <c r="I27" s="1020" t="s">
        <v>1526</v>
      </c>
      <c r="J27" s="595">
        <f>'Прилож 4 24 (10)'!Z27</f>
        <v>0</v>
      </c>
      <c r="K27" s="595">
        <f>'Прилож 4 24 (10)'!AA27</f>
        <v>30000</v>
      </c>
      <c r="L27" s="595">
        <f>'Прилож 4 24 (10)'!AB27</f>
        <v>0</v>
      </c>
      <c r="M27" s="997">
        <f t="shared" si="0"/>
        <v>0</v>
      </c>
      <c r="N27" s="998"/>
      <c r="O27" s="998"/>
      <c r="P27" s="998"/>
      <c r="Q27" s="1020"/>
      <c r="R27" s="998"/>
      <c r="S27" s="998"/>
      <c r="T27" s="998"/>
      <c r="U27" s="876">
        <f t="shared" si="4"/>
        <v>30000</v>
      </c>
      <c r="V27" s="875">
        <f t="shared" si="1"/>
        <v>0</v>
      </c>
      <c r="W27" s="875">
        <f t="shared" si="2"/>
        <v>0</v>
      </c>
      <c r="X27" s="875">
        <f t="shared" si="2"/>
        <v>0</v>
      </c>
      <c r="Y27" s="877" t="s">
        <v>1526</v>
      </c>
      <c r="Z27" s="875">
        <f t="shared" si="3"/>
        <v>0</v>
      </c>
      <c r="AA27" s="875">
        <f t="shared" si="3"/>
        <v>30000</v>
      </c>
      <c r="AB27" s="875">
        <f t="shared" si="3"/>
        <v>0</v>
      </c>
      <c r="AC27" s="1003"/>
    </row>
    <row r="28" spans="1:29" ht="111.75" customHeight="1" x14ac:dyDescent="0.2">
      <c r="A28" s="618" t="s">
        <v>1253</v>
      </c>
      <c r="B28" s="619" t="s">
        <v>747</v>
      </c>
      <c r="C28" s="620">
        <v>150</v>
      </c>
      <c r="D28" s="620">
        <v>152</v>
      </c>
      <c r="E28" s="596">
        <f t="shared" ref="E28:E59" si="5">L28+K28+J28+H28+G28+F28</f>
        <v>4130603.32</v>
      </c>
      <c r="F28" s="595">
        <f>'Прилож 4 24 (10)'!V28</f>
        <v>0</v>
      </c>
      <c r="G28" s="595">
        <f>'Прилож 4 24 (10)'!W28</f>
        <v>0</v>
      </c>
      <c r="H28" s="595">
        <f>'Прилож 4 24 (10)'!X28</f>
        <v>0</v>
      </c>
      <c r="I28" s="621" t="s">
        <v>1322</v>
      </c>
      <c r="J28" s="595">
        <f>'Прилож 4 24 (10)'!Z28</f>
        <v>0</v>
      </c>
      <c r="K28" s="595">
        <f>'Прилож 4 24 (10)'!AA28</f>
        <v>4130603.32</v>
      </c>
      <c r="L28" s="595">
        <f>'Прилож 4 24 (10)'!AB28</f>
        <v>0</v>
      </c>
      <c r="M28" s="596">
        <f>N28+P28+S28+T28+O28</f>
        <v>-167773.81</v>
      </c>
      <c r="N28" s="595"/>
      <c r="O28" s="595"/>
      <c r="P28" s="595"/>
      <c r="Q28" s="621" t="s">
        <v>1322</v>
      </c>
      <c r="S28" s="595">
        <v>-167773.81</v>
      </c>
      <c r="T28" s="595"/>
      <c r="U28" s="999">
        <f t="shared" si="4"/>
        <v>3962829.51</v>
      </c>
      <c r="V28" s="835">
        <f t="shared" si="1"/>
        <v>0</v>
      </c>
      <c r="W28" s="835">
        <f t="shared" si="2"/>
        <v>0</v>
      </c>
      <c r="X28" s="835">
        <f t="shared" si="2"/>
        <v>0</v>
      </c>
      <c r="Y28" s="1000" t="s">
        <v>1322</v>
      </c>
      <c r="Z28" s="1045"/>
      <c r="AA28" s="835">
        <f t="shared" ref="AA28:AB31" si="6">S28+K28</f>
        <v>3962829.51</v>
      </c>
      <c r="AB28" s="835">
        <f t="shared" si="6"/>
        <v>0</v>
      </c>
      <c r="AC28" s="1003" t="s">
        <v>1737</v>
      </c>
    </row>
    <row r="29" spans="1:29" ht="32.25" customHeight="1" x14ac:dyDescent="0.2">
      <c r="A29" s="618" t="s">
        <v>581</v>
      </c>
      <c r="B29" s="619" t="s">
        <v>64</v>
      </c>
      <c r="C29" s="620">
        <v>150</v>
      </c>
      <c r="D29" s="620">
        <v>152</v>
      </c>
      <c r="E29" s="596">
        <f t="shared" si="5"/>
        <v>87037.3</v>
      </c>
      <c r="F29" s="595">
        <f>'Прилож 4 24 (10)'!V29</f>
        <v>0</v>
      </c>
      <c r="G29" s="595">
        <f>'Прилож 4 24 (10)'!W29</f>
        <v>0</v>
      </c>
      <c r="H29" s="595">
        <f>'Прилож 4 24 (10)'!X29</f>
        <v>0</v>
      </c>
      <c r="I29" s="621" t="s">
        <v>1235</v>
      </c>
      <c r="J29" s="595">
        <f>'Прилож 4 24 (10)'!Z29</f>
        <v>0</v>
      </c>
      <c r="K29" s="595">
        <f>'Прилож 4 24 (10)'!AA29</f>
        <v>87037.3</v>
      </c>
      <c r="L29" s="595">
        <f>'Прилож 4 24 (10)'!AB29</f>
        <v>0</v>
      </c>
      <c r="M29" s="596">
        <f>N29+P29+R29+S29+T29+O29</f>
        <v>0</v>
      </c>
      <c r="N29" s="595"/>
      <c r="O29" s="595"/>
      <c r="P29" s="595"/>
      <c r="Q29" s="621"/>
      <c r="R29" s="595"/>
      <c r="S29" s="595"/>
      <c r="T29" s="595"/>
      <c r="U29" s="999">
        <f t="shared" si="4"/>
        <v>87037.3</v>
      </c>
      <c r="V29" s="835">
        <f t="shared" si="1"/>
        <v>0</v>
      </c>
      <c r="W29" s="835">
        <f t="shared" si="2"/>
        <v>0</v>
      </c>
      <c r="X29" s="835">
        <f t="shared" si="2"/>
        <v>0</v>
      </c>
      <c r="Y29" s="1000" t="s">
        <v>1235</v>
      </c>
      <c r="Z29" s="835">
        <f>R29+J29</f>
        <v>0</v>
      </c>
      <c r="AA29" s="835">
        <f t="shared" si="6"/>
        <v>87037.3</v>
      </c>
      <c r="AB29" s="835">
        <f t="shared" si="6"/>
        <v>0</v>
      </c>
      <c r="AC29" s="1003"/>
    </row>
    <row r="30" spans="1:29" ht="77.25" customHeight="1" x14ac:dyDescent="0.2">
      <c r="A30" s="618" t="s">
        <v>790</v>
      </c>
      <c r="B30" s="619" t="s">
        <v>791</v>
      </c>
      <c r="C30" s="620">
        <v>130</v>
      </c>
      <c r="D30" s="620">
        <v>131</v>
      </c>
      <c r="E30" s="596">
        <f t="shared" si="5"/>
        <v>510000</v>
      </c>
      <c r="F30" s="595">
        <f>'Прилож 4 24 (10)'!V30</f>
        <v>510000</v>
      </c>
      <c r="G30" s="595">
        <f>'Прилож 4 24 (10)'!W30</f>
        <v>0</v>
      </c>
      <c r="H30" s="595">
        <f>'Прилож 4 24 (10)'!X30</f>
        <v>0</v>
      </c>
      <c r="I30" s="621"/>
      <c r="J30" s="595">
        <f>'Прилож 4 24 (10)'!Z30</f>
        <v>0</v>
      </c>
      <c r="K30" s="595">
        <f>'Прилож 4 24 (10)'!AA30</f>
        <v>0</v>
      </c>
      <c r="L30" s="595">
        <f>'Прилож 4 24 (10)'!AB30</f>
        <v>0</v>
      </c>
      <c r="M30" s="596">
        <f>N30+P30+R30+S30+T30+O30</f>
        <v>0</v>
      </c>
      <c r="N30" s="595"/>
      <c r="O30" s="595"/>
      <c r="P30" s="595"/>
      <c r="Q30" s="621"/>
      <c r="R30" s="595"/>
      <c r="S30" s="595"/>
      <c r="T30" s="595"/>
      <c r="U30" s="999">
        <f t="shared" si="4"/>
        <v>510000</v>
      </c>
      <c r="V30" s="835">
        <f t="shared" si="1"/>
        <v>510000</v>
      </c>
      <c r="W30" s="835">
        <f t="shared" si="2"/>
        <v>0</v>
      </c>
      <c r="X30" s="835">
        <f t="shared" si="2"/>
        <v>0</v>
      </c>
      <c r="Y30" s="1000"/>
      <c r="Z30" s="835">
        <f>R30+J30</f>
        <v>0</v>
      </c>
      <c r="AA30" s="835">
        <f t="shared" si="6"/>
        <v>0</v>
      </c>
      <c r="AB30" s="835">
        <f t="shared" si="6"/>
        <v>0</v>
      </c>
      <c r="AC30" s="1003"/>
    </row>
    <row r="31" spans="1:29" ht="62.25" customHeight="1" x14ac:dyDescent="0.2">
      <c r="A31" s="618" t="s">
        <v>1236</v>
      </c>
      <c r="B31" s="619" t="s">
        <v>729</v>
      </c>
      <c r="C31" s="620">
        <v>150</v>
      </c>
      <c r="D31" s="620">
        <v>152</v>
      </c>
      <c r="E31" s="596">
        <f t="shared" si="5"/>
        <v>0</v>
      </c>
      <c r="F31" s="595">
        <f>'Прилож 4 24 (10)'!V31</f>
        <v>0</v>
      </c>
      <c r="G31" s="595">
        <f>'Прилож 4 24 (10)'!W31</f>
        <v>0</v>
      </c>
      <c r="H31" s="595">
        <f>'Прилож 4 24 (10)'!X31</f>
        <v>0</v>
      </c>
      <c r="I31" s="621"/>
      <c r="J31" s="595">
        <f>'Прилож 4 24 (10)'!Z31</f>
        <v>0</v>
      </c>
      <c r="K31" s="595">
        <f>'Прилож 4 24 (10)'!AA31</f>
        <v>0</v>
      </c>
      <c r="L31" s="595">
        <f>'Прилож 4 24 (10)'!AB31</f>
        <v>0</v>
      </c>
      <c r="M31" s="596">
        <f>N31+P31+R31+S31+T31+O31</f>
        <v>0</v>
      </c>
      <c r="N31" s="595"/>
      <c r="O31" s="595"/>
      <c r="P31" s="595"/>
      <c r="Q31" s="623"/>
      <c r="R31" s="595"/>
      <c r="S31" s="595"/>
      <c r="T31" s="595"/>
      <c r="U31" s="999">
        <f t="shared" si="4"/>
        <v>0</v>
      </c>
      <c r="V31" s="835">
        <f t="shared" si="1"/>
        <v>0</v>
      </c>
      <c r="W31" s="835">
        <f t="shared" si="2"/>
        <v>0</v>
      </c>
      <c r="X31" s="835">
        <f t="shared" si="2"/>
        <v>0</v>
      </c>
      <c r="Y31" s="1000"/>
      <c r="Z31" s="835">
        <f>R31+J31</f>
        <v>0</v>
      </c>
      <c r="AA31" s="835">
        <f t="shared" si="6"/>
        <v>0</v>
      </c>
      <c r="AB31" s="835">
        <f t="shared" si="6"/>
        <v>0</v>
      </c>
      <c r="AC31" s="1003"/>
    </row>
    <row r="32" spans="1:29" ht="93" customHeight="1" x14ac:dyDescent="0.2">
      <c r="A32" s="618" t="s">
        <v>1437</v>
      </c>
      <c r="B32" s="619" t="s">
        <v>691</v>
      </c>
      <c r="C32" s="620">
        <v>150</v>
      </c>
      <c r="D32" s="620">
        <v>152</v>
      </c>
      <c r="E32" s="596">
        <f t="shared" si="5"/>
        <v>31611</v>
      </c>
      <c r="F32" s="595">
        <f>'Прилож 4 24 (10)'!V32</f>
        <v>0</v>
      </c>
      <c r="G32" s="595">
        <f>'Прилож 4 24 (10)'!W32</f>
        <v>0</v>
      </c>
      <c r="H32" s="595">
        <f>'Прилож 4 24 (10)'!X32</f>
        <v>0</v>
      </c>
      <c r="I32" s="1020" t="s">
        <v>1440</v>
      </c>
      <c r="J32" s="595">
        <f>'Прилож 4 24 (10)'!Z32</f>
        <v>0</v>
      </c>
      <c r="K32" s="595">
        <f>'Прилож 4 24 (10)'!AA32</f>
        <v>31611</v>
      </c>
      <c r="L32" s="595">
        <f>'Прилож 4 24 (10)'!AB32</f>
        <v>0</v>
      </c>
      <c r="M32" s="596">
        <f>N32+O32+P32+R32+S32+T32</f>
        <v>0</v>
      </c>
      <c r="N32" s="595"/>
      <c r="O32" s="595"/>
      <c r="P32" s="595"/>
      <c r="Q32" s="993"/>
      <c r="R32" s="595"/>
      <c r="S32" s="595"/>
      <c r="T32" s="595"/>
      <c r="U32" s="876">
        <f t="shared" si="4"/>
        <v>31611</v>
      </c>
      <c r="V32" s="835"/>
      <c r="W32" s="835"/>
      <c r="X32" s="835"/>
      <c r="Y32" s="877" t="s">
        <v>1440</v>
      </c>
      <c r="Z32" s="835"/>
      <c r="AA32" s="835">
        <v>31611</v>
      </c>
      <c r="AB32" s="835"/>
      <c r="AC32" s="1003"/>
    </row>
    <row r="33" spans="1:32" ht="49.9" customHeight="1" x14ac:dyDescent="0.2">
      <c r="A33" s="618" t="s">
        <v>285</v>
      </c>
      <c r="B33" s="619" t="s">
        <v>729</v>
      </c>
      <c r="C33" s="620">
        <v>140</v>
      </c>
      <c r="D33" s="620">
        <v>141</v>
      </c>
      <c r="E33" s="596">
        <f t="shared" si="5"/>
        <v>83764.22</v>
      </c>
      <c r="F33" s="595">
        <f>'Прилож 4 24 (10)'!V33</f>
        <v>0</v>
      </c>
      <c r="G33" s="595">
        <f>'Прилож 4 24 (10)'!W33</f>
        <v>0</v>
      </c>
      <c r="H33" s="595">
        <f>'Прилож 4 24 (10)'!X33</f>
        <v>0</v>
      </c>
      <c r="I33" s="1020"/>
      <c r="J33" s="595">
        <f>'Прилож 4 24 (10)'!Z33</f>
        <v>0</v>
      </c>
      <c r="K33" s="595">
        <f>'Прилож 4 24 (10)'!AA33</f>
        <v>0</v>
      </c>
      <c r="L33" s="595">
        <f>'Прилож 4 24 (10)'!AB33</f>
        <v>83764.22</v>
      </c>
      <c r="M33" s="596">
        <f>N33+O33+P33+R33+S33+T33</f>
        <v>0</v>
      </c>
      <c r="N33" s="595"/>
      <c r="O33" s="595"/>
      <c r="P33" s="595"/>
      <c r="Q33" s="993"/>
      <c r="R33" s="595"/>
      <c r="S33" s="595"/>
      <c r="T33" s="595"/>
      <c r="U33" s="876">
        <f>M33+E33</f>
        <v>83764.22</v>
      </c>
      <c r="V33" s="835"/>
      <c r="W33" s="835"/>
      <c r="X33" s="835"/>
      <c r="Y33" s="877"/>
      <c r="Z33" s="835"/>
      <c r="AA33" s="835"/>
      <c r="AB33" s="835">
        <f>L33+T33</f>
        <v>83764.22</v>
      </c>
      <c r="AC33" s="1003"/>
    </row>
    <row r="34" spans="1:32" ht="54" customHeight="1" x14ac:dyDescent="0.2">
      <c r="A34" s="618" t="s">
        <v>284</v>
      </c>
      <c r="B34" s="619" t="s">
        <v>691</v>
      </c>
      <c r="C34" s="620">
        <v>130</v>
      </c>
      <c r="D34" s="620">
        <v>134</v>
      </c>
      <c r="E34" s="596">
        <f t="shared" si="5"/>
        <v>1426.95</v>
      </c>
      <c r="F34" s="595">
        <f>'Прилож 4 24 (10)'!V34</f>
        <v>0</v>
      </c>
      <c r="G34" s="595">
        <f>'Прилож 4 24 (10)'!W34</f>
        <v>0</v>
      </c>
      <c r="H34" s="595">
        <f>'Прилож 4 24 (10)'!X34</f>
        <v>0</v>
      </c>
      <c r="I34" s="621"/>
      <c r="J34" s="595">
        <f>'Прилож 4 24 (10)'!Z34</f>
        <v>0</v>
      </c>
      <c r="K34" s="595">
        <f>'Прилож 4 24 (10)'!AA34</f>
        <v>0</v>
      </c>
      <c r="L34" s="595">
        <f>'Прилож 4 24 (10)'!AB34</f>
        <v>1426.95</v>
      </c>
      <c r="M34" s="876"/>
      <c r="N34" s="875"/>
      <c r="O34" s="875"/>
      <c r="P34" s="875"/>
      <c r="Q34" s="877"/>
      <c r="R34" s="875"/>
      <c r="S34" s="875"/>
      <c r="T34" s="875"/>
      <c r="U34" s="876">
        <f t="shared" si="4"/>
        <v>1426.95</v>
      </c>
      <c r="V34" s="875">
        <f t="shared" ref="V34:V51" si="7">F34+N34</f>
        <v>0</v>
      </c>
      <c r="W34" s="875">
        <f t="shared" ref="W34:X51" si="8">O34+G34</f>
        <v>0</v>
      </c>
      <c r="X34" s="875">
        <f t="shared" si="8"/>
        <v>0</v>
      </c>
      <c r="Y34" s="877"/>
      <c r="Z34" s="875">
        <f t="shared" ref="Z34:AB38" si="9">R34+J34</f>
        <v>0</v>
      </c>
      <c r="AA34" s="875">
        <f t="shared" si="9"/>
        <v>0</v>
      </c>
      <c r="AB34" s="875">
        <f t="shared" si="9"/>
        <v>1426.95</v>
      </c>
      <c r="AC34" s="878"/>
    </row>
    <row r="35" spans="1:32" s="614" customFormat="1" ht="38.25" customHeight="1" x14ac:dyDescent="0.2">
      <c r="A35" s="624" t="s">
        <v>730</v>
      </c>
      <c r="B35" s="596">
        <f>SUM(B12:B34)</f>
        <v>0</v>
      </c>
      <c r="C35" s="596"/>
      <c r="D35" s="596"/>
      <c r="E35" s="596">
        <f t="shared" si="5"/>
        <v>69214582.859999999</v>
      </c>
      <c r="F35" s="595">
        <f>'Прилож 4 24 (10)'!V35</f>
        <v>42371661.800000004</v>
      </c>
      <c r="G35" s="595">
        <f>'Прилож 4 24 (10)'!W35</f>
        <v>2315726.5499999998</v>
      </c>
      <c r="H35" s="595">
        <f>'Прилож 4 24 (10)'!X35</f>
        <v>11387422.939999999</v>
      </c>
      <c r="I35" s="596">
        <f>SUM(I12:I34)</f>
        <v>0</v>
      </c>
      <c r="J35" s="595">
        <f>'Прилож 4 24 (10)'!Z35</f>
        <v>0</v>
      </c>
      <c r="K35" s="595">
        <f>'Прилож 4 24 (10)'!AA35</f>
        <v>10749997.869999999</v>
      </c>
      <c r="L35" s="595">
        <f>'Прилож 4 24 (10)'!AB35</f>
        <v>2389773.7000000007</v>
      </c>
      <c r="M35" s="876">
        <f>SUM(M12:M34)</f>
        <v>-44385.25</v>
      </c>
      <c r="N35" s="876">
        <f>SUM(N12:N34)</f>
        <v>0</v>
      </c>
      <c r="O35" s="876">
        <f>SUM(O12:O34)</f>
        <v>0</v>
      </c>
      <c r="P35" s="876">
        <f>SUM(P12:P34)</f>
        <v>0</v>
      </c>
      <c r="Q35" s="876"/>
      <c r="R35" s="876">
        <f>SUM(R12:R34)</f>
        <v>0</v>
      </c>
      <c r="S35" s="876">
        <f>SUM(S12:S34)</f>
        <v>-44385.25</v>
      </c>
      <c r="T35" s="876">
        <f>SUM(T12:T34)</f>
        <v>0</v>
      </c>
      <c r="U35" s="876">
        <f t="shared" ref="U35:V59" si="10">E35+M35</f>
        <v>69170197.609999999</v>
      </c>
      <c r="V35" s="875">
        <f t="shared" si="7"/>
        <v>42371661.800000004</v>
      </c>
      <c r="W35" s="875">
        <f t="shared" si="8"/>
        <v>2315726.5499999998</v>
      </c>
      <c r="X35" s="875">
        <f t="shared" si="8"/>
        <v>11387422.939999999</v>
      </c>
      <c r="Y35" s="876">
        <f>SUM(Y12:Y34)</f>
        <v>0</v>
      </c>
      <c r="Z35" s="875">
        <f t="shared" si="9"/>
        <v>0</v>
      </c>
      <c r="AA35" s="875">
        <f t="shared" si="9"/>
        <v>10705612.619999999</v>
      </c>
      <c r="AB35" s="875">
        <f t="shared" si="9"/>
        <v>2389773.7000000007</v>
      </c>
      <c r="AC35" s="879"/>
      <c r="AD35" s="818">
        <f>V35+W35+X35</f>
        <v>56074811.289999999</v>
      </c>
    </row>
    <row r="36" spans="1:32" ht="35.450000000000003" customHeight="1" x14ac:dyDescent="0.2">
      <c r="A36" s="620" t="s">
        <v>731</v>
      </c>
      <c r="B36" s="619" t="s">
        <v>747</v>
      </c>
      <c r="C36" s="620">
        <v>111</v>
      </c>
      <c r="D36" s="620">
        <v>211</v>
      </c>
      <c r="E36" s="596">
        <f t="shared" si="5"/>
        <v>13904006.289999999</v>
      </c>
      <c r="F36" s="595">
        <f>'Прилож 4 24 (10)'!V36</f>
        <v>11659797.829999998</v>
      </c>
      <c r="G36" s="595">
        <f>'Прилож 4 24 (10)'!W36</f>
        <v>0</v>
      </c>
      <c r="H36" s="595">
        <f>'Прилож 4 24 (10)'!X36</f>
        <v>2244208.4600000004</v>
      </c>
      <c r="I36" s="621"/>
      <c r="J36" s="595">
        <f>'Прилож 4 24 (10)'!Z36</f>
        <v>0</v>
      </c>
      <c r="K36" s="595">
        <f>'Прилож 4 24 (10)'!AA36</f>
        <v>0</v>
      </c>
      <c r="L36" s="595">
        <f>'Прилож 4 24 (10)'!AB36</f>
        <v>0</v>
      </c>
      <c r="M36" s="876">
        <f t="shared" ref="M36:M48" si="11">N36+P36+R36+S36+T36+O36</f>
        <v>0</v>
      </c>
      <c r="N36" s="875"/>
      <c r="O36" s="875"/>
      <c r="P36" s="875"/>
      <c r="Q36" s="877"/>
      <c r="R36" s="875"/>
      <c r="S36" s="875"/>
      <c r="T36" s="875"/>
      <c r="U36" s="876">
        <f t="shared" si="10"/>
        <v>13904006.289999999</v>
      </c>
      <c r="V36" s="875">
        <f t="shared" si="7"/>
        <v>11659797.829999998</v>
      </c>
      <c r="W36" s="875">
        <f t="shared" si="8"/>
        <v>0</v>
      </c>
      <c r="X36" s="875">
        <f t="shared" si="8"/>
        <v>2244208.4600000004</v>
      </c>
      <c r="Y36" s="877"/>
      <c r="Z36" s="875">
        <f t="shared" si="9"/>
        <v>0</v>
      </c>
      <c r="AA36" s="875">
        <f t="shared" si="9"/>
        <v>0</v>
      </c>
      <c r="AB36" s="875">
        <f t="shared" si="9"/>
        <v>0</v>
      </c>
      <c r="AC36" s="878"/>
      <c r="AD36" s="820"/>
      <c r="AF36" s="820">
        <f>X36+X37+X42</f>
        <v>3003367.0600000005</v>
      </c>
    </row>
    <row r="37" spans="1:32" ht="48" customHeight="1" x14ac:dyDescent="0.2">
      <c r="A37" s="620" t="s">
        <v>731</v>
      </c>
      <c r="B37" s="619" t="s">
        <v>729</v>
      </c>
      <c r="C37" s="620">
        <v>111</v>
      </c>
      <c r="D37" s="620">
        <v>211</v>
      </c>
      <c r="E37" s="596">
        <f t="shared" si="5"/>
        <v>18519621.800000001</v>
      </c>
      <c r="F37" s="595">
        <f>'Прилож 4 24 (10)'!V37</f>
        <v>17808021.800000001</v>
      </c>
      <c r="G37" s="595">
        <f>'Прилож 4 24 (10)'!W37</f>
        <v>0</v>
      </c>
      <c r="H37" s="595">
        <f>'Прилож 4 24 (10)'!X37</f>
        <v>711600</v>
      </c>
      <c r="I37" s="621"/>
      <c r="J37" s="595">
        <f>'Прилож 4 24 (10)'!Z37</f>
        <v>0</v>
      </c>
      <c r="K37" s="595">
        <f>'Прилож 4 24 (10)'!AA37</f>
        <v>0</v>
      </c>
      <c r="L37" s="595">
        <f>'Прилож 4 24 (10)'!AB37</f>
        <v>0</v>
      </c>
      <c r="M37" s="876">
        <f t="shared" si="11"/>
        <v>0</v>
      </c>
      <c r="N37" s="875"/>
      <c r="O37" s="875"/>
      <c r="P37" s="875"/>
      <c r="Q37" s="877"/>
      <c r="R37" s="875"/>
      <c r="S37" s="875"/>
      <c r="T37" s="875"/>
      <c r="U37" s="876">
        <f t="shared" si="10"/>
        <v>18519621.800000001</v>
      </c>
      <c r="V37" s="875">
        <f t="shared" si="7"/>
        <v>17808021.800000001</v>
      </c>
      <c r="W37" s="875">
        <f t="shared" si="8"/>
        <v>0</v>
      </c>
      <c r="X37" s="875">
        <f t="shared" si="8"/>
        <v>711600</v>
      </c>
      <c r="Y37" s="877"/>
      <c r="Z37" s="875">
        <f t="shared" si="9"/>
        <v>0</v>
      </c>
      <c r="AA37" s="875">
        <f t="shared" si="9"/>
        <v>0</v>
      </c>
      <c r="AB37" s="875">
        <f t="shared" si="9"/>
        <v>0</v>
      </c>
      <c r="AC37" s="620"/>
      <c r="AD37" s="820"/>
    </row>
    <row r="38" spans="1:32" ht="46.9" customHeight="1" x14ac:dyDescent="0.2">
      <c r="A38" s="620" t="s">
        <v>731</v>
      </c>
      <c r="B38" s="619" t="s">
        <v>729</v>
      </c>
      <c r="C38" s="620">
        <v>111</v>
      </c>
      <c r="D38" s="620">
        <v>211</v>
      </c>
      <c r="E38" s="596">
        <f t="shared" si="5"/>
        <v>1576298.01</v>
      </c>
      <c r="F38" s="595">
        <f>'Прилож 4 24 (10)'!V38</f>
        <v>0</v>
      </c>
      <c r="G38" s="595">
        <f>'Прилож 4 24 (10)'!W38</f>
        <v>1576298.01</v>
      </c>
      <c r="H38" s="595">
        <f>'Прилож 4 24 (10)'!X38</f>
        <v>0</v>
      </c>
      <c r="I38" s="621"/>
      <c r="J38" s="595">
        <f>'Прилож 4 24 (10)'!Z38</f>
        <v>0</v>
      </c>
      <c r="K38" s="595">
        <f>'Прилож 4 24 (10)'!AA38</f>
        <v>0</v>
      </c>
      <c r="L38" s="595">
        <f>'Прилож 4 24 (10)'!AB38</f>
        <v>0</v>
      </c>
      <c r="M38" s="876">
        <f t="shared" si="11"/>
        <v>0</v>
      </c>
      <c r="N38" s="875"/>
      <c r="O38" s="875"/>
      <c r="P38" s="875"/>
      <c r="Q38" s="877"/>
      <c r="R38" s="875"/>
      <c r="S38" s="875"/>
      <c r="T38" s="875"/>
      <c r="U38" s="876">
        <f t="shared" si="10"/>
        <v>1576298.01</v>
      </c>
      <c r="V38" s="875">
        <f t="shared" si="7"/>
        <v>0</v>
      </c>
      <c r="W38" s="875">
        <f t="shared" si="8"/>
        <v>1576298.01</v>
      </c>
      <c r="X38" s="875">
        <f t="shared" si="8"/>
        <v>0</v>
      </c>
      <c r="Y38" s="877"/>
      <c r="Z38" s="875">
        <f t="shared" si="9"/>
        <v>0</v>
      </c>
      <c r="AA38" s="875">
        <f t="shared" si="9"/>
        <v>0</v>
      </c>
      <c r="AB38" s="875">
        <f t="shared" si="9"/>
        <v>0</v>
      </c>
      <c r="AC38" s="620"/>
      <c r="AD38" s="820"/>
    </row>
    <row r="39" spans="1:32" ht="52.5" customHeight="1" x14ac:dyDescent="0.2">
      <c r="A39" s="620" t="s">
        <v>731</v>
      </c>
      <c r="B39" s="619" t="s">
        <v>729</v>
      </c>
      <c r="C39" s="620">
        <v>111</v>
      </c>
      <c r="D39" s="620">
        <v>211</v>
      </c>
      <c r="E39" s="596">
        <f t="shared" si="5"/>
        <v>20000</v>
      </c>
      <c r="F39" s="595">
        <f>'Прилож 4 24 (10)'!V39</f>
        <v>0</v>
      </c>
      <c r="G39" s="595">
        <f>'Прилож 4 24 (10)'!W39</f>
        <v>20000</v>
      </c>
      <c r="H39" s="595">
        <f>'Прилож 4 24 (10)'!X39</f>
        <v>0</v>
      </c>
      <c r="I39" s="621"/>
      <c r="J39" s="595">
        <f>'Прилож 4 24 (10)'!Z39</f>
        <v>0</v>
      </c>
      <c r="K39" s="595">
        <f>'Прилож 4 24 (10)'!AA39</f>
        <v>0</v>
      </c>
      <c r="L39" s="595">
        <f>'Прилож 4 24 (10)'!AB39</f>
        <v>0</v>
      </c>
      <c r="M39" s="876">
        <f t="shared" si="11"/>
        <v>0</v>
      </c>
      <c r="N39" s="875"/>
      <c r="O39" s="875"/>
      <c r="P39" s="875"/>
      <c r="Q39" s="877"/>
      <c r="R39" s="875"/>
      <c r="S39" s="875"/>
      <c r="T39" s="875"/>
      <c r="U39" s="876">
        <f t="shared" si="10"/>
        <v>20000</v>
      </c>
      <c r="V39" s="875">
        <f t="shared" si="7"/>
        <v>0</v>
      </c>
      <c r="W39" s="875">
        <f t="shared" si="8"/>
        <v>20000</v>
      </c>
      <c r="X39" s="875">
        <f t="shared" si="8"/>
        <v>0</v>
      </c>
      <c r="Y39" s="877"/>
      <c r="Z39" s="875"/>
      <c r="AA39" s="875"/>
      <c r="AB39" s="875"/>
      <c r="AC39" s="878"/>
      <c r="AD39" s="820"/>
    </row>
    <row r="40" spans="1:32" x14ac:dyDescent="0.2">
      <c r="A40" s="620" t="s">
        <v>943</v>
      </c>
      <c r="B40" s="619" t="s">
        <v>729</v>
      </c>
      <c r="C40" s="620">
        <v>111</v>
      </c>
      <c r="D40" s="620">
        <v>211</v>
      </c>
      <c r="E40" s="596">
        <f t="shared" si="5"/>
        <v>272082.28000000003</v>
      </c>
      <c r="F40" s="595">
        <f>'Прилож 4 24 (10)'!V40</f>
        <v>89787.28</v>
      </c>
      <c r="G40" s="595">
        <f>'Прилож 4 24 (10)'!W40</f>
        <v>182295</v>
      </c>
      <c r="H40" s="595">
        <f>'Прилож 4 24 (10)'!X40</f>
        <v>0</v>
      </c>
      <c r="I40" s="621"/>
      <c r="J40" s="595">
        <f>'Прилож 4 24 (10)'!Z40</f>
        <v>0</v>
      </c>
      <c r="K40" s="595">
        <f>'Прилож 4 24 (10)'!AA40</f>
        <v>0</v>
      </c>
      <c r="L40" s="595">
        <f>'Прилож 4 24 (10)'!AB40</f>
        <v>0</v>
      </c>
      <c r="M40" s="876">
        <f t="shared" si="11"/>
        <v>0</v>
      </c>
      <c r="N40" s="875"/>
      <c r="O40" s="875"/>
      <c r="P40" s="875"/>
      <c r="Q40" s="877"/>
      <c r="R40" s="875"/>
      <c r="S40" s="875"/>
      <c r="T40" s="875"/>
      <c r="U40" s="876">
        <f t="shared" si="10"/>
        <v>272082.28000000003</v>
      </c>
      <c r="V40" s="875">
        <f t="shared" si="7"/>
        <v>89787.28</v>
      </c>
      <c r="W40" s="875">
        <f t="shared" si="8"/>
        <v>182295</v>
      </c>
      <c r="X40" s="875">
        <f t="shared" si="8"/>
        <v>0</v>
      </c>
      <c r="Y40" s="877"/>
      <c r="Z40" s="875">
        <f t="shared" ref="Z40:AB51" si="12">R40+J40</f>
        <v>0</v>
      </c>
      <c r="AA40" s="875">
        <f t="shared" si="12"/>
        <v>0</v>
      </c>
      <c r="AB40" s="875">
        <f t="shared" si="12"/>
        <v>0</v>
      </c>
      <c r="AC40" s="622"/>
      <c r="AD40" s="820"/>
    </row>
    <row r="41" spans="1:32" x14ac:dyDescent="0.2">
      <c r="A41" s="620" t="s">
        <v>731</v>
      </c>
      <c r="B41" s="619" t="s">
        <v>64</v>
      </c>
      <c r="C41" s="620">
        <v>111</v>
      </c>
      <c r="D41" s="620">
        <v>211</v>
      </c>
      <c r="E41" s="596">
        <f t="shared" si="5"/>
        <v>64391.3</v>
      </c>
      <c r="F41" s="595">
        <f>'Прилож 4 24 (10)'!V41</f>
        <v>0</v>
      </c>
      <c r="G41" s="595">
        <f>'Прилож 4 24 (10)'!W41</f>
        <v>0</v>
      </c>
      <c r="H41" s="595">
        <f>'Прилож 4 24 (10)'!X41</f>
        <v>0</v>
      </c>
      <c r="I41" s="621" t="s">
        <v>1235</v>
      </c>
      <c r="J41" s="595">
        <f>'Прилож 4 24 (10)'!Z41</f>
        <v>0</v>
      </c>
      <c r="K41" s="595">
        <f>'Прилож 4 24 (10)'!AA41</f>
        <v>64391.3</v>
      </c>
      <c r="L41" s="595">
        <f>'Прилож 4 24 (10)'!AB41</f>
        <v>0</v>
      </c>
      <c r="M41" s="876">
        <f t="shared" si="11"/>
        <v>0</v>
      </c>
      <c r="N41" s="875"/>
      <c r="O41" s="875"/>
      <c r="P41" s="875"/>
      <c r="Q41" s="877"/>
      <c r="R41" s="875"/>
      <c r="S41" s="875"/>
      <c r="T41" s="875"/>
      <c r="U41" s="876">
        <f t="shared" si="10"/>
        <v>64391.3</v>
      </c>
      <c r="V41" s="875">
        <f t="shared" si="7"/>
        <v>0</v>
      </c>
      <c r="W41" s="875">
        <f t="shared" si="8"/>
        <v>0</v>
      </c>
      <c r="X41" s="875">
        <f t="shared" si="8"/>
        <v>0</v>
      </c>
      <c r="Y41" s="621" t="s">
        <v>1235</v>
      </c>
      <c r="Z41" s="875">
        <f t="shared" si="12"/>
        <v>0</v>
      </c>
      <c r="AA41" s="875">
        <f t="shared" si="12"/>
        <v>64391.3</v>
      </c>
      <c r="AB41" s="875">
        <f t="shared" si="12"/>
        <v>0</v>
      </c>
      <c r="AC41" s="878"/>
      <c r="AD41" s="820"/>
    </row>
    <row r="42" spans="1:32" x14ac:dyDescent="0.2">
      <c r="A42" s="620" t="s">
        <v>731</v>
      </c>
      <c r="B42" s="619" t="s">
        <v>691</v>
      </c>
      <c r="C42" s="620">
        <v>111</v>
      </c>
      <c r="D42" s="620">
        <v>211</v>
      </c>
      <c r="E42" s="596">
        <f t="shared" si="5"/>
        <v>56017.74</v>
      </c>
      <c r="F42" s="595">
        <f>'Прилож 4 24 (10)'!V42</f>
        <v>0</v>
      </c>
      <c r="G42" s="595">
        <f>'Прилож 4 24 (10)'!W42</f>
        <v>0</v>
      </c>
      <c r="H42" s="595">
        <f>'Прилож 4 24 (10)'!X42</f>
        <v>47558.6</v>
      </c>
      <c r="I42" s="621"/>
      <c r="J42" s="595">
        <f>'Прилож 4 24 (10)'!Z42</f>
        <v>0</v>
      </c>
      <c r="K42" s="595">
        <f>'Прилож 4 24 (10)'!AA42</f>
        <v>0</v>
      </c>
      <c r="L42" s="595">
        <f>'Прилож 4 24 (10)'!AB42</f>
        <v>8459.14</v>
      </c>
      <c r="M42" s="876">
        <f t="shared" si="11"/>
        <v>0</v>
      </c>
      <c r="N42" s="875"/>
      <c r="O42" s="875"/>
      <c r="P42" s="875"/>
      <c r="Q42" s="877"/>
      <c r="R42" s="875"/>
      <c r="S42" s="875"/>
      <c r="T42" s="875"/>
      <c r="U42" s="876">
        <f t="shared" si="10"/>
        <v>56017.74</v>
      </c>
      <c r="V42" s="875">
        <f t="shared" si="7"/>
        <v>0</v>
      </c>
      <c r="W42" s="875">
        <f t="shared" si="8"/>
        <v>0</v>
      </c>
      <c r="X42" s="875">
        <f t="shared" si="8"/>
        <v>47558.6</v>
      </c>
      <c r="Y42" s="877"/>
      <c r="Z42" s="875">
        <f t="shared" si="12"/>
        <v>0</v>
      </c>
      <c r="AA42" s="875">
        <f t="shared" si="12"/>
        <v>0</v>
      </c>
      <c r="AB42" s="875">
        <f t="shared" si="12"/>
        <v>8459.14</v>
      </c>
      <c r="AC42" s="878"/>
      <c r="AD42" s="820"/>
    </row>
    <row r="43" spans="1:32" s="614" customFormat="1" x14ac:dyDescent="0.2">
      <c r="A43" s="624" t="s">
        <v>732</v>
      </c>
      <c r="B43" s="624"/>
      <c r="C43" s="624"/>
      <c r="D43" s="624"/>
      <c r="E43" s="596">
        <f t="shared" si="5"/>
        <v>34412417.420000002</v>
      </c>
      <c r="F43" s="595">
        <f>'Прилож 4 24 (10)'!V43</f>
        <v>29557606.910000004</v>
      </c>
      <c r="G43" s="595">
        <f>'Прилож 4 24 (10)'!W43</f>
        <v>1778593.0100000002</v>
      </c>
      <c r="H43" s="595">
        <f>'Прилож 4 24 (10)'!X43</f>
        <v>3003367.0600000005</v>
      </c>
      <c r="I43" s="626"/>
      <c r="J43" s="595">
        <f>'Прилож 4 24 (10)'!Z43</f>
        <v>0</v>
      </c>
      <c r="K43" s="595">
        <f>'Прилож 4 24 (10)'!AA43</f>
        <v>64391.3</v>
      </c>
      <c r="L43" s="595">
        <f>'Прилож 4 24 (10)'!AB43</f>
        <v>8459.14</v>
      </c>
      <c r="M43" s="876">
        <f t="shared" si="11"/>
        <v>0</v>
      </c>
      <c r="N43" s="876">
        <f>SUM(N36:N42)</f>
        <v>0</v>
      </c>
      <c r="O43" s="876">
        <f>SUM(O36:O42)</f>
        <v>0</v>
      </c>
      <c r="P43" s="876">
        <f>SUM(P36:P42)</f>
        <v>0</v>
      </c>
      <c r="Q43" s="881"/>
      <c r="R43" s="876"/>
      <c r="S43" s="876"/>
      <c r="T43" s="876"/>
      <c r="U43" s="876">
        <f t="shared" si="10"/>
        <v>34412417.420000002</v>
      </c>
      <c r="V43" s="875">
        <f t="shared" si="7"/>
        <v>29557606.910000004</v>
      </c>
      <c r="W43" s="875">
        <f t="shared" si="8"/>
        <v>1778593.0100000002</v>
      </c>
      <c r="X43" s="875">
        <f t="shared" si="8"/>
        <v>3003367.0600000005</v>
      </c>
      <c r="Y43" s="881"/>
      <c r="Z43" s="875">
        <f t="shared" si="12"/>
        <v>0</v>
      </c>
      <c r="AA43" s="875">
        <f t="shared" si="12"/>
        <v>64391.3</v>
      </c>
      <c r="AB43" s="875">
        <f t="shared" si="12"/>
        <v>8459.14</v>
      </c>
      <c r="AC43" s="879"/>
      <c r="AD43" s="820"/>
    </row>
    <row r="44" spans="1:32" s="614" customFormat="1" ht="45" customHeight="1" x14ac:dyDescent="0.2">
      <c r="A44" s="618" t="s">
        <v>1339</v>
      </c>
      <c r="B44" s="620">
        <v>701</v>
      </c>
      <c r="C44" s="620">
        <v>321</v>
      </c>
      <c r="D44" s="620">
        <v>264</v>
      </c>
      <c r="E44" s="596">
        <f t="shared" si="5"/>
        <v>88171.02</v>
      </c>
      <c r="F44" s="595">
        <f>'Прилож 4 24 (10)'!V44</f>
        <v>88171.02</v>
      </c>
      <c r="G44" s="595">
        <f>'Прилож 4 24 (10)'!W44</f>
        <v>0</v>
      </c>
      <c r="H44" s="595">
        <f>'Прилож 4 24 (10)'!X44</f>
        <v>0</v>
      </c>
      <c r="I44" s="625"/>
      <c r="J44" s="595">
        <f>'Прилож 4 24 (10)'!Z44</f>
        <v>0</v>
      </c>
      <c r="K44" s="595">
        <f>'Прилож 4 24 (10)'!AA44</f>
        <v>0</v>
      </c>
      <c r="L44" s="595">
        <f>'Прилож 4 24 (10)'!AB44</f>
        <v>0</v>
      </c>
      <c r="M44" s="876">
        <f t="shared" si="11"/>
        <v>0</v>
      </c>
      <c r="N44" s="875"/>
      <c r="O44" s="875"/>
      <c r="P44" s="875"/>
      <c r="Q44" s="882"/>
      <c r="R44" s="875"/>
      <c r="S44" s="875"/>
      <c r="T44" s="875"/>
      <c r="U44" s="876">
        <f t="shared" si="10"/>
        <v>88171.02</v>
      </c>
      <c r="V44" s="875">
        <f t="shared" si="7"/>
        <v>88171.02</v>
      </c>
      <c r="W44" s="875">
        <f t="shared" si="8"/>
        <v>0</v>
      </c>
      <c r="X44" s="875">
        <f t="shared" si="8"/>
        <v>0</v>
      </c>
      <c r="Y44" s="882"/>
      <c r="Z44" s="875">
        <f t="shared" si="12"/>
        <v>0</v>
      </c>
      <c r="AA44" s="875">
        <f t="shared" si="12"/>
        <v>0</v>
      </c>
      <c r="AB44" s="875">
        <f t="shared" si="12"/>
        <v>0</v>
      </c>
      <c r="AC44" s="878"/>
      <c r="AD44" s="820"/>
    </row>
    <row r="45" spans="1:32" s="614" customFormat="1" x14ac:dyDescent="0.2">
      <c r="A45" s="624" t="s">
        <v>1342</v>
      </c>
      <c r="B45" s="624"/>
      <c r="C45" s="624"/>
      <c r="D45" s="624"/>
      <c r="E45" s="596">
        <f t="shared" si="5"/>
        <v>88171.02</v>
      </c>
      <c r="F45" s="595">
        <f>'Прилож 4 24 (10)'!V45</f>
        <v>88171.02</v>
      </c>
      <c r="G45" s="595">
        <f>'Прилож 4 24 (10)'!W45</f>
        <v>0</v>
      </c>
      <c r="H45" s="595">
        <f>'Прилож 4 24 (10)'!X45</f>
        <v>0</v>
      </c>
      <c r="I45" s="626"/>
      <c r="J45" s="595">
        <f>'Прилож 4 24 (10)'!Z45</f>
        <v>0</v>
      </c>
      <c r="K45" s="595">
        <f>'Прилож 4 24 (10)'!AA45</f>
        <v>0</v>
      </c>
      <c r="L45" s="595">
        <f>'Прилож 4 24 (10)'!AB45</f>
        <v>0</v>
      </c>
      <c r="M45" s="876">
        <f t="shared" si="11"/>
        <v>0</v>
      </c>
      <c r="N45" s="876"/>
      <c r="O45" s="876"/>
      <c r="P45" s="876"/>
      <c r="Q45" s="881"/>
      <c r="R45" s="876"/>
      <c r="S45" s="876"/>
      <c r="T45" s="876"/>
      <c r="U45" s="876">
        <f t="shared" si="10"/>
        <v>88171.02</v>
      </c>
      <c r="V45" s="875">
        <f t="shared" si="7"/>
        <v>88171.02</v>
      </c>
      <c r="W45" s="875">
        <f t="shared" si="8"/>
        <v>0</v>
      </c>
      <c r="X45" s="875">
        <f t="shared" si="8"/>
        <v>0</v>
      </c>
      <c r="Y45" s="881"/>
      <c r="Z45" s="875">
        <f t="shared" si="12"/>
        <v>0</v>
      </c>
      <c r="AA45" s="875">
        <f t="shared" si="12"/>
        <v>0</v>
      </c>
      <c r="AB45" s="875">
        <f t="shared" si="12"/>
        <v>0</v>
      </c>
      <c r="AC45" s="879"/>
      <c r="AD45" s="820"/>
    </row>
    <row r="46" spans="1:32" ht="58.5" customHeight="1" x14ac:dyDescent="0.2">
      <c r="A46" s="618" t="s">
        <v>845</v>
      </c>
      <c r="B46" s="619" t="s">
        <v>747</v>
      </c>
      <c r="C46" s="620">
        <v>111</v>
      </c>
      <c r="D46" s="620">
        <v>266</v>
      </c>
      <c r="E46" s="596">
        <f t="shared" si="5"/>
        <v>130000</v>
      </c>
      <c r="F46" s="595">
        <f>'Прилож 4 24 (10)'!V46</f>
        <v>130000</v>
      </c>
      <c r="G46" s="595">
        <f>'Прилож 4 24 (10)'!W46</f>
        <v>0</v>
      </c>
      <c r="H46" s="595">
        <f>'Прилож 4 24 (10)'!X46</f>
        <v>0</v>
      </c>
      <c r="I46" s="621"/>
      <c r="J46" s="595">
        <f>'Прилож 4 24 (10)'!Z46</f>
        <v>0</v>
      </c>
      <c r="K46" s="595">
        <f>'Прилож 4 24 (10)'!AA46</f>
        <v>0</v>
      </c>
      <c r="L46" s="595">
        <f>'Прилож 4 24 (10)'!AB46</f>
        <v>0</v>
      </c>
      <c r="M46" s="876">
        <f t="shared" si="11"/>
        <v>0</v>
      </c>
      <c r="N46" s="875"/>
      <c r="O46" s="875"/>
      <c r="P46" s="875"/>
      <c r="Q46" s="877"/>
      <c r="R46" s="875"/>
      <c r="S46" s="875"/>
      <c r="T46" s="875"/>
      <c r="U46" s="876">
        <f t="shared" si="10"/>
        <v>130000</v>
      </c>
      <c r="V46" s="875">
        <f t="shared" si="7"/>
        <v>130000</v>
      </c>
      <c r="W46" s="875">
        <f t="shared" si="8"/>
        <v>0</v>
      </c>
      <c r="X46" s="875">
        <f t="shared" si="8"/>
        <v>0</v>
      </c>
      <c r="Y46" s="877"/>
      <c r="Z46" s="875">
        <f t="shared" si="12"/>
        <v>0</v>
      </c>
      <c r="AA46" s="875">
        <f t="shared" si="12"/>
        <v>0</v>
      </c>
      <c r="AB46" s="875">
        <f t="shared" si="12"/>
        <v>0</v>
      </c>
      <c r="AC46" s="878"/>
    </row>
    <row r="47" spans="1:32" ht="51.75" customHeight="1" x14ac:dyDescent="0.2">
      <c r="A47" s="618" t="s">
        <v>845</v>
      </c>
      <c r="B47" s="619" t="s">
        <v>729</v>
      </c>
      <c r="C47" s="620">
        <v>111</v>
      </c>
      <c r="D47" s="620">
        <v>266</v>
      </c>
      <c r="E47" s="596">
        <f t="shared" si="5"/>
        <v>80000</v>
      </c>
      <c r="F47" s="595">
        <f>'Прилож 4 24 (10)'!V47</f>
        <v>80000</v>
      </c>
      <c r="G47" s="595">
        <f>'Прилож 4 24 (10)'!W47</f>
        <v>0</v>
      </c>
      <c r="H47" s="595">
        <f>'Прилож 4 24 (10)'!X47</f>
        <v>0</v>
      </c>
      <c r="I47" s="621"/>
      <c r="J47" s="595">
        <f>'Прилож 4 24 (10)'!Z47</f>
        <v>0</v>
      </c>
      <c r="K47" s="595">
        <f>'Прилож 4 24 (10)'!AA47</f>
        <v>0</v>
      </c>
      <c r="L47" s="595">
        <f>'Прилож 4 24 (10)'!AB47</f>
        <v>0</v>
      </c>
      <c r="M47" s="876">
        <f t="shared" si="11"/>
        <v>0</v>
      </c>
      <c r="N47" s="875"/>
      <c r="O47" s="875"/>
      <c r="P47" s="875"/>
      <c r="Q47" s="877"/>
      <c r="R47" s="875"/>
      <c r="S47" s="875"/>
      <c r="T47" s="875"/>
      <c r="U47" s="876">
        <f t="shared" si="10"/>
        <v>80000</v>
      </c>
      <c r="V47" s="875">
        <f t="shared" si="7"/>
        <v>80000</v>
      </c>
      <c r="W47" s="875">
        <f t="shared" si="8"/>
        <v>0</v>
      </c>
      <c r="X47" s="875">
        <f t="shared" si="8"/>
        <v>0</v>
      </c>
      <c r="Y47" s="877"/>
      <c r="Z47" s="875">
        <f t="shared" si="12"/>
        <v>0</v>
      </c>
      <c r="AA47" s="875">
        <f t="shared" si="12"/>
        <v>0</v>
      </c>
      <c r="AB47" s="875">
        <f t="shared" si="12"/>
        <v>0</v>
      </c>
      <c r="AC47" s="878"/>
    </row>
    <row r="48" spans="1:32" s="614" customFormat="1" x14ac:dyDescent="0.2">
      <c r="A48" s="624" t="s">
        <v>847</v>
      </c>
      <c r="B48" s="624"/>
      <c r="C48" s="624"/>
      <c r="D48" s="624"/>
      <c r="E48" s="596">
        <f t="shared" si="5"/>
        <v>210000</v>
      </c>
      <c r="F48" s="595">
        <f>'Прилож 4 24 (10)'!V48</f>
        <v>210000</v>
      </c>
      <c r="G48" s="595">
        <f>'Прилож 4 24 (10)'!W48</f>
        <v>0</v>
      </c>
      <c r="H48" s="595">
        <f>'Прилож 4 24 (10)'!X48</f>
        <v>0</v>
      </c>
      <c r="I48" s="626"/>
      <c r="J48" s="595">
        <f>'Прилож 4 24 (10)'!Z48</f>
        <v>0</v>
      </c>
      <c r="K48" s="595">
        <f>'Прилож 4 24 (10)'!AA48</f>
        <v>0</v>
      </c>
      <c r="L48" s="595">
        <f>'Прилож 4 24 (10)'!AB48</f>
        <v>0</v>
      </c>
      <c r="M48" s="876">
        <f t="shared" si="11"/>
        <v>0</v>
      </c>
      <c r="N48" s="876">
        <f>SUM(N46:N47)</f>
        <v>0</v>
      </c>
      <c r="O48" s="876"/>
      <c r="P48" s="876"/>
      <c r="Q48" s="881"/>
      <c r="R48" s="876"/>
      <c r="S48" s="876"/>
      <c r="T48" s="876"/>
      <c r="U48" s="876">
        <f t="shared" si="10"/>
        <v>210000</v>
      </c>
      <c r="V48" s="875">
        <f t="shared" si="7"/>
        <v>210000</v>
      </c>
      <c r="W48" s="875">
        <f t="shared" si="8"/>
        <v>0</v>
      </c>
      <c r="X48" s="875">
        <f t="shared" si="8"/>
        <v>0</v>
      </c>
      <c r="Y48" s="881"/>
      <c r="Z48" s="875">
        <f t="shared" si="12"/>
        <v>0</v>
      </c>
      <c r="AA48" s="875">
        <f t="shared" si="12"/>
        <v>0</v>
      </c>
      <c r="AB48" s="875">
        <f t="shared" si="12"/>
        <v>0</v>
      </c>
      <c r="AC48" s="879"/>
    </row>
    <row r="49" spans="1:30" ht="58.5" customHeight="1" x14ac:dyDescent="0.2">
      <c r="A49" s="618" t="s">
        <v>1270</v>
      </c>
      <c r="B49" s="619" t="s">
        <v>691</v>
      </c>
      <c r="C49" s="620">
        <v>112</v>
      </c>
      <c r="D49" s="620">
        <v>222</v>
      </c>
      <c r="E49" s="596">
        <f t="shared" si="5"/>
        <v>0</v>
      </c>
      <c r="F49" s="595">
        <f>'Прилож 4 24 (10)'!V49</f>
        <v>0</v>
      </c>
      <c r="G49" s="595">
        <f>'Прилож 4 24 (10)'!W49</f>
        <v>0</v>
      </c>
      <c r="H49" s="595">
        <f>'Прилож 4 24 (10)'!X49</f>
        <v>0</v>
      </c>
      <c r="I49" s="621"/>
      <c r="J49" s="595">
        <f>'Прилож 4 24 (10)'!Z49</f>
        <v>0</v>
      </c>
      <c r="K49" s="595">
        <f>'Прилож 4 24 (10)'!AA49</f>
        <v>0</v>
      </c>
      <c r="L49" s="595">
        <f>'Прилож 4 24 (10)'!AB49</f>
        <v>0</v>
      </c>
      <c r="M49" s="876"/>
      <c r="N49" s="875"/>
      <c r="O49" s="875"/>
      <c r="P49" s="875"/>
      <c r="Q49" s="877"/>
      <c r="R49" s="875"/>
      <c r="S49" s="875"/>
      <c r="T49" s="875"/>
      <c r="U49" s="876">
        <f t="shared" si="10"/>
        <v>0</v>
      </c>
      <c r="V49" s="875">
        <f t="shared" si="7"/>
        <v>0</v>
      </c>
      <c r="W49" s="875">
        <f t="shared" si="8"/>
        <v>0</v>
      </c>
      <c r="X49" s="875">
        <f t="shared" si="8"/>
        <v>0</v>
      </c>
      <c r="Y49" s="877"/>
      <c r="Z49" s="875">
        <f t="shared" si="12"/>
        <v>0</v>
      </c>
      <c r="AA49" s="875">
        <f t="shared" si="12"/>
        <v>0</v>
      </c>
      <c r="AB49" s="875">
        <f t="shared" si="12"/>
        <v>0</v>
      </c>
      <c r="AC49" s="878"/>
    </row>
    <row r="50" spans="1:30" s="614" customFormat="1" x14ac:dyDescent="0.2">
      <c r="A50" s="624" t="s">
        <v>1264</v>
      </c>
      <c r="B50" s="624"/>
      <c r="C50" s="624"/>
      <c r="D50" s="624"/>
      <c r="E50" s="596">
        <f t="shared" si="5"/>
        <v>0</v>
      </c>
      <c r="F50" s="595">
        <f>'Прилож 4 24 (10)'!V50</f>
        <v>0</v>
      </c>
      <c r="G50" s="595">
        <f>'Прилож 4 24 (10)'!W50</f>
        <v>0</v>
      </c>
      <c r="H50" s="595">
        <f>'Прилож 4 24 (10)'!X50</f>
        <v>0</v>
      </c>
      <c r="I50" s="626"/>
      <c r="J50" s="595">
        <f>'Прилож 4 24 (10)'!Z50</f>
        <v>0</v>
      </c>
      <c r="K50" s="595">
        <f>'Прилож 4 24 (10)'!AA50</f>
        <v>0</v>
      </c>
      <c r="L50" s="595">
        <f>'Прилож 4 24 (10)'!AB50</f>
        <v>0</v>
      </c>
      <c r="M50" s="876">
        <f>N50+P50+R50+S50+T50+O50</f>
        <v>0</v>
      </c>
      <c r="N50" s="876"/>
      <c r="O50" s="876"/>
      <c r="P50" s="876">
        <f>SUM(P49)</f>
        <v>0</v>
      </c>
      <c r="Q50" s="881"/>
      <c r="R50" s="876"/>
      <c r="S50" s="876">
        <f>SUM(S49)</f>
        <v>0</v>
      </c>
      <c r="T50" s="876">
        <f>SUM(T49)</f>
        <v>0</v>
      </c>
      <c r="U50" s="876">
        <f t="shared" si="10"/>
        <v>0</v>
      </c>
      <c r="V50" s="875">
        <f t="shared" si="7"/>
        <v>0</v>
      </c>
      <c r="W50" s="875">
        <f t="shared" si="8"/>
        <v>0</v>
      </c>
      <c r="X50" s="875">
        <f t="shared" si="8"/>
        <v>0</v>
      </c>
      <c r="Y50" s="881"/>
      <c r="Z50" s="875">
        <f t="shared" si="12"/>
        <v>0</v>
      </c>
      <c r="AA50" s="875">
        <f t="shared" si="12"/>
        <v>0</v>
      </c>
      <c r="AB50" s="875">
        <f t="shared" si="12"/>
        <v>0</v>
      </c>
      <c r="AC50" s="879"/>
    </row>
    <row r="51" spans="1:30" s="614" customFormat="1" ht="69.75" customHeight="1" x14ac:dyDescent="0.2">
      <c r="A51" s="994" t="s">
        <v>1515</v>
      </c>
      <c r="B51" s="995" t="s">
        <v>729</v>
      </c>
      <c r="C51" s="996">
        <v>112</v>
      </c>
      <c r="D51" s="996">
        <v>214</v>
      </c>
      <c r="E51" s="596">
        <f t="shared" si="5"/>
        <v>30000</v>
      </c>
      <c r="F51" s="595">
        <f>'Прилож 4 24 (10)'!V51</f>
        <v>0</v>
      </c>
      <c r="G51" s="595">
        <f>'Прилож 4 24 (10)'!W51</f>
        <v>0</v>
      </c>
      <c r="H51" s="595">
        <f>'Прилож 4 24 (10)'!X51</f>
        <v>0</v>
      </c>
      <c r="I51" s="877" t="s">
        <v>1526</v>
      </c>
      <c r="J51" s="595">
        <f>'Прилож 4 24 (10)'!Z51</f>
        <v>0</v>
      </c>
      <c r="K51" s="595">
        <f>'Прилож 4 24 (10)'!AA51</f>
        <v>30000</v>
      </c>
      <c r="L51" s="595">
        <f>'Прилож 4 24 (10)'!AB51</f>
        <v>0</v>
      </c>
      <c r="M51" s="876">
        <f>N51+P51+R51+S51+T51+O51</f>
        <v>0</v>
      </c>
      <c r="N51" s="875"/>
      <c r="O51" s="875"/>
      <c r="P51" s="875"/>
      <c r="Q51" s="877"/>
      <c r="R51" s="875"/>
      <c r="S51" s="875"/>
      <c r="T51" s="875"/>
      <c r="U51" s="876">
        <f t="shared" si="10"/>
        <v>30000</v>
      </c>
      <c r="V51" s="875">
        <f t="shared" si="7"/>
        <v>0</v>
      </c>
      <c r="W51" s="875">
        <f t="shared" si="8"/>
        <v>0</v>
      </c>
      <c r="X51" s="875">
        <f t="shared" si="8"/>
        <v>0</v>
      </c>
      <c r="Y51" s="877" t="s">
        <v>1526</v>
      </c>
      <c r="Z51" s="875">
        <f t="shared" si="12"/>
        <v>0</v>
      </c>
      <c r="AA51" s="875">
        <f t="shared" si="12"/>
        <v>30000</v>
      </c>
      <c r="AB51" s="875">
        <f t="shared" si="12"/>
        <v>0</v>
      </c>
      <c r="AC51" s="878"/>
    </row>
    <row r="52" spans="1:30" s="614" customFormat="1" x14ac:dyDescent="0.2">
      <c r="A52" s="1082" t="s">
        <v>1530</v>
      </c>
      <c r="B52" s="995"/>
      <c r="C52" s="996"/>
      <c r="D52" s="996"/>
      <c r="E52" s="596">
        <f t="shared" si="5"/>
        <v>30000</v>
      </c>
      <c r="F52" s="595">
        <f>'Прилож 4 24 (10)'!V52</f>
        <v>0</v>
      </c>
      <c r="G52" s="595">
        <f>'Прилож 4 24 (10)'!W52</f>
        <v>0</v>
      </c>
      <c r="H52" s="595">
        <f>'Прилож 4 24 (10)'!X52</f>
        <v>0</v>
      </c>
      <c r="I52" s="1081"/>
      <c r="J52" s="595">
        <f>'Прилож 4 24 (10)'!Z52</f>
        <v>0</v>
      </c>
      <c r="K52" s="595">
        <f>'Прилож 4 24 (10)'!AA52</f>
        <v>30000</v>
      </c>
      <c r="L52" s="595">
        <f>'Прилож 4 24 (10)'!AB52</f>
        <v>0</v>
      </c>
      <c r="M52" s="876">
        <f>N52+O52+P52+R52+S52+T52</f>
        <v>0</v>
      </c>
      <c r="N52" s="875"/>
      <c r="O52" s="875"/>
      <c r="P52" s="875"/>
      <c r="Q52" s="877"/>
      <c r="R52" s="875"/>
      <c r="S52" s="875">
        <f>SUM(S51)</f>
        <v>0</v>
      </c>
      <c r="T52" s="875"/>
      <c r="U52" s="876">
        <f t="shared" si="10"/>
        <v>30000</v>
      </c>
      <c r="V52" s="875"/>
      <c r="W52" s="875"/>
      <c r="X52" s="875"/>
      <c r="Y52" s="883"/>
      <c r="Z52" s="875"/>
      <c r="AA52" s="875">
        <f>SUM(AA51)</f>
        <v>30000</v>
      </c>
      <c r="AB52" s="875"/>
      <c r="AC52" s="878"/>
    </row>
    <row r="53" spans="1:30" s="614" customFormat="1" ht="63" x14ac:dyDescent="0.2">
      <c r="A53" s="618" t="s">
        <v>748</v>
      </c>
      <c r="B53" s="619" t="s">
        <v>747</v>
      </c>
      <c r="C53" s="620">
        <v>119</v>
      </c>
      <c r="D53" s="620">
        <v>213</v>
      </c>
      <c r="E53" s="596">
        <f t="shared" si="5"/>
        <v>4199009.9000000004</v>
      </c>
      <c r="F53" s="595">
        <f>'Прилож 4 24 (10)'!V53</f>
        <v>3521258.95</v>
      </c>
      <c r="G53" s="595">
        <f>'Прилож 4 24 (10)'!W53</f>
        <v>0</v>
      </c>
      <c r="H53" s="595">
        <f>'Прилож 4 24 (10)'!X53</f>
        <v>677750.95</v>
      </c>
      <c r="I53" s="628"/>
      <c r="J53" s="595">
        <f>'Прилож 4 24 (10)'!Z53</f>
        <v>0</v>
      </c>
      <c r="K53" s="595">
        <f>'Прилож 4 24 (10)'!AA53</f>
        <v>0</v>
      </c>
      <c r="L53" s="595">
        <f>'Прилож 4 24 (10)'!AB53</f>
        <v>0</v>
      </c>
      <c r="M53" s="876">
        <f t="shared" ref="M53:M116" si="13">N53+P53+R53+S53+T53+O53</f>
        <v>0</v>
      </c>
      <c r="N53" s="875"/>
      <c r="O53" s="875"/>
      <c r="P53" s="875"/>
      <c r="Q53" s="883"/>
      <c r="R53" s="875"/>
      <c r="S53" s="875"/>
      <c r="T53" s="875"/>
      <c r="U53" s="876">
        <f t="shared" si="10"/>
        <v>4199009.9000000004</v>
      </c>
      <c r="V53" s="875">
        <f t="shared" si="10"/>
        <v>3521258.95</v>
      </c>
      <c r="W53" s="875">
        <f t="shared" ref="W53:X84" si="14">O53+G53</f>
        <v>0</v>
      </c>
      <c r="X53" s="875">
        <f t="shared" si="14"/>
        <v>677750.95</v>
      </c>
      <c r="Y53" s="883"/>
      <c r="Z53" s="875">
        <f t="shared" ref="Z53:AB84" si="15">R53+J53</f>
        <v>0</v>
      </c>
      <c r="AA53" s="875">
        <f t="shared" si="15"/>
        <v>0</v>
      </c>
      <c r="AB53" s="875">
        <f t="shared" si="15"/>
        <v>0</v>
      </c>
      <c r="AC53" s="878"/>
    </row>
    <row r="54" spans="1:30" s="614" customFormat="1" ht="63" x14ac:dyDescent="0.2">
      <c r="A54" s="618" t="s">
        <v>748</v>
      </c>
      <c r="B54" s="619" t="s">
        <v>729</v>
      </c>
      <c r="C54" s="620">
        <v>119</v>
      </c>
      <c r="D54" s="620">
        <v>213</v>
      </c>
      <c r="E54" s="596">
        <f t="shared" si="5"/>
        <v>5592922.5800000001</v>
      </c>
      <c r="F54" s="595">
        <f>'Прилож 4 24 (10)'!V54</f>
        <v>5378022.5800000001</v>
      </c>
      <c r="G54" s="595">
        <f>'Прилож 4 24 (10)'!W54</f>
        <v>0</v>
      </c>
      <c r="H54" s="595">
        <f>'Прилож 4 24 (10)'!X54</f>
        <v>214900</v>
      </c>
      <c r="I54" s="628"/>
      <c r="J54" s="595">
        <f>'Прилож 4 24 (10)'!Z54</f>
        <v>0</v>
      </c>
      <c r="K54" s="595">
        <f>'Прилож 4 24 (10)'!AA54</f>
        <v>0</v>
      </c>
      <c r="L54" s="595">
        <f>'Прилож 4 24 (10)'!AB54</f>
        <v>0</v>
      </c>
      <c r="M54" s="876">
        <f t="shared" si="13"/>
        <v>0</v>
      </c>
      <c r="N54" s="875"/>
      <c r="O54" s="875"/>
      <c r="P54" s="875"/>
      <c r="Q54" s="883"/>
      <c r="R54" s="875"/>
      <c r="S54" s="875"/>
      <c r="T54" s="875"/>
      <c r="U54" s="876">
        <f t="shared" si="10"/>
        <v>5592922.5800000001</v>
      </c>
      <c r="V54" s="875">
        <f t="shared" si="10"/>
        <v>5378022.5800000001</v>
      </c>
      <c r="W54" s="875">
        <f t="shared" si="14"/>
        <v>0</v>
      </c>
      <c r="X54" s="875">
        <f t="shared" si="14"/>
        <v>214900</v>
      </c>
      <c r="Y54" s="883"/>
      <c r="Z54" s="875">
        <f t="shared" si="15"/>
        <v>0</v>
      </c>
      <c r="AA54" s="875">
        <f t="shared" si="15"/>
        <v>0</v>
      </c>
      <c r="AB54" s="875">
        <f t="shared" si="15"/>
        <v>0</v>
      </c>
      <c r="AC54" s="624"/>
    </row>
    <row r="55" spans="1:30" s="614" customFormat="1" ht="63" x14ac:dyDescent="0.2">
      <c r="A55" s="618" t="s">
        <v>748</v>
      </c>
      <c r="B55" s="619" t="s">
        <v>729</v>
      </c>
      <c r="C55" s="620">
        <v>119</v>
      </c>
      <c r="D55" s="620">
        <v>213</v>
      </c>
      <c r="E55" s="596">
        <f t="shared" si="5"/>
        <v>476041.99</v>
      </c>
      <c r="F55" s="595">
        <f>'Прилож 4 24 (10)'!V55</f>
        <v>0</v>
      </c>
      <c r="G55" s="595">
        <f>'Прилож 4 24 (10)'!W55</f>
        <v>476041.99</v>
      </c>
      <c r="H55" s="595">
        <f>'Прилож 4 24 (10)'!X55</f>
        <v>0</v>
      </c>
      <c r="I55" s="628"/>
      <c r="J55" s="595">
        <f>'Прилож 4 24 (10)'!Z55</f>
        <v>0</v>
      </c>
      <c r="K55" s="595">
        <f>'Прилож 4 24 (10)'!AA55</f>
        <v>0</v>
      </c>
      <c r="L55" s="595">
        <f>'Прилож 4 24 (10)'!AB55</f>
        <v>0</v>
      </c>
      <c r="M55" s="876">
        <f t="shared" si="13"/>
        <v>0</v>
      </c>
      <c r="N55" s="875"/>
      <c r="O55" s="875"/>
      <c r="P55" s="875"/>
      <c r="Q55" s="883"/>
      <c r="R55" s="875"/>
      <c r="S55" s="875"/>
      <c r="T55" s="875"/>
      <c r="U55" s="876">
        <f t="shared" si="10"/>
        <v>476041.99</v>
      </c>
      <c r="V55" s="875">
        <f t="shared" si="10"/>
        <v>0</v>
      </c>
      <c r="W55" s="875">
        <f t="shared" si="14"/>
        <v>476041.99</v>
      </c>
      <c r="X55" s="875">
        <f t="shared" si="14"/>
        <v>0</v>
      </c>
      <c r="Y55" s="883"/>
      <c r="Z55" s="875">
        <f t="shared" si="15"/>
        <v>0</v>
      </c>
      <c r="AA55" s="875">
        <f t="shared" si="15"/>
        <v>0</v>
      </c>
      <c r="AB55" s="875">
        <f t="shared" si="15"/>
        <v>0</v>
      </c>
      <c r="AC55" s="624"/>
    </row>
    <row r="56" spans="1:30" s="614" customFormat="1" ht="63" x14ac:dyDescent="0.2">
      <c r="A56" s="618" t="s">
        <v>944</v>
      </c>
      <c r="B56" s="619" t="s">
        <v>729</v>
      </c>
      <c r="C56" s="620">
        <v>119</v>
      </c>
      <c r="D56" s="620">
        <v>213</v>
      </c>
      <c r="E56" s="596">
        <f t="shared" si="5"/>
        <v>82168.849999999991</v>
      </c>
      <c r="F56" s="595">
        <f>'Прилож 4 24 (10)'!V56</f>
        <v>27115.759999999998</v>
      </c>
      <c r="G56" s="595">
        <f>'Прилож 4 24 (10)'!W56</f>
        <v>55053.09</v>
      </c>
      <c r="H56" s="595">
        <f>'Прилож 4 24 (10)'!X56</f>
        <v>0</v>
      </c>
      <c r="I56" s="628"/>
      <c r="J56" s="595">
        <f>'Прилож 4 24 (10)'!Z56</f>
        <v>0</v>
      </c>
      <c r="K56" s="595">
        <f>'Прилож 4 24 (10)'!AA56</f>
        <v>0</v>
      </c>
      <c r="L56" s="595">
        <f>'Прилож 4 24 (10)'!AB56</f>
        <v>0</v>
      </c>
      <c r="M56" s="876">
        <f t="shared" si="13"/>
        <v>0</v>
      </c>
      <c r="N56" s="875"/>
      <c r="O56" s="875"/>
      <c r="P56" s="875"/>
      <c r="Q56" s="883"/>
      <c r="R56" s="875"/>
      <c r="S56" s="875"/>
      <c r="T56" s="875"/>
      <c r="U56" s="876">
        <f t="shared" si="10"/>
        <v>82168.849999999991</v>
      </c>
      <c r="V56" s="875">
        <f t="shared" si="10"/>
        <v>27115.759999999998</v>
      </c>
      <c r="W56" s="875">
        <f t="shared" si="14"/>
        <v>55053.09</v>
      </c>
      <c r="X56" s="875">
        <f t="shared" si="14"/>
        <v>0</v>
      </c>
      <c r="Y56" s="883"/>
      <c r="Z56" s="875">
        <f t="shared" si="15"/>
        <v>0</v>
      </c>
      <c r="AA56" s="875">
        <f t="shared" si="15"/>
        <v>0</v>
      </c>
      <c r="AB56" s="875">
        <f t="shared" si="15"/>
        <v>0</v>
      </c>
      <c r="AC56" s="624"/>
    </row>
    <row r="57" spans="1:30" s="614" customFormat="1" ht="63" x14ac:dyDescent="0.2">
      <c r="A57" s="1083" t="s">
        <v>748</v>
      </c>
      <c r="B57" s="619" t="s">
        <v>729</v>
      </c>
      <c r="C57" s="620">
        <v>119</v>
      </c>
      <c r="D57" s="620">
        <v>213</v>
      </c>
      <c r="E57" s="596">
        <f t="shared" si="5"/>
        <v>6038.46</v>
      </c>
      <c r="F57" s="595">
        <f>'Прилож 4 24 (10)'!V57</f>
        <v>0</v>
      </c>
      <c r="G57" s="595">
        <f>'Прилож 4 24 (10)'!W57</f>
        <v>6038.46</v>
      </c>
      <c r="H57" s="595">
        <f>'Прилож 4 24 (10)'!X57</f>
        <v>0</v>
      </c>
      <c r="I57" s="628"/>
      <c r="J57" s="595">
        <f>'Прилож 4 24 (10)'!Z57</f>
        <v>0</v>
      </c>
      <c r="K57" s="595">
        <f>'Прилож 4 24 (10)'!AA57</f>
        <v>0</v>
      </c>
      <c r="L57" s="595">
        <f>'Прилож 4 24 (10)'!AB57</f>
        <v>0</v>
      </c>
      <c r="M57" s="876">
        <f t="shared" si="13"/>
        <v>0</v>
      </c>
      <c r="N57" s="875"/>
      <c r="O57" s="875"/>
      <c r="P57" s="875"/>
      <c r="Q57" s="883"/>
      <c r="R57" s="875"/>
      <c r="S57" s="875"/>
      <c r="T57" s="875"/>
      <c r="U57" s="876">
        <f t="shared" si="10"/>
        <v>6038.46</v>
      </c>
      <c r="V57" s="875">
        <f t="shared" si="10"/>
        <v>0</v>
      </c>
      <c r="W57" s="875">
        <f t="shared" si="14"/>
        <v>6038.46</v>
      </c>
      <c r="X57" s="875">
        <f t="shared" si="14"/>
        <v>0</v>
      </c>
      <c r="Y57" s="883"/>
      <c r="Z57" s="875">
        <f t="shared" si="15"/>
        <v>0</v>
      </c>
      <c r="AA57" s="875">
        <f t="shared" si="15"/>
        <v>0</v>
      </c>
      <c r="AB57" s="875">
        <f t="shared" si="15"/>
        <v>0</v>
      </c>
      <c r="AC57" s="878"/>
    </row>
    <row r="58" spans="1:30" s="614" customFormat="1" ht="63" x14ac:dyDescent="0.2">
      <c r="A58" s="618" t="s">
        <v>748</v>
      </c>
      <c r="B58" s="619" t="s">
        <v>64</v>
      </c>
      <c r="C58" s="620">
        <v>119</v>
      </c>
      <c r="D58" s="620">
        <v>213</v>
      </c>
      <c r="E58" s="596">
        <f t="shared" si="5"/>
        <v>19446</v>
      </c>
      <c r="F58" s="595">
        <f>'Прилож 4 24 (10)'!V58</f>
        <v>0</v>
      </c>
      <c r="G58" s="595">
        <f>'Прилож 4 24 (10)'!W58</f>
        <v>0</v>
      </c>
      <c r="H58" s="595">
        <f>'Прилож 4 24 (10)'!X58</f>
        <v>0</v>
      </c>
      <c r="I58" s="621" t="s">
        <v>1235</v>
      </c>
      <c r="J58" s="595">
        <f>'Прилож 4 24 (10)'!Z58</f>
        <v>0</v>
      </c>
      <c r="K58" s="595">
        <f>'Прилож 4 24 (10)'!AA58</f>
        <v>19446</v>
      </c>
      <c r="L58" s="595">
        <f>'Прилож 4 24 (10)'!AB58</f>
        <v>0</v>
      </c>
      <c r="M58" s="876">
        <f t="shared" si="13"/>
        <v>0</v>
      </c>
      <c r="N58" s="875"/>
      <c r="O58" s="875"/>
      <c r="P58" s="875"/>
      <c r="Q58" s="883"/>
      <c r="R58" s="875"/>
      <c r="S58" s="875"/>
      <c r="T58" s="875"/>
      <c r="U58" s="876">
        <f t="shared" si="10"/>
        <v>19446</v>
      </c>
      <c r="V58" s="875">
        <f t="shared" si="10"/>
        <v>0</v>
      </c>
      <c r="W58" s="875">
        <f t="shared" si="14"/>
        <v>0</v>
      </c>
      <c r="X58" s="875">
        <f t="shared" si="14"/>
        <v>0</v>
      </c>
      <c r="Y58" s="877" t="s">
        <v>1235</v>
      </c>
      <c r="Z58" s="875">
        <f t="shared" si="15"/>
        <v>0</v>
      </c>
      <c r="AA58" s="875">
        <f t="shared" si="15"/>
        <v>19446</v>
      </c>
      <c r="AB58" s="875">
        <f t="shared" si="15"/>
        <v>0</v>
      </c>
      <c r="AC58" s="878"/>
    </row>
    <row r="59" spans="1:30" s="614" customFormat="1" ht="63" x14ac:dyDescent="0.2">
      <c r="A59" s="618" t="s">
        <v>748</v>
      </c>
      <c r="B59" s="619" t="s">
        <v>691</v>
      </c>
      <c r="C59" s="620">
        <v>119</v>
      </c>
      <c r="D59" s="620">
        <v>213</v>
      </c>
      <c r="E59" s="596">
        <f t="shared" si="5"/>
        <v>16917.36</v>
      </c>
      <c r="F59" s="595">
        <f>'Прилож 4 24 (10)'!V59</f>
        <v>0</v>
      </c>
      <c r="G59" s="595">
        <f>'Прилож 4 24 (10)'!W59</f>
        <v>0</v>
      </c>
      <c r="H59" s="595">
        <f>'Прилож 4 24 (10)'!X59</f>
        <v>14362.7</v>
      </c>
      <c r="I59" s="628"/>
      <c r="J59" s="595">
        <f>'Прилож 4 24 (10)'!Z59</f>
        <v>0</v>
      </c>
      <c r="K59" s="595">
        <f>'Прилож 4 24 (10)'!AA59</f>
        <v>0</v>
      </c>
      <c r="L59" s="595">
        <f>'Прилож 4 24 (10)'!AB59</f>
        <v>2554.66</v>
      </c>
      <c r="M59" s="876">
        <f t="shared" si="13"/>
        <v>0</v>
      </c>
      <c r="N59" s="875"/>
      <c r="O59" s="875"/>
      <c r="P59" s="875"/>
      <c r="Q59" s="883"/>
      <c r="R59" s="875"/>
      <c r="S59" s="875"/>
      <c r="T59" s="875"/>
      <c r="U59" s="876">
        <f t="shared" si="10"/>
        <v>16917.36</v>
      </c>
      <c r="V59" s="875">
        <f t="shared" si="10"/>
        <v>0</v>
      </c>
      <c r="W59" s="875">
        <f t="shared" si="14"/>
        <v>0</v>
      </c>
      <c r="X59" s="875">
        <f t="shared" si="14"/>
        <v>14362.7</v>
      </c>
      <c r="Y59" s="883"/>
      <c r="Z59" s="875">
        <f t="shared" si="15"/>
        <v>0</v>
      </c>
      <c r="AA59" s="875">
        <f t="shared" si="15"/>
        <v>0</v>
      </c>
      <c r="AB59" s="875">
        <f t="shared" si="15"/>
        <v>2554.66</v>
      </c>
      <c r="AC59" s="878"/>
    </row>
    <row r="60" spans="1:30" s="614" customFormat="1" ht="110.25" x14ac:dyDescent="0.2">
      <c r="A60" s="618" t="s">
        <v>1468</v>
      </c>
      <c r="B60" s="619" t="s">
        <v>729</v>
      </c>
      <c r="C60" s="620">
        <v>119</v>
      </c>
      <c r="D60" s="620">
        <v>265</v>
      </c>
      <c r="E60" s="596">
        <v>8370.2000000000007</v>
      </c>
      <c r="F60" s="595">
        <f>'Прилож 4 24 (10)'!V60</f>
        <v>8370.2000000000007</v>
      </c>
      <c r="G60" s="595">
        <f>'Прилож 4 24 (10)'!W60</f>
        <v>0</v>
      </c>
      <c r="H60" s="595">
        <f>'Прилож 4 24 (10)'!X60</f>
        <v>0</v>
      </c>
      <c r="I60" s="628"/>
      <c r="J60" s="595">
        <f>'Прилож 4 24 (10)'!Z60</f>
        <v>0</v>
      </c>
      <c r="K60" s="595">
        <f>'Прилож 4 24 (10)'!AA60</f>
        <v>0</v>
      </c>
      <c r="L60" s="595">
        <f>'Прилож 4 24 (10)'!AB60</f>
        <v>0</v>
      </c>
      <c r="M60" s="876">
        <f t="shared" si="13"/>
        <v>0</v>
      </c>
      <c r="N60" s="875"/>
      <c r="O60" s="875"/>
      <c r="P60" s="875"/>
      <c r="Q60" s="883"/>
      <c r="R60" s="875"/>
      <c r="S60" s="875"/>
      <c r="T60" s="875"/>
      <c r="U60" s="876">
        <v>8370.2000000000007</v>
      </c>
      <c r="V60" s="875">
        <f t="shared" ref="V60:V123" si="16">F60+N60</f>
        <v>8370.2000000000007</v>
      </c>
      <c r="W60" s="875">
        <f t="shared" si="14"/>
        <v>0</v>
      </c>
      <c r="X60" s="875">
        <f t="shared" si="14"/>
        <v>0</v>
      </c>
      <c r="Y60" s="883"/>
      <c r="Z60" s="875">
        <f t="shared" si="15"/>
        <v>0</v>
      </c>
      <c r="AA60" s="875">
        <f t="shared" si="15"/>
        <v>0</v>
      </c>
      <c r="AB60" s="875">
        <f t="shared" si="15"/>
        <v>0</v>
      </c>
      <c r="AC60" s="878"/>
    </row>
    <row r="61" spans="1:30" s="614" customFormat="1" x14ac:dyDescent="0.2">
      <c r="A61" s="630" t="s">
        <v>733</v>
      </c>
      <c r="B61" s="631"/>
      <c r="C61" s="624"/>
      <c r="D61" s="624"/>
      <c r="E61" s="596">
        <f t="shared" ref="E61:E124" si="17">L61+K61+J61+H61+G61+F61</f>
        <v>10400915.339999998</v>
      </c>
      <c r="F61" s="595">
        <f>'Прилож 4 24 (10)'!V61</f>
        <v>8934767.4899999984</v>
      </c>
      <c r="G61" s="595">
        <f>'Прилож 4 24 (10)'!W61</f>
        <v>537133.53999999992</v>
      </c>
      <c r="H61" s="595">
        <f>'Прилож 4 24 (10)'!X61</f>
        <v>907013.64999999991</v>
      </c>
      <c r="I61" s="626"/>
      <c r="J61" s="595">
        <f>'Прилож 4 24 (10)'!Z61</f>
        <v>0</v>
      </c>
      <c r="K61" s="595">
        <f>'Прилож 4 24 (10)'!AA61</f>
        <v>19446</v>
      </c>
      <c r="L61" s="595">
        <f>'Прилож 4 24 (10)'!AB61</f>
        <v>2554.66</v>
      </c>
      <c r="M61" s="876">
        <f t="shared" si="13"/>
        <v>0</v>
      </c>
      <c r="N61" s="876">
        <f>SUM(N53:N60)</f>
        <v>0</v>
      </c>
      <c r="O61" s="876">
        <f>SUM(O53:O59)</f>
        <v>0</v>
      </c>
      <c r="P61" s="876">
        <f>SUM(P53:P59)</f>
        <v>0</v>
      </c>
      <c r="Q61" s="881"/>
      <c r="R61" s="876"/>
      <c r="S61" s="876">
        <f>SUM(S53:S60)</f>
        <v>0</v>
      </c>
      <c r="T61" s="876"/>
      <c r="U61" s="876">
        <f t="shared" ref="U61:V124" si="18">E61+M61</f>
        <v>10400915.339999998</v>
      </c>
      <c r="V61" s="875">
        <f t="shared" si="16"/>
        <v>8934767.4899999984</v>
      </c>
      <c r="W61" s="875">
        <f t="shared" si="14"/>
        <v>537133.53999999992</v>
      </c>
      <c r="X61" s="875">
        <f t="shared" si="14"/>
        <v>907013.64999999991</v>
      </c>
      <c r="Y61" s="881"/>
      <c r="Z61" s="875">
        <f t="shared" si="15"/>
        <v>0</v>
      </c>
      <c r="AA61" s="875">
        <f t="shared" si="15"/>
        <v>19446</v>
      </c>
      <c r="AB61" s="875">
        <f t="shared" si="15"/>
        <v>2554.66</v>
      </c>
      <c r="AC61" s="879"/>
      <c r="AD61" s="818"/>
    </row>
    <row r="62" spans="1:30" ht="31.5" x14ac:dyDescent="0.2">
      <c r="A62" s="618" t="s">
        <v>1183</v>
      </c>
      <c r="B62" s="619" t="s">
        <v>747</v>
      </c>
      <c r="C62" s="620">
        <v>244</v>
      </c>
      <c r="D62" s="620">
        <v>221</v>
      </c>
      <c r="E62" s="596">
        <f t="shared" si="17"/>
        <v>14452.3</v>
      </c>
      <c r="F62" s="595">
        <f>'Прилож 4 24 (10)'!V62</f>
        <v>0</v>
      </c>
      <c r="G62" s="595">
        <f>'Прилож 4 24 (10)'!W62</f>
        <v>0</v>
      </c>
      <c r="H62" s="595">
        <f>'Прилож 4 24 (10)'!X62</f>
        <v>14452.3</v>
      </c>
      <c r="I62" s="628"/>
      <c r="J62" s="595">
        <f>'Прилож 4 24 (10)'!Z62</f>
        <v>0</v>
      </c>
      <c r="K62" s="595">
        <f>'Прилож 4 24 (10)'!AA62</f>
        <v>0</v>
      </c>
      <c r="L62" s="595">
        <f>'Прилож 4 24 (10)'!AB62</f>
        <v>0</v>
      </c>
      <c r="M62" s="876">
        <f t="shared" si="13"/>
        <v>0</v>
      </c>
      <c r="N62" s="875"/>
      <c r="O62" s="875"/>
      <c r="P62" s="875"/>
      <c r="Q62" s="877"/>
      <c r="R62" s="875"/>
      <c r="S62" s="875"/>
      <c r="T62" s="875"/>
      <c r="U62" s="876">
        <f t="shared" si="18"/>
        <v>14452.3</v>
      </c>
      <c r="V62" s="875">
        <f t="shared" si="16"/>
        <v>0</v>
      </c>
      <c r="W62" s="875">
        <f t="shared" si="14"/>
        <v>0</v>
      </c>
      <c r="X62" s="875">
        <f t="shared" si="14"/>
        <v>14452.3</v>
      </c>
      <c r="Y62" s="883"/>
      <c r="Z62" s="875">
        <f t="shared" si="15"/>
        <v>0</v>
      </c>
      <c r="AA62" s="875">
        <f t="shared" si="15"/>
        <v>0</v>
      </c>
      <c r="AB62" s="875">
        <f t="shared" si="15"/>
        <v>0</v>
      </c>
      <c r="AC62" s="878"/>
    </row>
    <row r="63" spans="1:30" x14ac:dyDescent="0.2">
      <c r="A63" s="618" t="s">
        <v>1184</v>
      </c>
      <c r="B63" s="619" t="s">
        <v>747</v>
      </c>
      <c r="C63" s="620">
        <v>244</v>
      </c>
      <c r="D63" s="620">
        <v>221</v>
      </c>
      <c r="E63" s="596">
        <f t="shared" si="17"/>
        <v>36000</v>
      </c>
      <c r="F63" s="595">
        <f>'Прилож 4 24 (10)'!V63</f>
        <v>0</v>
      </c>
      <c r="G63" s="595">
        <f>'Прилож 4 24 (10)'!W63</f>
        <v>0</v>
      </c>
      <c r="H63" s="595">
        <f>'Прилож 4 24 (10)'!X63</f>
        <v>36000</v>
      </c>
      <c r="I63" s="628"/>
      <c r="J63" s="595">
        <f>'Прилож 4 24 (10)'!Z63</f>
        <v>0</v>
      </c>
      <c r="K63" s="595">
        <f>'Прилож 4 24 (10)'!AA63</f>
        <v>0</v>
      </c>
      <c r="L63" s="595">
        <f>'Прилож 4 24 (10)'!AB63</f>
        <v>0</v>
      </c>
      <c r="M63" s="876">
        <f t="shared" si="13"/>
        <v>0</v>
      </c>
      <c r="N63" s="875"/>
      <c r="O63" s="875"/>
      <c r="P63" s="875"/>
      <c r="Q63" s="877"/>
      <c r="R63" s="875"/>
      <c r="S63" s="875"/>
      <c r="T63" s="875"/>
      <c r="U63" s="876">
        <f t="shared" si="18"/>
        <v>36000</v>
      </c>
      <c r="V63" s="875">
        <f t="shared" si="16"/>
        <v>0</v>
      </c>
      <c r="W63" s="875">
        <f t="shared" si="14"/>
        <v>0</v>
      </c>
      <c r="X63" s="875">
        <f t="shared" si="14"/>
        <v>36000</v>
      </c>
      <c r="Y63" s="883"/>
      <c r="Z63" s="875">
        <f t="shared" si="15"/>
        <v>0</v>
      </c>
      <c r="AA63" s="875">
        <f t="shared" si="15"/>
        <v>0</v>
      </c>
      <c r="AB63" s="875">
        <f t="shared" si="15"/>
        <v>0</v>
      </c>
      <c r="AC63" s="878"/>
    </row>
    <row r="64" spans="1:30" x14ac:dyDescent="0.2">
      <c r="A64" s="618" t="s">
        <v>158</v>
      </c>
      <c r="B64" s="619" t="s">
        <v>747</v>
      </c>
      <c r="C64" s="620">
        <v>244</v>
      </c>
      <c r="D64" s="620">
        <v>221</v>
      </c>
      <c r="E64" s="596">
        <f t="shared" si="17"/>
        <v>6600</v>
      </c>
      <c r="F64" s="595">
        <f>'Прилож 4 24 (10)'!V64</f>
        <v>0</v>
      </c>
      <c r="G64" s="595">
        <f>'Прилож 4 24 (10)'!W64</f>
        <v>0</v>
      </c>
      <c r="H64" s="595">
        <f>'Прилож 4 24 (10)'!X64</f>
        <v>6600</v>
      </c>
      <c r="I64" s="628"/>
      <c r="J64" s="595">
        <f>'Прилож 4 24 (10)'!Z64</f>
        <v>0</v>
      </c>
      <c r="K64" s="595">
        <f>'Прилож 4 24 (10)'!AA64</f>
        <v>0</v>
      </c>
      <c r="L64" s="595">
        <f>'Прилож 4 24 (10)'!AB64</f>
        <v>0</v>
      </c>
      <c r="M64" s="876">
        <f t="shared" si="13"/>
        <v>0</v>
      </c>
      <c r="N64" s="875"/>
      <c r="O64" s="875"/>
      <c r="P64" s="875"/>
      <c r="Q64" s="877"/>
      <c r="R64" s="875"/>
      <c r="S64" s="875"/>
      <c r="T64" s="875"/>
      <c r="U64" s="876">
        <f t="shared" si="18"/>
        <v>6600</v>
      </c>
      <c r="V64" s="875">
        <f t="shared" si="16"/>
        <v>0</v>
      </c>
      <c r="W64" s="875">
        <f t="shared" si="14"/>
        <v>0</v>
      </c>
      <c r="X64" s="875">
        <f t="shared" si="14"/>
        <v>6600</v>
      </c>
      <c r="Y64" s="883"/>
      <c r="Z64" s="875">
        <f t="shared" si="15"/>
        <v>0</v>
      </c>
      <c r="AA64" s="875">
        <f t="shared" si="15"/>
        <v>0</v>
      </c>
      <c r="AB64" s="875">
        <f t="shared" si="15"/>
        <v>0</v>
      </c>
      <c r="AC64" s="878"/>
    </row>
    <row r="65" spans="1:29" s="637" customFormat="1" x14ac:dyDescent="0.2">
      <c r="A65" s="632" t="s">
        <v>1143</v>
      </c>
      <c r="B65" s="633" t="s">
        <v>747</v>
      </c>
      <c r="C65" s="634">
        <v>244</v>
      </c>
      <c r="D65" s="634">
        <v>221</v>
      </c>
      <c r="E65" s="596">
        <f t="shared" si="17"/>
        <v>57052.3</v>
      </c>
      <c r="F65" s="595">
        <f>'Прилож 4 24 (10)'!V65</f>
        <v>0</v>
      </c>
      <c r="G65" s="595">
        <f>'Прилож 4 24 (10)'!W65</f>
        <v>0</v>
      </c>
      <c r="H65" s="595">
        <f>'Прилож 4 24 (10)'!X65</f>
        <v>57052.3</v>
      </c>
      <c r="I65" s="635"/>
      <c r="J65" s="595">
        <f>'Прилож 4 24 (10)'!Z65</f>
        <v>0</v>
      </c>
      <c r="K65" s="595">
        <f>'Прилож 4 24 (10)'!AA65</f>
        <v>0</v>
      </c>
      <c r="L65" s="595">
        <f>'Прилож 4 24 (10)'!AB65</f>
        <v>0</v>
      </c>
      <c r="M65" s="876">
        <f t="shared" si="13"/>
        <v>0</v>
      </c>
      <c r="N65" s="884"/>
      <c r="O65" s="884"/>
      <c r="P65" s="884"/>
      <c r="Q65" s="885"/>
      <c r="R65" s="884"/>
      <c r="S65" s="884"/>
      <c r="T65" s="884"/>
      <c r="U65" s="876">
        <f t="shared" si="18"/>
        <v>57052.3</v>
      </c>
      <c r="V65" s="875">
        <f t="shared" si="16"/>
        <v>0</v>
      </c>
      <c r="W65" s="875">
        <f t="shared" si="14"/>
        <v>0</v>
      </c>
      <c r="X65" s="875">
        <f t="shared" si="14"/>
        <v>57052.3</v>
      </c>
      <c r="Y65" s="885"/>
      <c r="Z65" s="875">
        <f t="shared" si="15"/>
        <v>0</v>
      </c>
      <c r="AA65" s="875">
        <f t="shared" si="15"/>
        <v>0</v>
      </c>
      <c r="AB65" s="875">
        <f t="shared" si="15"/>
        <v>0</v>
      </c>
      <c r="AC65" s="886"/>
    </row>
    <row r="66" spans="1:29" ht="31.5" x14ac:dyDescent="0.2">
      <c r="A66" s="618" t="s">
        <v>1183</v>
      </c>
      <c r="B66" s="619" t="s">
        <v>729</v>
      </c>
      <c r="C66" s="620">
        <v>244</v>
      </c>
      <c r="D66" s="620">
        <v>221</v>
      </c>
      <c r="E66" s="596">
        <f t="shared" si="17"/>
        <v>44560.93</v>
      </c>
      <c r="F66" s="595">
        <f>'Прилож 4 24 (10)'!V66</f>
        <v>0</v>
      </c>
      <c r="G66" s="595">
        <f>'Прилож 4 24 (10)'!W66</f>
        <v>0</v>
      </c>
      <c r="H66" s="595">
        <f>'Прилож 4 24 (10)'!X66</f>
        <v>44560.93</v>
      </c>
      <c r="I66" s="628"/>
      <c r="J66" s="595">
        <f>'Прилож 4 24 (10)'!Z66</f>
        <v>0</v>
      </c>
      <c r="K66" s="595">
        <f>'Прилож 4 24 (10)'!AA66</f>
        <v>0</v>
      </c>
      <c r="L66" s="595">
        <f>'Прилож 4 24 (10)'!AB66</f>
        <v>0</v>
      </c>
      <c r="M66" s="876">
        <f t="shared" si="13"/>
        <v>0</v>
      </c>
      <c r="N66" s="875"/>
      <c r="O66" s="875"/>
      <c r="P66" s="875"/>
      <c r="Q66" s="877"/>
      <c r="R66" s="875"/>
      <c r="S66" s="875"/>
      <c r="T66" s="875"/>
      <c r="U66" s="876">
        <f t="shared" si="18"/>
        <v>44560.93</v>
      </c>
      <c r="V66" s="875">
        <f t="shared" si="16"/>
        <v>0</v>
      </c>
      <c r="W66" s="875">
        <f t="shared" si="14"/>
        <v>0</v>
      </c>
      <c r="X66" s="875">
        <f t="shared" si="14"/>
        <v>44560.93</v>
      </c>
      <c r="Y66" s="883"/>
      <c r="Z66" s="875">
        <f t="shared" si="15"/>
        <v>0</v>
      </c>
      <c r="AA66" s="875">
        <f t="shared" si="15"/>
        <v>0</v>
      </c>
      <c r="AB66" s="875">
        <f t="shared" si="15"/>
        <v>0</v>
      </c>
      <c r="AC66" s="878"/>
    </row>
    <row r="67" spans="1:29" ht="32.25" customHeight="1" x14ac:dyDescent="0.2">
      <c r="A67" s="618" t="s">
        <v>597</v>
      </c>
      <c r="B67" s="619" t="s">
        <v>729</v>
      </c>
      <c r="C67" s="620">
        <v>244</v>
      </c>
      <c r="D67" s="620">
        <v>221</v>
      </c>
      <c r="E67" s="596">
        <f t="shared" si="17"/>
        <v>11360</v>
      </c>
      <c r="F67" s="595">
        <f>'Прилож 4 24 (10)'!V67</f>
        <v>0</v>
      </c>
      <c r="G67" s="595">
        <f>'Прилож 4 24 (10)'!W67</f>
        <v>0</v>
      </c>
      <c r="H67" s="595">
        <f>'Прилож 4 24 (10)'!X67</f>
        <v>11360</v>
      </c>
      <c r="I67" s="628"/>
      <c r="J67" s="595">
        <f>'Прилож 4 24 (10)'!Z67</f>
        <v>0</v>
      </c>
      <c r="K67" s="595">
        <f>'Прилож 4 24 (10)'!AA67</f>
        <v>0</v>
      </c>
      <c r="L67" s="595">
        <f>'Прилож 4 24 (10)'!AB67</f>
        <v>0</v>
      </c>
      <c r="M67" s="876">
        <f t="shared" si="13"/>
        <v>0</v>
      </c>
      <c r="N67" s="875"/>
      <c r="O67" s="875"/>
      <c r="P67" s="875"/>
      <c r="Q67" s="877"/>
      <c r="R67" s="875"/>
      <c r="S67" s="875"/>
      <c r="T67" s="875"/>
      <c r="U67" s="876">
        <f t="shared" si="18"/>
        <v>11360</v>
      </c>
      <c r="V67" s="875">
        <f t="shared" si="16"/>
        <v>0</v>
      </c>
      <c r="W67" s="875">
        <f t="shared" si="14"/>
        <v>0</v>
      </c>
      <c r="X67" s="875">
        <f t="shared" si="14"/>
        <v>11360</v>
      </c>
      <c r="Y67" s="883"/>
      <c r="Z67" s="875">
        <f t="shared" si="15"/>
        <v>0</v>
      </c>
      <c r="AA67" s="875">
        <f t="shared" si="15"/>
        <v>0</v>
      </c>
      <c r="AB67" s="875">
        <f t="shared" si="15"/>
        <v>0</v>
      </c>
      <c r="AC67" s="878"/>
    </row>
    <row r="68" spans="1:29" x14ac:dyDescent="0.2">
      <c r="A68" s="618" t="s">
        <v>158</v>
      </c>
      <c r="B68" s="619" t="s">
        <v>729</v>
      </c>
      <c r="C68" s="620">
        <v>244</v>
      </c>
      <c r="D68" s="620">
        <v>221</v>
      </c>
      <c r="E68" s="596">
        <f t="shared" si="17"/>
        <v>6600</v>
      </c>
      <c r="F68" s="595">
        <f>'Прилож 4 24 (10)'!V68</f>
        <v>0</v>
      </c>
      <c r="G68" s="595">
        <f>'Прилож 4 24 (10)'!W68</f>
        <v>0</v>
      </c>
      <c r="H68" s="595">
        <f>'Прилож 4 24 (10)'!X68</f>
        <v>6600</v>
      </c>
      <c r="I68" s="628"/>
      <c r="J68" s="595">
        <f>'Прилож 4 24 (10)'!Z68</f>
        <v>0</v>
      </c>
      <c r="K68" s="595">
        <f>'Прилож 4 24 (10)'!AA68</f>
        <v>0</v>
      </c>
      <c r="L68" s="595">
        <f>'Прилож 4 24 (10)'!AB68</f>
        <v>0</v>
      </c>
      <c r="M68" s="876">
        <f t="shared" si="13"/>
        <v>0</v>
      </c>
      <c r="N68" s="875"/>
      <c r="O68" s="875"/>
      <c r="P68" s="875"/>
      <c r="Q68" s="877"/>
      <c r="R68" s="875"/>
      <c r="S68" s="875"/>
      <c r="T68" s="875"/>
      <c r="U68" s="876">
        <f t="shared" si="18"/>
        <v>6600</v>
      </c>
      <c r="V68" s="875">
        <f t="shared" si="16"/>
        <v>0</v>
      </c>
      <c r="W68" s="875">
        <f t="shared" si="14"/>
        <v>0</v>
      </c>
      <c r="X68" s="875">
        <f t="shared" si="14"/>
        <v>6600</v>
      </c>
      <c r="Y68" s="883"/>
      <c r="Z68" s="875">
        <f t="shared" si="15"/>
        <v>0</v>
      </c>
      <c r="AA68" s="875">
        <f t="shared" si="15"/>
        <v>0</v>
      </c>
      <c r="AB68" s="875">
        <f t="shared" si="15"/>
        <v>0</v>
      </c>
      <c r="AC68" s="878"/>
    </row>
    <row r="69" spans="1:29" s="637" customFormat="1" x14ac:dyDescent="0.2">
      <c r="A69" s="632" t="s">
        <v>1143</v>
      </c>
      <c r="B69" s="633" t="s">
        <v>729</v>
      </c>
      <c r="C69" s="634">
        <v>244</v>
      </c>
      <c r="D69" s="634">
        <v>221</v>
      </c>
      <c r="E69" s="596">
        <f t="shared" si="17"/>
        <v>62520.929999999993</v>
      </c>
      <c r="F69" s="595">
        <f>'Прилож 4 24 (10)'!V69</f>
        <v>0</v>
      </c>
      <c r="G69" s="595">
        <f>'Прилож 4 24 (10)'!W69</f>
        <v>0</v>
      </c>
      <c r="H69" s="595">
        <f>'Прилож 4 24 (10)'!X69</f>
        <v>62520.929999999993</v>
      </c>
      <c r="I69" s="635"/>
      <c r="J69" s="595">
        <f>'Прилож 4 24 (10)'!Z69</f>
        <v>0</v>
      </c>
      <c r="K69" s="595">
        <f>'Прилож 4 24 (10)'!AA69</f>
        <v>0</v>
      </c>
      <c r="L69" s="595">
        <f>'Прилож 4 24 (10)'!AB69</f>
        <v>0</v>
      </c>
      <c r="M69" s="876">
        <f t="shared" si="13"/>
        <v>0</v>
      </c>
      <c r="N69" s="884"/>
      <c r="O69" s="884"/>
      <c r="P69" s="884">
        <f>SUM(P66:P68)</f>
        <v>0</v>
      </c>
      <c r="Q69" s="885"/>
      <c r="R69" s="884"/>
      <c r="S69" s="884"/>
      <c r="T69" s="884"/>
      <c r="U69" s="876">
        <f t="shared" si="18"/>
        <v>62520.929999999993</v>
      </c>
      <c r="V69" s="875">
        <f t="shared" si="16"/>
        <v>0</v>
      </c>
      <c r="W69" s="875">
        <f t="shared" si="14"/>
        <v>0</v>
      </c>
      <c r="X69" s="875">
        <f t="shared" si="14"/>
        <v>62520.929999999993</v>
      </c>
      <c r="Y69" s="885"/>
      <c r="Z69" s="875">
        <f t="shared" si="15"/>
        <v>0</v>
      </c>
      <c r="AA69" s="875">
        <f t="shared" si="15"/>
        <v>0</v>
      </c>
      <c r="AB69" s="875">
        <f t="shared" si="15"/>
        <v>0</v>
      </c>
      <c r="AC69" s="886"/>
    </row>
    <row r="70" spans="1:29" s="614" customFormat="1" x14ac:dyDescent="0.2">
      <c r="A70" s="630" t="s">
        <v>734</v>
      </c>
      <c r="B70" s="631"/>
      <c r="C70" s="624"/>
      <c r="D70" s="624"/>
      <c r="E70" s="596">
        <f t="shared" si="17"/>
        <v>119573.22999999998</v>
      </c>
      <c r="F70" s="595">
        <f>'Прилож 4 24 (10)'!V70</f>
        <v>0</v>
      </c>
      <c r="G70" s="595">
        <f>'Прилож 4 24 (10)'!W70</f>
        <v>0</v>
      </c>
      <c r="H70" s="595">
        <f>'Прилож 4 24 (10)'!X70</f>
        <v>119573.22999999998</v>
      </c>
      <c r="I70" s="626"/>
      <c r="J70" s="595">
        <f>'Прилож 4 24 (10)'!Z70</f>
        <v>0</v>
      </c>
      <c r="K70" s="595">
        <f>'Прилож 4 24 (10)'!AA70</f>
        <v>0</v>
      </c>
      <c r="L70" s="595">
        <f>'Прилож 4 24 (10)'!AB70</f>
        <v>0</v>
      </c>
      <c r="M70" s="876">
        <f t="shared" si="13"/>
        <v>0</v>
      </c>
      <c r="N70" s="876"/>
      <c r="O70" s="876"/>
      <c r="P70" s="876"/>
      <c r="Q70" s="881"/>
      <c r="R70" s="876"/>
      <c r="S70" s="876"/>
      <c r="T70" s="876"/>
      <c r="U70" s="876">
        <f t="shared" si="18"/>
        <v>119573.22999999998</v>
      </c>
      <c r="V70" s="875">
        <f t="shared" si="16"/>
        <v>0</v>
      </c>
      <c r="W70" s="875">
        <f t="shared" si="14"/>
        <v>0</v>
      </c>
      <c r="X70" s="875">
        <f t="shared" si="14"/>
        <v>119573.22999999998</v>
      </c>
      <c r="Y70" s="881"/>
      <c r="Z70" s="875">
        <f t="shared" si="15"/>
        <v>0</v>
      </c>
      <c r="AA70" s="875">
        <f t="shared" si="15"/>
        <v>0</v>
      </c>
      <c r="AB70" s="875">
        <f t="shared" si="15"/>
        <v>0</v>
      </c>
      <c r="AC70" s="879"/>
    </row>
    <row r="71" spans="1:29" x14ac:dyDescent="0.2">
      <c r="A71" s="618" t="s">
        <v>126</v>
      </c>
      <c r="B71" s="619" t="s">
        <v>747</v>
      </c>
      <c r="C71" s="620">
        <v>244</v>
      </c>
      <c r="D71" s="620">
        <v>223</v>
      </c>
      <c r="E71" s="596">
        <f t="shared" si="17"/>
        <v>18456.600000000002</v>
      </c>
      <c r="F71" s="595">
        <f>'Прилож 4 24 (10)'!V71</f>
        <v>0</v>
      </c>
      <c r="G71" s="595">
        <f>'Прилож 4 24 (10)'!W71</f>
        <v>0</v>
      </c>
      <c r="H71" s="595">
        <f>'Прилож 4 24 (10)'!X71</f>
        <v>18456.600000000002</v>
      </c>
      <c r="I71" s="628"/>
      <c r="J71" s="595">
        <f>'Прилож 4 24 (10)'!Z71</f>
        <v>0</v>
      </c>
      <c r="K71" s="595">
        <f>'Прилож 4 24 (10)'!AA71</f>
        <v>0</v>
      </c>
      <c r="L71" s="595">
        <f>'Прилож 4 24 (10)'!AB71</f>
        <v>0</v>
      </c>
      <c r="M71" s="876">
        <f t="shared" si="13"/>
        <v>0</v>
      </c>
      <c r="N71" s="875"/>
      <c r="O71" s="875"/>
      <c r="P71" s="875"/>
      <c r="Q71" s="877"/>
      <c r="R71" s="875"/>
      <c r="S71" s="875"/>
      <c r="T71" s="875"/>
      <c r="U71" s="876">
        <f t="shared" si="18"/>
        <v>18456.600000000002</v>
      </c>
      <c r="V71" s="875">
        <f t="shared" si="16"/>
        <v>0</v>
      </c>
      <c r="W71" s="875">
        <f t="shared" si="14"/>
        <v>0</v>
      </c>
      <c r="X71" s="875">
        <f t="shared" si="14"/>
        <v>18456.600000000002</v>
      </c>
      <c r="Y71" s="883"/>
      <c r="Z71" s="875">
        <f t="shared" si="15"/>
        <v>0</v>
      </c>
      <c r="AA71" s="875">
        <f t="shared" si="15"/>
        <v>0</v>
      </c>
      <c r="AB71" s="875">
        <f t="shared" si="15"/>
        <v>0</v>
      </c>
      <c r="AC71" s="878"/>
    </row>
    <row r="72" spans="1:29" x14ac:dyDescent="0.2">
      <c r="A72" s="618" t="s">
        <v>127</v>
      </c>
      <c r="B72" s="619" t="s">
        <v>747</v>
      </c>
      <c r="C72" s="620">
        <v>244</v>
      </c>
      <c r="D72" s="620">
        <v>223</v>
      </c>
      <c r="E72" s="596">
        <f t="shared" si="17"/>
        <v>15995.720000000001</v>
      </c>
      <c r="F72" s="595">
        <f>'Прилож 4 24 (10)'!V72</f>
        <v>0</v>
      </c>
      <c r="G72" s="595">
        <f>'Прилож 4 24 (10)'!W72</f>
        <v>0</v>
      </c>
      <c r="H72" s="595">
        <f>'Прилож 4 24 (10)'!X72</f>
        <v>15995.720000000001</v>
      </c>
      <c r="I72" s="628"/>
      <c r="J72" s="595">
        <f>'Прилож 4 24 (10)'!Z72</f>
        <v>0</v>
      </c>
      <c r="K72" s="595">
        <f>'Прилож 4 24 (10)'!AA72</f>
        <v>0</v>
      </c>
      <c r="L72" s="595">
        <f>'Прилож 4 24 (10)'!AB72</f>
        <v>0</v>
      </c>
      <c r="M72" s="876">
        <f t="shared" si="13"/>
        <v>0</v>
      </c>
      <c r="N72" s="875"/>
      <c r="O72" s="875"/>
      <c r="P72" s="875"/>
      <c r="Q72" s="877"/>
      <c r="R72" s="875"/>
      <c r="S72" s="875"/>
      <c r="T72" s="875"/>
      <c r="U72" s="876">
        <f t="shared" si="18"/>
        <v>15995.720000000001</v>
      </c>
      <c r="V72" s="875">
        <f t="shared" si="16"/>
        <v>0</v>
      </c>
      <c r="W72" s="875">
        <f t="shared" si="14"/>
        <v>0</v>
      </c>
      <c r="X72" s="875">
        <f t="shared" si="14"/>
        <v>15995.720000000001</v>
      </c>
      <c r="Y72" s="883"/>
      <c r="Z72" s="875">
        <f t="shared" si="15"/>
        <v>0</v>
      </c>
      <c r="AA72" s="875">
        <f t="shared" si="15"/>
        <v>0</v>
      </c>
      <c r="AB72" s="875">
        <f t="shared" si="15"/>
        <v>0</v>
      </c>
      <c r="AC72" s="878"/>
    </row>
    <row r="73" spans="1:29" x14ac:dyDescent="0.2">
      <c r="A73" s="618" t="s">
        <v>128</v>
      </c>
      <c r="B73" s="619" t="s">
        <v>747</v>
      </c>
      <c r="C73" s="620">
        <v>244</v>
      </c>
      <c r="D73" s="620">
        <v>223</v>
      </c>
      <c r="E73" s="596">
        <f t="shared" si="17"/>
        <v>11264.099999999999</v>
      </c>
      <c r="F73" s="595">
        <f>'Прилож 4 24 (10)'!V73</f>
        <v>0</v>
      </c>
      <c r="G73" s="595">
        <f>'Прилож 4 24 (10)'!W73</f>
        <v>0</v>
      </c>
      <c r="H73" s="595">
        <f>'Прилож 4 24 (10)'!X73</f>
        <v>11264.099999999999</v>
      </c>
      <c r="I73" s="628"/>
      <c r="J73" s="595">
        <f>'Прилож 4 24 (10)'!Z73</f>
        <v>0</v>
      </c>
      <c r="K73" s="595">
        <f>'Прилож 4 24 (10)'!AA73</f>
        <v>0</v>
      </c>
      <c r="L73" s="595">
        <f>'Прилож 4 24 (10)'!AB73</f>
        <v>0</v>
      </c>
      <c r="M73" s="876">
        <f t="shared" si="13"/>
        <v>0</v>
      </c>
      <c r="N73" s="875"/>
      <c r="O73" s="875"/>
      <c r="P73" s="875"/>
      <c r="Q73" s="877"/>
      <c r="R73" s="875"/>
      <c r="S73" s="875"/>
      <c r="T73" s="875"/>
      <c r="U73" s="876">
        <f t="shared" si="18"/>
        <v>11264.099999999999</v>
      </c>
      <c r="V73" s="875">
        <f t="shared" si="16"/>
        <v>0</v>
      </c>
      <c r="W73" s="875">
        <f t="shared" si="14"/>
        <v>0</v>
      </c>
      <c r="X73" s="875">
        <f t="shared" si="14"/>
        <v>11264.099999999999</v>
      </c>
      <c r="Y73" s="883"/>
      <c r="Z73" s="875">
        <f t="shared" si="15"/>
        <v>0</v>
      </c>
      <c r="AA73" s="875">
        <f t="shared" si="15"/>
        <v>0</v>
      </c>
      <c r="AB73" s="875">
        <f t="shared" si="15"/>
        <v>0</v>
      </c>
      <c r="AC73" s="878"/>
    </row>
    <row r="74" spans="1:29" x14ac:dyDescent="0.2">
      <c r="A74" s="618" t="s">
        <v>129</v>
      </c>
      <c r="B74" s="619" t="s">
        <v>747</v>
      </c>
      <c r="C74" s="620">
        <v>244</v>
      </c>
      <c r="D74" s="620">
        <v>223</v>
      </c>
      <c r="E74" s="596">
        <f t="shared" si="17"/>
        <v>40102.47</v>
      </c>
      <c r="F74" s="595">
        <f>'Прилож 4 24 (10)'!V74</f>
        <v>0</v>
      </c>
      <c r="G74" s="595">
        <f>'Прилож 4 24 (10)'!W74</f>
        <v>0</v>
      </c>
      <c r="H74" s="595">
        <f>'Прилож 4 24 (10)'!X74</f>
        <v>40102.47</v>
      </c>
      <c r="I74" s="628"/>
      <c r="J74" s="595">
        <f>'Прилож 4 24 (10)'!Z74</f>
        <v>0</v>
      </c>
      <c r="K74" s="595">
        <f>'Прилож 4 24 (10)'!AA74</f>
        <v>0</v>
      </c>
      <c r="L74" s="595">
        <f>'Прилож 4 24 (10)'!AB74</f>
        <v>0</v>
      </c>
      <c r="M74" s="876">
        <f t="shared" si="13"/>
        <v>0</v>
      </c>
      <c r="N74" s="875"/>
      <c r="O74" s="875"/>
      <c r="P74" s="875"/>
      <c r="Q74" s="877"/>
      <c r="R74" s="875"/>
      <c r="S74" s="875"/>
      <c r="T74" s="875"/>
      <c r="U74" s="876">
        <f t="shared" si="18"/>
        <v>40102.47</v>
      </c>
      <c r="V74" s="875">
        <f t="shared" si="16"/>
        <v>0</v>
      </c>
      <c r="W74" s="875">
        <f t="shared" si="14"/>
        <v>0</v>
      </c>
      <c r="X74" s="875">
        <f t="shared" si="14"/>
        <v>40102.47</v>
      </c>
      <c r="Y74" s="883"/>
      <c r="Z74" s="875">
        <f t="shared" si="15"/>
        <v>0</v>
      </c>
      <c r="AA74" s="875">
        <f t="shared" si="15"/>
        <v>0</v>
      </c>
      <c r="AB74" s="875">
        <f t="shared" si="15"/>
        <v>0</v>
      </c>
      <c r="AC74" s="878"/>
    </row>
    <row r="75" spans="1:29" ht="31.5" x14ac:dyDescent="0.2">
      <c r="A75" s="618" t="s">
        <v>1238</v>
      </c>
      <c r="B75" s="619" t="s">
        <v>747</v>
      </c>
      <c r="C75" s="620">
        <v>244</v>
      </c>
      <c r="D75" s="620">
        <v>223</v>
      </c>
      <c r="E75" s="596">
        <f t="shared" si="17"/>
        <v>19800.399999999998</v>
      </c>
      <c r="F75" s="595">
        <f>'Прилож 4 24 (10)'!V75</f>
        <v>0</v>
      </c>
      <c r="G75" s="595">
        <f>'Прилож 4 24 (10)'!W75</f>
        <v>0</v>
      </c>
      <c r="H75" s="595">
        <f>'Прилож 4 24 (10)'!X75</f>
        <v>19800.399999999998</v>
      </c>
      <c r="I75" s="628"/>
      <c r="J75" s="595">
        <f>'Прилож 4 24 (10)'!Z75</f>
        <v>0</v>
      </c>
      <c r="K75" s="595">
        <f>'Прилож 4 24 (10)'!AA75</f>
        <v>0</v>
      </c>
      <c r="L75" s="595">
        <f>'Прилож 4 24 (10)'!AB75</f>
        <v>0</v>
      </c>
      <c r="M75" s="876">
        <f t="shared" si="13"/>
        <v>0</v>
      </c>
      <c r="N75" s="875"/>
      <c r="O75" s="875"/>
      <c r="P75" s="875"/>
      <c r="Q75" s="877"/>
      <c r="R75" s="875"/>
      <c r="S75" s="875"/>
      <c r="T75" s="875"/>
      <c r="U75" s="876">
        <f t="shared" si="18"/>
        <v>19800.399999999998</v>
      </c>
      <c r="V75" s="875">
        <f t="shared" si="16"/>
        <v>0</v>
      </c>
      <c r="W75" s="875">
        <f t="shared" si="14"/>
        <v>0</v>
      </c>
      <c r="X75" s="875">
        <f t="shared" si="14"/>
        <v>19800.399999999998</v>
      </c>
      <c r="Y75" s="883"/>
      <c r="Z75" s="875">
        <f t="shared" si="15"/>
        <v>0</v>
      </c>
      <c r="AA75" s="875">
        <f t="shared" si="15"/>
        <v>0</v>
      </c>
      <c r="AB75" s="875">
        <f t="shared" si="15"/>
        <v>0</v>
      </c>
      <c r="AC75" s="878"/>
    </row>
    <row r="76" spans="1:29" ht="31.5" x14ac:dyDescent="0.2">
      <c r="A76" s="618" t="s">
        <v>1601</v>
      </c>
      <c r="B76" s="619" t="s">
        <v>747</v>
      </c>
      <c r="C76" s="620">
        <v>244</v>
      </c>
      <c r="D76" s="620">
        <v>223</v>
      </c>
      <c r="E76" s="596">
        <f t="shared" si="17"/>
        <v>20051.23</v>
      </c>
      <c r="F76" s="595">
        <f>'Прилож 4 24 (10)'!V76</f>
        <v>0</v>
      </c>
      <c r="G76" s="595">
        <f>'Прилож 4 24 (10)'!W76</f>
        <v>0</v>
      </c>
      <c r="H76" s="595">
        <f>'Прилож 4 24 (10)'!X76</f>
        <v>20051.23</v>
      </c>
      <c r="I76" s="628"/>
      <c r="J76" s="595">
        <f>'Прилож 4 24 (10)'!Z76</f>
        <v>0</v>
      </c>
      <c r="K76" s="595">
        <f>'Прилож 4 24 (10)'!AA76</f>
        <v>0</v>
      </c>
      <c r="L76" s="595">
        <f>'Прилож 4 24 (10)'!AB76</f>
        <v>0</v>
      </c>
      <c r="M76" s="876">
        <f t="shared" si="13"/>
        <v>0</v>
      </c>
      <c r="N76" s="875"/>
      <c r="O76" s="875"/>
      <c r="P76" s="875"/>
      <c r="Q76" s="877"/>
      <c r="R76" s="875"/>
      <c r="S76" s="875"/>
      <c r="T76" s="875"/>
      <c r="U76" s="876">
        <f t="shared" si="18"/>
        <v>20051.23</v>
      </c>
      <c r="V76" s="875">
        <f t="shared" si="16"/>
        <v>0</v>
      </c>
      <c r="W76" s="875">
        <f t="shared" si="14"/>
        <v>0</v>
      </c>
      <c r="X76" s="875">
        <f t="shared" si="14"/>
        <v>20051.23</v>
      </c>
      <c r="Y76" s="883"/>
      <c r="Z76" s="875">
        <f t="shared" si="15"/>
        <v>0</v>
      </c>
      <c r="AA76" s="875">
        <f t="shared" si="15"/>
        <v>0</v>
      </c>
      <c r="AB76" s="875">
        <f t="shared" si="15"/>
        <v>0</v>
      </c>
      <c r="AC76" s="878"/>
    </row>
    <row r="77" spans="1:29" ht="31.5" x14ac:dyDescent="0.2">
      <c r="A77" s="618" t="s">
        <v>1140</v>
      </c>
      <c r="B77" s="619" t="s">
        <v>747</v>
      </c>
      <c r="C77" s="620">
        <v>244</v>
      </c>
      <c r="D77" s="620">
        <v>223</v>
      </c>
      <c r="E77" s="596">
        <f t="shared" si="17"/>
        <v>9009.0300000000007</v>
      </c>
      <c r="F77" s="595">
        <f>'Прилож 4 24 (10)'!V77</f>
        <v>0</v>
      </c>
      <c r="G77" s="595">
        <f>'Прилож 4 24 (10)'!W77</f>
        <v>0</v>
      </c>
      <c r="H77" s="595">
        <f>'Прилож 4 24 (10)'!X77</f>
        <v>9009.0300000000007</v>
      </c>
      <c r="I77" s="628"/>
      <c r="J77" s="595">
        <f>'Прилож 4 24 (10)'!Z77</f>
        <v>0</v>
      </c>
      <c r="K77" s="595">
        <f>'Прилож 4 24 (10)'!AA77</f>
        <v>0</v>
      </c>
      <c r="L77" s="595">
        <f>'Прилож 4 24 (10)'!AB77</f>
        <v>0</v>
      </c>
      <c r="M77" s="876">
        <f t="shared" si="13"/>
        <v>0</v>
      </c>
      <c r="N77" s="875"/>
      <c r="O77" s="875"/>
      <c r="P77" s="875"/>
      <c r="Q77" s="877"/>
      <c r="R77" s="875"/>
      <c r="S77" s="875"/>
      <c r="T77" s="875"/>
      <c r="U77" s="876">
        <f t="shared" si="18"/>
        <v>9009.0300000000007</v>
      </c>
      <c r="V77" s="875">
        <f t="shared" si="16"/>
        <v>0</v>
      </c>
      <c r="W77" s="875">
        <f t="shared" si="14"/>
        <v>0</v>
      </c>
      <c r="X77" s="875">
        <f t="shared" si="14"/>
        <v>9009.0300000000007</v>
      </c>
      <c r="Y77" s="883"/>
      <c r="Z77" s="875">
        <f t="shared" si="15"/>
        <v>0</v>
      </c>
      <c r="AA77" s="875">
        <f t="shared" si="15"/>
        <v>0</v>
      </c>
      <c r="AB77" s="875">
        <f t="shared" si="15"/>
        <v>0</v>
      </c>
      <c r="AC77" s="878"/>
    </row>
    <row r="78" spans="1:29" ht="38.450000000000003" customHeight="1" x14ac:dyDescent="0.2">
      <c r="A78" s="618" t="s">
        <v>1141</v>
      </c>
      <c r="B78" s="619" t="s">
        <v>747</v>
      </c>
      <c r="C78" s="620">
        <v>244</v>
      </c>
      <c r="D78" s="620">
        <v>223</v>
      </c>
      <c r="E78" s="596">
        <f t="shared" si="17"/>
        <v>6757.58</v>
      </c>
      <c r="F78" s="595">
        <f>'Прилож 4 24 (10)'!V78</f>
        <v>0</v>
      </c>
      <c r="G78" s="595">
        <f>'Прилож 4 24 (10)'!W78</f>
        <v>0</v>
      </c>
      <c r="H78" s="595">
        <f>'Прилож 4 24 (10)'!X78</f>
        <v>6757.58</v>
      </c>
      <c r="I78" s="628"/>
      <c r="J78" s="595">
        <f>'Прилож 4 24 (10)'!Z78</f>
        <v>0</v>
      </c>
      <c r="K78" s="595">
        <f>'Прилож 4 24 (10)'!AA78</f>
        <v>0</v>
      </c>
      <c r="L78" s="595">
        <f>'Прилож 4 24 (10)'!AB78</f>
        <v>0</v>
      </c>
      <c r="M78" s="876">
        <f t="shared" si="13"/>
        <v>0</v>
      </c>
      <c r="N78" s="875"/>
      <c r="O78" s="875"/>
      <c r="P78" s="875"/>
      <c r="Q78" s="877"/>
      <c r="R78" s="875"/>
      <c r="S78" s="875"/>
      <c r="T78" s="875"/>
      <c r="U78" s="876">
        <f t="shared" si="18"/>
        <v>6757.58</v>
      </c>
      <c r="V78" s="875">
        <f t="shared" si="16"/>
        <v>0</v>
      </c>
      <c r="W78" s="875">
        <f t="shared" si="14"/>
        <v>0</v>
      </c>
      <c r="X78" s="875">
        <f t="shared" si="14"/>
        <v>6757.58</v>
      </c>
      <c r="Y78" s="883"/>
      <c r="Z78" s="875">
        <f t="shared" si="15"/>
        <v>0</v>
      </c>
      <c r="AA78" s="875">
        <f t="shared" si="15"/>
        <v>0</v>
      </c>
      <c r="AB78" s="875">
        <f t="shared" si="15"/>
        <v>0</v>
      </c>
      <c r="AC78" s="878"/>
    </row>
    <row r="79" spans="1:29" ht="17.45" customHeight="1" x14ac:dyDescent="0.2">
      <c r="A79" s="618" t="s">
        <v>130</v>
      </c>
      <c r="B79" s="619" t="s">
        <v>747</v>
      </c>
      <c r="C79" s="620">
        <v>244</v>
      </c>
      <c r="D79" s="620">
        <v>223</v>
      </c>
      <c r="E79" s="596">
        <f t="shared" si="17"/>
        <v>50838.7</v>
      </c>
      <c r="F79" s="595">
        <f>'Прилож 4 24 (10)'!V79</f>
        <v>0</v>
      </c>
      <c r="G79" s="595">
        <f>'Прилож 4 24 (10)'!W79</f>
        <v>0</v>
      </c>
      <c r="H79" s="595">
        <f>'Прилож 4 24 (10)'!X79</f>
        <v>50838.7</v>
      </c>
      <c r="I79" s="628"/>
      <c r="J79" s="595">
        <f>'Прилож 4 24 (10)'!Z79</f>
        <v>0</v>
      </c>
      <c r="K79" s="595">
        <f>'Прилож 4 24 (10)'!AA79</f>
        <v>0</v>
      </c>
      <c r="L79" s="595">
        <f>'Прилож 4 24 (10)'!AB79</f>
        <v>0</v>
      </c>
      <c r="M79" s="876">
        <f t="shared" si="13"/>
        <v>0</v>
      </c>
      <c r="N79" s="875"/>
      <c r="O79" s="875"/>
      <c r="P79" s="875"/>
      <c r="Q79" s="877"/>
      <c r="R79" s="875"/>
      <c r="S79" s="875"/>
      <c r="T79" s="875"/>
      <c r="U79" s="876">
        <f t="shared" si="18"/>
        <v>50838.7</v>
      </c>
      <c r="V79" s="875">
        <f t="shared" si="16"/>
        <v>0</v>
      </c>
      <c r="W79" s="875">
        <f t="shared" si="14"/>
        <v>0</v>
      </c>
      <c r="X79" s="875">
        <f t="shared" si="14"/>
        <v>50838.7</v>
      </c>
      <c r="Y79" s="883"/>
      <c r="Z79" s="875">
        <f t="shared" si="15"/>
        <v>0</v>
      </c>
      <c r="AA79" s="875">
        <f t="shared" si="15"/>
        <v>0</v>
      </c>
      <c r="AB79" s="875">
        <f t="shared" si="15"/>
        <v>0</v>
      </c>
      <c r="AC79" s="878"/>
    </row>
    <row r="80" spans="1:29" s="637" customFormat="1" ht="16.5" customHeight="1" x14ac:dyDescent="0.2">
      <c r="A80" s="632" t="s">
        <v>1143</v>
      </c>
      <c r="B80" s="633" t="s">
        <v>747</v>
      </c>
      <c r="C80" s="634">
        <v>244</v>
      </c>
      <c r="D80" s="634">
        <v>223</v>
      </c>
      <c r="E80" s="596">
        <f t="shared" si="17"/>
        <v>192275.83000000005</v>
      </c>
      <c r="F80" s="595">
        <f>'Прилож 4 24 (10)'!V80</f>
        <v>0</v>
      </c>
      <c r="G80" s="595">
        <f>'Прилож 4 24 (10)'!W80</f>
        <v>0</v>
      </c>
      <c r="H80" s="595">
        <f>'Прилож 4 24 (10)'!X80</f>
        <v>192275.83000000005</v>
      </c>
      <c r="I80" s="639"/>
      <c r="J80" s="595">
        <f>'Прилож 4 24 (10)'!Z80</f>
        <v>0</v>
      </c>
      <c r="K80" s="595">
        <f>'Прилож 4 24 (10)'!AA80</f>
        <v>0</v>
      </c>
      <c r="L80" s="595">
        <f>'Прилож 4 24 (10)'!AB80</f>
        <v>0</v>
      </c>
      <c r="M80" s="876">
        <f t="shared" si="13"/>
        <v>0</v>
      </c>
      <c r="N80" s="887"/>
      <c r="O80" s="887"/>
      <c r="P80" s="887">
        <f>SUM(P71:P79)</f>
        <v>0</v>
      </c>
      <c r="Q80" s="888"/>
      <c r="R80" s="887"/>
      <c r="S80" s="887"/>
      <c r="T80" s="887"/>
      <c r="U80" s="876">
        <f t="shared" si="18"/>
        <v>192275.83000000005</v>
      </c>
      <c r="V80" s="875">
        <f t="shared" si="16"/>
        <v>0</v>
      </c>
      <c r="W80" s="875">
        <f t="shared" si="14"/>
        <v>0</v>
      </c>
      <c r="X80" s="875">
        <f t="shared" si="14"/>
        <v>192275.83000000005</v>
      </c>
      <c r="Y80" s="889"/>
      <c r="Z80" s="875">
        <f t="shared" si="15"/>
        <v>0</v>
      </c>
      <c r="AA80" s="875">
        <f t="shared" si="15"/>
        <v>0</v>
      </c>
      <c r="AB80" s="875">
        <f t="shared" si="15"/>
        <v>0</v>
      </c>
      <c r="AC80" s="886"/>
    </row>
    <row r="81" spans="1:29" x14ac:dyDescent="0.2">
      <c r="A81" s="618" t="s">
        <v>1617</v>
      </c>
      <c r="B81" s="619" t="s">
        <v>729</v>
      </c>
      <c r="C81" s="620">
        <v>244</v>
      </c>
      <c r="D81" s="620">
        <v>223</v>
      </c>
      <c r="E81" s="596">
        <f t="shared" si="17"/>
        <v>27249.8</v>
      </c>
      <c r="F81" s="595">
        <f>'Прилож 4 24 (10)'!V81</f>
        <v>0</v>
      </c>
      <c r="G81" s="595">
        <f>'Прилож 4 24 (10)'!W81</f>
        <v>0</v>
      </c>
      <c r="H81" s="595">
        <f>'Прилож 4 24 (10)'!X81</f>
        <v>12168.5</v>
      </c>
      <c r="I81" s="628"/>
      <c r="J81" s="595">
        <f>'Прилож 4 24 (10)'!Z81</f>
        <v>0</v>
      </c>
      <c r="K81" s="595">
        <f>'Прилож 4 24 (10)'!AA81</f>
        <v>0</v>
      </c>
      <c r="L81" s="595">
        <f>'Прилож 4 24 (10)'!AB81</f>
        <v>15081.3</v>
      </c>
      <c r="M81" s="876">
        <f t="shared" si="13"/>
        <v>0</v>
      </c>
      <c r="N81" s="875"/>
      <c r="O81" s="875"/>
      <c r="P81" s="875"/>
      <c r="Q81" s="877"/>
      <c r="R81" s="875"/>
      <c r="S81" s="875"/>
      <c r="T81" s="875"/>
      <c r="U81" s="876">
        <f t="shared" si="18"/>
        <v>27249.8</v>
      </c>
      <c r="V81" s="875">
        <f t="shared" si="16"/>
        <v>0</v>
      </c>
      <c r="W81" s="875">
        <f t="shared" si="14"/>
        <v>0</v>
      </c>
      <c r="X81" s="875">
        <f t="shared" si="14"/>
        <v>12168.5</v>
      </c>
      <c r="Y81" s="883"/>
      <c r="Z81" s="875">
        <f t="shared" si="15"/>
        <v>0</v>
      </c>
      <c r="AA81" s="875">
        <f t="shared" si="15"/>
        <v>0</v>
      </c>
      <c r="AB81" s="875">
        <f t="shared" si="15"/>
        <v>15081.3</v>
      </c>
      <c r="AC81" s="1123"/>
    </row>
    <row r="82" spans="1:29" x14ac:dyDescent="0.2">
      <c r="A82" s="618" t="s">
        <v>1618</v>
      </c>
      <c r="B82" s="619" t="s">
        <v>729</v>
      </c>
      <c r="C82" s="620">
        <v>244</v>
      </c>
      <c r="D82" s="620">
        <v>223</v>
      </c>
      <c r="E82" s="596">
        <f t="shared" si="17"/>
        <v>60905.440000000002</v>
      </c>
      <c r="F82" s="595">
        <f>'Прилож 4 24 (10)'!V82</f>
        <v>0</v>
      </c>
      <c r="G82" s="595">
        <f>'Прилож 4 24 (10)'!W82</f>
        <v>0</v>
      </c>
      <c r="H82" s="595">
        <f>'Прилож 4 24 (10)'!X82</f>
        <v>29994.719999999998</v>
      </c>
      <c r="I82" s="628"/>
      <c r="J82" s="595">
        <f>'Прилож 4 24 (10)'!Z82</f>
        <v>0</v>
      </c>
      <c r="K82" s="595">
        <f>'Прилож 4 24 (10)'!AA82</f>
        <v>0</v>
      </c>
      <c r="L82" s="595">
        <f>'Прилож 4 24 (10)'!AB82</f>
        <v>30910.720000000001</v>
      </c>
      <c r="M82" s="876">
        <f t="shared" si="13"/>
        <v>0</v>
      </c>
      <c r="N82" s="875"/>
      <c r="O82" s="875"/>
      <c r="P82" s="875"/>
      <c r="Q82" s="877"/>
      <c r="R82" s="875"/>
      <c r="S82" s="875"/>
      <c r="T82" s="875"/>
      <c r="U82" s="876">
        <f t="shared" si="18"/>
        <v>60905.440000000002</v>
      </c>
      <c r="V82" s="875">
        <f t="shared" si="16"/>
        <v>0</v>
      </c>
      <c r="W82" s="875">
        <f t="shared" si="14"/>
        <v>0</v>
      </c>
      <c r="X82" s="875">
        <f t="shared" si="14"/>
        <v>29994.719999999998</v>
      </c>
      <c r="Y82" s="883"/>
      <c r="Z82" s="875">
        <f t="shared" si="15"/>
        <v>0</v>
      </c>
      <c r="AA82" s="875">
        <f t="shared" si="15"/>
        <v>0</v>
      </c>
      <c r="AB82" s="875">
        <f t="shared" si="15"/>
        <v>30910.720000000001</v>
      </c>
      <c r="AC82" s="878"/>
    </row>
    <row r="83" spans="1:29" ht="36" customHeight="1" x14ac:dyDescent="0.2">
      <c r="A83" s="618" t="s">
        <v>1619</v>
      </c>
      <c r="B83" s="619" t="s">
        <v>729</v>
      </c>
      <c r="C83" s="620">
        <v>244</v>
      </c>
      <c r="D83" s="620">
        <v>223</v>
      </c>
      <c r="E83" s="596">
        <f t="shared" si="17"/>
        <v>30452.720000000001</v>
      </c>
      <c r="F83" s="595">
        <f>'Прилож 4 24 (10)'!V83</f>
        <v>0</v>
      </c>
      <c r="G83" s="595">
        <f>'Прилож 4 24 (10)'!W83</f>
        <v>0</v>
      </c>
      <c r="H83" s="595">
        <f>'Прилож 4 24 (10)'!X83</f>
        <v>14997.359999999999</v>
      </c>
      <c r="I83" s="628"/>
      <c r="J83" s="595">
        <f>'Прилож 4 24 (10)'!Z83</f>
        <v>0</v>
      </c>
      <c r="K83" s="595">
        <f>'Прилож 4 24 (10)'!AA83</f>
        <v>0</v>
      </c>
      <c r="L83" s="595">
        <f>'Прилож 4 24 (10)'!AB83</f>
        <v>15455.36</v>
      </c>
      <c r="M83" s="876">
        <f t="shared" si="13"/>
        <v>0</v>
      </c>
      <c r="N83" s="875"/>
      <c r="O83" s="875"/>
      <c r="P83" s="875"/>
      <c r="Q83" s="877"/>
      <c r="R83" s="875"/>
      <c r="S83" s="875"/>
      <c r="T83" s="875"/>
      <c r="U83" s="876">
        <f t="shared" si="18"/>
        <v>30452.720000000001</v>
      </c>
      <c r="V83" s="875">
        <f t="shared" si="16"/>
        <v>0</v>
      </c>
      <c r="W83" s="875">
        <f t="shared" si="14"/>
        <v>0</v>
      </c>
      <c r="X83" s="875">
        <f t="shared" si="14"/>
        <v>14997.359999999999</v>
      </c>
      <c r="Y83" s="883"/>
      <c r="Z83" s="875">
        <f t="shared" si="15"/>
        <v>0</v>
      </c>
      <c r="AA83" s="875">
        <f t="shared" si="15"/>
        <v>0</v>
      </c>
      <c r="AB83" s="875">
        <f t="shared" si="15"/>
        <v>15455.36</v>
      </c>
      <c r="AC83" s="878"/>
    </row>
    <row r="84" spans="1:29" ht="31.5" x14ac:dyDescent="0.2">
      <c r="A84" s="618" t="s">
        <v>1140</v>
      </c>
      <c r="B84" s="619" t="s">
        <v>729</v>
      </c>
      <c r="C84" s="620">
        <v>244</v>
      </c>
      <c r="D84" s="620">
        <v>223</v>
      </c>
      <c r="E84" s="596">
        <f t="shared" si="17"/>
        <v>33631.26</v>
      </c>
      <c r="F84" s="595">
        <f>'Прилож 4 24 (10)'!V84</f>
        <v>0</v>
      </c>
      <c r="G84" s="595">
        <f>'Прилож 4 24 (10)'!W84</f>
        <v>0</v>
      </c>
      <c r="H84" s="595">
        <f>'Прилож 4 24 (10)'!X84</f>
        <v>33631.26</v>
      </c>
      <c r="I84" s="628"/>
      <c r="J84" s="595">
        <f>'Прилож 4 24 (10)'!Z84</f>
        <v>0</v>
      </c>
      <c r="K84" s="595">
        <f>'Прилож 4 24 (10)'!AA84</f>
        <v>0</v>
      </c>
      <c r="L84" s="595">
        <f>'Прилож 4 24 (10)'!AB84</f>
        <v>0</v>
      </c>
      <c r="M84" s="876">
        <f t="shared" si="13"/>
        <v>0</v>
      </c>
      <c r="N84" s="875"/>
      <c r="O84" s="875"/>
      <c r="P84" s="875"/>
      <c r="Q84" s="877"/>
      <c r="R84" s="875"/>
      <c r="S84" s="875"/>
      <c r="T84" s="875"/>
      <c r="U84" s="876">
        <f t="shared" si="18"/>
        <v>33631.26</v>
      </c>
      <c r="V84" s="875">
        <f t="shared" si="16"/>
        <v>0</v>
      </c>
      <c r="W84" s="875">
        <f t="shared" si="14"/>
        <v>0</v>
      </c>
      <c r="X84" s="875">
        <f t="shared" si="14"/>
        <v>33631.26</v>
      </c>
      <c r="Y84" s="883"/>
      <c r="Z84" s="875">
        <f t="shared" si="15"/>
        <v>0</v>
      </c>
      <c r="AA84" s="875">
        <f t="shared" si="15"/>
        <v>0</v>
      </c>
      <c r="AB84" s="875">
        <f t="shared" si="15"/>
        <v>0</v>
      </c>
      <c r="AC84" s="878"/>
    </row>
    <row r="85" spans="1:29" ht="31.5" x14ac:dyDescent="0.2">
      <c r="A85" s="618" t="s">
        <v>1141</v>
      </c>
      <c r="B85" s="619" t="s">
        <v>729</v>
      </c>
      <c r="C85" s="620">
        <v>244</v>
      </c>
      <c r="D85" s="620">
        <v>223</v>
      </c>
      <c r="E85" s="596">
        <f t="shared" si="17"/>
        <v>24327.269999999997</v>
      </c>
      <c r="F85" s="595">
        <f>'Прилож 4 24 (10)'!V85</f>
        <v>0</v>
      </c>
      <c r="G85" s="595">
        <f>'Прилож 4 24 (10)'!W85</f>
        <v>0</v>
      </c>
      <c r="H85" s="595">
        <f>'Прилож 4 24 (10)'!X85</f>
        <v>24327.269999999997</v>
      </c>
      <c r="I85" s="628"/>
      <c r="J85" s="595">
        <f>'Прилож 4 24 (10)'!Z85</f>
        <v>0</v>
      </c>
      <c r="K85" s="595">
        <f>'Прилож 4 24 (10)'!AA85</f>
        <v>0</v>
      </c>
      <c r="L85" s="595">
        <f>'Прилож 4 24 (10)'!AB85</f>
        <v>0</v>
      </c>
      <c r="M85" s="876">
        <f t="shared" si="13"/>
        <v>0</v>
      </c>
      <c r="N85" s="875"/>
      <c r="O85" s="875"/>
      <c r="P85" s="875"/>
      <c r="Q85" s="877"/>
      <c r="R85" s="875"/>
      <c r="S85" s="875"/>
      <c r="T85" s="875"/>
      <c r="U85" s="876">
        <f t="shared" si="18"/>
        <v>24327.269999999997</v>
      </c>
      <c r="V85" s="875">
        <f t="shared" si="16"/>
        <v>0</v>
      </c>
      <c r="W85" s="875">
        <f t="shared" ref="W85:X116" si="19">O85+G85</f>
        <v>0</v>
      </c>
      <c r="X85" s="875">
        <f t="shared" si="19"/>
        <v>24327.269999999997</v>
      </c>
      <c r="Y85" s="883"/>
      <c r="Z85" s="875">
        <f t="shared" ref="Z85:AB116" si="20">R85+J85</f>
        <v>0</v>
      </c>
      <c r="AA85" s="875">
        <f t="shared" si="20"/>
        <v>0</v>
      </c>
      <c r="AB85" s="875">
        <f t="shared" si="20"/>
        <v>0</v>
      </c>
      <c r="AC85" s="878"/>
    </row>
    <row r="86" spans="1:29" ht="45.75" customHeight="1" x14ac:dyDescent="0.2">
      <c r="A86" s="618" t="s">
        <v>130</v>
      </c>
      <c r="B86" s="619" t="s">
        <v>729</v>
      </c>
      <c r="C86" s="620">
        <v>244</v>
      </c>
      <c r="D86" s="620">
        <v>223</v>
      </c>
      <c r="E86" s="596">
        <f t="shared" si="17"/>
        <v>85139.489999999991</v>
      </c>
      <c r="F86" s="595">
        <f>'Прилож 4 24 (10)'!V86</f>
        <v>0</v>
      </c>
      <c r="G86" s="595">
        <f>'Прилож 4 24 (10)'!W86</f>
        <v>0</v>
      </c>
      <c r="H86" s="595">
        <f>'Прилож 4 24 (10)'!X86</f>
        <v>85139.489999999991</v>
      </c>
      <c r="I86" s="628"/>
      <c r="J86" s="595">
        <f>'Прилож 4 24 (10)'!Z86</f>
        <v>0</v>
      </c>
      <c r="K86" s="595">
        <f>'Прилож 4 24 (10)'!AA86</f>
        <v>0</v>
      </c>
      <c r="L86" s="595">
        <f>'Прилож 4 24 (10)'!AB86</f>
        <v>0</v>
      </c>
      <c r="M86" s="876">
        <f t="shared" si="13"/>
        <v>0</v>
      </c>
      <c r="N86" s="875"/>
      <c r="O86" s="875"/>
      <c r="P86" s="875"/>
      <c r="Q86" s="877"/>
      <c r="R86" s="875"/>
      <c r="S86" s="875"/>
      <c r="T86" s="875"/>
      <c r="U86" s="876">
        <f t="shared" si="18"/>
        <v>85139.489999999991</v>
      </c>
      <c r="V86" s="875">
        <f t="shared" si="16"/>
        <v>0</v>
      </c>
      <c r="W86" s="875">
        <f t="shared" si="19"/>
        <v>0</v>
      </c>
      <c r="X86" s="875">
        <f t="shared" si="19"/>
        <v>85139.489999999991</v>
      </c>
      <c r="Y86" s="883"/>
      <c r="Z86" s="875">
        <f t="shared" si="20"/>
        <v>0</v>
      </c>
      <c r="AA86" s="875">
        <f t="shared" si="20"/>
        <v>0</v>
      </c>
      <c r="AB86" s="875">
        <f t="shared" si="20"/>
        <v>0</v>
      </c>
      <c r="AC86" s="878"/>
    </row>
    <row r="87" spans="1:29" s="637" customFormat="1" ht="23.45" customHeight="1" x14ac:dyDescent="0.2">
      <c r="A87" s="1046" t="s">
        <v>1143</v>
      </c>
      <c r="B87" s="1047" t="s">
        <v>729</v>
      </c>
      <c r="C87" s="1048">
        <v>244</v>
      </c>
      <c r="D87" s="1048">
        <v>223</v>
      </c>
      <c r="E87" s="596">
        <f t="shared" si="17"/>
        <v>261705.98</v>
      </c>
      <c r="F87" s="595">
        <f>'Прилож 4 24 (10)'!V87</f>
        <v>0</v>
      </c>
      <c r="G87" s="595">
        <f>'Прилож 4 24 (10)'!W87</f>
        <v>0</v>
      </c>
      <c r="H87" s="595">
        <f>'Прилож 4 24 (10)'!X87</f>
        <v>200258.6</v>
      </c>
      <c r="I87" s="635"/>
      <c r="J87" s="595">
        <f>'Прилож 4 24 (10)'!Z87</f>
        <v>0</v>
      </c>
      <c r="K87" s="595">
        <f>'Прилож 4 24 (10)'!AA87</f>
        <v>0</v>
      </c>
      <c r="L87" s="595">
        <f>'Прилож 4 24 (10)'!AB87</f>
        <v>61447.38</v>
      </c>
      <c r="M87" s="876">
        <f t="shared" si="13"/>
        <v>0</v>
      </c>
      <c r="N87" s="884"/>
      <c r="O87" s="884"/>
      <c r="P87" s="884">
        <f>SUM(P81:P86)</f>
        <v>0</v>
      </c>
      <c r="Q87" s="885"/>
      <c r="R87" s="884"/>
      <c r="S87" s="884"/>
      <c r="T87" s="884">
        <f>SUM(T81:T86)</f>
        <v>0</v>
      </c>
      <c r="U87" s="876">
        <f t="shared" si="18"/>
        <v>261705.98</v>
      </c>
      <c r="V87" s="876">
        <f t="shared" si="16"/>
        <v>0</v>
      </c>
      <c r="W87" s="876">
        <f t="shared" si="19"/>
        <v>0</v>
      </c>
      <c r="X87" s="876">
        <f t="shared" si="19"/>
        <v>200258.6</v>
      </c>
      <c r="Y87" s="885"/>
      <c r="Z87" s="876">
        <f t="shared" si="20"/>
        <v>0</v>
      </c>
      <c r="AA87" s="876">
        <f t="shared" si="20"/>
        <v>0</v>
      </c>
      <c r="AB87" s="876">
        <f t="shared" si="20"/>
        <v>61447.38</v>
      </c>
      <c r="AC87" s="878"/>
    </row>
    <row r="88" spans="1:29" s="614" customFormat="1" x14ac:dyDescent="0.2">
      <c r="A88" s="630" t="s">
        <v>736</v>
      </c>
      <c r="B88" s="631"/>
      <c r="C88" s="624"/>
      <c r="D88" s="624"/>
      <c r="E88" s="596">
        <f t="shared" si="17"/>
        <v>453981.81000000006</v>
      </c>
      <c r="F88" s="595">
        <f>'Прилож 4 24 (10)'!V88</f>
        <v>0</v>
      </c>
      <c r="G88" s="595">
        <f>'Прилож 4 24 (10)'!W88</f>
        <v>0</v>
      </c>
      <c r="H88" s="595">
        <f>'Прилож 4 24 (10)'!X88</f>
        <v>392534.43000000005</v>
      </c>
      <c r="I88" s="626"/>
      <c r="J88" s="595">
        <f>'Прилож 4 24 (10)'!Z88</f>
        <v>0</v>
      </c>
      <c r="K88" s="595">
        <f>'Прилож 4 24 (10)'!AA88</f>
        <v>0</v>
      </c>
      <c r="L88" s="595">
        <f>'Прилож 4 24 (10)'!AB88</f>
        <v>61447.38</v>
      </c>
      <c r="M88" s="876">
        <f t="shared" si="13"/>
        <v>0</v>
      </c>
      <c r="N88" s="876"/>
      <c r="O88" s="876"/>
      <c r="P88" s="876">
        <f>P87+P80</f>
        <v>0</v>
      </c>
      <c r="Q88" s="881"/>
      <c r="R88" s="876"/>
      <c r="S88" s="876"/>
      <c r="T88" s="876">
        <f>T80+T87</f>
        <v>0</v>
      </c>
      <c r="U88" s="876">
        <f t="shared" si="18"/>
        <v>453981.81000000006</v>
      </c>
      <c r="V88" s="875">
        <f t="shared" si="16"/>
        <v>0</v>
      </c>
      <c r="W88" s="875">
        <f t="shared" si="19"/>
        <v>0</v>
      </c>
      <c r="X88" s="875">
        <f t="shared" si="19"/>
        <v>392534.43000000005</v>
      </c>
      <c r="Y88" s="881"/>
      <c r="Z88" s="875">
        <f t="shared" si="20"/>
        <v>0</v>
      </c>
      <c r="AA88" s="875">
        <f t="shared" si="20"/>
        <v>0</v>
      </c>
      <c r="AB88" s="875">
        <f t="shared" si="20"/>
        <v>61447.38</v>
      </c>
      <c r="AC88" s="878"/>
    </row>
    <row r="89" spans="1:29" x14ac:dyDescent="0.2">
      <c r="A89" s="618" t="s">
        <v>131</v>
      </c>
      <c r="B89" s="619" t="s">
        <v>747</v>
      </c>
      <c r="C89" s="620">
        <v>247</v>
      </c>
      <c r="D89" s="620">
        <v>223</v>
      </c>
      <c r="E89" s="596">
        <f t="shared" si="17"/>
        <v>560104.18000000005</v>
      </c>
      <c r="F89" s="595">
        <f>'Прилож 4 24 (10)'!V89</f>
        <v>0</v>
      </c>
      <c r="G89" s="595">
        <f>'Прилож 4 24 (10)'!W89</f>
        <v>0</v>
      </c>
      <c r="H89" s="595">
        <f>'Прилож 4 24 (10)'!X89</f>
        <v>560104.18000000005</v>
      </c>
      <c r="I89" s="621"/>
      <c r="J89" s="595">
        <f>'Прилож 4 24 (10)'!Z89</f>
        <v>0</v>
      </c>
      <c r="K89" s="595">
        <f>'Прилож 4 24 (10)'!AA89</f>
        <v>0</v>
      </c>
      <c r="L89" s="595">
        <f>'Прилож 4 24 (10)'!AB89</f>
        <v>0</v>
      </c>
      <c r="M89" s="876">
        <f t="shared" si="13"/>
        <v>0</v>
      </c>
      <c r="N89" s="875"/>
      <c r="O89" s="875"/>
      <c r="P89" s="875"/>
      <c r="Q89" s="877"/>
      <c r="R89" s="875"/>
      <c r="S89" s="875"/>
      <c r="T89" s="875"/>
      <c r="U89" s="876">
        <f t="shared" si="18"/>
        <v>560104.18000000005</v>
      </c>
      <c r="V89" s="875">
        <f t="shared" si="16"/>
        <v>0</v>
      </c>
      <c r="W89" s="875">
        <f t="shared" si="19"/>
        <v>0</v>
      </c>
      <c r="X89" s="875">
        <f t="shared" si="19"/>
        <v>560104.18000000005</v>
      </c>
      <c r="Y89" s="877"/>
      <c r="Z89" s="875">
        <f t="shared" si="20"/>
        <v>0</v>
      </c>
      <c r="AA89" s="875">
        <f t="shared" si="20"/>
        <v>0</v>
      </c>
      <c r="AB89" s="875">
        <f t="shared" si="20"/>
        <v>0</v>
      </c>
      <c r="AC89" s="878"/>
    </row>
    <row r="90" spans="1:29" ht="47.25" customHeight="1" x14ac:dyDescent="0.2">
      <c r="A90" s="618" t="s">
        <v>133</v>
      </c>
      <c r="B90" s="619" t="s">
        <v>747</v>
      </c>
      <c r="C90" s="620">
        <v>247</v>
      </c>
      <c r="D90" s="620">
        <v>223</v>
      </c>
      <c r="E90" s="596">
        <f t="shared" si="17"/>
        <v>668983.14</v>
      </c>
      <c r="F90" s="595">
        <f>'Прилож 4 24 (10)'!V90</f>
        <v>0</v>
      </c>
      <c r="G90" s="595">
        <f>'Прилож 4 24 (10)'!W90</f>
        <v>0</v>
      </c>
      <c r="H90" s="595">
        <f>'Прилож 4 24 (10)'!X90</f>
        <v>668983.14</v>
      </c>
      <c r="I90" s="621"/>
      <c r="J90" s="595">
        <f>'Прилож 4 24 (10)'!Z90</f>
        <v>0</v>
      </c>
      <c r="K90" s="595">
        <f>'Прилож 4 24 (10)'!AA90</f>
        <v>0</v>
      </c>
      <c r="L90" s="595">
        <f>'Прилож 4 24 (10)'!AB90</f>
        <v>0</v>
      </c>
      <c r="M90" s="876">
        <f t="shared" si="13"/>
        <v>0</v>
      </c>
      <c r="N90" s="875"/>
      <c r="O90" s="875"/>
      <c r="P90" s="875"/>
      <c r="Q90" s="877"/>
      <c r="R90" s="875"/>
      <c r="S90" s="875"/>
      <c r="T90" s="875"/>
      <c r="U90" s="876">
        <f t="shared" si="18"/>
        <v>668983.14</v>
      </c>
      <c r="V90" s="875">
        <f t="shared" si="16"/>
        <v>0</v>
      </c>
      <c r="W90" s="875">
        <f t="shared" si="19"/>
        <v>0</v>
      </c>
      <c r="X90" s="875">
        <f t="shared" si="19"/>
        <v>668983.14</v>
      </c>
      <c r="Y90" s="877"/>
      <c r="Z90" s="875">
        <f t="shared" si="20"/>
        <v>0</v>
      </c>
      <c r="AA90" s="875">
        <f t="shared" si="20"/>
        <v>0</v>
      </c>
      <c r="AB90" s="875">
        <f t="shared" si="20"/>
        <v>0</v>
      </c>
      <c r="AC90" s="878"/>
    </row>
    <row r="91" spans="1:29" ht="30.75" customHeight="1" x14ac:dyDescent="0.2">
      <c r="A91" s="618" t="s">
        <v>1557</v>
      </c>
      <c r="B91" s="619" t="s">
        <v>747</v>
      </c>
      <c r="C91" s="620">
        <v>247</v>
      </c>
      <c r="D91" s="620">
        <v>223</v>
      </c>
      <c r="E91" s="596">
        <f t="shared" si="17"/>
        <v>321956.94</v>
      </c>
      <c r="F91" s="595">
        <f>'Прилож 4 24 (10)'!V91</f>
        <v>0</v>
      </c>
      <c r="G91" s="595">
        <f>'Прилож 4 24 (10)'!W91</f>
        <v>0</v>
      </c>
      <c r="H91" s="595">
        <f>'Прилож 4 24 (10)'!X91</f>
        <v>321956.94</v>
      </c>
      <c r="I91" s="621"/>
      <c r="J91" s="595">
        <f>'Прилож 4 24 (10)'!Z91</f>
        <v>0</v>
      </c>
      <c r="K91" s="595">
        <f>'Прилож 4 24 (10)'!AA91</f>
        <v>0</v>
      </c>
      <c r="L91" s="595">
        <f>'Прилож 4 24 (10)'!AB91</f>
        <v>0</v>
      </c>
      <c r="M91" s="876">
        <f t="shared" si="13"/>
        <v>0</v>
      </c>
      <c r="N91" s="875"/>
      <c r="O91" s="875"/>
      <c r="P91" s="875"/>
      <c r="Q91" s="877"/>
      <c r="R91" s="875"/>
      <c r="S91" s="875"/>
      <c r="T91" s="875"/>
      <c r="U91" s="876">
        <f t="shared" si="18"/>
        <v>321956.94</v>
      </c>
      <c r="V91" s="875">
        <f t="shared" si="16"/>
        <v>0</v>
      </c>
      <c r="W91" s="875">
        <f t="shared" si="19"/>
        <v>0</v>
      </c>
      <c r="X91" s="875">
        <f t="shared" si="19"/>
        <v>321956.94</v>
      </c>
      <c r="Y91" s="877"/>
      <c r="Z91" s="875">
        <f t="shared" si="20"/>
        <v>0</v>
      </c>
      <c r="AA91" s="875">
        <f t="shared" si="20"/>
        <v>0</v>
      </c>
      <c r="AB91" s="875">
        <f t="shared" si="20"/>
        <v>0</v>
      </c>
      <c r="AC91" s="878"/>
    </row>
    <row r="92" spans="1:29" ht="31.5" x14ac:dyDescent="0.2">
      <c r="A92" s="618" t="s">
        <v>1240</v>
      </c>
      <c r="B92" s="619" t="s">
        <v>747</v>
      </c>
      <c r="C92" s="620">
        <v>247</v>
      </c>
      <c r="D92" s="620">
        <v>223</v>
      </c>
      <c r="E92" s="596">
        <f t="shared" si="17"/>
        <v>26035.620000000003</v>
      </c>
      <c r="F92" s="595">
        <f>'Прилож 4 24 (10)'!V92</f>
        <v>0</v>
      </c>
      <c r="G92" s="595">
        <f>'Прилож 4 24 (10)'!W92</f>
        <v>0</v>
      </c>
      <c r="H92" s="595">
        <f>'Прилож 4 24 (10)'!X92</f>
        <v>26035.620000000003</v>
      </c>
      <c r="I92" s="621"/>
      <c r="J92" s="595">
        <f>'Прилож 4 24 (10)'!Z92</f>
        <v>0</v>
      </c>
      <c r="K92" s="595">
        <f>'Прилож 4 24 (10)'!AA92</f>
        <v>0</v>
      </c>
      <c r="L92" s="595">
        <f>'Прилож 4 24 (10)'!AB92</f>
        <v>0</v>
      </c>
      <c r="M92" s="876">
        <f t="shared" si="13"/>
        <v>0</v>
      </c>
      <c r="N92" s="875"/>
      <c r="O92" s="875"/>
      <c r="P92" s="875"/>
      <c r="Q92" s="877"/>
      <c r="R92" s="875"/>
      <c r="S92" s="875"/>
      <c r="T92" s="875"/>
      <c r="U92" s="876">
        <f t="shared" si="18"/>
        <v>26035.620000000003</v>
      </c>
      <c r="V92" s="875">
        <f t="shared" si="16"/>
        <v>0</v>
      </c>
      <c r="W92" s="875">
        <f t="shared" si="19"/>
        <v>0</v>
      </c>
      <c r="X92" s="875">
        <f t="shared" si="19"/>
        <v>26035.620000000003</v>
      </c>
      <c r="Y92" s="877"/>
      <c r="Z92" s="875">
        <f t="shared" si="20"/>
        <v>0</v>
      </c>
      <c r="AA92" s="875">
        <f t="shared" si="20"/>
        <v>0</v>
      </c>
      <c r="AB92" s="875">
        <f t="shared" si="20"/>
        <v>0</v>
      </c>
      <c r="AC92" s="878"/>
    </row>
    <row r="93" spans="1:29" ht="31.5" x14ac:dyDescent="0.2">
      <c r="A93" s="618" t="s">
        <v>1241</v>
      </c>
      <c r="B93" s="619" t="s">
        <v>747</v>
      </c>
      <c r="C93" s="620">
        <v>247</v>
      </c>
      <c r="D93" s="620">
        <v>223</v>
      </c>
      <c r="E93" s="596">
        <f t="shared" si="17"/>
        <v>39673.699999999997</v>
      </c>
      <c r="F93" s="595">
        <f>'Прилож 4 24 (10)'!V93</f>
        <v>0</v>
      </c>
      <c r="G93" s="595">
        <f>'Прилож 4 24 (10)'!W93</f>
        <v>0</v>
      </c>
      <c r="H93" s="595">
        <f>'Прилож 4 24 (10)'!X93</f>
        <v>39673.699999999997</v>
      </c>
      <c r="I93" s="621"/>
      <c r="J93" s="595">
        <f>'Прилож 4 24 (10)'!Z93</f>
        <v>0</v>
      </c>
      <c r="K93" s="595">
        <f>'Прилож 4 24 (10)'!AA93</f>
        <v>0</v>
      </c>
      <c r="L93" s="595">
        <f>'Прилож 4 24 (10)'!AB93</f>
        <v>0</v>
      </c>
      <c r="M93" s="876">
        <f t="shared" si="13"/>
        <v>0</v>
      </c>
      <c r="N93" s="875"/>
      <c r="O93" s="875"/>
      <c r="P93" s="875"/>
      <c r="Q93" s="877"/>
      <c r="R93" s="875"/>
      <c r="S93" s="875"/>
      <c r="T93" s="875"/>
      <c r="U93" s="876">
        <f t="shared" si="18"/>
        <v>39673.699999999997</v>
      </c>
      <c r="V93" s="875">
        <f t="shared" si="16"/>
        <v>0</v>
      </c>
      <c r="W93" s="875">
        <f t="shared" si="19"/>
        <v>0</v>
      </c>
      <c r="X93" s="875">
        <f t="shared" si="19"/>
        <v>39673.699999999997</v>
      </c>
      <c r="Y93" s="877"/>
      <c r="Z93" s="875">
        <f t="shared" si="20"/>
        <v>0</v>
      </c>
      <c r="AA93" s="875">
        <f t="shared" si="20"/>
        <v>0</v>
      </c>
      <c r="AB93" s="875">
        <f t="shared" si="20"/>
        <v>0</v>
      </c>
      <c r="AC93" s="878"/>
    </row>
    <row r="94" spans="1:29" ht="31.5" x14ac:dyDescent="0.2">
      <c r="A94" s="618" t="s">
        <v>1242</v>
      </c>
      <c r="B94" s="619" t="s">
        <v>747</v>
      </c>
      <c r="C94" s="620">
        <v>247</v>
      </c>
      <c r="D94" s="620">
        <v>223</v>
      </c>
      <c r="E94" s="596">
        <f t="shared" si="17"/>
        <v>17888.509999999998</v>
      </c>
      <c r="F94" s="595">
        <f>'Прилож 4 24 (10)'!V94</f>
        <v>0</v>
      </c>
      <c r="G94" s="595">
        <f>'Прилож 4 24 (10)'!W94</f>
        <v>0</v>
      </c>
      <c r="H94" s="595">
        <f>'Прилож 4 24 (10)'!X94</f>
        <v>17888.509999999998</v>
      </c>
      <c r="I94" s="621"/>
      <c r="J94" s="595">
        <f>'Прилож 4 24 (10)'!Z94</f>
        <v>0</v>
      </c>
      <c r="K94" s="595">
        <f>'Прилож 4 24 (10)'!AA94</f>
        <v>0</v>
      </c>
      <c r="L94" s="595">
        <f>'Прилож 4 24 (10)'!AB94</f>
        <v>0</v>
      </c>
      <c r="M94" s="876">
        <f t="shared" si="13"/>
        <v>0</v>
      </c>
      <c r="N94" s="875"/>
      <c r="O94" s="875"/>
      <c r="P94" s="875"/>
      <c r="Q94" s="877"/>
      <c r="R94" s="875"/>
      <c r="S94" s="875"/>
      <c r="T94" s="875"/>
      <c r="U94" s="876">
        <f t="shared" si="18"/>
        <v>17888.509999999998</v>
      </c>
      <c r="V94" s="875">
        <f t="shared" si="16"/>
        <v>0</v>
      </c>
      <c r="W94" s="875">
        <f t="shared" si="19"/>
        <v>0</v>
      </c>
      <c r="X94" s="875">
        <f t="shared" si="19"/>
        <v>17888.509999999998</v>
      </c>
      <c r="Y94" s="877"/>
      <c r="Z94" s="875">
        <f t="shared" si="20"/>
        <v>0</v>
      </c>
      <c r="AA94" s="875">
        <f t="shared" si="20"/>
        <v>0</v>
      </c>
      <c r="AB94" s="875">
        <f t="shared" si="20"/>
        <v>0</v>
      </c>
      <c r="AC94" s="878"/>
    </row>
    <row r="95" spans="1:29" ht="31.5" x14ac:dyDescent="0.2">
      <c r="A95" s="618" t="s">
        <v>1242</v>
      </c>
      <c r="B95" s="619" t="s">
        <v>747</v>
      </c>
      <c r="C95" s="620">
        <v>247</v>
      </c>
      <c r="D95" s="620">
        <v>223</v>
      </c>
      <c r="E95" s="596">
        <f t="shared" si="17"/>
        <v>28518.92</v>
      </c>
      <c r="F95" s="595">
        <f>'Прилож 4 24 (10)'!V95</f>
        <v>0</v>
      </c>
      <c r="G95" s="595">
        <f>'Прилож 4 24 (10)'!W95</f>
        <v>0</v>
      </c>
      <c r="H95" s="595">
        <f>'Прилож 4 24 (10)'!X95</f>
        <v>28518.92</v>
      </c>
      <c r="I95" s="621"/>
      <c r="J95" s="595">
        <f>'Прилож 4 24 (10)'!Z95</f>
        <v>0</v>
      </c>
      <c r="K95" s="595">
        <f>'Прилож 4 24 (10)'!AA95</f>
        <v>0</v>
      </c>
      <c r="L95" s="595">
        <f>'Прилож 4 24 (10)'!AB95</f>
        <v>0</v>
      </c>
      <c r="M95" s="876">
        <f t="shared" si="13"/>
        <v>0</v>
      </c>
      <c r="N95" s="875"/>
      <c r="O95" s="875"/>
      <c r="P95" s="875"/>
      <c r="Q95" s="877"/>
      <c r="R95" s="875"/>
      <c r="S95" s="875"/>
      <c r="T95" s="875"/>
      <c r="U95" s="876">
        <f t="shared" si="18"/>
        <v>28518.92</v>
      </c>
      <c r="V95" s="875">
        <f t="shared" si="16"/>
        <v>0</v>
      </c>
      <c r="W95" s="875">
        <f t="shared" si="19"/>
        <v>0</v>
      </c>
      <c r="X95" s="875">
        <f t="shared" si="19"/>
        <v>28518.92</v>
      </c>
      <c r="Y95" s="877"/>
      <c r="Z95" s="875">
        <f t="shared" si="20"/>
        <v>0</v>
      </c>
      <c r="AA95" s="875">
        <f t="shared" si="20"/>
        <v>0</v>
      </c>
      <c r="AB95" s="875">
        <f t="shared" si="20"/>
        <v>0</v>
      </c>
      <c r="AC95" s="878"/>
    </row>
    <row r="96" spans="1:29" s="637" customFormat="1" ht="25.5" customHeight="1" x14ac:dyDescent="0.2">
      <c r="A96" s="1046" t="s">
        <v>1143</v>
      </c>
      <c r="B96" s="1047" t="s">
        <v>747</v>
      </c>
      <c r="C96" s="1048">
        <v>247</v>
      </c>
      <c r="D96" s="1048">
        <v>223</v>
      </c>
      <c r="E96" s="596">
        <f t="shared" si="17"/>
        <v>1663161.01</v>
      </c>
      <c r="F96" s="595">
        <f>'Прилож 4 24 (10)'!V96</f>
        <v>0</v>
      </c>
      <c r="G96" s="595">
        <f>'Прилож 4 24 (10)'!W96</f>
        <v>0</v>
      </c>
      <c r="H96" s="595">
        <f>'Прилож 4 24 (10)'!X96</f>
        <v>1663161.01</v>
      </c>
      <c r="I96" s="635"/>
      <c r="J96" s="595">
        <f>'Прилож 4 24 (10)'!Z96</f>
        <v>0</v>
      </c>
      <c r="K96" s="595">
        <f>'Прилож 4 24 (10)'!AA96</f>
        <v>0</v>
      </c>
      <c r="L96" s="595">
        <f>'Прилож 4 24 (10)'!AB96</f>
        <v>0</v>
      </c>
      <c r="M96" s="876">
        <f t="shared" si="13"/>
        <v>0</v>
      </c>
      <c r="N96" s="884"/>
      <c r="O96" s="884"/>
      <c r="P96" s="884">
        <f>SUM(P89:P95)</f>
        <v>0</v>
      </c>
      <c r="Q96" s="885"/>
      <c r="R96" s="884"/>
      <c r="S96" s="884"/>
      <c r="T96" s="884"/>
      <c r="U96" s="876">
        <f t="shared" si="18"/>
        <v>1663161.01</v>
      </c>
      <c r="V96" s="876">
        <f t="shared" si="16"/>
        <v>0</v>
      </c>
      <c r="W96" s="876">
        <f t="shared" si="19"/>
        <v>0</v>
      </c>
      <c r="X96" s="876">
        <f t="shared" si="19"/>
        <v>1663161.01</v>
      </c>
      <c r="Y96" s="885"/>
      <c r="Z96" s="876">
        <f t="shared" si="20"/>
        <v>0</v>
      </c>
      <c r="AA96" s="876">
        <f t="shared" si="20"/>
        <v>0</v>
      </c>
      <c r="AB96" s="876">
        <f t="shared" si="20"/>
        <v>0</v>
      </c>
      <c r="AC96" s="878"/>
    </row>
    <row r="97" spans="1:29" ht="79.5" customHeight="1" x14ac:dyDescent="0.2">
      <c r="A97" s="618" t="s">
        <v>131</v>
      </c>
      <c r="B97" s="619" t="s">
        <v>729</v>
      </c>
      <c r="C97" s="620">
        <v>247</v>
      </c>
      <c r="D97" s="620">
        <v>223</v>
      </c>
      <c r="E97" s="596">
        <f t="shared" si="17"/>
        <v>715154.32</v>
      </c>
      <c r="F97" s="595">
        <f>'Прилож 4 24 (10)'!V97</f>
        <v>0</v>
      </c>
      <c r="G97" s="595">
        <f>'Прилож 4 24 (10)'!W97</f>
        <v>0</v>
      </c>
      <c r="H97" s="595">
        <f>'Прилож 4 24 (10)'!X97</f>
        <v>217353.50999999998</v>
      </c>
      <c r="I97" s="621"/>
      <c r="J97" s="595">
        <f>'Прилож 4 24 (10)'!Z97</f>
        <v>0</v>
      </c>
      <c r="K97" s="595">
        <f>'Прилож 4 24 (10)'!AA97</f>
        <v>0</v>
      </c>
      <c r="L97" s="595">
        <f>'Прилож 4 24 (10)'!AB97</f>
        <v>497800.81</v>
      </c>
      <c r="M97" s="876">
        <f t="shared" si="13"/>
        <v>0</v>
      </c>
      <c r="N97" s="875"/>
      <c r="O97" s="875"/>
      <c r="P97" s="875"/>
      <c r="Q97" s="877"/>
      <c r="R97" s="875"/>
      <c r="S97" s="875"/>
      <c r="T97" s="875"/>
      <c r="U97" s="876">
        <f t="shared" si="18"/>
        <v>715154.32</v>
      </c>
      <c r="V97" s="875">
        <f t="shared" si="16"/>
        <v>0</v>
      </c>
      <c r="W97" s="875">
        <f t="shared" si="19"/>
        <v>0</v>
      </c>
      <c r="X97" s="875">
        <f t="shared" si="19"/>
        <v>217353.50999999998</v>
      </c>
      <c r="Y97" s="877"/>
      <c r="Z97" s="875">
        <f t="shared" si="20"/>
        <v>0</v>
      </c>
      <c r="AA97" s="875">
        <f t="shared" si="20"/>
        <v>0</v>
      </c>
      <c r="AB97" s="875">
        <f t="shared" si="20"/>
        <v>497800.81</v>
      </c>
      <c r="AC97" s="878"/>
    </row>
    <row r="98" spans="1:29" ht="60.75" customHeight="1" x14ac:dyDescent="0.2">
      <c r="A98" s="618" t="s">
        <v>133</v>
      </c>
      <c r="B98" s="619" t="s">
        <v>729</v>
      </c>
      <c r="C98" s="620">
        <v>247</v>
      </c>
      <c r="D98" s="620">
        <v>223</v>
      </c>
      <c r="E98" s="596">
        <f t="shared" si="17"/>
        <v>1647134.57</v>
      </c>
      <c r="F98" s="595">
        <f>'Прилож 4 24 (10)'!V98</f>
        <v>0</v>
      </c>
      <c r="G98" s="595">
        <f>'Прилож 4 24 (10)'!W98</f>
        <v>0</v>
      </c>
      <c r="H98" s="595">
        <f>'Прилож 4 24 (10)'!X98</f>
        <v>1302562.31</v>
      </c>
      <c r="I98" s="621"/>
      <c r="J98" s="595">
        <f>'Прилож 4 24 (10)'!Z98</f>
        <v>0</v>
      </c>
      <c r="K98" s="595">
        <f>'Прилож 4 24 (10)'!AA98</f>
        <v>0</v>
      </c>
      <c r="L98" s="595">
        <f>'Прилож 4 24 (10)'!AB98</f>
        <v>344572.26</v>
      </c>
      <c r="M98" s="876">
        <f t="shared" si="13"/>
        <v>0</v>
      </c>
      <c r="N98" s="875"/>
      <c r="O98" s="875"/>
      <c r="P98" s="875"/>
      <c r="Q98" s="877"/>
      <c r="R98" s="875"/>
      <c r="S98" s="875"/>
      <c r="T98" s="875"/>
      <c r="U98" s="876">
        <f t="shared" si="18"/>
        <v>1647134.57</v>
      </c>
      <c r="V98" s="875">
        <f t="shared" si="16"/>
        <v>0</v>
      </c>
      <c r="W98" s="875">
        <f t="shared" si="19"/>
        <v>0</v>
      </c>
      <c r="X98" s="875">
        <f t="shared" si="19"/>
        <v>1302562.31</v>
      </c>
      <c r="Y98" s="877"/>
      <c r="Z98" s="875">
        <f t="shared" si="20"/>
        <v>0</v>
      </c>
      <c r="AA98" s="875">
        <f t="shared" si="20"/>
        <v>0</v>
      </c>
      <c r="AB98" s="875">
        <f t="shared" si="20"/>
        <v>344572.26</v>
      </c>
      <c r="AC98" s="878"/>
    </row>
    <row r="99" spans="1:29" ht="40.5" customHeight="1" x14ac:dyDescent="0.2">
      <c r="A99" s="618" t="s">
        <v>1557</v>
      </c>
      <c r="B99" s="619" t="s">
        <v>729</v>
      </c>
      <c r="C99" s="620">
        <v>247</v>
      </c>
      <c r="D99" s="620">
        <v>223</v>
      </c>
      <c r="E99" s="596">
        <f t="shared" si="17"/>
        <v>830843.21</v>
      </c>
      <c r="F99" s="595">
        <f>'Прилож 4 24 (10)'!V99</f>
        <v>0</v>
      </c>
      <c r="G99" s="595">
        <f>'Прилож 4 24 (10)'!W99</f>
        <v>0</v>
      </c>
      <c r="H99" s="595">
        <f>'Прилож 4 24 (10)'!X99</f>
        <v>547871.27999999991</v>
      </c>
      <c r="I99" s="621"/>
      <c r="J99" s="595">
        <f>'Прилож 4 24 (10)'!Z99</f>
        <v>0</v>
      </c>
      <c r="K99" s="595">
        <f>'Прилож 4 24 (10)'!AA99</f>
        <v>0</v>
      </c>
      <c r="L99" s="595">
        <f>'Прилож 4 24 (10)'!AB99</f>
        <v>282971.93</v>
      </c>
      <c r="M99" s="876">
        <f t="shared" si="13"/>
        <v>0</v>
      </c>
      <c r="N99" s="875"/>
      <c r="O99" s="875"/>
      <c r="P99" s="875"/>
      <c r="Q99" s="877"/>
      <c r="R99" s="875"/>
      <c r="S99" s="875"/>
      <c r="T99" s="875"/>
      <c r="U99" s="876">
        <f t="shared" si="18"/>
        <v>830843.21</v>
      </c>
      <c r="V99" s="875">
        <f t="shared" si="16"/>
        <v>0</v>
      </c>
      <c r="W99" s="875">
        <f t="shared" si="19"/>
        <v>0</v>
      </c>
      <c r="X99" s="875">
        <f t="shared" si="19"/>
        <v>547871.27999999991</v>
      </c>
      <c r="Y99" s="877"/>
      <c r="Z99" s="875">
        <f t="shared" si="20"/>
        <v>0</v>
      </c>
      <c r="AA99" s="875">
        <f t="shared" si="20"/>
        <v>0</v>
      </c>
      <c r="AB99" s="875">
        <f t="shared" si="20"/>
        <v>282971.93</v>
      </c>
      <c r="AC99" s="878"/>
    </row>
    <row r="100" spans="1:29" ht="31.5" x14ac:dyDescent="0.2">
      <c r="A100" s="618" t="s">
        <v>1240</v>
      </c>
      <c r="B100" s="619" t="s">
        <v>729</v>
      </c>
      <c r="C100" s="620">
        <v>247</v>
      </c>
      <c r="D100" s="620">
        <v>223</v>
      </c>
      <c r="E100" s="596">
        <f t="shared" si="17"/>
        <v>25272.120000000003</v>
      </c>
      <c r="F100" s="595">
        <f>'Прилож 4 24 (10)'!V100</f>
        <v>0</v>
      </c>
      <c r="G100" s="595">
        <f>'Прилож 4 24 (10)'!W100</f>
        <v>0</v>
      </c>
      <c r="H100" s="595">
        <f>'Прилож 4 24 (10)'!X100</f>
        <v>14392.130000000001</v>
      </c>
      <c r="I100" s="621"/>
      <c r="J100" s="595">
        <f>'Прилож 4 24 (10)'!Z100</f>
        <v>0</v>
      </c>
      <c r="K100" s="595">
        <f>'Прилож 4 24 (10)'!AA100</f>
        <v>0</v>
      </c>
      <c r="L100" s="595">
        <f>'Прилож 4 24 (10)'!AB100</f>
        <v>10879.99</v>
      </c>
      <c r="M100" s="876">
        <f t="shared" si="13"/>
        <v>0</v>
      </c>
      <c r="N100" s="875"/>
      <c r="O100" s="875"/>
      <c r="P100" s="875"/>
      <c r="Q100" s="877"/>
      <c r="R100" s="875"/>
      <c r="S100" s="875"/>
      <c r="T100" s="875"/>
      <c r="U100" s="876">
        <f t="shared" si="18"/>
        <v>25272.120000000003</v>
      </c>
      <c r="V100" s="875">
        <f t="shared" si="16"/>
        <v>0</v>
      </c>
      <c r="W100" s="875">
        <f t="shared" si="19"/>
        <v>0</v>
      </c>
      <c r="X100" s="875">
        <f t="shared" si="19"/>
        <v>14392.130000000001</v>
      </c>
      <c r="Y100" s="877"/>
      <c r="Z100" s="875">
        <f t="shared" si="20"/>
        <v>0</v>
      </c>
      <c r="AA100" s="875">
        <f t="shared" si="20"/>
        <v>0</v>
      </c>
      <c r="AB100" s="875">
        <f t="shared" si="20"/>
        <v>10879.99</v>
      </c>
      <c r="AC100" s="878"/>
    </row>
    <row r="101" spans="1:29" ht="31.5" x14ac:dyDescent="0.2">
      <c r="A101" s="618" t="s">
        <v>1241</v>
      </c>
      <c r="B101" s="619" t="s">
        <v>729</v>
      </c>
      <c r="C101" s="620">
        <v>247</v>
      </c>
      <c r="D101" s="620">
        <v>223</v>
      </c>
      <c r="E101" s="596">
        <f t="shared" si="17"/>
        <v>20615.379999999997</v>
      </c>
      <c r="F101" s="595">
        <f>'Прилож 4 24 (10)'!V101</f>
        <v>0</v>
      </c>
      <c r="G101" s="595">
        <f>'Прилож 4 24 (10)'!W101</f>
        <v>0</v>
      </c>
      <c r="H101" s="595">
        <f>'Прилож 4 24 (10)'!X101</f>
        <v>11688.269999999999</v>
      </c>
      <c r="I101" s="621"/>
      <c r="J101" s="595">
        <f>'Прилож 4 24 (10)'!Z101</f>
        <v>0</v>
      </c>
      <c r="K101" s="595">
        <f>'Прилож 4 24 (10)'!AA101</f>
        <v>0</v>
      </c>
      <c r="L101" s="595">
        <f>'Прилож 4 24 (10)'!AB101</f>
        <v>8927.11</v>
      </c>
      <c r="M101" s="876">
        <f t="shared" si="13"/>
        <v>0</v>
      </c>
      <c r="N101" s="875"/>
      <c r="O101" s="875"/>
      <c r="P101" s="875"/>
      <c r="Q101" s="877"/>
      <c r="R101" s="875"/>
      <c r="S101" s="875"/>
      <c r="T101" s="875"/>
      <c r="U101" s="876">
        <f t="shared" si="18"/>
        <v>20615.379999999997</v>
      </c>
      <c r="V101" s="875">
        <f t="shared" si="16"/>
        <v>0</v>
      </c>
      <c r="W101" s="875">
        <f t="shared" si="19"/>
        <v>0</v>
      </c>
      <c r="X101" s="875">
        <f t="shared" si="19"/>
        <v>11688.269999999999</v>
      </c>
      <c r="Y101" s="877"/>
      <c r="Z101" s="875">
        <f t="shared" si="20"/>
        <v>0</v>
      </c>
      <c r="AA101" s="875">
        <f t="shared" si="20"/>
        <v>0</v>
      </c>
      <c r="AB101" s="875">
        <f t="shared" si="20"/>
        <v>8927.11</v>
      </c>
      <c r="AC101" s="878"/>
    </row>
    <row r="102" spans="1:29" ht="31.5" x14ac:dyDescent="0.2">
      <c r="A102" s="618" t="s">
        <v>1242</v>
      </c>
      <c r="B102" s="619" t="s">
        <v>729</v>
      </c>
      <c r="C102" s="620">
        <v>247</v>
      </c>
      <c r="D102" s="620">
        <v>223</v>
      </c>
      <c r="E102" s="596">
        <f t="shared" si="17"/>
        <v>17349.419999999998</v>
      </c>
      <c r="F102" s="595">
        <f>'Прилож 4 24 (10)'!V102</f>
        <v>0</v>
      </c>
      <c r="G102" s="595">
        <f>'Прилож 4 24 (10)'!W102</f>
        <v>0</v>
      </c>
      <c r="H102" s="595">
        <f>'Прилож 4 24 (10)'!X102</f>
        <v>9857.9599999999991</v>
      </c>
      <c r="I102" s="621"/>
      <c r="J102" s="595">
        <f>'Прилож 4 24 (10)'!Z102</f>
        <v>0</v>
      </c>
      <c r="K102" s="595">
        <f>'Прилож 4 24 (10)'!AA102</f>
        <v>0</v>
      </c>
      <c r="L102" s="595">
        <f>'Прилож 4 24 (10)'!AB102</f>
        <v>7491.46</v>
      </c>
      <c r="M102" s="876">
        <f t="shared" si="13"/>
        <v>0</v>
      </c>
      <c r="N102" s="875"/>
      <c r="O102" s="875"/>
      <c r="P102" s="875"/>
      <c r="Q102" s="877"/>
      <c r="R102" s="875"/>
      <c r="S102" s="875"/>
      <c r="T102" s="875"/>
      <c r="U102" s="876">
        <f t="shared" si="18"/>
        <v>17349.419999999998</v>
      </c>
      <c r="V102" s="875">
        <f t="shared" si="16"/>
        <v>0</v>
      </c>
      <c r="W102" s="875">
        <f t="shared" si="19"/>
        <v>0</v>
      </c>
      <c r="X102" s="875">
        <f t="shared" si="19"/>
        <v>9857.9599999999991</v>
      </c>
      <c r="Y102" s="877"/>
      <c r="Z102" s="875">
        <f t="shared" si="20"/>
        <v>0</v>
      </c>
      <c r="AA102" s="875">
        <f t="shared" si="20"/>
        <v>0</v>
      </c>
      <c r="AB102" s="875">
        <f t="shared" si="20"/>
        <v>7491.46</v>
      </c>
      <c r="AC102" s="878"/>
    </row>
    <row r="103" spans="1:29" ht="31.5" x14ac:dyDescent="0.2">
      <c r="A103" s="618" t="s">
        <v>1625</v>
      </c>
      <c r="B103" s="619" t="s">
        <v>729</v>
      </c>
      <c r="C103" s="620">
        <v>247</v>
      </c>
      <c r="D103" s="620">
        <v>223</v>
      </c>
      <c r="E103" s="596">
        <f t="shared" si="17"/>
        <v>16845.47</v>
      </c>
      <c r="F103" s="595">
        <f>'Прилож 4 24 (10)'!V103</f>
        <v>0</v>
      </c>
      <c r="G103" s="595">
        <f>'Прилож 4 24 (10)'!W103</f>
        <v>0</v>
      </c>
      <c r="H103" s="595">
        <f>'Прилож 4 24 (10)'!X103</f>
        <v>9310.44</v>
      </c>
      <c r="I103" s="621"/>
      <c r="J103" s="595">
        <f>'Прилож 4 24 (10)'!Z103</f>
        <v>0</v>
      </c>
      <c r="K103" s="595">
        <f>'Прилож 4 24 (10)'!AA103</f>
        <v>0</v>
      </c>
      <c r="L103" s="595">
        <f>'Прилож 4 24 (10)'!AB103</f>
        <v>7535.03</v>
      </c>
      <c r="M103" s="876">
        <f t="shared" si="13"/>
        <v>0</v>
      </c>
      <c r="N103" s="875"/>
      <c r="O103" s="875"/>
      <c r="P103" s="875"/>
      <c r="Q103" s="877"/>
      <c r="R103" s="875"/>
      <c r="S103" s="875"/>
      <c r="T103" s="875"/>
      <c r="U103" s="876">
        <f t="shared" si="18"/>
        <v>16845.47</v>
      </c>
      <c r="V103" s="875">
        <f t="shared" si="16"/>
        <v>0</v>
      </c>
      <c r="W103" s="875">
        <f t="shared" si="19"/>
        <v>0</v>
      </c>
      <c r="X103" s="875">
        <f t="shared" si="19"/>
        <v>9310.44</v>
      </c>
      <c r="Y103" s="877"/>
      <c r="Z103" s="875">
        <f t="shared" si="20"/>
        <v>0</v>
      </c>
      <c r="AA103" s="875">
        <f t="shared" si="20"/>
        <v>0</v>
      </c>
      <c r="AB103" s="875">
        <f t="shared" si="20"/>
        <v>7535.03</v>
      </c>
      <c r="AC103" s="878"/>
    </row>
    <row r="104" spans="1:29" s="637" customFormat="1" x14ac:dyDescent="0.2">
      <c r="A104" s="632" t="s">
        <v>1143</v>
      </c>
      <c r="B104" s="633" t="s">
        <v>729</v>
      </c>
      <c r="C104" s="634">
        <v>247</v>
      </c>
      <c r="D104" s="634">
        <v>223</v>
      </c>
      <c r="E104" s="596">
        <f t="shared" si="17"/>
        <v>3273214.49</v>
      </c>
      <c r="F104" s="595">
        <f>'Прилож 4 24 (10)'!V104</f>
        <v>0</v>
      </c>
      <c r="G104" s="595">
        <f>'Прилож 4 24 (10)'!W104</f>
        <v>0</v>
      </c>
      <c r="H104" s="595">
        <f>'Прилож 4 24 (10)'!X104</f>
        <v>2113035.9</v>
      </c>
      <c r="I104" s="635"/>
      <c r="J104" s="595">
        <f>'Прилож 4 24 (10)'!Z104</f>
        <v>0</v>
      </c>
      <c r="K104" s="595">
        <f>'Прилож 4 24 (10)'!AA104</f>
        <v>0</v>
      </c>
      <c r="L104" s="595">
        <f>'Прилож 4 24 (10)'!AB104</f>
        <v>1160178.5900000001</v>
      </c>
      <c r="M104" s="876">
        <f t="shared" si="13"/>
        <v>0</v>
      </c>
      <c r="N104" s="884"/>
      <c r="O104" s="884"/>
      <c r="P104" s="884">
        <f>SUM(P97:P103)</f>
        <v>0</v>
      </c>
      <c r="Q104" s="885"/>
      <c r="R104" s="884"/>
      <c r="S104" s="884"/>
      <c r="T104" s="884">
        <f>SUM(T97:T103)</f>
        <v>0</v>
      </c>
      <c r="U104" s="876">
        <f t="shared" si="18"/>
        <v>3273214.49</v>
      </c>
      <c r="V104" s="875">
        <f t="shared" si="16"/>
        <v>0</v>
      </c>
      <c r="W104" s="875">
        <f t="shared" si="19"/>
        <v>0</v>
      </c>
      <c r="X104" s="875">
        <f t="shared" si="19"/>
        <v>2113035.9</v>
      </c>
      <c r="Y104" s="885"/>
      <c r="Z104" s="875">
        <f t="shared" si="20"/>
        <v>0</v>
      </c>
      <c r="AA104" s="875">
        <f t="shared" si="20"/>
        <v>0</v>
      </c>
      <c r="AB104" s="875">
        <f t="shared" si="20"/>
        <v>1160178.5900000001</v>
      </c>
      <c r="AC104" s="878"/>
    </row>
    <row r="105" spans="1:29" s="614" customFormat="1" x14ac:dyDescent="0.2">
      <c r="A105" s="630" t="s">
        <v>737</v>
      </c>
      <c r="B105" s="631"/>
      <c r="C105" s="624"/>
      <c r="D105" s="624"/>
      <c r="E105" s="596">
        <f t="shared" si="17"/>
        <v>4936375.5</v>
      </c>
      <c r="F105" s="595">
        <f>'Прилож 4 24 (10)'!V105</f>
        <v>0</v>
      </c>
      <c r="G105" s="595">
        <f>'Прилож 4 24 (10)'!W105</f>
        <v>0</v>
      </c>
      <c r="H105" s="595">
        <f>'Прилож 4 24 (10)'!X105</f>
        <v>3776196.91</v>
      </c>
      <c r="I105" s="626"/>
      <c r="J105" s="595">
        <f>'Прилож 4 24 (10)'!Z105</f>
        <v>0</v>
      </c>
      <c r="K105" s="595">
        <f>'Прилож 4 24 (10)'!AA105</f>
        <v>0</v>
      </c>
      <c r="L105" s="595">
        <f>'Прилож 4 24 (10)'!AB105</f>
        <v>1160178.5900000001</v>
      </c>
      <c r="M105" s="876">
        <f t="shared" si="13"/>
        <v>0</v>
      </c>
      <c r="N105" s="876"/>
      <c r="O105" s="876"/>
      <c r="P105" s="876">
        <f>P104+P96</f>
        <v>0</v>
      </c>
      <c r="Q105" s="881"/>
      <c r="R105" s="876"/>
      <c r="S105" s="876"/>
      <c r="T105" s="876">
        <f>T96+T104</f>
        <v>0</v>
      </c>
      <c r="U105" s="876">
        <f t="shared" si="18"/>
        <v>4936375.5</v>
      </c>
      <c r="V105" s="875">
        <f t="shared" si="16"/>
        <v>0</v>
      </c>
      <c r="W105" s="875">
        <f t="shared" si="19"/>
        <v>0</v>
      </c>
      <c r="X105" s="875">
        <f t="shared" si="19"/>
        <v>3776196.91</v>
      </c>
      <c r="Y105" s="881"/>
      <c r="Z105" s="875">
        <f t="shared" si="20"/>
        <v>0</v>
      </c>
      <c r="AA105" s="875">
        <f t="shared" si="20"/>
        <v>0</v>
      </c>
      <c r="AB105" s="875">
        <f t="shared" si="20"/>
        <v>1160178.5900000001</v>
      </c>
      <c r="AC105" s="879"/>
    </row>
    <row r="106" spans="1:29" ht="31.5" x14ac:dyDescent="0.2">
      <c r="A106" s="618" t="s">
        <v>1230</v>
      </c>
      <c r="B106" s="619" t="s">
        <v>729</v>
      </c>
      <c r="C106" s="620">
        <v>243</v>
      </c>
      <c r="D106" s="620">
        <v>225</v>
      </c>
      <c r="E106" s="596">
        <f t="shared" si="17"/>
        <v>0</v>
      </c>
      <c r="F106" s="595">
        <f>'Прилож 4 24 (10)'!V106</f>
        <v>0</v>
      </c>
      <c r="G106" s="595">
        <f>'Прилож 4 24 (10)'!W106</f>
        <v>0</v>
      </c>
      <c r="H106" s="595">
        <f>'Прилож 4 24 (10)'!X106</f>
        <v>0</v>
      </c>
      <c r="I106" s="621"/>
      <c r="J106" s="595">
        <f>'Прилож 4 24 (10)'!Z106</f>
        <v>0</v>
      </c>
      <c r="K106" s="595">
        <f>'Прилож 4 24 (10)'!AA106</f>
        <v>0</v>
      </c>
      <c r="L106" s="595">
        <f>'Прилож 4 24 (10)'!AB106</f>
        <v>0</v>
      </c>
      <c r="M106" s="876">
        <f t="shared" si="13"/>
        <v>0</v>
      </c>
      <c r="N106" s="875"/>
      <c r="O106" s="875"/>
      <c r="P106" s="875"/>
      <c r="Q106" s="890"/>
      <c r="R106" s="875"/>
      <c r="S106" s="875"/>
      <c r="T106" s="875"/>
      <c r="U106" s="876">
        <f t="shared" si="18"/>
        <v>0</v>
      </c>
      <c r="V106" s="875">
        <f t="shared" si="16"/>
        <v>0</v>
      </c>
      <c r="W106" s="875">
        <f t="shared" si="19"/>
        <v>0</v>
      </c>
      <c r="X106" s="875">
        <f t="shared" si="19"/>
        <v>0</v>
      </c>
      <c r="Y106" s="877"/>
      <c r="Z106" s="875">
        <f t="shared" si="20"/>
        <v>0</v>
      </c>
      <c r="AA106" s="875">
        <f t="shared" si="20"/>
        <v>0</v>
      </c>
      <c r="AB106" s="875">
        <f t="shared" si="20"/>
        <v>0</v>
      </c>
      <c r="AC106" s="878"/>
    </row>
    <row r="107" spans="1:29" s="614" customFormat="1" ht="28.5" customHeight="1" x14ac:dyDescent="0.2">
      <c r="A107" s="630" t="s">
        <v>1312</v>
      </c>
      <c r="B107" s="631" t="s">
        <v>729</v>
      </c>
      <c r="C107" s="624">
        <v>243</v>
      </c>
      <c r="D107" s="624">
        <v>225</v>
      </c>
      <c r="E107" s="596">
        <f t="shared" si="17"/>
        <v>0</v>
      </c>
      <c r="F107" s="595">
        <f>'Прилож 4 24 (10)'!V107</f>
        <v>0</v>
      </c>
      <c r="G107" s="595">
        <f>'Прилож 4 24 (10)'!W107</f>
        <v>0</v>
      </c>
      <c r="H107" s="595">
        <f>'Прилож 4 24 (10)'!X107</f>
        <v>0</v>
      </c>
      <c r="I107" s="626"/>
      <c r="J107" s="595">
        <f>'Прилож 4 24 (10)'!Z107</f>
        <v>0</v>
      </c>
      <c r="K107" s="595">
        <f>'Прилож 4 24 (10)'!AA107</f>
        <v>0</v>
      </c>
      <c r="L107" s="595">
        <f>'Прилож 4 24 (10)'!AB107</f>
        <v>0</v>
      </c>
      <c r="M107" s="876">
        <f t="shared" si="13"/>
        <v>0</v>
      </c>
      <c r="N107" s="876"/>
      <c r="O107" s="876"/>
      <c r="P107" s="876"/>
      <c r="Q107" s="881"/>
      <c r="R107" s="876"/>
      <c r="S107" s="876"/>
      <c r="T107" s="876"/>
      <c r="U107" s="876">
        <f t="shared" si="18"/>
        <v>0</v>
      </c>
      <c r="V107" s="875">
        <f t="shared" si="16"/>
        <v>0</v>
      </c>
      <c r="W107" s="875">
        <f t="shared" si="19"/>
        <v>0</v>
      </c>
      <c r="X107" s="875">
        <f t="shared" si="19"/>
        <v>0</v>
      </c>
      <c r="Y107" s="881"/>
      <c r="Z107" s="875">
        <f t="shared" si="20"/>
        <v>0</v>
      </c>
      <c r="AA107" s="875">
        <f t="shared" si="20"/>
        <v>0</v>
      </c>
      <c r="AB107" s="875">
        <f t="shared" si="20"/>
        <v>0</v>
      </c>
      <c r="AC107" s="879"/>
    </row>
    <row r="108" spans="1:29" ht="69" customHeight="1" x14ac:dyDescent="0.2">
      <c r="A108" s="618" t="s">
        <v>1188</v>
      </c>
      <c r="B108" s="619" t="s">
        <v>747</v>
      </c>
      <c r="C108" s="620">
        <v>244</v>
      </c>
      <c r="D108" s="620">
        <v>225</v>
      </c>
      <c r="E108" s="596">
        <f t="shared" si="17"/>
        <v>50400</v>
      </c>
      <c r="F108" s="595">
        <f>'Прилож 4 24 (10)'!V108</f>
        <v>0</v>
      </c>
      <c r="G108" s="595">
        <f>'Прилож 4 24 (10)'!W108</f>
        <v>0</v>
      </c>
      <c r="H108" s="595">
        <f>'Прилож 4 24 (10)'!X108</f>
        <v>50400</v>
      </c>
      <c r="I108" s="628"/>
      <c r="J108" s="595">
        <f>'Прилож 4 24 (10)'!Z108</f>
        <v>0</v>
      </c>
      <c r="K108" s="595">
        <f>'Прилож 4 24 (10)'!AA108</f>
        <v>0</v>
      </c>
      <c r="L108" s="595">
        <f>'Прилож 4 24 (10)'!AB108</f>
        <v>0</v>
      </c>
      <c r="M108" s="876">
        <f t="shared" si="13"/>
        <v>0</v>
      </c>
      <c r="N108" s="875"/>
      <c r="O108" s="875"/>
      <c r="P108" s="875"/>
      <c r="Q108" s="877"/>
      <c r="R108" s="875"/>
      <c r="S108" s="875"/>
      <c r="T108" s="875"/>
      <c r="U108" s="876">
        <f t="shared" si="18"/>
        <v>50400</v>
      </c>
      <c r="V108" s="875">
        <f t="shared" si="16"/>
        <v>0</v>
      </c>
      <c r="W108" s="875">
        <f t="shared" si="19"/>
        <v>0</v>
      </c>
      <c r="X108" s="875">
        <f t="shared" si="19"/>
        <v>50400</v>
      </c>
      <c r="Y108" s="883"/>
      <c r="Z108" s="875">
        <f t="shared" si="20"/>
        <v>0</v>
      </c>
      <c r="AA108" s="875">
        <f t="shared" si="20"/>
        <v>0</v>
      </c>
      <c r="AB108" s="875">
        <f t="shared" si="20"/>
        <v>0</v>
      </c>
      <c r="AC108" s="878"/>
    </row>
    <row r="109" spans="1:29" x14ac:dyDescent="0.2">
      <c r="A109" s="618" t="s">
        <v>1193</v>
      </c>
      <c r="B109" s="619" t="s">
        <v>747</v>
      </c>
      <c r="C109" s="620">
        <v>244</v>
      </c>
      <c r="D109" s="620">
        <v>225</v>
      </c>
      <c r="E109" s="596">
        <f t="shared" si="17"/>
        <v>49836</v>
      </c>
      <c r="F109" s="595">
        <f>'Прилож 4 24 (10)'!V109</f>
        <v>0</v>
      </c>
      <c r="G109" s="595">
        <f>'Прилож 4 24 (10)'!W109</f>
        <v>0</v>
      </c>
      <c r="H109" s="595">
        <f>'Прилож 4 24 (10)'!X109</f>
        <v>49836</v>
      </c>
      <c r="I109" s="628"/>
      <c r="J109" s="595">
        <f>'Прилож 4 24 (10)'!Z109</f>
        <v>0</v>
      </c>
      <c r="K109" s="595">
        <f>'Прилож 4 24 (10)'!AA109</f>
        <v>0</v>
      </c>
      <c r="L109" s="595">
        <f>'Прилож 4 24 (10)'!AB109</f>
        <v>0</v>
      </c>
      <c r="M109" s="876">
        <f t="shared" si="13"/>
        <v>0</v>
      </c>
      <c r="N109" s="875"/>
      <c r="O109" s="875"/>
      <c r="P109" s="875"/>
      <c r="Q109" s="877"/>
      <c r="R109" s="875"/>
      <c r="S109" s="875"/>
      <c r="T109" s="875"/>
      <c r="U109" s="876">
        <f t="shared" si="18"/>
        <v>49836</v>
      </c>
      <c r="V109" s="875">
        <f t="shared" si="16"/>
        <v>0</v>
      </c>
      <c r="W109" s="875">
        <f t="shared" si="19"/>
        <v>0</v>
      </c>
      <c r="X109" s="875">
        <f t="shared" si="19"/>
        <v>49836</v>
      </c>
      <c r="Y109" s="883"/>
      <c r="Z109" s="875">
        <f t="shared" si="20"/>
        <v>0</v>
      </c>
      <c r="AA109" s="875">
        <f t="shared" si="20"/>
        <v>0</v>
      </c>
      <c r="AB109" s="875">
        <f t="shared" si="20"/>
        <v>0</v>
      </c>
      <c r="AC109" s="878"/>
    </row>
    <row r="110" spans="1:29" ht="41.25" customHeight="1" x14ac:dyDescent="0.2">
      <c r="A110" s="618" t="s">
        <v>1192</v>
      </c>
      <c r="B110" s="619" t="s">
        <v>747</v>
      </c>
      <c r="C110" s="620">
        <v>244</v>
      </c>
      <c r="D110" s="620">
        <v>225</v>
      </c>
      <c r="E110" s="596">
        <f t="shared" si="17"/>
        <v>3859</v>
      </c>
      <c r="F110" s="595">
        <f>'Прилож 4 24 (10)'!V110</f>
        <v>0</v>
      </c>
      <c r="G110" s="595">
        <f>'Прилож 4 24 (10)'!W110</f>
        <v>0</v>
      </c>
      <c r="H110" s="595">
        <f>'Прилож 4 24 (10)'!X110</f>
        <v>3859</v>
      </c>
      <c r="I110" s="628"/>
      <c r="J110" s="595">
        <f>'Прилож 4 24 (10)'!Z110</f>
        <v>0</v>
      </c>
      <c r="K110" s="595">
        <f>'Прилож 4 24 (10)'!AA110</f>
        <v>0</v>
      </c>
      <c r="L110" s="595">
        <f>'Прилож 4 24 (10)'!AB110</f>
        <v>0</v>
      </c>
      <c r="M110" s="876">
        <f t="shared" si="13"/>
        <v>0</v>
      </c>
      <c r="N110" s="875"/>
      <c r="O110" s="875"/>
      <c r="P110" s="875"/>
      <c r="Q110" s="877"/>
      <c r="R110" s="875"/>
      <c r="S110" s="875"/>
      <c r="T110" s="875"/>
      <c r="U110" s="876">
        <f t="shared" si="18"/>
        <v>3859</v>
      </c>
      <c r="V110" s="875">
        <f t="shared" si="16"/>
        <v>0</v>
      </c>
      <c r="W110" s="875">
        <f t="shared" si="19"/>
        <v>0</v>
      </c>
      <c r="X110" s="875">
        <f t="shared" si="19"/>
        <v>3859</v>
      </c>
      <c r="Y110" s="883"/>
      <c r="Z110" s="875">
        <f t="shared" si="20"/>
        <v>0</v>
      </c>
      <c r="AA110" s="875">
        <f t="shared" si="20"/>
        <v>0</v>
      </c>
      <c r="AB110" s="875">
        <f t="shared" si="20"/>
        <v>0</v>
      </c>
      <c r="AC110" s="878"/>
    </row>
    <row r="111" spans="1:29" x14ac:dyDescent="0.2">
      <c r="A111" s="618" t="s">
        <v>1187</v>
      </c>
      <c r="B111" s="619" t="s">
        <v>747</v>
      </c>
      <c r="C111" s="620">
        <v>244</v>
      </c>
      <c r="D111" s="620">
        <v>225</v>
      </c>
      <c r="E111" s="596">
        <f t="shared" si="17"/>
        <v>21600</v>
      </c>
      <c r="F111" s="595">
        <f>'Прилож 4 24 (10)'!V111</f>
        <v>0</v>
      </c>
      <c r="G111" s="595">
        <f>'Прилож 4 24 (10)'!W111</f>
        <v>0</v>
      </c>
      <c r="H111" s="595">
        <f>'Прилож 4 24 (10)'!X111</f>
        <v>21600</v>
      </c>
      <c r="I111" s="628"/>
      <c r="J111" s="595">
        <f>'Прилож 4 24 (10)'!Z111</f>
        <v>0</v>
      </c>
      <c r="K111" s="595">
        <f>'Прилож 4 24 (10)'!AA111</f>
        <v>0</v>
      </c>
      <c r="L111" s="595">
        <f>'Прилож 4 24 (10)'!AB111</f>
        <v>0</v>
      </c>
      <c r="M111" s="876">
        <f t="shared" si="13"/>
        <v>0</v>
      </c>
      <c r="N111" s="875"/>
      <c r="O111" s="875"/>
      <c r="P111" s="875"/>
      <c r="Q111" s="877"/>
      <c r="R111" s="875"/>
      <c r="S111" s="875"/>
      <c r="T111" s="875"/>
      <c r="U111" s="876">
        <f t="shared" si="18"/>
        <v>21600</v>
      </c>
      <c r="V111" s="875">
        <f t="shared" si="16"/>
        <v>0</v>
      </c>
      <c r="W111" s="875">
        <f t="shared" si="19"/>
        <v>0</v>
      </c>
      <c r="X111" s="875">
        <f t="shared" si="19"/>
        <v>21600</v>
      </c>
      <c r="Y111" s="883"/>
      <c r="Z111" s="875">
        <f t="shared" si="20"/>
        <v>0</v>
      </c>
      <c r="AA111" s="875">
        <f t="shared" si="20"/>
        <v>0</v>
      </c>
      <c r="AB111" s="875">
        <f t="shared" si="20"/>
        <v>0</v>
      </c>
      <c r="AC111" s="878"/>
    </row>
    <row r="112" spans="1:29" s="612" customFormat="1" ht="31.5" x14ac:dyDescent="0.2">
      <c r="A112" s="618" t="s">
        <v>1203</v>
      </c>
      <c r="B112" s="619" t="s">
        <v>747</v>
      </c>
      <c r="C112" s="620">
        <v>244</v>
      </c>
      <c r="D112" s="620">
        <v>225</v>
      </c>
      <c r="E112" s="596">
        <f t="shared" si="17"/>
        <v>16551.099999999999</v>
      </c>
      <c r="F112" s="595">
        <f>'Прилож 4 24 (10)'!V112</f>
        <v>0</v>
      </c>
      <c r="G112" s="595">
        <f>'Прилож 4 24 (10)'!W112</f>
        <v>0</v>
      </c>
      <c r="H112" s="595">
        <f>'Прилож 4 24 (10)'!X112</f>
        <v>16551.099999999999</v>
      </c>
      <c r="I112" s="628"/>
      <c r="J112" s="595">
        <f>'Прилож 4 24 (10)'!Z112</f>
        <v>0</v>
      </c>
      <c r="K112" s="595">
        <f>'Прилож 4 24 (10)'!AA112</f>
        <v>0</v>
      </c>
      <c r="L112" s="595">
        <f>'Прилож 4 24 (10)'!AB112</f>
        <v>0</v>
      </c>
      <c r="M112" s="876">
        <f t="shared" si="13"/>
        <v>0</v>
      </c>
      <c r="N112" s="875"/>
      <c r="O112" s="875"/>
      <c r="P112" s="875"/>
      <c r="Q112" s="877"/>
      <c r="R112" s="875"/>
      <c r="S112" s="875"/>
      <c r="T112" s="875"/>
      <c r="U112" s="876">
        <f t="shared" si="18"/>
        <v>16551.099999999999</v>
      </c>
      <c r="V112" s="875">
        <f t="shared" si="16"/>
        <v>0</v>
      </c>
      <c r="W112" s="875">
        <f t="shared" si="19"/>
        <v>0</v>
      </c>
      <c r="X112" s="875">
        <f t="shared" si="19"/>
        <v>16551.099999999999</v>
      </c>
      <c r="Y112" s="883"/>
      <c r="Z112" s="875">
        <f t="shared" si="20"/>
        <v>0</v>
      </c>
      <c r="AA112" s="875">
        <f t="shared" si="20"/>
        <v>0</v>
      </c>
      <c r="AB112" s="875">
        <f t="shared" si="20"/>
        <v>0</v>
      </c>
      <c r="AC112" s="878"/>
    </row>
    <row r="113" spans="1:29" s="612" customFormat="1" ht="32.25" customHeight="1" x14ac:dyDescent="0.2">
      <c r="A113" s="618" t="s">
        <v>583</v>
      </c>
      <c r="B113" s="619" t="s">
        <v>747</v>
      </c>
      <c r="C113" s="620">
        <v>244</v>
      </c>
      <c r="D113" s="620">
        <v>225</v>
      </c>
      <c r="E113" s="596">
        <f t="shared" si="17"/>
        <v>8330</v>
      </c>
      <c r="F113" s="595">
        <f>'Прилож 4 24 (10)'!V113</f>
        <v>0</v>
      </c>
      <c r="G113" s="595">
        <f>'Прилож 4 24 (10)'!W113</f>
        <v>0</v>
      </c>
      <c r="H113" s="595">
        <f>'Прилож 4 24 (10)'!X113</f>
        <v>8330</v>
      </c>
      <c r="I113" s="628"/>
      <c r="J113" s="595">
        <f>'Прилож 4 24 (10)'!Z113</f>
        <v>0</v>
      </c>
      <c r="K113" s="595">
        <f>'Прилож 4 24 (10)'!AA113</f>
        <v>0</v>
      </c>
      <c r="L113" s="595">
        <f>'Прилож 4 24 (10)'!AB113</f>
        <v>0</v>
      </c>
      <c r="M113" s="876">
        <f t="shared" si="13"/>
        <v>0</v>
      </c>
      <c r="N113" s="875"/>
      <c r="O113" s="875"/>
      <c r="P113" s="875"/>
      <c r="Q113" s="877"/>
      <c r="R113" s="875"/>
      <c r="S113" s="875"/>
      <c r="T113" s="875"/>
      <c r="U113" s="876">
        <f t="shared" si="18"/>
        <v>8330</v>
      </c>
      <c r="V113" s="875">
        <f t="shared" si="16"/>
        <v>0</v>
      </c>
      <c r="W113" s="875">
        <f t="shared" si="19"/>
        <v>0</v>
      </c>
      <c r="X113" s="875">
        <f t="shared" si="19"/>
        <v>8330</v>
      </c>
      <c r="Y113" s="883"/>
      <c r="Z113" s="875">
        <f t="shared" si="20"/>
        <v>0</v>
      </c>
      <c r="AA113" s="875">
        <f t="shared" si="20"/>
        <v>0</v>
      </c>
      <c r="AB113" s="875">
        <f t="shared" si="20"/>
        <v>0</v>
      </c>
      <c r="AC113" s="878"/>
    </row>
    <row r="114" spans="1:29" s="612" customFormat="1" x14ac:dyDescent="0.2">
      <c r="A114" s="618" t="s">
        <v>1297</v>
      </c>
      <c r="B114" s="619" t="s">
        <v>747</v>
      </c>
      <c r="C114" s="620">
        <v>244</v>
      </c>
      <c r="D114" s="620">
        <v>225</v>
      </c>
      <c r="E114" s="596">
        <f t="shared" si="17"/>
        <v>5910.21</v>
      </c>
      <c r="F114" s="595">
        <f>'Прилож 4 24 (10)'!V114</f>
        <v>0</v>
      </c>
      <c r="G114" s="595">
        <f>'Прилож 4 24 (10)'!W114</f>
        <v>0</v>
      </c>
      <c r="H114" s="595">
        <f>'Прилож 4 24 (10)'!X114</f>
        <v>5910.21</v>
      </c>
      <c r="I114" s="628"/>
      <c r="J114" s="595">
        <f>'Прилож 4 24 (10)'!Z114</f>
        <v>0</v>
      </c>
      <c r="K114" s="595">
        <f>'Прилож 4 24 (10)'!AA114</f>
        <v>0</v>
      </c>
      <c r="L114" s="595">
        <f>'Прилож 4 24 (10)'!AB114</f>
        <v>0</v>
      </c>
      <c r="M114" s="876">
        <f t="shared" si="13"/>
        <v>0</v>
      </c>
      <c r="N114" s="875"/>
      <c r="O114" s="875"/>
      <c r="P114" s="875"/>
      <c r="Q114" s="877"/>
      <c r="R114" s="875"/>
      <c r="S114" s="875"/>
      <c r="T114" s="875"/>
      <c r="U114" s="876">
        <f t="shared" si="18"/>
        <v>5910.21</v>
      </c>
      <c r="V114" s="875">
        <f t="shared" si="16"/>
        <v>0</v>
      </c>
      <c r="W114" s="875">
        <f t="shared" si="19"/>
        <v>0</v>
      </c>
      <c r="X114" s="875">
        <f t="shared" si="19"/>
        <v>5910.21</v>
      </c>
      <c r="Y114" s="883"/>
      <c r="Z114" s="875">
        <f t="shared" si="20"/>
        <v>0</v>
      </c>
      <c r="AA114" s="875">
        <f t="shared" si="20"/>
        <v>0</v>
      </c>
      <c r="AB114" s="875">
        <f t="shared" si="20"/>
        <v>0</v>
      </c>
      <c r="AC114" s="878"/>
    </row>
    <row r="115" spans="1:29" s="612" customFormat="1" ht="50.25" customHeight="1" x14ac:dyDescent="0.2">
      <c r="A115" s="618" t="s">
        <v>1204</v>
      </c>
      <c r="B115" s="619" t="s">
        <v>747</v>
      </c>
      <c r="C115" s="620">
        <v>244</v>
      </c>
      <c r="D115" s="620">
        <v>225</v>
      </c>
      <c r="E115" s="596">
        <f t="shared" si="17"/>
        <v>2160</v>
      </c>
      <c r="F115" s="595">
        <f>'Прилож 4 24 (10)'!V115</f>
        <v>0</v>
      </c>
      <c r="G115" s="595">
        <f>'Прилож 4 24 (10)'!W115</f>
        <v>0</v>
      </c>
      <c r="H115" s="595">
        <f>'Прилож 4 24 (10)'!X115</f>
        <v>2160</v>
      </c>
      <c r="I115" s="628"/>
      <c r="J115" s="595">
        <f>'Прилож 4 24 (10)'!Z115</f>
        <v>0</v>
      </c>
      <c r="K115" s="595">
        <f>'Прилож 4 24 (10)'!AA115</f>
        <v>0</v>
      </c>
      <c r="L115" s="595">
        <f>'Прилож 4 24 (10)'!AB115</f>
        <v>0</v>
      </c>
      <c r="M115" s="876">
        <f t="shared" si="13"/>
        <v>0</v>
      </c>
      <c r="N115" s="875"/>
      <c r="O115" s="875"/>
      <c r="P115" s="875"/>
      <c r="Q115" s="877"/>
      <c r="R115" s="875"/>
      <c r="S115" s="875"/>
      <c r="T115" s="875"/>
      <c r="U115" s="876">
        <f t="shared" si="18"/>
        <v>2160</v>
      </c>
      <c r="V115" s="875">
        <f t="shared" si="16"/>
        <v>0</v>
      </c>
      <c r="W115" s="875">
        <f t="shared" si="19"/>
        <v>0</v>
      </c>
      <c r="X115" s="875">
        <f t="shared" si="19"/>
        <v>2160</v>
      </c>
      <c r="Y115" s="883"/>
      <c r="Z115" s="875">
        <f t="shared" si="20"/>
        <v>0</v>
      </c>
      <c r="AA115" s="875">
        <f t="shared" si="20"/>
        <v>0</v>
      </c>
      <c r="AB115" s="875">
        <f t="shared" si="20"/>
        <v>0</v>
      </c>
      <c r="AC115" s="878"/>
    </row>
    <row r="116" spans="1:29" s="612" customFormat="1" ht="31.5" customHeight="1" x14ac:dyDescent="0.2">
      <c r="A116" s="618" t="s">
        <v>143</v>
      </c>
      <c r="B116" s="619" t="s">
        <v>747</v>
      </c>
      <c r="C116" s="620">
        <v>244</v>
      </c>
      <c r="D116" s="620">
        <v>225</v>
      </c>
      <c r="E116" s="596">
        <f t="shared" si="17"/>
        <v>12104.58</v>
      </c>
      <c r="F116" s="595">
        <f>'Прилож 4 24 (10)'!V116</f>
        <v>0</v>
      </c>
      <c r="G116" s="595">
        <f>'Прилож 4 24 (10)'!W116</f>
        <v>0</v>
      </c>
      <c r="H116" s="595">
        <f>'Прилож 4 24 (10)'!X116</f>
        <v>12104.58</v>
      </c>
      <c r="I116" s="628"/>
      <c r="J116" s="595">
        <f>'Прилож 4 24 (10)'!Z116</f>
        <v>0</v>
      </c>
      <c r="K116" s="595">
        <f>'Прилож 4 24 (10)'!AA116</f>
        <v>0</v>
      </c>
      <c r="L116" s="595">
        <f>'Прилож 4 24 (10)'!AB116</f>
        <v>0</v>
      </c>
      <c r="M116" s="876">
        <f t="shared" si="13"/>
        <v>0</v>
      </c>
      <c r="N116" s="875"/>
      <c r="O116" s="875"/>
      <c r="P116" s="875"/>
      <c r="Q116" s="877"/>
      <c r="R116" s="875"/>
      <c r="S116" s="875"/>
      <c r="T116" s="875"/>
      <c r="U116" s="876">
        <f t="shared" si="18"/>
        <v>12104.58</v>
      </c>
      <c r="V116" s="875">
        <f t="shared" si="16"/>
        <v>0</v>
      </c>
      <c r="W116" s="875">
        <f t="shared" si="19"/>
        <v>0</v>
      </c>
      <c r="X116" s="875">
        <f t="shared" si="19"/>
        <v>12104.58</v>
      </c>
      <c r="Y116" s="883"/>
      <c r="Z116" s="875">
        <f t="shared" si="20"/>
        <v>0</v>
      </c>
      <c r="AA116" s="875">
        <f t="shared" si="20"/>
        <v>0</v>
      </c>
      <c r="AB116" s="875">
        <f t="shared" si="20"/>
        <v>0</v>
      </c>
      <c r="AC116" s="878"/>
    </row>
    <row r="117" spans="1:29" s="612" customFormat="1" ht="31.5" x14ac:dyDescent="0.2">
      <c r="A117" s="618" t="s">
        <v>645</v>
      </c>
      <c r="B117" s="619" t="s">
        <v>747</v>
      </c>
      <c r="C117" s="620">
        <v>244</v>
      </c>
      <c r="D117" s="620">
        <v>225</v>
      </c>
      <c r="E117" s="596">
        <f t="shared" si="17"/>
        <v>0</v>
      </c>
      <c r="F117" s="595">
        <f>'Прилож 4 24 (10)'!V117</f>
        <v>0</v>
      </c>
      <c r="G117" s="595">
        <f>'Прилож 4 24 (10)'!W117</f>
        <v>0</v>
      </c>
      <c r="H117" s="595">
        <f>'Прилож 4 24 (10)'!X117</f>
        <v>0</v>
      </c>
      <c r="I117" s="628"/>
      <c r="J117" s="595">
        <f>'Прилож 4 24 (10)'!Z117</f>
        <v>0</v>
      </c>
      <c r="K117" s="595">
        <f>'Прилож 4 24 (10)'!AA117</f>
        <v>0</v>
      </c>
      <c r="L117" s="595">
        <f>'Прилож 4 24 (10)'!AB117</f>
        <v>0</v>
      </c>
      <c r="M117" s="876">
        <f t="shared" ref="M117:M172" si="21">N117+P117+R117+S117+T117+O117</f>
        <v>0</v>
      </c>
      <c r="N117" s="875"/>
      <c r="O117" s="875"/>
      <c r="P117" s="875"/>
      <c r="Q117" s="877"/>
      <c r="R117" s="875"/>
      <c r="S117" s="875"/>
      <c r="T117" s="875"/>
      <c r="U117" s="876">
        <f t="shared" si="18"/>
        <v>0</v>
      </c>
      <c r="V117" s="875">
        <f t="shared" si="16"/>
        <v>0</v>
      </c>
      <c r="W117" s="875">
        <f t="shared" ref="W117:X148" si="22">O117+G117</f>
        <v>0</v>
      </c>
      <c r="X117" s="875">
        <f t="shared" si="22"/>
        <v>0</v>
      </c>
      <c r="Y117" s="883"/>
      <c r="Z117" s="875">
        <f t="shared" ref="Z117:AB127" si="23">R117+J117</f>
        <v>0</v>
      </c>
      <c r="AA117" s="875">
        <f t="shared" si="23"/>
        <v>0</v>
      </c>
      <c r="AB117" s="875">
        <f t="shared" si="23"/>
        <v>0</v>
      </c>
      <c r="AC117" s="878"/>
    </row>
    <row r="118" spans="1:29" s="612" customFormat="1" ht="31.5" x14ac:dyDescent="0.2">
      <c r="A118" s="618" t="s">
        <v>646</v>
      </c>
      <c r="B118" s="619" t="s">
        <v>747</v>
      </c>
      <c r="C118" s="620">
        <v>244</v>
      </c>
      <c r="D118" s="620">
        <v>225</v>
      </c>
      <c r="E118" s="596">
        <f t="shared" si="17"/>
        <v>44200</v>
      </c>
      <c r="F118" s="595">
        <f>'Прилож 4 24 (10)'!V118</f>
        <v>0</v>
      </c>
      <c r="G118" s="595">
        <f>'Прилож 4 24 (10)'!W118</f>
        <v>0</v>
      </c>
      <c r="H118" s="595">
        <f>'Прилож 4 24 (10)'!X118</f>
        <v>44200</v>
      </c>
      <c r="I118" s="628"/>
      <c r="J118" s="595">
        <f>'Прилож 4 24 (10)'!Z118</f>
        <v>0</v>
      </c>
      <c r="K118" s="595">
        <f>'Прилож 4 24 (10)'!AA118</f>
        <v>0</v>
      </c>
      <c r="L118" s="595">
        <f>'Прилож 4 24 (10)'!AB118</f>
        <v>0</v>
      </c>
      <c r="M118" s="876">
        <f t="shared" si="21"/>
        <v>0</v>
      </c>
      <c r="N118" s="875"/>
      <c r="O118" s="875"/>
      <c r="P118" s="875"/>
      <c r="Q118" s="877"/>
      <c r="R118" s="875"/>
      <c r="S118" s="875"/>
      <c r="T118" s="875"/>
      <c r="U118" s="876">
        <f t="shared" si="18"/>
        <v>44200</v>
      </c>
      <c r="V118" s="875">
        <f t="shared" si="16"/>
        <v>0</v>
      </c>
      <c r="W118" s="875">
        <f t="shared" si="22"/>
        <v>0</v>
      </c>
      <c r="X118" s="875">
        <f t="shared" si="22"/>
        <v>44200</v>
      </c>
      <c r="Y118" s="883"/>
      <c r="Z118" s="875">
        <f t="shared" si="23"/>
        <v>0</v>
      </c>
      <c r="AA118" s="875">
        <f t="shared" si="23"/>
        <v>0</v>
      </c>
      <c r="AB118" s="875">
        <f t="shared" si="23"/>
        <v>0</v>
      </c>
      <c r="AC118" s="878"/>
    </row>
    <row r="119" spans="1:29" s="612" customFormat="1" ht="38.25" customHeight="1" x14ac:dyDescent="0.2">
      <c r="A119" s="618" t="s">
        <v>146</v>
      </c>
      <c r="B119" s="619" t="s">
        <v>747</v>
      </c>
      <c r="C119" s="620">
        <v>244</v>
      </c>
      <c r="D119" s="620">
        <v>225</v>
      </c>
      <c r="E119" s="596">
        <f t="shared" si="17"/>
        <v>0</v>
      </c>
      <c r="F119" s="595">
        <f>'Прилож 4 24 (10)'!V119</f>
        <v>0</v>
      </c>
      <c r="G119" s="595">
        <f>'Прилож 4 24 (10)'!W119</f>
        <v>0</v>
      </c>
      <c r="H119" s="595">
        <f>'Прилож 4 24 (10)'!X119</f>
        <v>0</v>
      </c>
      <c r="I119" s="628"/>
      <c r="J119" s="595">
        <f>'Прилож 4 24 (10)'!Z119</f>
        <v>0</v>
      </c>
      <c r="K119" s="595">
        <f>'Прилож 4 24 (10)'!AA119</f>
        <v>0</v>
      </c>
      <c r="L119" s="595">
        <f>'Прилож 4 24 (10)'!AB119</f>
        <v>0</v>
      </c>
      <c r="M119" s="876">
        <f t="shared" si="21"/>
        <v>0</v>
      </c>
      <c r="N119" s="875"/>
      <c r="O119" s="875"/>
      <c r="P119" s="875"/>
      <c r="Q119" s="877"/>
      <c r="R119" s="875"/>
      <c r="S119" s="875"/>
      <c r="T119" s="875"/>
      <c r="U119" s="876">
        <f t="shared" si="18"/>
        <v>0</v>
      </c>
      <c r="V119" s="875">
        <f t="shared" si="16"/>
        <v>0</v>
      </c>
      <c r="W119" s="875">
        <f t="shared" si="22"/>
        <v>0</v>
      </c>
      <c r="X119" s="875">
        <f t="shared" si="22"/>
        <v>0</v>
      </c>
      <c r="Y119" s="883"/>
      <c r="Z119" s="875">
        <f t="shared" si="23"/>
        <v>0</v>
      </c>
      <c r="AA119" s="875">
        <f t="shared" si="23"/>
        <v>0</v>
      </c>
      <c r="AB119" s="875">
        <f t="shared" si="23"/>
        <v>0</v>
      </c>
      <c r="AC119" s="878"/>
    </row>
    <row r="120" spans="1:29" s="612" customFormat="1" ht="47.25" x14ac:dyDescent="0.2">
      <c r="A120" s="618" t="s">
        <v>148</v>
      </c>
      <c r="B120" s="619" t="s">
        <v>747</v>
      </c>
      <c r="C120" s="620">
        <v>244</v>
      </c>
      <c r="D120" s="620">
        <v>225</v>
      </c>
      <c r="E120" s="596">
        <f t="shared" si="17"/>
        <v>12000</v>
      </c>
      <c r="F120" s="595">
        <f>'Прилож 4 24 (10)'!V120</f>
        <v>0</v>
      </c>
      <c r="G120" s="595">
        <f>'Прилож 4 24 (10)'!W120</f>
        <v>0</v>
      </c>
      <c r="H120" s="595">
        <f>'Прилож 4 24 (10)'!X120</f>
        <v>12000</v>
      </c>
      <c r="I120" s="628"/>
      <c r="J120" s="595">
        <f>'Прилож 4 24 (10)'!Z120</f>
        <v>0</v>
      </c>
      <c r="K120" s="595">
        <f>'Прилож 4 24 (10)'!AA120</f>
        <v>0</v>
      </c>
      <c r="L120" s="595">
        <f>'Прилож 4 24 (10)'!AB120</f>
        <v>0</v>
      </c>
      <c r="M120" s="876">
        <f t="shared" si="21"/>
        <v>0</v>
      </c>
      <c r="N120" s="875"/>
      <c r="O120" s="875"/>
      <c r="P120" s="875"/>
      <c r="Q120" s="877"/>
      <c r="R120" s="875"/>
      <c r="S120" s="875"/>
      <c r="T120" s="875"/>
      <c r="U120" s="876">
        <f t="shared" si="18"/>
        <v>12000</v>
      </c>
      <c r="V120" s="875">
        <f t="shared" si="16"/>
        <v>0</v>
      </c>
      <c r="W120" s="875">
        <f t="shared" si="22"/>
        <v>0</v>
      </c>
      <c r="X120" s="875">
        <f t="shared" si="22"/>
        <v>12000</v>
      </c>
      <c r="Y120" s="883"/>
      <c r="Z120" s="875">
        <f t="shared" si="23"/>
        <v>0</v>
      </c>
      <c r="AA120" s="875">
        <f t="shared" si="23"/>
        <v>0</v>
      </c>
      <c r="AB120" s="875">
        <f t="shared" si="23"/>
        <v>0</v>
      </c>
      <c r="AC120" s="878"/>
    </row>
    <row r="121" spans="1:29" s="612" customFormat="1" ht="42" customHeight="1" x14ac:dyDescent="0.2">
      <c r="A121" s="618" t="s">
        <v>149</v>
      </c>
      <c r="B121" s="619" t="s">
        <v>747</v>
      </c>
      <c r="C121" s="620">
        <v>244</v>
      </c>
      <c r="D121" s="620">
        <v>225</v>
      </c>
      <c r="E121" s="596">
        <f t="shared" si="17"/>
        <v>2350</v>
      </c>
      <c r="F121" s="595">
        <f>'Прилож 4 24 (10)'!V121</f>
        <v>0</v>
      </c>
      <c r="G121" s="595">
        <f>'Прилож 4 24 (10)'!W121</f>
        <v>0</v>
      </c>
      <c r="H121" s="595">
        <f>'Прилож 4 24 (10)'!X121</f>
        <v>2350</v>
      </c>
      <c r="I121" s="628"/>
      <c r="J121" s="595">
        <f>'Прилож 4 24 (10)'!Z121</f>
        <v>0</v>
      </c>
      <c r="K121" s="595">
        <f>'Прилож 4 24 (10)'!AA121</f>
        <v>0</v>
      </c>
      <c r="L121" s="595">
        <f>'Прилож 4 24 (10)'!AB121</f>
        <v>0</v>
      </c>
      <c r="M121" s="876">
        <f t="shared" si="21"/>
        <v>0</v>
      </c>
      <c r="N121" s="875"/>
      <c r="O121" s="875"/>
      <c r="P121" s="875"/>
      <c r="Q121" s="877"/>
      <c r="R121" s="875"/>
      <c r="S121" s="875"/>
      <c r="T121" s="875"/>
      <c r="U121" s="876">
        <f t="shared" si="18"/>
        <v>2350</v>
      </c>
      <c r="V121" s="875">
        <f t="shared" si="16"/>
        <v>0</v>
      </c>
      <c r="W121" s="875">
        <f t="shared" si="22"/>
        <v>0</v>
      </c>
      <c r="X121" s="875">
        <f t="shared" si="22"/>
        <v>2350</v>
      </c>
      <c r="Y121" s="883"/>
      <c r="Z121" s="875">
        <f t="shared" si="23"/>
        <v>0</v>
      </c>
      <c r="AA121" s="875">
        <f t="shared" si="23"/>
        <v>0</v>
      </c>
      <c r="AB121" s="875">
        <f t="shared" si="23"/>
        <v>0</v>
      </c>
      <c r="AC121" s="878"/>
    </row>
    <row r="122" spans="1:29" s="612" customFormat="1" ht="27.75" customHeight="1" x14ac:dyDescent="0.2">
      <c r="A122" s="618" t="s">
        <v>647</v>
      </c>
      <c r="B122" s="619" t="s">
        <v>747</v>
      </c>
      <c r="C122" s="620">
        <v>244</v>
      </c>
      <c r="D122" s="620">
        <v>225</v>
      </c>
      <c r="E122" s="596">
        <f t="shared" si="17"/>
        <v>16614.940000000002</v>
      </c>
      <c r="F122" s="595">
        <f>'Прилож 4 24 (10)'!V122</f>
        <v>0</v>
      </c>
      <c r="G122" s="595">
        <f>'Прилож 4 24 (10)'!W122</f>
        <v>0</v>
      </c>
      <c r="H122" s="595">
        <f>'Прилож 4 24 (10)'!X122</f>
        <v>16614.940000000002</v>
      </c>
      <c r="I122" s="628"/>
      <c r="J122" s="595">
        <f>'Прилож 4 24 (10)'!Z122</f>
        <v>0</v>
      </c>
      <c r="K122" s="595">
        <f>'Прилож 4 24 (10)'!AA122</f>
        <v>0</v>
      </c>
      <c r="L122" s="595">
        <f>'Прилож 4 24 (10)'!AB122</f>
        <v>0</v>
      </c>
      <c r="M122" s="876">
        <f t="shared" si="21"/>
        <v>0</v>
      </c>
      <c r="N122" s="875"/>
      <c r="O122" s="875"/>
      <c r="P122" s="875"/>
      <c r="Q122" s="877"/>
      <c r="R122" s="875"/>
      <c r="S122" s="875"/>
      <c r="T122" s="875"/>
      <c r="U122" s="876">
        <f t="shared" si="18"/>
        <v>16614.940000000002</v>
      </c>
      <c r="V122" s="875">
        <f t="shared" si="16"/>
        <v>0</v>
      </c>
      <c r="W122" s="875">
        <f t="shared" si="22"/>
        <v>0</v>
      </c>
      <c r="X122" s="875">
        <f t="shared" si="22"/>
        <v>16614.940000000002</v>
      </c>
      <c r="Y122" s="883"/>
      <c r="Z122" s="875">
        <f t="shared" si="23"/>
        <v>0</v>
      </c>
      <c r="AA122" s="875">
        <f t="shared" si="23"/>
        <v>0</v>
      </c>
      <c r="AB122" s="875">
        <f t="shared" si="23"/>
        <v>0</v>
      </c>
      <c r="AC122" s="878"/>
    </row>
    <row r="123" spans="1:29" s="612" customFormat="1" ht="31.5" x14ac:dyDescent="0.2">
      <c r="A123" s="618" t="s">
        <v>1185</v>
      </c>
      <c r="B123" s="619" t="s">
        <v>747</v>
      </c>
      <c r="C123" s="620">
        <v>244</v>
      </c>
      <c r="D123" s="620">
        <v>225</v>
      </c>
      <c r="E123" s="596">
        <f t="shared" si="17"/>
        <v>19716</v>
      </c>
      <c r="F123" s="595">
        <f>'Прилож 4 24 (10)'!V123</f>
        <v>0</v>
      </c>
      <c r="G123" s="595">
        <f>'Прилож 4 24 (10)'!W123</f>
        <v>0</v>
      </c>
      <c r="H123" s="595">
        <f>'Прилож 4 24 (10)'!X123</f>
        <v>19716</v>
      </c>
      <c r="I123" s="628"/>
      <c r="J123" s="595">
        <f>'Прилож 4 24 (10)'!Z123</f>
        <v>0</v>
      </c>
      <c r="K123" s="595">
        <f>'Прилож 4 24 (10)'!AA123</f>
        <v>0</v>
      </c>
      <c r="L123" s="595">
        <f>'Прилож 4 24 (10)'!AB123</f>
        <v>0</v>
      </c>
      <c r="M123" s="876">
        <f t="shared" si="21"/>
        <v>0</v>
      </c>
      <c r="N123" s="875"/>
      <c r="O123" s="875"/>
      <c r="P123" s="875"/>
      <c r="Q123" s="877"/>
      <c r="R123" s="875"/>
      <c r="S123" s="875"/>
      <c r="T123" s="875"/>
      <c r="U123" s="876">
        <f t="shared" si="18"/>
        <v>19716</v>
      </c>
      <c r="V123" s="875">
        <f t="shared" si="16"/>
        <v>0</v>
      </c>
      <c r="W123" s="875">
        <f t="shared" si="22"/>
        <v>0</v>
      </c>
      <c r="X123" s="875">
        <f t="shared" si="22"/>
        <v>19716</v>
      </c>
      <c r="Y123" s="883"/>
      <c r="Z123" s="875">
        <f t="shared" si="23"/>
        <v>0</v>
      </c>
      <c r="AA123" s="875">
        <f t="shared" si="23"/>
        <v>0</v>
      </c>
      <c r="AB123" s="875">
        <f t="shared" si="23"/>
        <v>0</v>
      </c>
      <c r="AC123" s="878"/>
    </row>
    <row r="124" spans="1:29" s="612" customFormat="1" ht="31.5" x14ac:dyDescent="0.2">
      <c r="A124" s="618" t="s">
        <v>587</v>
      </c>
      <c r="B124" s="619" t="s">
        <v>747</v>
      </c>
      <c r="C124" s="620">
        <v>244</v>
      </c>
      <c r="D124" s="620">
        <v>225</v>
      </c>
      <c r="E124" s="596">
        <f t="shared" si="17"/>
        <v>14952</v>
      </c>
      <c r="F124" s="595">
        <f>'Прилож 4 24 (10)'!V124</f>
        <v>0</v>
      </c>
      <c r="G124" s="595">
        <f>'Прилож 4 24 (10)'!W124</f>
        <v>0</v>
      </c>
      <c r="H124" s="595">
        <f>'Прилож 4 24 (10)'!X124</f>
        <v>14952</v>
      </c>
      <c r="I124" s="628"/>
      <c r="J124" s="595">
        <f>'Прилож 4 24 (10)'!Z124</f>
        <v>0</v>
      </c>
      <c r="K124" s="595">
        <f>'Прилож 4 24 (10)'!AA124</f>
        <v>0</v>
      </c>
      <c r="L124" s="595">
        <f>'Прилож 4 24 (10)'!AB124</f>
        <v>0</v>
      </c>
      <c r="M124" s="876">
        <f t="shared" si="21"/>
        <v>0</v>
      </c>
      <c r="N124" s="875"/>
      <c r="O124" s="875"/>
      <c r="P124" s="875"/>
      <c r="Q124" s="877"/>
      <c r="R124" s="875"/>
      <c r="S124" s="875"/>
      <c r="T124" s="875"/>
      <c r="U124" s="876">
        <f t="shared" si="18"/>
        <v>14952</v>
      </c>
      <c r="V124" s="875">
        <f t="shared" si="18"/>
        <v>0</v>
      </c>
      <c r="W124" s="875">
        <f t="shared" si="22"/>
        <v>0</v>
      </c>
      <c r="X124" s="875">
        <f t="shared" si="22"/>
        <v>14952</v>
      </c>
      <c r="Y124" s="883"/>
      <c r="Z124" s="875">
        <f t="shared" si="23"/>
        <v>0</v>
      </c>
      <c r="AA124" s="875">
        <f t="shared" si="23"/>
        <v>0</v>
      </c>
      <c r="AB124" s="875">
        <f t="shared" si="23"/>
        <v>0</v>
      </c>
      <c r="AC124" s="878"/>
    </row>
    <row r="125" spans="1:29" s="612" customFormat="1" ht="22.5" customHeight="1" x14ac:dyDescent="0.2">
      <c r="A125" s="618" t="s">
        <v>1109</v>
      </c>
      <c r="B125" s="619" t="s">
        <v>747</v>
      </c>
      <c r="C125" s="620">
        <v>244</v>
      </c>
      <c r="D125" s="620">
        <v>225</v>
      </c>
      <c r="E125" s="596">
        <f t="shared" ref="E125:E188" si="24">L125+K125+J125+H125+G125+F125</f>
        <v>45398.879999999997</v>
      </c>
      <c r="F125" s="595">
        <f>'Прилож 4 24 (10)'!V125</f>
        <v>0</v>
      </c>
      <c r="G125" s="595">
        <f>'Прилож 4 24 (10)'!W125</f>
        <v>0</v>
      </c>
      <c r="H125" s="595">
        <f>'Прилож 4 24 (10)'!X125</f>
        <v>45398.879999999997</v>
      </c>
      <c r="I125" s="621"/>
      <c r="J125" s="595">
        <f>'Прилож 4 24 (10)'!Z125</f>
        <v>0</v>
      </c>
      <c r="K125" s="595">
        <f>'Прилож 4 24 (10)'!AA125</f>
        <v>0</v>
      </c>
      <c r="L125" s="595">
        <f>'Прилож 4 24 (10)'!AB125</f>
        <v>0</v>
      </c>
      <c r="M125" s="876">
        <f t="shared" si="21"/>
        <v>0</v>
      </c>
      <c r="N125" s="875"/>
      <c r="O125" s="875"/>
      <c r="P125" s="875"/>
      <c r="Q125" s="877"/>
      <c r="R125" s="875"/>
      <c r="S125" s="875"/>
      <c r="T125" s="875"/>
      <c r="U125" s="876">
        <f t="shared" ref="U125:V188" si="25">E125+M125</f>
        <v>45398.879999999997</v>
      </c>
      <c r="V125" s="875">
        <f t="shared" si="25"/>
        <v>0</v>
      </c>
      <c r="W125" s="875">
        <f t="shared" si="22"/>
        <v>0</v>
      </c>
      <c r="X125" s="875">
        <f t="shared" si="22"/>
        <v>45398.879999999997</v>
      </c>
      <c r="Y125" s="877"/>
      <c r="Z125" s="875">
        <f t="shared" si="23"/>
        <v>0</v>
      </c>
      <c r="AA125" s="875">
        <f t="shared" si="23"/>
        <v>0</v>
      </c>
      <c r="AB125" s="875">
        <f t="shared" si="23"/>
        <v>0</v>
      </c>
      <c r="AC125" s="878"/>
    </row>
    <row r="126" spans="1:29" ht="31.5" x14ac:dyDescent="0.2">
      <c r="A126" s="618" t="s">
        <v>157</v>
      </c>
      <c r="B126" s="619" t="s">
        <v>747</v>
      </c>
      <c r="C126" s="620">
        <v>244</v>
      </c>
      <c r="D126" s="620">
        <v>225</v>
      </c>
      <c r="E126" s="596">
        <f t="shared" si="24"/>
        <v>8500</v>
      </c>
      <c r="F126" s="595">
        <f>'Прилож 4 24 (10)'!V126</f>
        <v>0</v>
      </c>
      <c r="G126" s="595">
        <f>'Прилож 4 24 (10)'!W126</f>
        <v>0</v>
      </c>
      <c r="H126" s="595">
        <f>'Прилож 4 24 (10)'!X126</f>
        <v>8500</v>
      </c>
      <c r="I126" s="628"/>
      <c r="J126" s="595">
        <f>'Прилож 4 24 (10)'!Z126</f>
        <v>0</v>
      </c>
      <c r="K126" s="595">
        <f>'Прилож 4 24 (10)'!AA126</f>
        <v>0</v>
      </c>
      <c r="L126" s="595">
        <f>'Прилож 4 24 (10)'!AB126</f>
        <v>0</v>
      </c>
      <c r="M126" s="876">
        <f t="shared" si="21"/>
        <v>0</v>
      </c>
      <c r="N126" s="875"/>
      <c r="O126" s="875"/>
      <c r="P126" s="875"/>
      <c r="Q126" s="877"/>
      <c r="R126" s="875"/>
      <c r="S126" s="875"/>
      <c r="T126" s="875"/>
      <c r="U126" s="876">
        <f t="shared" si="25"/>
        <v>8500</v>
      </c>
      <c r="V126" s="875">
        <f t="shared" si="25"/>
        <v>0</v>
      </c>
      <c r="W126" s="875">
        <f t="shared" si="22"/>
        <v>0</v>
      </c>
      <c r="X126" s="875">
        <f t="shared" si="22"/>
        <v>8500</v>
      </c>
      <c r="Y126" s="883"/>
      <c r="Z126" s="875">
        <f t="shared" si="23"/>
        <v>0</v>
      </c>
      <c r="AA126" s="875">
        <f t="shared" si="23"/>
        <v>0</v>
      </c>
      <c r="AB126" s="875">
        <f t="shared" si="23"/>
        <v>0</v>
      </c>
      <c r="AC126" s="878"/>
    </row>
    <row r="127" spans="1:29" ht="34.15" customHeight="1" x14ac:dyDescent="0.2">
      <c r="A127" s="618" t="s">
        <v>1317</v>
      </c>
      <c r="B127" s="619" t="s">
        <v>747</v>
      </c>
      <c r="C127" s="620">
        <v>244</v>
      </c>
      <c r="D127" s="620">
        <v>225</v>
      </c>
      <c r="E127" s="596">
        <f t="shared" si="24"/>
        <v>202823.2</v>
      </c>
      <c r="F127" s="595">
        <f>'Прилож 4 24 (10)'!V127</f>
        <v>0</v>
      </c>
      <c r="G127" s="595">
        <f>'Прилож 4 24 (10)'!W127</f>
        <v>0</v>
      </c>
      <c r="H127" s="595">
        <f>'Прилож 4 24 (10)'!X127</f>
        <v>0</v>
      </c>
      <c r="I127" s="623" t="s">
        <v>1322</v>
      </c>
      <c r="J127" s="595">
        <f>'Прилож 4 24 (10)'!Z127</f>
        <v>0</v>
      </c>
      <c r="K127" s="595">
        <f>'Прилож 4 24 (10)'!AA127</f>
        <v>202823.2</v>
      </c>
      <c r="L127" s="595">
        <f>'Прилож 4 24 (10)'!AB127</f>
        <v>0</v>
      </c>
      <c r="M127" s="876">
        <f t="shared" si="21"/>
        <v>0</v>
      </c>
      <c r="N127" s="875"/>
      <c r="O127" s="875"/>
      <c r="P127" s="875"/>
      <c r="Q127" s="877"/>
      <c r="R127" s="875"/>
      <c r="S127" s="875"/>
      <c r="T127" s="875"/>
      <c r="U127" s="876">
        <f t="shared" si="25"/>
        <v>202823.2</v>
      </c>
      <c r="V127" s="875">
        <f t="shared" si="25"/>
        <v>0</v>
      </c>
      <c r="W127" s="875">
        <f t="shared" si="22"/>
        <v>0</v>
      </c>
      <c r="X127" s="875">
        <f t="shared" si="22"/>
        <v>0</v>
      </c>
      <c r="Y127" s="877" t="s">
        <v>1322</v>
      </c>
      <c r="Z127" s="875">
        <f t="shared" si="23"/>
        <v>0</v>
      </c>
      <c r="AA127" s="875">
        <f t="shared" si="23"/>
        <v>202823.2</v>
      </c>
      <c r="AB127" s="875">
        <f t="shared" si="23"/>
        <v>0</v>
      </c>
      <c r="AC127" s="878"/>
    </row>
    <row r="128" spans="1:29" ht="34.15" customHeight="1" x14ac:dyDescent="0.2">
      <c r="A128" s="618" t="s">
        <v>1319</v>
      </c>
      <c r="B128" s="619" t="s">
        <v>747</v>
      </c>
      <c r="C128" s="620">
        <v>244</v>
      </c>
      <c r="D128" s="620">
        <v>225</v>
      </c>
      <c r="E128" s="596">
        <f t="shared" si="24"/>
        <v>219000</v>
      </c>
      <c r="F128" s="595">
        <f>'Прилож 4 24 (10)'!V128</f>
        <v>0</v>
      </c>
      <c r="G128" s="595">
        <f>'Прилож 4 24 (10)'!W128</f>
        <v>0</v>
      </c>
      <c r="H128" s="595">
        <f>'Прилож 4 24 (10)'!X128</f>
        <v>0</v>
      </c>
      <c r="I128" s="623" t="s">
        <v>1322</v>
      </c>
      <c r="J128" s="595">
        <f>'Прилож 4 24 (10)'!Z128</f>
        <v>0</v>
      </c>
      <c r="K128" s="595">
        <f>'Прилож 4 24 (10)'!AA128</f>
        <v>219000</v>
      </c>
      <c r="L128" s="595">
        <f>'Прилож 4 24 (10)'!AB128</f>
        <v>0</v>
      </c>
      <c r="M128" s="876">
        <f t="shared" si="21"/>
        <v>0</v>
      </c>
      <c r="N128" s="875"/>
      <c r="O128" s="875"/>
      <c r="P128" s="875"/>
      <c r="Q128" s="1050"/>
      <c r="S128" s="875"/>
      <c r="T128" s="875"/>
      <c r="U128" s="876">
        <f t="shared" si="25"/>
        <v>219000</v>
      </c>
      <c r="V128" s="875">
        <f t="shared" si="25"/>
        <v>0</v>
      </c>
      <c r="W128" s="875">
        <f t="shared" si="22"/>
        <v>0</v>
      </c>
      <c r="X128" s="875">
        <f t="shared" si="22"/>
        <v>0</v>
      </c>
      <c r="Y128" s="877" t="s">
        <v>1322</v>
      </c>
      <c r="Z128" s="875"/>
      <c r="AA128" s="875">
        <f>S128+K128</f>
        <v>219000</v>
      </c>
      <c r="AB128" s="875">
        <f>T128+L128</f>
        <v>0</v>
      </c>
      <c r="AC128" s="878"/>
    </row>
    <row r="129" spans="1:29" ht="47.25" x14ac:dyDescent="0.2">
      <c r="A129" s="618" t="s">
        <v>1320</v>
      </c>
      <c r="B129" s="619" t="s">
        <v>747</v>
      </c>
      <c r="C129" s="620">
        <v>244</v>
      </c>
      <c r="D129" s="620">
        <v>225</v>
      </c>
      <c r="E129" s="596">
        <f t="shared" si="24"/>
        <v>299000</v>
      </c>
      <c r="F129" s="595">
        <f>'Прилож 4 24 (10)'!V129</f>
        <v>0</v>
      </c>
      <c r="G129" s="595">
        <f>'Прилож 4 24 (10)'!W129</f>
        <v>0</v>
      </c>
      <c r="H129" s="595">
        <f>'Прилож 4 24 (10)'!X129</f>
        <v>0</v>
      </c>
      <c r="I129" s="623" t="s">
        <v>1322</v>
      </c>
      <c r="J129" s="595">
        <f>'Прилож 4 24 (10)'!Z129</f>
        <v>0</v>
      </c>
      <c r="K129" s="595">
        <f>'Прилож 4 24 (10)'!AA129</f>
        <v>299000</v>
      </c>
      <c r="L129" s="595">
        <f>'Прилож 4 24 (10)'!AB129</f>
        <v>0</v>
      </c>
      <c r="M129" s="876">
        <f t="shared" si="21"/>
        <v>0</v>
      </c>
      <c r="N129" s="875"/>
      <c r="O129" s="875"/>
      <c r="P129" s="875"/>
      <c r="Q129" s="1050"/>
      <c r="S129" s="875"/>
      <c r="T129" s="875"/>
      <c r="U129" s="876">
        <f t="shared" si="25"/>
        <v>299000</v>
      </c>
      <c r="V129" s="875">
        <f t="shared" si="25"/>
        <v>0</v>
      </c>
      <c r="W129" s="875">
        <f t="shared" si="22"/>
        <v>0</v>
      </c>
      <c r="X129" s="875">
        <f t="shared" si="22"/>
        <v>0</v>
      </c>
      <c r="Y129" s="877" t="s">
        <v>1322</v>
      </c>
      <c r="Z129" s="875"/>
      <c r="AA129" s="875">
        <f>S129+K129</f>
        <v>299000</v>
      </c>
      <c r="AB129" s="875">
        <f>T129+L129</f>
        <v>0</v>
      </c>
      <c r="AC129" s="878"/>
    </row>
    <row r="130" spans="1:29" ht="43.15" customHeight="1" x14ac:dyDescent="0.2">
      <c r="A130" s="618" t="s">
        <v>1481</v>
      </c>
      <c r="B130" s="619" t="s">
        <v>747</v>
      </c>
      <c r="C130" s="620">
        <v>244</v>
      </c>
      <c r="D130" s="620">
        <v>225</v>
      </c>
      <c r="E130" s="596">
        <f t="shared" si="24"/>
        <v>3157010.92</v>
      </c>
      <c r="F130" s="595">
        <f>'Прилож 4 24 (10)'!V130</f>
        <v>0</v>
      </c>
      <c r="G130" s="595">
        <f>'Прилож 4 24 (10)'!W130</f>
        <v>0</v>
      </c>
      <c r="H130" s="595">
        <f>'Прилож 4 24 (10)'!X130</f>
        <v>0</v>
      </c>
      <c r="I130" s="623" t="s">
        <v>1322</v>
      </c>
      <c r="J130" s="595">
        <f>'Прилож 4 24 (10)'!Z130</f>
        <v>0</v>
      </c>
      <c r="K130" s="595">
        <f>'Прилож 4 24 (10)'!AA130</f>
        <v>3157010.92</v>
      </c>
      <c r="L130" s="595">
        <f>'Прилож 4 24 (10)'!AB130</f>
        <v>0</v>
      </c>
      <c r="M130" s="876">
        <f t="shared" si="21"/>
        <v>0</v>
      </c>
      <c r="N130" s="875"/>
      <c r="O130" s="875"/>
      <c r="P130" s="875"/>
      <c r="Q130" s="623"/>
      <c r="R130" s="595"/>
      <c r="S130" s="595"/>
      <c r="T130" s="875"/>
      <c r="U130" s="876">
        <f t="shared" si="25"/>
        <v>3157010.92</v>
      </c>
      <c r="V130" s="875">
        <f t="shared" si="25"/>
        <v>0</v>
      </c>
      <c r="W130" s="875">
        <f t="shared" si="22"/>
        <v>0</v>
      </c>
      <c r="X130" s="875">
        <f t="shared" si="22"/>
        <v>0</v>
      </c>
      <c r="Y130" s="877" t="s">
        <v>1322</v>
      </c>
      <c r="Z130" s="875"/>
      <c r="AA130" s="875">
        <f t="shared" ref="AA130:AB159" si="26">S130+K130</f>
        <v>3157010.92</v>
      </c>
      <c r="AB130" s="875"/>
      <c r="AC130" s="1003"/>
    </row>
    <row r="131" spans="1:29" ht="31.5" x14ac:dyDescent="0.2">
      <c r="A131" s="618" t="s">
        <v>1318</v>
      </c>
      <c r="B131" s="619" t="s">
        <v>747</v>
      </c>
      <c r="C131" s="620">
        <v>244</v>
      </c>
      <c r="D131" s="620">
        <v>225</v>
      </c>
      <c r="E131" s="596">
        <f t="shared" si="24"/>
        <v>252769.2</v>
      </c>
      <c r="F131" s="595">
        <f>'Прилож 4 24 (10)'!V131</f>
        <v>0</v>
      </c>
      <c r="G131" s="595">
        <f>'Прилож 4 24 (10)'!W131</f>
        <v>0</v>
      </c>
      <c r="H131" s="595">
        <f>'Прилож 4 24 (10)'!X131</f>
        <v>0</v>
      </c>
      <c r="I131" s="1051">
        <v>963324045</v>
      </c>
      <c r="J131" s="595">
        <f>'Прилож 4 24 (10)'!Z131</f>
        <v>0</v>
      </c>
      <c r="K131" s="595">
        <f>'Прилож 4 24 (10)'!AA131</f>
        <v>252769.2</v>
      </c>
      <c r="L131" s="595">
        <f>'Прилож 4 24 (10)'!AB131</f>
        <v>0</v>
      </c>
      <c r="M131" s="876">
        <f t="shared" si="21"/>
        <v>-167773.81</v>
      </c>
      <c r="N131" s="875"/>
      <c r="O131" s="875"/>
      <c r="P131" s="875"/>
      <c r="Q131" s="1051">
        <v>963324045</v>
      </c>
      <c r="R131" s="595"/>
      <c r="S131" s="875">
        <v>-167773.81</v>
      </c>
      <c r="T131" s="875"/>
      <c r="U131" s="876">
        <f t="shared" si="25"/>
        <v>84995.390000000014</v>
      </c>
      <c r="V131" s="875">
        <f t="shared" si="25"/>
        <v>0</v>
      </c>
      <c r="W131" s="875">
        <f t="shared" si="22"/>
        <v>0</v>
      </c>
      <c r="X131" s="875">
        <f t="shared" si="22"/>
        <v>0</v>
      </c>
      <c r="Y131" s="877" t="s">
        <v>1322</v>
      </c>
      <c r="Z131" s="875"/>
      <c r="AA131" s="875">
        <f t="shared" si="26"/>
        <v>84995.390000000014</v>
      </c>
      <c r="AB131" s="875"/>
      <c r="AC131" s="878" t="s">
        <v>1737</v>
      </c>
    </row>
    <row r="132" spans="1:29" ht="47.25" x14ac:dyDescent="0.2">
      <c r="A132" s="618" t="s">
        <v>1513</v>
      </c>
      <c r="B132" s="619" t="s">
        <v>747</v>
      </c>
      <c r="C132" s="620">
        <v>244</v>
      </c>
      <c r="D132" s="620">
        <v>225</v>
      </c>
      <c r="E132" s="596">
        <f t="shared" si="24"/>
        <v>11553.7</v>
      </c>
      <c r="F132" s="595">
        <f>'Прилож 4 24 (10)'!V132</f>
        <v>0</v>
      </c>
      <c r="G132" s="595">
        <f>'Прилож 4 24 (10)'!W132</f>
        <v>0</v>
      </c>
      <c r="H132" s="595">
        <f>'Прилож 4 24 (10)'!X132</f>
        <v>11553.7</v>
      </c>
      <c r="I132" s="1051"/>
      <c r="J132" s="595">
        <f>'Прилож 4 24 (10)'!Z132</f>
        <v>0</v>
      </c>
      <c r="K132" s="595">
        <f>'Прилож 4 24 (10)'!AA132</f>
        <v>0</v>
      </c>
      <c r="L132" s="595">
        <f>'Прилож 4 24 (10)'!AB132</f>
        <v>0</v>
      </c>
      <c r="M132" s="876">
        <f t="shared" si="21"/>
        <v>0</v>
      </c>
      <c r="N132" s="875"/>
      <c r="O132" s="875"/>
      <c r="P132" s="875"/>
      <c r="Q132" s="623"/>
      <c r="S132" s="875"/>
      <c r="T132" s="875"/>
      <c r="U132" s="876">
        <f t="shared" si="25"/>
        <v>11553.7</v>
      </c>
      <c r="V132" s="875">
        <f t="shared" si="25"/>
        <v>0</v>
      </c>
      <c r="W132" s="875">
        <f t="shared" si="22"/>
        <v>0</v>
      </c>
      <c r="X132" s="875">
        <f t="shared" si="22"/>
        <v>11553.7</v>
      </c>
      <c r="Y132" s="877"/>
      <c r="Z132" s="875"/>
      <c r="AA132" s="875">
        <f t="shared" si="26"/>
        <v>0</v>
      </c>
      <c r="AB132" s="875"/>
      <c r="AC132" s="878"/>
    </row>
    <row r="133" spans="1:29" s="637" customFormat="1" ht="27.75" customHeight="1" x14ac:dyDescent="0.2">
      <c r="A133" s="632" t="s">
        <v>1143</v>
      </c>
      <c r="B133" s="633" t="s">
        <v>747</v>
      </c>
      <c r="C133" s="634">
        <v>244</v>
      </c>
      <c r="D133" s="634">
        <v>225</v>
      </c>
      <c r="E133" s="596">
        <f t="shared" si="24"/>
        <v>4476639.7299999995</v>
      </c>
      <c r="F133" s="595">
        <f>'Прилож 4 24 (10)'!V133</f>
        <v>0</v>
      </c>
      <c r="G133" s="595">
        <f>'Прилож 4 24 (10)'!W133</f>
        <v>0</v>
      </c>
      <c r="H133" s="595">
        <f>'Прилож 4 24 (10)'!X133</f>
        <v>346036.41</v>
      </c>
      <c r="I133" s="635"/>
      <c r="J133" s="595">
        <f>'Прилож 4 24 (10)'!Z133</f>
        <v>0</v>
      </c>
      <c r="K133" s="595">
        <f>'Прилож 4 24 (10)'!AA133</f>
        <v>4130603.32</v>
      </c>
      <c r="L133" s="595">
        <f>'Прилож 4 24 (10)'!AB133</f>
        <v>0</v>
      </c>
      <c r="M133" s="876">
        <f t="shared" si="21"/>
        <v>-167773.81</v>
      </c>
      <c r="N133" s="884">
        <f>SUM(N108:N129)</f>
        <v>0</v>
      </c>
      <c r="O133" s="884"/>
      <c r="P133" s="884">
        <f>SUM(P108:P132)</f>
        <v>0</v>
      </c>
      <c r="Q133" s="885"/>
      <c r="R133" s="884"/>
      <c r="S133" s="884">
        <f>SUM(S108:S131)</f>
        <v>-167773.81</v>
      </c>
      <c r="T133" s="884"/>
      <c r="U133" s="876">
        <f t="shared" si="25"/>
        <v>4308865.92</v>
      </c>
      <c r="V133" s="875">
        <f t="shared" si="25"/>
        <v>0</v>
      </c>
      <c r="W133" s="875">
        <f t="shared" si="22"/>
        <v>0</v>
      </c>
      <c r="X133" s="875">
        <f t="shared" si="22"/>
        <v>346036.41</v>
      </c>
      <c r="Y133" s="885"/>
      <c r="Z133" s="875">
        <f t="shared" ref="Z133:Z159" si="27">R133+J133</f>
        <v>0</v>
      </c>
      <c r="AA133" s="875">
        <f t="shared" si="26"/>
        <v>3962829.51</v>
      </c>
      <c r="AB133" s="875">
        <f t="shared" si="26"/>
        <v>0</v>
      </c>
      <c r="AC133" s="886"/>
    </row>
    <row r="134" spans="1:29" ht="66.75" customHeight="1" x14ac:dyDescent="0.2">
      <c r="A134" s="618" t="s">
        <v>1188</v>
      </c>
      <c r="B134" s="619" t="s">
        <v>729</v>
      </c>
      <c r="C134" s="620">
        <v>244</v>
      </c>
      <c r="D134" s="620">
        <v>225</v>
      </c>
      <c r="E134" s="596">
        <f t="shared" si="24"/>
        <v>50400</v>
      </c>
      <c r="F134" s="595">
        <f>'Прилож 4 24 (10)'!V134</f>
        <v>0</v>
      </c>
      <c r="G134" s="595">
        <f>'Прилож 4 24 (10)'!W134</f>
        <v>0</v>
      </c>
      <c r="H134" s="595">
        <f>'Прилож 4 24 (10)'!X134</f>
        <v>50400</v>
      </c>
      <c r="I134" s="628"/>
      <c r="J134" s="595">
        <f>'Прилож 4 24 (10)'!Z134</f>
        <v>0</v>
      </c>
      <c r="K134" s="595">
        <f>'Прилож 4 24 (10)'!AA134</f>
        <v>0</v>
      </c>
      <c r="L134" s="595">
        <f>'Прилож 4 24 (10)'!AB134</f>
        <v>0</v>
      </c>
      <c r="M134" s="876">
        <f t="shared" si="21"/>
        <v>0</v>
      </c>
      <c r="N134" s="875"/>
      <c r="O134" s="875"/>
      <c r="P134" s="875"/>
      <c r="Q134" s="877"/>
      <c r="R134" s="875"/>
      <c r="S134" s="875"/>
      <c r="T134" s="875"/>
      <c r="U134" s="876">
        <f t="shared" si="25"/>
        <v>50400</v>
      </c>
      <c r="V134" s="875">
        <f t="shared" si="25"/>
        <v>0</v>
      </c>
      <c r="W134" s="875">
        <f t="shared" si="22"/>
        <v>0</v>
      </c>
      <c r="X134" s="875">
        <f t="shared" si="22"/>
        <v>50400</v>
      </c>
      <c r="Y134" s="883"/>
      <c r="Z134" s="875">
        <f t="shared" si="27"/>
        <v>0</v>
      </c>
      <c r="AA134" s="875">
        <f t="shared" si="26"/>
        <v>0</v>
      </c>
      <c r="AB134" s="875">
        <f t="shared" si="26"/>
        <v>0</v>
      </c>
      <c r="AC134" s="878"/>
    </row>
    <row r="135" spans="1:29" x14ac:dyDescent="0.2">
      <c r="A135" s="618" t="s">
        <v>1193</v>
      </c>
      <c r="B135" s="619" t="s">
        <v>729</v>
      </c>
      <c r="C135" s="620">
        <v>244</v>
      </c>
      <c r="D135" s="620">
        <v>225</v>
      </c>
      <c r="E135" s="596">
        <f t="shared" si="24"/>
        <v>73152</v>
      </c>
      <c r="F135" s="595">
        <f>'Прилож 4 24 (10)'!V135</f>
        <v>0</v>
      </c>
      <c r="G135" s="595">
        <f>'Прилож 4 24 (10)'!W135</f>
        <v>0</v>
      </c>
      <c r="H135" s="595">
        <f>'Прилож 4 24 (10)'!X135</f>
        <v>73152</v>
      </c>
      <c r="I135" s="628"/>
      <c r="J135" s="595">
        <f>'Прилож 4 24 (10)'!Z135</f>
        <v>0</v>
      </c>
      <c r="K135" s="595">
        <f>'Прилож 4 24 (10)'!AA135</f>
        <v>0</v>
      </c>
      <c r="L135" s="595">
        <f>'Прилож 4 24 (10)'!AB135</f>
        <v>0</v>
      </c>
      <c r="M135" s="876">
        <f t="shared" si="21"/>
        <v>0</v>
      </c>
      <c r="N135" s="875"/>
      <c r="O135" s="875"/>
      <c r="P135" s="875"/>
      <c r="Q135" s="877"/>
      <c r="R135" s="875"/>
      <c r="S135" s="875"/>
      <c r="T135" s="875"/>
      <c r="U135" s="876">
        <f t="shared" si="25"/>
        <v>73152</v>
      </c>
      <c r="V135" s="875">
        <f t="shared" si="25"/>
        <v>0</v>
      </c>
      <c r="W135" s="875">
        <f t="shared" si="22"/>
        <v>0</v>
      </c>
      <c r="X135" s="875">
        <f t="shared" si="22"/>
        <v>73152</v>
      </c>
      <c r="Y135" s="883"/>
      <c r="Z135" s="875">
        <f t="shared" si="27"/>
        <v>0</v>
      </c>
      <c r="AA135" s="875">
        <f t="shared" si="26"/>
        <v>0</v>
      </c>
      <c r="AB135" s="875">
        <f t="shared" si="26"/>
        <v>0</v>
      </c>
      <c r="AC135" s="878"/>
    </row>
    <row r="136" spans="1:29" ht="36.75" customHeight="1" x14ac:dyDescent="0.2">
      <c r="A136" s="618" t="s">
        <v>1192</v>
      </c>
      <c r="B136" s="619" t="s">
        <v>729</v>
      </c>
      <c r="C136" s="620">
        <v>244</v>
      </c>
      <c r="D136" s="620">
        <v>225</v>
      </c>
      <c r="E136" s="596">
        <f t="shared" si="24"/>
        <v>3859</v>
      </c>
      <c r="F136" s="595">
        <f>'Прилож 4 24 (10)'!V136</f>
        <v>0</v>
      </c>
      <c r="G136" s="595">
        <f>'Прилож 4 24 (10)'!W136</f>
        <v>0</v>
      </c>
      <c r="H136" s="595">
        <f>'Прилож 4 24 (10)'!X136</f>
        <v>3859</v>
      </c>
      <c r="I136" s="628"/>
      <c r="J136" s="595">
        <f>'Прилож 4 24 (10)'!Z136</f>
        <v>0</v>
      </c>
      <c r="K136" s="595">
        <f>'Прилож 4 24 (10)'!AA136</f>
        <v>0</v>
      </c>
      <c r="L136" s="595">
        <f>'Прилож 4 24 (10)'!AB136</f>
        <v>0</v>
      </c>
      <c r="M136" s="876">
        <f t="shared" si="21"/>
        <v>0</v>
      </c>
      <c r="N136" s="875"/>
      <c r="O136" s="875"/>
      <c r="P136" s="875"/>
      <c r="Q136" s="877"/>
      <c r="R136" s="875"/>
      <c r="S136" s="875"/>
      <c r="T136" s="875"/>
      <c r="U136" s="876">
        <f t="shared" si="25"/>
        <v>3859</v>
      </c>
      <c r="V136" s="875">
        <f t="shared" si="25"/>
        <v>0</v>
      </c>
      <c r="W136" s="875">
        <f t="shared" si="22"/>
        <v>0</v>
      </c>
      <c r="X136" s="875">
        <f t="shared" si="22"/>
        <v>3859</v>
      </c>
      <c r="Y136" s="883"/>
      <c r="Z136" s="875">
        <f t="shared" si="27"/>
        <v>0</v>
      </c>
      <c r="AA136" s="875">
        <f t="shared" si="26"/>
        <v>0</v>
      </c>
      <c r="AB136" s="875">
        <f t="shared" si="26"/>
        <v>0</v>
      </c>
      <c r="AC136" s="878"/>
    </row>
    <row r="137" spans="1:29" ht="31.5" x14ac:dyDescent="0.2">
      <c r="A137" s="618" t="s">
        <v>1186</v>
      </c>
      <c r="B137" s="619" t="s">
        <v>729</v>
      </c>
      <c r="C137" s="620">
        <v>244</v>
      </c>
      <c r="D137" s="620">
        <v>225</v>
      </c>
      <c r="E137" s="596">
        <f t="shared" si="24"/>
        <v>23457.360000000001</v>
      </c>
      <c r="F137" s="595">
        <f>'Прилож 4 24 (10)'!V137</f>
        <v>0</v>
      </c>
      <c r="G137" s="595">
        <f>'Прилож 4 24 (10)'!W137</f>
        <v>0</v>
      </c>
      <c r="H137" s="595">
        <f>'Прилож 4 24 (10)'!X137</f>
        <v>23457.360000000001</v>
      </c>
      <c r="I137" s="628"/>
      <c r="J137" s="595">
        <f>'Прилож 4 24 (10)'!Z137</f>
        <v>0</v>
      </c>
      <c r="K137" s="595">
        <f>'Прилож 4 24 (10)'!AA137</f>
        <v>0</v>
      </c>
      <c r="L137" s="595">
        <f>'Прилож 4 24 (10)'!AB137</f>
        <v>0</v>
      </c>
      <c r="M137" s="876">
        <f t="shared" si="21"/>
        <v>0</v>
      </c>
      <c r="N137" s="875"/>
      <c r="O137" s="875"/>
      <c r="P137" s="875"/>
      <c r="Q137" s="877"/>
      <c r="R137" s="875"/>
      <c r="S137" s="875"/>
      <c r="T137" s="875"/>
      <c r="U137" s="876">
        <f t="shared" si="25"/>
        <v>23457.360000000001</v>
      </c>
      <c r="V137" s="875">
        <f t="shared" si="25"/>
        <v>0</v>
      </c>
      <c r="W137" s="875">
        <f t="shared" si="22"/>
        <v>0</v>
      </c>
      <c r="X137" s="875">
        <f t="shared" si="22"/>
        <v>23457.360000000001</v>
      </c>
      <c r="Y137" s="883"/>
      <c r="Z137" s="875">
        <f t="shared" si="27"/>
        <v>0</v>
      </c>
      <c r="AA137" s="875">
        <f t="shared" si="26"/>
        <v>0</v>
      </c>
      <c r="AB137" s="875">
        <f t="shared" si="26"/>
        <v>0</v>
      </c>
      <c r="AC137" s="878"/>
    </row>
    <row r="138" spans="1:29" ht="55.5" customHeight="1" x14ac:dyDescent="0.2">
      <c r="A138" s="618" t="s">
        <v>148</v>
      </c>
      <c r="B138" s="619" t="s">
        <v>729</v>
      </c>
      <c r="C138" s="620">
        <v>244</v>
      </c>
      <c r="D138" s="620">
        <v>225</v>
      </c>
      <c r="E138" s="596">
        <f t="shared" si="24"/>
        <v>4000</v>
      </c>
      <c r="F138" s="595">
        <f>'Прилож 4 24 (10)'!V138</f>
        <v>0</v>
      </c>
      <c r="G138" s="595">
        <f>'Прилож 4 24 (10)'!W138</f>
        <v>0</v>
      </c>
      <c r="H138" s="595">
        <f>'Прилож 4 24 (10)'!X138</f>
        <v>4000</v>
      </c>
      <c r="I138" s="628"/>
      <c r="J138" s="595">
        <f>'Прилож 4 24 (10)'!Z138</f>
        <v>0</v>
      </c>
      <c r="K138" s="595">
        <f>'Прилож 4 24 (10)'!AA138</f>
        <v>0</v>
      </c>
      <c r="L138" s="595">
        <f>'Прилож 4 24 (10)'!AB138</f>
        <v>0</v>
      </c>
      <c r="M138" s="876">
        <f t="shared" si="21"/>
        <v>0</v>
      </c>
      <c r="N138" s="875"/>
      <c r="O138" s="875"/>
      <c r="P138" s="875"/>
      <c r="Q138" s="877"/>
      <c r="R138" s="875"/>
      <c r="S138" s="875"/>
      <c r="T138" s="875"/>
      <c r="U138" s="876">
        <f t="shared" si="25"/>
        <v>4000</v>
      </c>
      <c r="V138" s="875">
        <f t="shared" si="25"/>
        <v>0</v>
      </c>
      <c r="W138" s="875">
        <f t="shared" si="22"/>
        <v>0</v>
      </c>
      <c r="X138" s="875">
        <f t="shared" si="22"/>
        <v>4000</v>
      </c>
      <c r="Y138" s="883"/>
      <c r="Z138" s="875">
        <f t="shared" si="27"/>
        <v>0</v>
      </c>
      <c r="AA138" s="875">
        <f t="shared" si="26"/>
        <v>0</v>
      </c>
      <c r="AB138" s="875">
        <f t="shared" si="26"/>
        <v>0</v>
      </c>
      <c r="AC138" s="878"/>
    </row>
    <row r="139" spans="1:29" x14ac:dyDescent="0.2">
      <c r="A139" s="618" t="s">
        <v>627</v>
      </c>
      <c r="B139" s="619" t="s">
        <v>729</v>
      </c>
      <c r="C139" s="620">
        <v>244</v>
      </c>
      <c r="D139" s="620">
        <v>225</v>
      </c>
      <c r="E139" s="596">
        <f t="shared" si="24"/>
        <v>126092.16</v>
      </c>
      <c r="F139" s="595">
        <f>'Прилож 4 24 (10)'!V139</f>
        <v>0</v>
      </c>
      <c r="G139" s="595">
        <f>'Прилож 4 24 (10)'!W139</f>
        <v>0</v>
      </c>
      <c r="H139" s="595">
        <f>'Прилож 4 24 (10)'!X139</f>
        <v>126092.16</v>
      </c>
      <c r="I139" s="628"/>
      <c r="J139" s="595">
        <f>'Прилож 4 24 (10)'!Z139</f>
        <v>0</v>
      </c>
      <c r="K139" s="595">
        <f>'Прилож 4 24 (10)'!AA139</f>
        <v>0</v>
      </c>
      <c r="L139" s="595">
        <f>'Прилож 4 24 (10)'!AB139</f>
        <v>0</v>
      </c>
      <c r="M139" s="876">
        <f t="shared" si="21"/>
        <v>0</v>
      </c>
      <c r="N139" s="875"/>
      <c r="O139" s="875"/>
      <c r="P139" s="875"/>
      <c r="Q139" s="877"/>
      <c r="R139" s="875"/>
      <c r="S139" s="875"/>
      <c r="T139" s="875"/>
      <c r="U139" s="876">
        <f t="shared" si="25"/>
        <v>126092.16</v>
      </c>
      <c r="V139" s="875">
        <f t="shared" si="25"/>
        <v>0</v>
      </c>
      <c r="W139" s="875">
        <f t="shared" si="22"/>
        <v>0</v>
      </c>
      <c r="X139" s="875">
        <f t="shared" si="22"/>
        <v>126092.16</v>
      </c>
      <c r="Y139" s="883"/>
      <c r="Z139" s="875">
        <f t="shared" si="27"/>
        <v>0</v>
      </c>
      <c r="AA139" s="875">
        <f t="shared" si="26"/>
        <v>0</v>
      </c>
      <c r="AB139" s="875">
        <f t="shared" si="26"/>
        <v>0</v>
      </c>
      <c r="AC139" s="878"/>
    </row>
    <row r="140" spans="1:29" ht="34.5" customHeight="1" x14ac:dyDescent="0.2">
      <c r="A140" s="618" t="s">
        <v>759</v>
      </c>
      <c r="B140" s="619" t="s">
        <v>729</v>
      </c>
      <c r="C140" s="620">
        <v>244</v>
      </c>
      <c r="D140" s="620">
        <v>225</v>
      </c>
      <c r="E140" s="596">
        <f t="shared" si="24"/>
        <v>0</v>
      </c>
      <c r="F140" s="595">
        <f>'Прилож 4 24 (10)'!V140</f>
        <v>0</v>
      </c>
      <c r="G140" s="595">
        <f>'Прилож 4 24 (10)'!W140</f>
        <v>0</v>
      </c>
      <c r="H140" s="595">
        <f>'Прилож 4 24 (10)'!X140</f>
        <v>0</v>
      </c>
      <c r="I140" s="628"/>
      <c r="J140" s="595">
        <f>'Прилож 4 24 (10)'!Z140</f>
        <v>0</v>
      </c>
      <c r="K140" s="595">
        <f>'Прилож 4 24 (10)'!AA140</f>
        <v>0</v>
      </c>
      <c r="L140" s="595">
        <f>'Прилож 4 24 (10)'!AB140</f>
        <v>0</v>
      </c>
      <c r="M140" s="876">
        <f t="shared" si="21"/>
        <v>0</v>
      </c>
      <c r="N140" s="875"/>
      <c r="O140" s="875"/>
      <c r="P140" s="875"/>
      <c r="Q140" s="877"/>
      <c r="R140" s="875"/>
      <c r="S140" s="875"/>
      <c r="T140" s="875"/>
      <c r="U140" s="876">
        <f t="shared" si="25"/>
        <v>0</v>
      </c>
      <c r="V140" s="875">
        <f t="shared" si="25"/>
        <v>0</v>
      </c>
      <c r="W140" s="875">
        <f t="shared" si="22"/>
        <v>0</v>
      </c>
      <c r="X140" s="875">
        <f t="shared" si="22"/>
        <v>0</v>
      </c>
      <c r="Y140" s="883"/>
      <c r="Z140" s="875">
        <f t="shared" si="27"/>
        <v>0</v>
      </c>
      <c r="AA140" s="875">
        <f t="shared" si="26"/>
        <v>0</v>
      </c>
      <c r="AB140" s="875">
        <f t="shared" si="26"/>
        <v>0</v>
      </c>
      <c r="AC140" s="878"/>
    </row>
    <row r="141" spans="1:29" ht="28.5" customHeight="1" x14ac:dyDescent="0.2">
      <c r="A141" s="618" t="s">
        <v>143</v>
      </c>
      <c r="B141" s="619" t="s">
        <v>729</v>
      </c>
      <c r="C141" s="620">
        <v>244</v>
      </c>
      <c r="D141" s="620">
        <v>225</v>
      </c>
      <c r="E141" s="596">
        <f t="shared" si="24"/>
        <v>43576.47</v>
      </c>
      <c r="F141" s="595">
        <f>'Прилож 4 24 (10)'!V141</f>
        <v>0</v>
      </c>
      <c r="G141" s="595">
        <f>'Прилож 4 24 (10)'!W141</f>
        <v>0</v>
      </c>
      <c r="H141" s="595">
        <f>'Прилож 4 24 (10)'!X141</f>
        <v>43576.47</v>
      </c>
      <c r="I141" s="628"/>
      <c r="J141" s="595">
        <f>'Прилож 4 24 (10)'!Z141</f>
        <v>0</v>
      </c>
      <c r="K141" s="595">
        <f>'Прилож 4 24 (10)'!AA141</f>
        <v>0</v>
      </c>
      <c r="L141" s="595">
        <f>'Прилож 4 24 (10)'!AB141</f>
        <v>0</v>
      </c>
      <c r="M141" s="876">
        <f t="shared" si="21"/>
        <v>0</v>
      </c>
      <c r="N141" s="875"/>
      <c r="O141" s="875"/>
      <c r="P141" s="875"/>
      <c r="Q141" s="877"/>
      <c r="R141" s="875"/>
      <c r="S141" s="875"/>
      <c r="T141" s="875"/>
      <c r="U141" s="876">
        <f t="shared" si="25"/>
        <v>43576.47</v>
      </c>
      <c r="V141" s="875">
        <f t="shared" si="25"/>
        <v>0</v>
      </c>
      <c r="W141" s="875">
        <f t="shared" si="22"/>
        <v>0</v>
      </c>
      <c r="X141" s="875">
        <f t="shared" si="22"/>
        <v>43576.47</v>
      </c>
      <c r="Y141" s="883"/>
      <c r="Z141" s="875">
        <f t="shared" si="27"/>
        <v>0</v>
      </c>
      <c r="AA141" s="875">
        <f t="shared" si="26"/>
        <v>0</v>
      </c>
      <c r="AB141" s="875">
        <f t="shared" si="26"/>
        <v>0</v>
      </c>
      <c r="AC141" s="878"/>
    </row>
    <row r="142" spans="1:29" ht="39" customHeight="1" x14ac:dyDescent="0.2">
      <c r="A142" s="618" t="s">
        <v>635</v>
      </c>
      <c r="B142" s="619" t="s">
        <v>729</v>
      </c>
      <c r="C142" s="620">
        <v>244</v>
      </c>
      <c r="D142" s="620">
        <v>225</v>
      </c>
      <c r="E142" s="596">
        <f t="shared" si="24"/>
        <v>77251.399999999994</v>
      </c>
      <c r="F142" s="595">
        <f>'Прилож 4 24 (10)'!V142</f>
        <v>0</v>
      </c>
      <c r="G142" s="595">
        <f>'Прилож 4 24 (10)'!W142</f>
        <v>0</v>
      </c>
      <c r="H142" s="595">
        <f>'Прилож 4 24 (10)'!X142</f>
        <v>77251.399999999994</v>
      </c>
      <c r="I142" s="628"/>
      <c r="J142" s="595">
        <f>'Прилож 4 24 (10)'!Z142</f>
        <v>0</v>
      </c>
      <c r="K142" s="595">
        <f>'Прилож 4 24 (10)'!AA142</f>
        <v>0</v>
      </c>
      <c r="L142" s="595">
        <f>'Прилож 4 24 (10)'!AB142</f>
        <v>0</v>
      </c>
      <c r="M142" s="876">
        <f t="shared" si="21"/>
        <v>0</v>
      </c>
      <c r="N142" s="875"/>
      <c r="O142" s="875"/>
      <c r="P142" s="875"/>
      <c r="Q142" s="877"/>
      <c r="R142" s="875"/>
      <c r="S142" s="875"/>
      <c r="T142" s="875"/>
      <c r="U142" s="876">
        <f t="shared" si="25"/>
        <v>77251.399999999994</v>
      </c>
      <c r="V142" s="875">
        <f t="shared" si="25"/>
        <v>0</v>
      </c>
      <c r="W142" s="875">
        <f t="shared" si="22"/>
        <v>0</v>
      </c>
      <c r="X142" s="875">
        <f t="shared" si="22"/>
        <v>77251.399999999994</v>
      </c>
      <c r="Y142" s="883"/>
      <c r="Z142" s="875">
        <f t="shared" si="27"/>
        <v>0</v>
      </c>
      <c r="AA142" s="875">
        <f t="shared" si="26"/>
        <v>0</v>
      </c>
      <c r="AB142" s="875">
        <f t="shared" si="26"/>
        <v>0</v>
      </c>
      <c r="AC142" s="878"/>
    </row>
    <row r="143" spans="1:29" ht="36.75" customHeight="1" x14ac:dyDescent="0.2">
      <c r="A143" s="618" t="s">
        <v>951</v>
      </c>
      <c r="B143" s="619" t="s">
        <v>729</v>
      </c>
      <c r="C143" s="620">
        <v>244</v>
      </c>
      <c r="D143" s="620">
        <v>225</v>
      </c>
      <c r="E143" s="596">
        <f t="shared" si="24"/>
        <v>37000</v>
      </c>
      <c r="F143" s="595">
        <f>'Прилож 4 24 (10)'!V143</f>
        <v>0</v>
      </c>
      <c r="G143" s="595">
        <f>'Прилож 4 24 (10)'!W143</f>
        <v>0</v>
      </c>
      <c r="H143" s="595">
        <f>'Прилож 4 24 (10)'!X143</f>
        <v>37000</v>
      </c>
      <c r="I143" s="628"/>
      <c r="J143" s="595">
        <f>'Прилож 4 24 (10)'!Z143</f>
        <v>0</v>
      </c>
      <c r="K143" s="595">
        <f>'Прилож 4 24 (10)'!AA143</f>
        <v>0</v>
      </c>
      <c r="L143" s="595">
        <f>'Прилож 4 24 (10)'!AB143</f>
        <v>0</v>
      </c>
      <c r="M143" s="876">
        <f t="shared" si="21"/>
        <v>0</v>
      </c>
      <c r="N143" s="875"/>
      <c r="O143" s="875"/>
      <c r="P143" s="875"/>
      <c r="Q143" s="877"/>
      <c r="R143" s="875"/>
      <c r="S143" s="875"/>
      <c r="T143" s="875"/>
      <c r="U143" s="876">
        <f t="shared" si="25"/>
        <v>37000</v>
      </c>
      <c r="V143" s="875">
        <f t="shared" si="25"/>
        <v>0</v>
      </c>
      <c r="W143" s="875">
        <f t="shared" si="22"/>
        <v>0</v>
      </c>
      <c r="X143" s="875">
        <f t="shared" si="22"/>
        <v>37000</v>
      </c>
      <c r="Y143" s="883"/>
      <c r="Z143" s="875">
        <f t="shared" si="27"/>
        <v>0</v>
      </c>
      <c r="AA143" s="875">
        <f t="shared" si="26"/>
        <v>0</v>
      </c>
      <c r="AB143" s="875"/>
      <c r="AC143" s="878"/>
    </row>
    <row r="144" spans="1:29" ht="34.5" customHeight="1" x14ac:dyDescent="0.2">
      <c r="A144" s="618" t="s">
        <v>150</v>
      </c>
      <c r="B144" s="619" t="s">
        <v>729</v>
      </c>
      <c r="C144" s="620">
        <v>244</v>
      </c>
      <c r="D144" s="620">
        <v>225</v>
      </c>
      <c r="E144" s="596">
        <f t="shared" si="24"/>
        <v>0</v>
      </c>
      <c r="F144" s="595">
        <f>'Прилож 4 24 (10)'!V144</f>
        <v>0</v>
      </c>
      <c r="G144" s="595">
        <f>'Прилож 4 24 (10)'!W144</f>
        <v>0</v>
      </c>
      <c r="H144" s="595">
        <f>'Прилож 4 24 (10)'!X144</f>
        <v>0</v>
      </c>
      <c r="I144" s="628"/>
      <c r="J144" s="595">
        <f>'Прилож 4 24 (10)'!Z144</f>
        <v>0</v>
      </c>
      <c r="K144" s="595">
        <f>'Прилож 4 24 (10)'!AA144</f>
        <v>0</v>
      </c>
      <c r="L144" s="595">
        <f>'Прилож 4 24 (10)'!AB144</f>
        <v>0</v>
      </c>
      <c r="M144" s="876">
        <f t="shared" si="21"/>
        <v>0</v>
      </c>
      <c r="N144" s="875"/>
      <c r="O144" s="875"/>
      <c r="P144" s="875"/>
      <c r="Q144" s="877"/>
      <c r="R144" s="875"/>
      <c r="S144" s="875"/>
      <c r="T144" s="875"/>
      <c r="U144" s="876">
        <f t="shared" si="25"/>
        <v>0</v>
      </c>
      <c r="V144" s="875">
        <f t="shared" si="25"/>
        <v>0</v>
      </c>
      <c r="W144" s="875">
        <f t="shared" si="22"/>
        <v>0</v>
      </c>
      <c r="X144" s="875">
        <f t="shared" si="22"/>
        <v>0</v>
      </c>
      <c r="Y144" s="883"/>
      <c r="Z144" s="875">
        <f t="shared" si="27"/>
        <v>0</v>
      </c>
      <c r="AA144" s="875">
        <f t="shared" si="26"/>
        <v>0</v>
      </c>
      <c r="AB144" s="875">
        <f t="shared" si="26"/>
        <v>0</v>
      </c>
      <c r="AC144" s="878"/>
    </row>
    <row r="145" spans="1:29" ht="41.25" customHeight="1" x14ac:dyDescent="0.2">
      <c r="A145" s="618" t="s">
        <v>952</v>
      </c>
      <c r="B145" s="619" t="s">
        <v>729</v>
      </c>
      <c r="C145" s="620">
        <v>244</v>
      </c>
      <c r="D145" s="620">
        <v>225</v>
      </c>
      <c r="E145" s="596">
        <f t="shared" si="24"/>
        <v>21188</v>
      </c>
      <c r="F145" s="595">
        <f>'Прилож 4 24 (10)'!V145</f>
        <v>0</v>
      </c>
      <c r="G145" s="595">
        <f>'Прилож 4 24 (10)'!W145</f>
        <v>0</v>
      </c>
      <c r="H145" s="595">
        <f>'Прилож 4 24 (10)'!X145</f>
        <v>21188</v>
      </c>
      <c r="I145" s="628"/>
      <c r="J145" s="595">
        <f>'Прилож 4 24 (10)'!Z145</f>
        <v>0</v>
      </c>
      <c r="K145" s="595">
        <f>'Прилож 4 24 (10)'!AA145</f>
        <v>0</v>
      </c>
      <c r="L145" s="595">
        <f>'Прилож 4 24 (10)'!AB145</f>
        <v>0</v>
      </c>
      <c r="M145" s="876">
        <f t="shared" si="21"/>
        <v>0</v>
      </c>
      <c r="N145" s="875"/>
      <c r="O145" s="875"/>
      <c r="P145" s="875"/>
      <c r="Q145" s="877"/>
      <c r="R145" s="875"/>
      <c r="S145" s="875"/>
      <c r="T145" s="875"/>
      <c r="U145" s="876">
        <f t="shared" si="25"/>
        <v>21188</v>
      </c>
      <c r="V145" s="875">
        <f t="shared" si="25"/>
        <v>0</v>
      </c>
      <c r="W145" s="875">
        <f t="shared" si="22"/>
        <v>0</v>
      </c>
      <c r="X145" s="875">
        <f t="shared" si="22"/>
        <v>21188</v>
      </c>
      <c r="Y145" s="883"/>
      <c r="Z145" s="875">
        <f t="shared" si="27"/>
        <v>0</v>
      </c>
      <c r="AA145" s="875">
        <f t="shared" si="26"/>
        <v>0</v>
      </c>
      <c r="AB145" s="875">
        <f t="shared" si="26"/>
        <v>0</v>
      </c>
      <c r="AC145" s="878"/>
    </row>
    <row r="146" spans="1:29" ht="37.9" customHeight="1" x14ac:dyDescent="0.2">
      <c r="A146" s="618" t="s">
        <v>149</v>
      </c>
      <c r="B146" s="619" t="s">
        <v>729</v>
      </c>
      <c r="C146" s="620">
        <v>244</v>
      </c>
      <c r="D146" s="620">
        <v>225</v>
      </c>
      <c r="E146" s="596">
        <f t="shared" si="24"/>
        <v>1880</v>
      </c>
      <c r="F146" s="595">
        <f>'Прилож 4 24 (10)'!V146</f>
        <v>0</v>
      </c>
      <c r="G146" s="595">
        <f>'Прилож 4 24 (10)'!W146</f>
        <v>0</v>
      </c>
      <c r="H146" s="595">
        <f>'Прилож 4 24 (10)'!X146</f>
        <v>1880</v>
      </c>
      <c r="I146" s="628"/>
      <c r="J146" s="595">
        <f>'Прилож 4 24 (10)'!Z146</f>
        <v>0</v>
      </c>
      <c r="K146" s="595">
        <f>'Прилож 4 24 (10)'!AA146</f>
        <v>0</v>
      </c>
      <c r="L146" s="595">
        <f>'Прилож 4 24 (10)'!AB146</f>
        <v>0</v>
      </c>
      <c r="M146" s="876">
        <f t="shared" si="21"/>
        <v>0</v>
      </c>
      <c r="N146" s="875"/>
      <c r="O146" s="875"/>
      <c r="P146" s="875"/>
      <c r="Q146" s="877"/>
      <c r="R146" s="875"/>
      <c r="S146" s="875"/>
      <c r="T146" s="875"/>
      <c r="U146" s="876">
        <f t="shared" si="25"/>
        <v>1880</v>
      </c>
      <c r="V146" s="875">
        <f t="shared" si="25"/>
        <v>0</v>
      </c>
      <c r="W146" s="875">
        <f t="shared" si="22"/>
        <v>0</v>
      </c>
      <c r="X146" s="875">
        <f t="shared" si="22"/>
        <v>1880</v>
      </c>
      <c r="Y146" s="883"/>
      <c r="Z146" s="875">
        <f t="shared" si="27"/>
        <v>0</v>
      </c>
      <c r="AA146" s="875">
        <f t="shared" si="26"/>
        <v>0</v>
      </c>
      <c r="AB146" s="875">
        <f t="shared" si="26"/>
        <v>0</v>
      </c>
      <c r="AC146" s="878"/>
    </row>
    <row r="147" spans="1:29" ht="31.5" x14ac:dyDescent="0.2">
      <c r="A147" s="618" t="s">
        <v>644</v>
      </c>
      <c r="B147" s="619" t="s">
        <v>729</v>
      </c>
      <c r="C147" s="620">
        <v>244</v>
      </c>
      <c r="D147" s="620">
        <v>225</v>
      </c>
      <c r="E147" s="596">
        <f t="shared" si="24"/>
        <v>41282.94</v>
      </c>
      <c r="F147" s="595">
        <f>'Прилож 4 24 (10)'!V147</f>
        <v>0</v>
      </c>
      <c r="G147" s="595">
        <f>'Прилож 4 24 (10)'!W147</f>
        <v>0</v>
      </c>
      <c r="H147" s="595">
        <f>'Прилож 4 24 (10)'!X147</f>
        <v>41282.94</v>
      </c>
      <c r="I147" s="628"/>
      <c r="J147" s="595">
        <f>'Прилож 4 24 (10)'!Z147</f>
        <v>0</v>
      </c>
      <c r="K147" s="595">
        <f>'Прилож 4 24 (10)'!AA147</f>
        <v>0</v>
      </c>
      <c r="L147" s="595">
        <f>'Прилож 4 24 (10)'!AB147</f>
        <v>0</v>
      </c>
      <c r="M147" s="876">
        <f t="shared" si="21"/>
        <v>0</v>
      </c>
      <c r="N147" s="875"/>
      <c r="O147" s="875"/>
      <c r="P147" s="875"/>
      <c r="Q147" s="877"/>
      <c r="R147" s="875"/>
      <c r="S147" s="875"/>
      <c r="T147" s="875"/>
      <c r="U147" s="876">
        <f t="shared" si="25"/>
        <v>41282.94</v>
      </c>
      <c r="V147" s="875">
        <f t="shared" si="25"/>
        <v>0</v>
      </c>
      <c r="W147" s="875">
        <f t="shared" si="22"/>
        <v>0</v>
      </c>
      <c r="X147" s="875">
        <f t="shared" si="22"/>
        <v>41282.94</v>
      </c>
      <c r="Y147" s="883"/>
      <c r="Z147" s="875">
        <f t="shared" si="27"/>
        <v>0</v>
      </c>
      <c r="AA147" s="875">
        <f t="shared" si="26"/>
        <v>0</v>
      </c>
      <c r="AB147" s="875">
        <f t="shared" si="26"/>
        <v>0</v>
      </c>
      <c r="AC147" s="878"/>
    </row>
    <row r="148" spans="1:29" ht="31.5" x14ac:dyDescent="0.2">
      <c r="A148" s="618" t="s">
        <v>587</v>
      </c>
      <c r="B148" s="619" t="s">
        <v>729</v>
      </c>
      <c r="C148" s="620">
        <v>244</v>
      </c>
      <c r="D148" s="620">
        <v>225</v>
      </c>
      <c r="E148" s="596">
        <f t="shared" si="24"/>
        <v>15624</v>
      </c>
      <c r="F148" s="595">
        <f>'Прилож 4 24 (10)'!V148</f>
        <v>0</v>
      </c>
      <c r="G148" s="595">
        <f>'Прилож 4 24 (10)'!W148</f>
        <v>0</v>
      </c>
      <c r="H148" s="595">
        <f>'Прилож 4 24 (10)'!X148</f>
        <v>15624</v>
      </c>
      <c r="I148" s="628"/>
      <c r="J148" s="595">
        <f>'Прилож 4 24 (10)'!Z148</f>
        <v>0</v>
      </c>
      <c r="K148" s="595">
        <f>'Прилож 4 24 (10)'!AA148</f>
        <v>0</v>
      </c>
      <c r="L148" s="595">
        <f>'Прилож 4 24 (10)'!AB148</f>
        <v>0</v>
      </c>
      <c r="M148" s="876">
        <f t="shared" si="21"/>
        <v>0</v>
      </c>
      <c r="N148" s="875"/>
      <c r="O148" s="875"/>
      <c r="P148" s="875"/>
      <c r="Q148" s="877"/>
      <c r="R148" s="875"/>
      <c r="S148" s="875"/>
      <c r="T148" s="875"/>
      <c r="U148" s="876">
        <f t="shared" si="25"/>
        <v>15624</v>
      </c>
      <c r="V148" s="875">
        <f t="shared" si="25"/>
        <v>0</v>
      </c>
      <c r="W148" s="875">
        <f t="shared" si="22"/>
        <v>0</v>
      </c>
      <c r="X148" s="875">
        <f t="shared" si="22"/>
        <v>15624</v>
      </c>
      <c r="Y148" s="883"/>
      <c r="Z148" s="875">
        <f t="shared" si="27"/>
        <v>0</v>
      </c>
      <c r="AA148" s="875">
        <f t="shared" si="26"/>
        <v>0</v>
      </c>
      <c r="AB148" s="875">
        <f t="shared" si="26"/>
        <v>0</v>
      </c>
      <c r="AC148" s="878"/>
    </row>
    <row r="149" spans="1:29" ht="28.5" customHeight="1" x14ac:dyDescent="0.2">
      <c r="A149" s="618" t="s">
        <v>1208</v>
      </c>
      <c r="B149" s="619" t="s">
        <v>729</v>
      </c>
      <c r="C149" s="620">
        <v>244</v>
      </c>
      <c r="D149" s="620">
        <v>225</v>
      </c>
      <c r="E149" s="596">
        <f t="shared" si="24"/>
        <v>0</v>
      </c>
      <c r="F149" s="595">
        <f>'Прилож 4 24 (10)'!V149</f>
        <v>0</v>
      </c>
      <c r="G149" s="595">
        <f>'Прилож 4 24 (10)'!W149</f>
        <v>0</v>
      </c>
      <c r="H149" s="595">
        <f>'Прилож 4 24 (10)'!X149</f>
        <v>0</v>
      </c>
      <c r="I149" s="628"/>
      <c r="J149" s="595">
        <f>'Прилож 4 24 (10)'!Z149</f>
        <v>0</v>
      </c>
      <c r="K149" s="595">
        <f>'Прилож 4 24 (10)'!AA149</f>
        <v>0</v>
      </c>
      <c r="L149" s="595">
        <f>'Прилож 4 24 (10)'!AB149</f>
        <v>0</v>
      </c>
      <c r="M149" s="876">
        <f t="shared" si="21"/>
        <v>0</v>
      </c>
      <c r="N149" s="875"/>
      <c r="O149" s="875"/>
      <c r="P149" s="875"/>
      <c r="Q149" s="877"/>
      <c r="R149" s="875"/>
      <c r="S149" s="875"/>
      <c r="T149" s="875"/>
      <c r="U149" s="876">
        <f t="shared" si="25"/>
        <v>0</v>
      </c>
      <c r="V149" s="875">
        <f t="shared" si="25"/>
        <v>0</v>
      </c>
      <c r="W149" s="875">
        <f t="shared" ref="W149:X159" si="28">O149+G149</f>
        <v>0</v>
      </c>
      <c r="X149" s="875">
        <f t="shared" si="28"/>
        <v>0</v>
      </c>
      <c r="Y149" s="883"/>
      <c r="Z149" s="875">
        <f t="shared" si="27"/>
        <v>0</v>
      </c>
      <c r="AA149" s="875">
        <f t="shared" si="26"/>
        <v>0</v>
      </c>
      <c r="AB149" s="875">
        <f t="shared" si="26"/>
        <v>0</v>
      </c>
      <c r="AC149" s="878"/>
    </row>
    <row r="150" spans="1:29" ht="31.5" x14ac:dyDescent="0.2">
      <c r="A150" s="618" t="s">
        <v>157</v>
      </c>
      <c r="B150" s="619" t="s">
        <v>729</v>
      </c>
      <c r="C150" s="620">
        <v>244</v>
      </c>
      <c r="D150" s="620">
        <v>225</v>
      </c>
      <c r="E150" s="596">
        <f t="shared" si="24"/>
        <v>8500</v>
      </c>
      <c r="F150" s="595">
        <f>'Прилож 4 24 (10)'!V150</f>
        <v>0</v>
      </c>
      <c r="G150" s="595">
        <f>'Прилож 4 24 (10)'!W150</f>
        <v>0</v>
      </c>
      <c r="H150" s="595">
        <f>'Прилож 4 24 (10)'!X150</f>
        <v>8500</v>
      </c>
      <c r="I150" s="628"/>
      <c r="J150" s="595">
        <f>'Прилож 4 24 (10)'!Z150</f>
        <v>0</v>
      </c>
      <c r="K150" s="595">
        <f>'Прилож 4 24 (10)'!AA150</f>
        <v>0</v>
      </c>
      <c r="L150" s="595">
        <f>'Прилож 4 24 (10)'!AB150</f>
        <v>0</v>
      </c>
      <c r="M150" s="876">
        <f t="shared" si="21"/>
        <v>0</v>
      </c>
      <c r="N150" s="875"/>
      <c r="O150" s="875"/>
      <c r="P150" s="875"/>
      <c r="Q150" s="877"/>
      <c r="R150" s="875"/>
      <c r="S150" s="875"/>
      <c r="T150" s="875"/>
      <c r="U150" s="876">
        <f t="shared" si="25"/>
        <v>8500</v>
      </c>
      <c r="V150" s="875">
        <f t="shared" si="25"/>
        <v>0</v>
      </c>
      <c r="W150" s="875">
        <f t="shared" si="28"/>
        <v>0</v>
      </c>
      <c r="X150" s="875">
        <f t="shared" si="28"/>
        <v>8500</v>
      </c>
      <c r="Y150" s="883"/>
      <c r="Z150" s="875">
        <f t="shared" si="27"/>
        <v>0</v>
      </c>
      <c r="AA150" s="875">
        <f t="shared" si="26"/>
        <v>0</v>
      </c>
      <c r="AB150" s="875">
        <f t="shared" si="26"/>
        <v>0</v>
      </c>
      <c r="AC150" s="878"/>
    </row>
    <row r="151" spans="1:29" ht="30" customHeight="1" x14ac:dyDescent="0.2">
      <c r="A151" s="618" t="s">
        <v>583</v>
      </c>
      <c r="B151" s="619" t="s">
        <v>729</v>
      </c>
      <c r="C151" s="620">
        <v>244</v>
      </c>
      <c r="D151" s="620">
        <v>225</v>
      </c>
      <c r="E151" s="596">
        <f t="shared" si="24"/>
        <v>10310</v>
      </c>
      <c r="F151" s="595">
        <f>'Прилож 4 24 (10)'!V151</f>
        <v>0</v>
      </c>
      <c r="G151" s="595">
        <f>'Прилож 4 24 (10)'!W151</f>
        <v>0</v>
      </c>
      <c r="H151" s="595">
        <f>'Прилож 4 24 (10)'!X151</f>
        <v>10310</v>
      </c>
      <c r="I151" s="628"/>
      <c r="J151" s="595">
        <f>'Прилож 4 24 (10)'!Z151</f>
        <v>0</v>
      </c>
      <c r="K151" s="595">
        <f>'Прилож 4 24 (10)'!AA151</f>
        <v>0</v>
      </c>
      <c r="L151" s="595">
        <f>'Прилож 4 24 (10)'!AB151</f>
        <v>0</v>
      </c>
      <c r="M151" s="876">
        <f t="shared" si="21"/>
        <v>0</v>
      </c>
      <c r="N151" s="875"/>
      <c r="O151" s="875"/>
      <c r="P151" s="875"/>
      <c r="Q151" s="877"/>
      <c r="R151" s="875"/>
      <c r="S151" s="875"/>
      <c r="T151" s="875"/>
      <c r="U151" s="876">
        <f t="shared" si="25"/>
        <v>10310</v>
      </c>
      <c r="V151" s="875">
        <f t="shared" si="25"/>
        <v>0</v>
      </c>
      <c r="W151" s="875">
        <f t="shared" si="28"/>
        <v>0</v>
      </c>
      <c r="X151" s="875">
        <f t="shared" si="28"/>
        <v>10310</v>
      </c>
      <c r="Y151" s="883"/>
      <c r="Z151" s="875">
        <f t="shared" si="27"/>
        <v>0</v>
      </c>
      <c r="AA151" s="875">
        <f t="shared" si="26"/>
        <v>0</v>
      </c>
      <c r="AB151" s="875">
        <f t="shared" si="26"/>
        <v>0</v>
      </c>
      <c r="AC151" s="878"/>
    </row>
    <row r="152" spans="1:29" ht="31.5" customHeight="1" x14ac:dyDescent="0.2">
      <c r="A152" s="618" t="s">
        <v>1204</v>
      </c>
      <c r="B152" s="619" t="s">
        <v>729</v>
      </c>
      <c r="C152" s="620">
        <v>244</v>
      </c>
      <c r="D152" s="620">
        <v>225</v>
      </c>
      <c r="E152" s="596">
        <f t="shared" si="24"/>
        <v>33534</v>
      </c>
      <c r="F152" s="595">
        <f>'Прилож 4 24 (10)'!V152</f>
        <v>0</v>
      </c>
      <c r="G152" s="595">
        <f>'Прилож 4 24 (10)'!W152</f>
        <v>0</v>
      </c>
      <c r="H152" s="595">
        <f>'Прилож 4 24 (10)'!X152</f>
        <v>33534</v>
      </c>
      <c r="I152" s="628"/>
      <c r="J152" s="595">
        <f>'Прилож 4 24 (10)'!Z152</f>
        <v>0</v>
      </c>
      <c r="K152" s="595">
        <f>'Прилож 4 24 (10)'!AA152</f>
        <v>0</v>
      </c>
      <c r="L152" s="595">
        <f>'Прилож 4 24 (10)'!AB152</f>
        <v>0</v>
      </c>
      <c r="M152" s="876">
        <f t="shared" si="21"/>
        <v>0</v>
      </c>
      <c r="N152" s="875"/>
      <c r="O152" s="875"/>
      <c r="P152" s="875"/>
      <c r="Q152" s="877"/>
      <c r="R152" s="875"/>
      <c r="S152" s="875"/>
      <c r="T152" s="875"/>
      <c r="U152" s="876">
        <f t="shared" si="25"/>
        <v>33534</v>
      </c>
      <c r="V152" s="875">
        <f t="shared" si="25"/>
        <v>0</v>
      </c>
      <c r="W152" s="875">
        <f t="shared" si="28"/>
        <v>0</v>
      </c>
      <c r="X152" s="875">
        <f t="shared" si="28"/>
        <v>33534</v>
      </c>
      <c r="Y152" s="883"/>
      <c r="Z152" s="875">
        <f t="shared" si="27"/>
        <v>0</v>
      </c>
      <c r="AA152" s="875">
        <f t="shared" si="26"/>
        <v>0</v>
      </c>
      <c r="AB152" s="875">
        <f t="shared" si="26"/>
        <v>0</v>
      </c>
      <c r="AC152" s="878"/>
    </row>
    <row r="153" spans="1:29" ht="47.25" x14ac:dyDescent="0.2">
      <c r="A153" s="618" t="s">
        <v>1327</v>
      </c>
      <c r="B153" s="619" t="s">
        <v>729</v>
      </c>
      <c r="C153" s="620">
        <v>244</v>
      </c>
      <c r="D153" s="620">
        <v>225</v>
      </c>
      <c r="E153" s="596">
        <f t="shared" si="24"/>
        <v>0</v>
      </c>
      <c r="F153" s="595">
        <f>'Прилож 4 24 (10)'!V153</f>
        <v>0</v>
      </c>
      <c r="G153" s="595">
        <f>'Прилож 4 24 (10)'!W153</f>
        <v>0</v>
      </c>
      <c r="H153" s="595">
        <f>'Прилож 4 24 (10)'!X153</f>
        <v>0</v>
      </c>
      <c r="I153" s="621" t="s">
        <v>1314</v>
      </c>
      <c r="J153" s="595">
        <f>'Прилож 4 24 (10)'!Z153</f>
        <v>0</v>
      </c>
      <c r="K153" s="595">
        <f>'Прилож 4 24 (10)'!AA153</f>
        <v>0</v>
      </c>
      <c r="L153" s="595">
        <f>'Прилож 4 24 (10)'!AB153</f>
        <v>0</v>
      </c>
      <c r="M153" s="876">
        <f t="shared" si="21"/>
        <v>0</v>
      </c>
      <c r="N153" s="875"/>
      <c r="O153" s="875"/>
      <c r="P153" s="875"/>
      <c r="Q153" s="621"/>
      <c r="R153" s="875"/>
      <c r="S153" s="875"/>
      <c r="T153" s="875"/>
      <c r="U153" s="876">
        <f t="shared" si="25"/>
        <v>0</v>
      </c>
      <c r="V153" s="875">
        <f t="shared" si="25"/>
        <v>0</v>
      </c>
      <c r="W153" s="875">
        <f t="shared" si="28"/>
        <v>0</v>
      </c>
      <c r="X153" s="875">
        <f t="shared" si="28"/>
        <v>0</v>
      </c>
      <c r="Y153" s="877" t="s">
        <v>1314</v>
      </c>
      <c r="Z153" s="875">
        <f t="shared" si="27"/>
        <v>0</v>
      </c>
      <c r="AA153" s="875">
        <f t="shared" si="26"/>
        <v>0</v>
      </c>
      <c r="AB153" s="875">
        <f t="shared" si="26"/>
        <v>0</v>
      </c>
      <c r="AC153" s="878"/>
    </row>
    <row r="154" spans="1:29" ht="37.5" customHeight="1" x14ac:dyDescent="0.2">
      <c r="A154" s="994" t="s">
        <v>1446</v>
      </c>
      <c r="B154" s="619" t="s">
        <v>729</v>
      </c>
      <c r="C154" s="620">
        <v>244</v>
      </c>
      <c r="D154" s="620">
        <v>225</v>
      </c>
      <c r="E154" s="596">
        <f t="shared" si="24"/>
        <v>249291.8</v>
      </c>
      <c r="F154" s="595">
        <f>'Прилож 4 24 (10)'!V154</f>
        <v>0</v>
      </c>
      <c r="G154" s="595">
        <f>'Прилож 4 24 (10)'!W154</f>
        <v>0</v>
      </c>
      <c r="H154" s="595">
        <f>'Прилож 4 24 (10)'!X154</f>
        <v>0</v>
      </c>
      <c r="I154" s="621" t="s">
        <v>1314</v>
      </c>
      <c r="J154" s="595">
        <f>'Прилож 4 24 (10)'!Z154</f>
        <v>0</v>
      </c>
      <c r="K154" s="595">
        <f>'Прилож 4 24 (10)'!AA154</f>
        <v>249291.8</v>
      </c>
      <c r="L154" s="595">
        <f>'Прилож 4 24 (10)'!AB154</f>
        <v>0</v>
      </c>
      <c r="M154" s="876">
        <f t="shared" si="21"/>
        <v>0</v>
      </c>
      <c r="N154" s="875"/>
      <c r="O154" s="875"/>
      <c r="P154" s="875"/>
      <c r="Q154" s="621"/>
      <c r="R154" s="875"/>
      <c r="S154" s="875"/>
      <c r="T154" s="875"/>
      <c r="U154" s="876">
        <f t="shared" si="25"/>
        <v>249291.8</v>
      </c>
      <c r="V154" s="875">
        <f t="shared" si="25"/>
        <v>0</v>
      </c>
      <c r="W154" s="875">
        <f t="shared" si="28"/>
        <v>0</v>
      </c>
      <c r="X154" s="875">
        <f t="shared" si="28"/>
        <v>0</v>
      </c>
      <c r="Y154" s="877" t="s">
        <v>1314</v>
      </c>
      <c r="Z154" s="875">
        <f t="shared" si="27"/>
        <v>0</v>
      </c>
      <c r="AA154" s="875">
        <f t="shared" si="26"/>
        <v>249291.8</v>
      </c>
      <c r="AB154" s="875">
        <f t="shared" si="26"/>
        <v>0</v>
      </c>
      <c r="AC154" s="878"/>
    </row>
    <row r="155" spans="1:29" ht="24.6" customHeight="1" x14ac:dyDescent="0.2">
      <c r="A155" s="994" t="s">
        <v>1447</v>
      </c>
      <c r="B155" s="619" t="s">
        <v>729</v>
      </c>
      <c r="C155" s="620">
        <v>244</v>
      </c>
      <c r="D155" s="620">
        <v>225</v>
      </c>
      <c r="E155" s="596">
        <f t="shared" si="24"/>
        <v>268872.66000000003</v>
      </c>
      <c r="F155" s="595">
        <f>'Прилож 4 24 (10)'!V155</f>
        <v>0</v>
      </c>
      <c r="G155" s="595">
        <f>'Прилож 4 24 (10)'!W155</f>
        <v>0</v>
      </c>
      <c r="H155" s="595">
        <f>'Прилож 4 24 (10)'!X155</f>
        <v>0</v>
      </c>
      <c r="I155" s="621" t="s">
        <v>1314</v>
      </c>
      <c r="J155" s="595">
        <f>'Прилож 4 24 (10)'!Z155</f>
        <v>0</v>
      </c>
      <c r="K155" s="595">
        <f>'Прилож 4 24 (10)'!AA155</f>
        <v>268872.66000000003</v>
      </c>
      <c r="L155" s="595">
        <f>'Прилож 4 24 (10)'!AB155</f>
        <v>0</v>
      </c>
      <c r="M155" s="876">
        <f t="shared" si="21"/>
        <v>0</v>
      </c>
      <c r="N155" s="875"/>
      <c r="O155" s="875"/>
      <c r="P155" s="875"/>
      <c r="Q155" s="621"/>
      <c r="R155" s="875"/>
      <c r="S155" s="875"/>
      <c r="T155" s="875"/>
      <c r="U155" s="876">
        <f t="shared" si="25"/>
        <v>268872.66000000003</v>
      </c>
      <c r="V155" s="875">
        <f t="shared" si="25"/>
        <v>0</v>
      </c>
      <c r="W155" s="875">
        <f t="shared" si="28"/>
        <v>0</v>
      </c>
      <c r="X155" s="875">
        <f t="shared" si="28"/>
        <v>0</v>
      </c>
      <c r="Y155" s="877" t="s">
        <v>1314</v>
      </c>
      <c r="Z155" s="875">
        <f t="shared" si="27"/>
        <v>0</v>
      </c>
      <c r="AA155" s="875">
        <f t="shared" si="26"/>
        <v>268872.66000000003</v>
      </c>
      <c r="AB155" s="875">
        <f t="shared" si="26"/>
        <v>0</v>
      </c>
      <c r="AC155" s="878"/>
    </row>
    <row r="156" spans="1:29" ht="36" customHeight="1" x14ac:dyDescent="0.2">
      <c r="A156" s="994" t="s">
        <v>1460</v>
      </c>
      <c r="B156" s="619" t="s">
        <v>729</v>
      </c>
      <c r="C156" s="620">
        <v>244</v>
      </c>
      <c r="D156" s="620">
        <v>225</v>
      </c>
      <c r="E156" s="596">
        <f t="shared" si="24"/>
        <v>18000</v>
      </c>
      <c r="F156" s="595">
        <f>'Прилож 4 24 (10)'!V156</f>
        <v>0</v>
      </c>
      <c r="G156" s="595">
        <f>'Прилож 4 24 (10)'!W156</f>
        <v>0</v>
      </c>
      <c r="H156" s="595">
        <f>'Прилож 4 24 (10)'!X156</f>
        <v>18000</v>
      </c>
      <c r="I156" s="621"/>
      <c r="J156" s="595">
        <f>'Прилож 4 24 (10)'!Z156</f>
        <v>0</v>
      </c>
      <c r="K156" s="595">
        <f>'Прилож 4 24 (10)'!AA156</f>
        <v>0</v>
      </c>
      <c r="L156" s="595">
        <f>'Прилож 4 24 (10)'!AB156</f>
        <v>0</v>
      </c>
      <c r="M156" s="876">
        <f t="shared" si="21"/>
        <v>0</v>
      </c>
      <c r="N156" s="875"/>
      <c r="O156" s="875"/>
      <c r="P156" s="875"/>
      <c r="Q156" s="621"/>
      <c r="R156" s="875"/>
      <c r="S156" s="875"/>
      <c r="T156" s="875"/>
      <c r="U156" s="876">
        <f t="shared" si="25"/>
        <v>18000</v>
      </c>
      <c r="V156" s="875">
        <f t="shared" si="25"/>
        <v>0</v>
      </c>
      <c r="W156" s="875">
        <f t="shared" si="28"/>
        <v>0</v>
      </c>
      <c r="X156" s="875">
        <f t="shared" si="28"/>
        <v>18000</v>
      </c>
      <c r="Y156" s="877"/>
      <c r="Z156" s="875">
        <f t="shared" si="27"/>
        <v>0</v>
      </c>
      <c r="AA156" s="875">
        <f t="shared" si="26"/>
        <v>0</v>
      </c>
      <c r="AB156" s="875">
        <f t="shared" si="26"/>
        <v>0</v>
      </c>
      <c r="AC156" s="878"/>
    </row>
    <row r="157" spans="1:29" ht="32.25" customHeight="1" x14ac:dyDescent="0.2">
      <c r="A157" s="994" t="s">
        <v>1474</v>
      </c>
      <c r="B157" s="619" t="s">
        <v>729</v>
      </c>
      <c r="C157" s="620">
        <v>244</v>
      </c>
      <c r="D157" s="620">
        <v>225</v>
      </c>
      <c r="E157" s="596">
        <f t="shared" si="24"/>
        <v>491120.73</v>
      </c>
      <c r="F157" s="595">
        <f>'Прилож 4 24 (10)'!V157</f>
        <v>0</v>
      </c>
      <c r="G157" s="595">
        <f>'Прилож 4 24 (10)'!W157</f>
        <v>0</v>
      </c>
      <c r="H157" s="595">
        <f>'Прилож 4 24 (10)'!X157</f>
        <v>0</v>
      </c>
      <c r="I157" s="621" t="s">
        <v>1314</v>
      </c>
      <c r="J157" s="595">
        <f>'Прилож 4 24 (10)'!Z157</f>
        <v>0</v>
      </c>
      <c r="K157" s="595">
        <f>'Прилож 4 24 (10)'!AA157</f>
        <v>491120.73</v>
      </c>
      <c r="L157" s="595">
        <f>'Прилож 4 24 (10)'!AB157</f>
        <v>0</v>
      </c>
      <c r="M157" s="876">
        <f t="shared" si="21"/>
        <v>0</v>
      </c>
      <c r="N157" s="875"/>
      <c r="O157" s="875"/>
      <c r="P157" s="875"/>
      <c r="Q157" s="621"/>
      <c r="R157" s="875"/>
      <c r="S157" s="875"/>
      <c r="T157" s="875"/>
      <c r="U157" s="876">
        <f t="shared" si="25"/>
        <v>491120.73</v>
      </c>
      <c r="V157" s="875">
        <f t="shared" si="25"/>
        <v>0</v>
      </c>
      <c r="W157" s="875">
        <f t="shared" si="28"/>
        <v>0</v>
      </c>
      <c r="X157" s="875">
        <f t="shared" si="28"/>
        <v>0</v>
      </c>
      <c r="Y157" s="877" t="s">
        <v>1314</v>
      </c>
      <c r="Z157" s="875">
        <f t="shared" si="27"/>
        <v>0</v>
      </c>
      <c r="AA157" s="875">
        <f t="shared" si="26"/>
        <v>491120.73</v>
      </c>
      <c r="AB157" s="875"/>
      <c r="AC157" s="878"/>
    </row>
    <row r="158" spans="1:29" ht="66" customHeight="1" x14ac:dyDescent="0.2">
      <c r="A158" s="994" t="s">
        <v>1475</v>
      </c>
      <c r="B158" s="619" t="s">
        <v>729</v>
      </c>
      <c r="C158" s="620">
        <v>244</v>
      </c>
      <c r="D158" s="620">
        <v>225</v>
      </c>
      <c r="E158" s="596">
        <f t="shared" si="24"/>
        <v>183401.27</v>
      </c>
      <c r="F158" s="595">
        <f>'Прилож 4 24 (10)'!V158</f>
        <v>0</v>
      </c>
      <c r="G158" s="595">
        <f>'Прилож 4 24 (10)'!W158</f>
        <v>0</v>
      </c>
      <c r="H158" s="595">
        <f>'Прилож 4 24 (10)'!X158</f>
        <v>0</v>
      </c>
      <c r="I158" s="621" t="s">
        <v>1314</v>
      </c>
      <c r="J158" s="595">
        <f>'Прилож 4 24 (10)'!Z158</f>
        <v>0</v>
      </c>
      <c r="K158" s="595">
        <f>'Прилож 4 24 (10)'!AA158</f>
        <v>183401.27</v>
      </c>
      <c r="L158" s="595">
        <f>'Прилож 4 24 (10)'!AB158</f>
        <v>0</v>
      </c>
      <c r="M158" s="876">
        <f t="shared" si="21"/>
        <v>123388.56</v>
      </c>
      <c r="N158" s="875"/>
      <c r="O158" s="875"/>
      <c r="P158" s="875"/>
      <c r="Q158" s="621" t="s">
        <v>1314</v>
      </c>
      <c r="R158" s="875"/>
      <c r="S158" s="875">
        <v>123388.56</v>
      </c>
      <c r="T158" s="875"/>
      <c r="U158" s="876">
        <f t="shared" si="25"/>
        <v>306789.82999999996</v>
      </c>
      <c r="V158" s="875">
        <f t="shared" si="25"/>
        <v>0</v>
      </c>
      <c r="W158" s="875">
        <f t="shared" si="28"/>
        <v>0</v>
      </c>
      <c r="X158" s="875">
        <f t="shared" si="28"/>
        <v>0</v>
      </c>
      <c r="Y158" s="877" t="s">
        <v>1314</v>
      </c>
      <c r="Z158" s="875">
        <f t="shared" si="27"/>
        <v>0</v>
      </c>
      <c r="AA158" s="875">
        <f t="shared" si="26"/>
        <v>306789.82999999996</v>
      </c>
      <c r="AB158" s="875"/>
      <c r="AC158" s="878" t="s">
        <v>1738</v>
      </c>
    </row>
    <row r="159" spans="1:29" ht="42" customHeight="1" x14ac:dyDescent="0.2">
      <c r="A159" s="994" t="s">
        <v>1185</v>
      </c>
      <c r="B159" s="619" t="s">
        <v>729</v>
      </c>
      <c r="C159" s="620">
        <v>244</v>
      </c>
      <c r="D159" s="620">
        <v>225</v>
      </c>
      <c r="E159" s="596">
        <f t="shared" si="24"/>
        <v>9600</v>
      </c>
      <c r="F159" s="595">
        <f>'Прилож 4 24 (10)'!V159</f>
        <v>0</v>
      </c>
      <c r="G159" s="595">
        <f>'Прилож 4 24 (10)'!W159</f>
        <v>0</v>
      </c>
      <c r="H159" s="595">
        <f>'Прилож 4 24 (10)'!X159</f>
        <v>9600</v>
      </c>
      <c r="I159" s="621"/>
      <c r="J159" s="595">
        <f>'Прилож 4 24 (10)'!Z159</f>
        <v>0</v>
      </c>
      <c r="K159" s="595">
        <f>'Прилож 4 24 (10)'!AA159</f>
        <v>0</v>
      </c>
      <c r="L159" s="595">
        <f>'Прилож 4 24 (10)'!AB159</f>
        <v>0</v>
      </c>
      <c r="M159" s="876">
        <f t="shared" si="21"/>
        <v>0</v>
      </c>
      <c r="N159" s="875"/>
      <c r="O159" s="875"/>
      <c r="P159" s="875"/>
      <c r="Q159" s="621"/>
      <c r="R159" s="875"/>
      <c r="S159" s="875"/>
      <c r="T159" s="875"/>
      <c r="U159" s="876">
        <f t="shared" si="25"/>
        <v>9600</v>
      </c>
      <c r="V159" s="875">
        <f t="shared" si="25"/>
        <v>0</v>
      </c>
      <c r="W159" s="875">
        <f t="shared" si="28"/>
        <v>0</v>
      </c>
      <c r="X159" s="875">
        <f t="shared" si="28"/>
        <v>9600</v>
      </c>
      <c r="Y159" s="877"/>
      <c r="Z159" s="875">
        <f t="shared" si="27"/>
        <v>0</v>
      </c>
      <c r="AA159" s="875">
        <f t="shared" si="26"/>
        <v>0</v>
      </c>
      <c r="AB159" s="875"/>
      <c r="AC159" s="878"/>
    </row>
    <row r="160" spans="1:29" ht="48" customHeight="1" x14ac:dyDescent="0.2">
      <c r="A160" s="618" t="s">
        <v>1393</v>
      </c>
      <c r="B160" s="619" t="s">
        <v>729</v>
      </c>
      <c r="C160" s="620">
        <v>244</v>
      </c>
      <c r="D160" s="620">
        <v>225</v>
      </c>
      <c r="E160" s="596">
        <f t="shared" si="24"/>
        <v>37040</v>
      </c>
      <c r="F160" s="595">
        <f>'Прилож 4 24 (10)'!V160</f>
        <v>0</v>
      </c>
      <c r="G160" s="595">
        <f>'Прилож 4 24 (10)'!W160</f>
        <v>0</v>
      </c>
      <c r="H160" s="595">
        <f>'Прилож 4 24 (10)'!X160</f>
        <v>37040</v>
      </c>
      <c r="I160" s="621"/>
      <c r="J160" s="595">
        <f>'Прилож 4 24 (10)'!Z160</f>
        <v>0</v>
      </c>
      <c r="K160" s="595">
        <f>'Прилож 4 24 (10)'!AA160</f>
        <v>0</v>
      </c>
      <c r="L160" s="595">
        <f>'Прилож 4 24 (10)'!AB160</f>
        <v>0</v>
      </c>
      <c r="M160" s="876">
        <f t="shared" si="21"/>
        <v>0</v>
      </c>
      <c r="N160" s="875"/>
      <c r="O160" s="875"/>
      <c r="P160" s="875"/>
      <c r="Q160" s="621"/>
      <c r="R160" s="875"/>
      <c r="S160" s="875"/>
      <c r="T160" s="875"/>
      <c r="U160" s="876">
        <f t="shared" si="25"/>
        <v>37040</v>
      </c>
      <c r="V160" s="875"/>
      <c r="W160" s="875"/>
      <c r="X160" s="875">
        <f>P160+H160</f>
        <v>37040</v>
      </c>
      <c r="Y160" s="877"/>
      <c r="Z160" s="875"/>
      <c r="AA160" s="875"/>
      <c r="AB160" s="875"/>
      <c r="AC160" s="878"/>
    </row>
    <row r="161" spans="1:30" s="637" customFormat="1" ht="33" customHeight="1" x14ac:dyDescent="0.2">
      <c r="A161" s="1052" t="s">
        <v>1143</v>
      </c>
      <c r="B161" s="631" t="s">
        <v>729</v>
      </c>
      <c r="C161" s="624">
        <v>244</v>
      </c>
      <c r="D161" s="624">
        <v>225</v>
      </c>
      <c r="E161" s="596">
        <f t="shared" si="24"/>
        <v>1828433.7899999996</v>
      </c>
      <c r="F161" s="595">
        <f>'Прилож 4 24 (10)'!V161</f>
        <v>0</v>
      </c>
      <c r="G161" s="595">
        <f>'Прилож 4 24 (10)'!W161</f>
        <v>0</v>
      </c>
      <c r="H161" s="595">
        <f>'Прилож 4 24 (10)'!X161</f>
        <v>635747.33000000007</v>
      </c>
      <c r="I161" s="626"/>
      <c r="J161" s="595">
        <f>'Прилож 4 24 (10)'!Z161</f>
        <v>0</v>
      </c>
      <c r="K161" s="595">
        <f>'Прилож 4 24 (10)'!AA161</f>
        <v>1192686.4599999995</v>
      </c>
      <c r="L161" s="595">
        <f>'Прилож 4 24 (10)'!AB161</f>
        <v>0</v>
      </c>
      <c r="M161" s="876">
        <f t="shared" si="21"/>
        <v>123388.56</v>
      </c>
      <c r="N161" s="1053"/>
      <c r="O161" s="1053"/>
      <c r="P161" s="1054">
        <f>SUM(P134:P160)</f>
        <v>0</v>
      </c>
      <c r="Q161" s="881"/>
      <c r="R161" s="876">
        <f>SUM(R134:R159)</f>
        <v>0</v>
      </c>
      <c r="S161" s="876">
        <f>SUM(S134:S159)</f>
        <v>123388.56</v>
      </c>
      <c r="T161" s="876">
        <f>SUM(T134:T160)</f>
        <v>0</v>
      </c>
      <c r="U161" s="876">
        <f t="shared" si="25"/>
        <v>1951822.3499999996</v>
      </c>
      <c r="V161" s="876">
        <f>F161+N161</f>
        <v>0</v>
      </c>
      <c r="W161" s="876">
        <f>O161+G161</f>
        <v>0</v>
      </c>
      <c r="X161" s="876">
        <f>P161+H161</f>
        <v>635747.33000000007</v>
      </c>
      <c r="Y161" s="881"/>
      <c r="Z161" s="876">
        <f t="shared" ref="Z161:AB162" si="29">R161+J161</f>
        <v>0</v>
      </c>
      <c r="AA161" s="876">
        <f t="shared" si="29"/>
        <v>1316075.0199999996</v>
      </c>
      <c r="AB161" s="876">
        <f t="shared" si="29"/>
        <v>0</v>
      </c>
      <c r="AC161" s="879"/>
    </row>
    <row r="162" spans="1:30" ht="36" customHeight="1" x14ac:dyDescent="0.2">
      <c r="A162" s="994" t="s">
        <v>677</v>
      </c>
      <c r="B162" s="619" t="s">
        <v>691</v>
      </c>
      <c r="C162" s="620">
        <v>244</v>
      </c>
      <c r="D162" s="620">
        <v>225</v>
      </c>
      <c r="E162" s="596">
        <f t="shared" si="24"/>
        <v>13451.999999999998</v>
      </c>
      <c r="F162" s="595">
        <f>'Прилож 4 24 (10)'!V162</f>
        <v>0</v>
      </c>
      <c r="G162" s="595">
        <f>'Прилож 4 24 (10)'!W162</f>
        <v>0</v>
      </c>
      <c r="H162" s="595">
        <f>'Прилож 4 24 (10)'!X162</f>
        <v>11086.939999999999</v>
      </c>
      <c r="I162" s="628"/>
      <c r="J162" s="595">
        <f>'Прилож 4 24 (10)'!Z162</f>
        <v>0</v>
      </c>
      <c r="K162" s="595">
        <f>'Прилож 4 24 (10)'!AA162</f>
        <v>0</v>
      </c>
      <c r="L162" s="595">
        <f>'Прилож 4 24 (10)'!AB162</f>
        <v>2365.06</v>
      </c>
      <c r="M162" s="876">
        <f t="shared" si="21"/>
        <v>0</v>
      </c>
      <c r="N162" s="875"/>
      <c r="O162" s="875"/>
      <c r="P162" s="875"/>
      <c r="Q162" s="877"/>
      <c r="R162" s="875"/>
      <c r="S162" s="875"/>
      <c r="T162" s="875"/>
      <c r="U162" s="876">
        <f t="shared" si="25"/>
        <v>13451.999999999998</v>
      </c>
      <c r="V162" s="875">
        <f>F162+N162</f>
        <v>0</v>
      </c>
      <c r="W162" s="875">
        <f>O162+G162</f>
        <v>0</v>
      </c>
      <c r="X162" s="875">
        <f>P162+H162</f>
        <v>11086.939999999999</v>
      </c>
      <c r="Y162" s="883"/>
      <c r="Z162" s="875">
        <f t="shared" si="29"/>
        <v>0</v>
      </c>
      <c r="AA162" s="875">
        <f t="shared" si="29"/>
        <v>0</v>
      </c>
      <c r="AB162" s="875">
        <f t="shared" si="29"/>
        <v>2365.06</v>
      </c>
      <c r="AC162" s="878"/>
    </row>
    <row r="163" spans="1:30" ht="36" customHeight="1" x14ac:dyDescent="0.2">
      <c r="A163" s="994" t="s">
        <v>1436</v>
      </c>
      <c r="B163" s="619" t="s">
        <v>691</v>
      </c>
      <c r="C163" s="620">
        <v>244</v>
      </c>
      <c r="D163" s="620">
        <v>225</v>
      </c>
      <c r="E163" s="596">
        <f t="shared" si="24"/>
        <v>10200</v>
      </c>
      <c r="F163" s="595">
        <f>'Прилож 4 24 (10)'!V163</f>
        <v>0</v>
      </c>
      <c r="G163" s="595">
        <f>'Прилож 4 24 (10)'!W163</f>
        <v>0</v>
      </c>
      <c r="H163" s="595">
        <f>'Прилож 4 24 (10)'!X163</f>
        <v>0</v>
      </c>
      <c r="I163" s="877" t="s">
        <v>1440</v>
      </c>
      <c r="J163" s="595">
        <f>'Прилож 4 24 (10)'!Z163</f>
        <v>0</v>
      </c>
      <c r="K163" s="595">
        <f>'Прилож 4 24 (10)'!AA163</f>
        <v>10200</v>
      </c>
      <c r="L163" s="595">
        <f>'Прилож 4 24 (10)'!AB163</f>
        <v>0</v>
      </c>
      <c r="M163" s="876">
        <f t="shared" si="21"/>
        <v>0</v>
      </c>
      <c r="N163" s="875"/>
      <c r="O163" s="875"/>
      <c r="P163" s="875"/>
      <c r="Q163" s="877"/>
      <c r="R163" s="875"/>
      <c r="S163" s="875"/>
      <c r="T163" s="875"/>
      <c r="U163" s="876">
        <f t="shared" si="25"/>
        <v>10200</v>
      </c>
      <c r="V163" s="875"/>
      <c r="W163" s="875"/>
      <c r="X163" s="875"/>
      <c r="Y163" s="877" t="s">
        <v>1440</v>
      </c>
      <c r="Z163" s="875"/>
      <c r="AA163" s="875">
        <f>S163+K163</f>
        <v>10200</v>
      </c>
      <c r="AB163" s="875"/>
      <c r="AC163" s="878"/>
    </row>
    <row r="164" spans="1:30" ht="17.25" customHeight="1" x14ac:dyDescent="0.2">
      <c r="A164" s="632" t="s">
        <v>1143</v>
      </c>
      <c r="B164" s="633" t="s">
        <v>691</v>
      </c>
      <c r="C164" s="634">
        <v>244</v>
      </c>
      <c r="D164" s="634">
        <v>225</v>
      </c>
      <c r="E164" s="596">
        <f t="shared" si="24"/>
        <v>23652</v>
      </c>
      <c r="F164" s="595">
        <f>'Прилож 4 24 (10)'!V164</f>
        <v>0</v>
      </c>
      <c r="G164" s="595">
        <f>'Прилож 4 24 (10)'!W164</f>
        <v>0</v>
      </c>
      <c r="H164" s="595">
        <f>'Прилож 4 24 (10)'!X164</f>
        <v>11086.939999999999</v>
      </c>
      <c r="I164" s="628"/>
      <c r="J164" s="595">
        <f>'Прилож 4 24 (10)'!Z164</f>
        <v>0</v>
      </c>
      <c r="K164" s="595">
        <f>'Прилож 4 24 (10)'!AA164</f>
        <v>10200</v>
      </c>
      <c r="L164" s="595">
        <f>'Прилож 4 24 (10)'!AB164</f>
        <v>2365.06</v>
      </c>
      <c r="M164" s="876">
        <f t="shared" si="21"/>
        <v>0</v>
      </c>
      <c r="N164" s="875"/>
      <c r="O164" s="875"/>
      <c r="P164" s="875"/>
      <c r="Q164" s="877"/>
      <c r="R164" s="875"/>
      <c r="S164" s="875">
        <f>SUM(S162:S163)</f>
        <v>0</v>
      </c>
      <c r="T164" s="875"/>
      <c r="U164" s="876">
        <f t="shared" si="25"/>
        <v>23652</v>
      </c>
      <c r="V164" s="875"/>
      <c r="W164" s="875"/>
      <c r="X164" s="875">
        <f>SUM(X162:X163)</f>
        <v>11086.939999999999</v>
      </c>
      <c r="Y164" s="883"/>
      <c r="Z164" s="875"/>
      <c r="AA164" s="875">
        <f>SUM(AA162:AA163)</f>
        <v>10200</v>
      </c>
      <c r="AB164" s="875">
        <f>SUM(AB162:AB163)</f>
        <v>2365.06</v>
      </c>
      <c r="AC164" s="878"/>
    </row>
    <row r="165" spans="1:30" s="614" customFormat="1" ht="32.25" customHeight="1" x14ac:dyDescent="0.2">
      <c r="A165" s="630" t="s">
        <v>738</v>
      </c>
      <c r="B165" s="631"/>
      <c r="C165" s="624"/>
      <c r="D165" s="624"/>
      <c r="E165" s="596">
        <f t="shared" si="24"/>
        <v>6328725.5199999986</v>
      </c>
      <c r="F165" s="595">
        <f>'Прилож 4 24 (10)'!V165</f>
        <v>0</v>
      </c>
      <c r="G165" s="595">
        <f>'Прилож 4 24 (10)'!W165</f>
        <v>0</v>
      </c>
      <c r="H165" s="595">
        <f>'Прилож 4 24 (10)'!X165</f>
        <v>992870.68</v>
      </c>
      <c r="I165" s="626"/>
      <c r="J165" s="595">
        <f>'Прилож 4 24 (10)'!Z165</f>
        <v>0</v>
      </c>
      <c r="K165" s="595">
        <f>'Прилож 4 24 (10)'!AA165</f>
        <v>5333489.7799999993</v>
      </c>
      <c r="L165" s="595">
        <f>'Прилож 4 24 (10)'!AB165</f>
        <v>2365.0600000000013</v>
      </c>
      <c r="M165" s="876">
        <f t="shared" si="21"/>
        <v>-44385.25</v>
      </c>
      <c r="N165" s="876">
        <f>N133+N161+N162</f>
        <v>0</v>
      </c>
      <c r="O165" s="876"/>
      <c r="P165" s="876">
        <f>P133+P161+P162</f>
        <v>0</v>
      </c>
      <c r="Q165" s="881"/>
      <c r="R165" s="876"/>
      <c r="S165" s="876">
        <f>S161+S133+S164</f>
        <v>-44385.25</v>
      </c>
      <c r="T165" s="876">
        <f>T161+T133</f>
        <v>0</v>
      </c>
      <c r="U165" s="876">
        <f t="shared" si="25"/>
        <v>6284340.2699999986</v>
      </c>
      <c r="V165" s="875">
        <f t="shared" si="25"/>
        <v>0</v>
      </c>
      <c r="W165" s="875">
        <f t="shared" ref="W165:X197" si="30">O165+G165</f>
        <v>0</v>
      </c>
      <c r="X165" s="875">
        <f t="shared" si="30"/>
        <v>992870.68</v>
      </c>
      <c r="Y165" s="881"/>
      <c r="Z165" s="875">
        <f t="shared" ref="Z165:AB180" si="31">R165+J165</f>
        <v>0</v>
      </c>
      <c r="AA165" s="875">
        <f t="shared" si="31"/>
        <v>5289104.5299999993</v>
      </c>
      <c r="AB165" s="875">
        <f t="shared" si="31"/>
        <v>2365.0600000000013</v>
      </c>
      <c r="AC165" s="879"/>
      <c r="AD165" s="818"/>
    </row>
    <row r="166" spans="1:30" ht="31.5" x14ac:dyDescent="0.2">
      <c r="A166" s="618" t="s">
        <v>586</v>
      </c>
      <c r="B166" s="619" t="s">
        <v>747</v>
      </c>
      <c r="C166" s="620">
        <v>244</v>
      </c>
      <c r="D166" s="620">
        <v>226</v>
      </c>
      <c r="E166" s="596">
        <f t="shared" si="24"/>
        <v>53845.919999999998</v>
      </c>
      <c r="F166" s="595">
        <f>'Прилож 4 24 (10)'!V166</f>
        <v>0</v>
      </c>
      <c r="G166" s="595">
        <f>'Прилож 4 24 (10)'!W166</f>
        <v>0</v>
      </c>
      <c r="H166" s="595">
        <f>'Прилож 4 24 (10)'!X166</f>
        <v>53845.919999999998</v>
      </c>
      <c r="I166" s="628"/>
      <c r="J166" s="595">
        <f>'Прилож 4 24 (10)'!Z166</f>
        <v>0</v>
      </c>
      <c r="K166" s="595">
        <f>'Прилож 4 24 (10)'!AA166</f>
        <v>0</v>
      </c>
      <c r="L166" s="595">
        <f>'Прилож 4 24 (10)'!AB166</f>
        <v>0</v>
      </c>
      <c r="M166" s="876">
        <f t="shared" si="21"/>
        <v>0</v>
      </c>
      <c r="N166" s="875"/>
      <c r="O166" s="875"/>
      <c r="P166" s="875"/>
      <c r="Q166" s="877"/>
      <c r="R166" s="875"/>
      <c r="S166" s="875"/>
      <c r="T166" s="875"/>
      <c r="U166" s="876">
        <f t="shared" si="25"/>
        <v>53845.919999999998</v>
      </c>
      <c r="V166" s="875">
        <f t="shared" si="25"/>
        <v>0</v>
      </c>
      <c r="W166" s="875">
        <f t="shared" si="30"/>
        <v>0</v>
      </c>
      <c r="X166" s="875">
        <f t="shared" si="30"/>
        <v>53845.919999999998</v>
      </c>
      <c r="Y166" s="883"/>
      <c r="Z166" s="875">
        <f t="shared" si="31"/>
        <v>0</v>
      </c>
      <c r="AA166" s="875">
        <f t="shared" si="31"/>
        <v>0</v>
      </c>
      <c r="AB166" s="875">
        <f t="shared" si="31"/>
        <v>0</v>
      </c>
      <c r="AC166" s="878"/>
    </row>
    <row r="167" spans="1:30" ht="31.5" x14ac:dyDescent="0.2">
      <c r="A167" s="618" t="s">
        <v>154</v>
      </c>
      <c r="B167" s="619" t="s">
        <v>747</v>
      </c>
      <c r="C167" s="620">
        <v>244</v>
      </c>
      <c r="D167" s="620">
        <v>226</v>
      </c>
      <c r="E167" s="596">
        <f t="shared" si="24"/>
        <v>106000</v>
      </c>
      <c r="F167" s="595">
        <f>'Прилож 4 24 (10)'!V167</f>
        <v>0</v>
      </c>
      <c r="G167" s="595">
        <f>'Прилож 4 24 (10)'!W167</f>
        <v>0</v>
      </c>
      <c r="H167" s="595">
        <f>'Прилож 4 24 (10)'!X167</f>
        <v>106000</v>
      </c>
      <c r="I167" s="628"/>
      <c r="J167" s="595">
        <f>'Прилож 4 24 (10)'!Z167</f>
        <v>0</v>
      </c>
      <c r="K167" s="595">
        <f>'Прилож 4 24 (10)'!AA167</f>
        <v>0</v>
      </c>
      <c r="L167" s="595">
        <f>'Прилож 4 24 (10)'!AB167</f>
        <v>0</v>
      </c>
      <c r="M167" s="876">
        <f t="shared" si="21"/>
        <v>0</v>
      </c>
      <c r="N167" s="875"/>
      <c r="O167" s="875"/>
      <c r="P167" s="875"/>
      <c r="Q167" s="877"/>
      <c r="R167" s="875"/>
      <c r="S167" s="875"/>
      <c r="T167" s="875"/>
      <c r="U167" s="876">
        <f t="shared" si="25"/>
        <v>106000</v>
      </c>
      <c r="V167" s="875">
        <f t="shared" si="25"/>
        <v>0</v>
      </c>
      <c r="W167" s="875">
        <f t="shared" si="30"/>
        <v>0</v>
      </c>
      <c r="X167" s="875">
        <f t="shared" si="30"/>
        <v>106000</v>
      </c>
      <c r="Y167" s="883"/>
      <c r="Z167" s="875">
        <f t="shared" si="31"/>
        <v>0</v>
      </c>
      <c r="AA167" s="875">
        <f t="shared" si="31"/>
        <v>0</v>
      </c>
      <c r="AB167" s="875">
        <f t="shared" si="31"/>
        <v>0</v>
      </c>
      <c r="AC167" s="878"/>
    </row>
    <row r="168" spans="1:30" ht="31.5" x14ac:dyDescent="0.2">
      <c r="A168" s="618" t="s">
        <v>642</v>
      </c>
      <c r="B168" s="619" t="s">
        <v>747</v>
      </c>
      <c r="C168" s="620">
        <v>244</v>
      </c>
      <c r="D168" s="620">
        <v>226</v>
      </c>
      <c r="E168" s="596">
        <f t="shared" si="24"/>
        <v>60720</v>
      </c>
      <c r="F168" s="595">
        <f>'Прилож 4 24 (10)'!V168</f>
        <v>0</v>
      </c>
      <c r="G168" s="595">
        <f>'Прилож 4 24 (10)'!W168</f>
        <v>0</v>
      </c>
      <c r="H168" s="595">
        <f>'Прилож 4 24 (10)'!X168</f>
        <v>60720</v>
      </c>
      <c r="I168" s="628"/>
      <c r="J168" s="595">
        <f>'Прилож 4 24 (10)'!Z168</f>
        <v>0</v>
      </c>
      <c r="K168" s="595">
        <f>'Прилож 4 24 (10)'!AA168</f>
        <v>0</v>
      </c>
      <c r="L168" s="595">
        <f>'Прилож 4 24 (10)'!AB168</f>
        <v>0</v>
      </c>
      <c r="M168" s="876">
        <f t="shared" si="21"/>
        <v>0</v>
      </c>
      <c r="N168" s="875"/>
      <c r="O168" s="875"/>
      <c r="P168" s="875"/>
      <c r="Q168" s="877"/>
      <c r="R168" s="875"/>
      <c r="S168" s="875"/>
      <c r="T168" s="875"/>
      <c r="U168" s="876">
        <f t="shared" si="25"/>
        <v>60720</v>
      </c>
      <c r="V168" s="875">
        <f t="shared" si="25"/>
        <v>0</v>
      </c>
      <c r="W168" s="875">
        <f t="shared" si="30"/>
        <v>0</v>
      </c>
      <c r="X168" s="875">
        <f t="shared" si="30"/>
        <v>60720</v>
      </c>
      <c r="Y168" s="883"/>
      <c r="Z168" s="875">
        <f t="shared" si="31"/>
        <v>0</v>
      </c>
      <c r="AA168" s="875">
        <f t="shared" si="31"/>
        <v>0</v>
      </c>
      <c r="AB168" s="875">
        <f t="shared" si="31"/>
        <v>0</v>
      </c>
      <c r="AC168" s="878"/>
    </row>
    <row r="169" spans="1:30" ht="157.5" customHeight="1" x14ac:dyDescent="0.2">
      <c r="A169" s="618" t="s">
        <v>1243</v>
      </c>
      <c r="B169" s="619" t="s">
        <v>747</v>
      </c>
      <c r="C169" s="620">
        <v>244</v>
      </c>
      <c r="D169" s="620">
        <v>226</v>
      </c>
      <c r="E169" s="596">
        <f t="shared" si="24"/>
        <v>35794</v>
      </c>
      <c r="F169" s="595">
        <f>'Прилож 4 24 (10)'!V169</f>
        <v>0</v>
      </c>
      <c r="G169" s="595">
        <f>'Прилож 4 24 (10)'!W169</f>
        <v>0</v>
      </c>
      <c r="H169" s="595">
        <f>'Прилож 4 24 (10)'!X169</f>
        <v>35794</v>
      </c>
      <c r="I169" s="628"/>
      <c r="J169" s="595">
        <f>'Прилож 4 24 (10)'!Z169</f>
        <v>0</v>
      </c>
      <c r="K169" s="595">
        <f>'Прилож 4 24 (10)'!AA169</f>
        <v>0</v>
      </c>
      <c r="L169" s="595">
        <f>'Прилож 4 24 (10)'!AB169</f>
        <v>0</v>
      </c>
      <c r="M169" s="876">
        <f t="shared" si="21"/>
        <v>0</v>
      </c>
      <c r="N169" s="875"/>
      <c r="O169" s="875"/>
      <c r="P169" s="875"/>
      <c r="Q169" s="877"/>
      <c r="R169" s="875"/>
      <c r="S169" s="875"/>
      <c r="T169" s="875"/>
      <c r="U169" s="876">
        <f t="shared" si="25"/>
        <v>35794</v>
      </c>
      <c r="V169" s="875">
        <f t="shared" si="25"/>
        <v>0</v>
      </c>
      <c r="W169" s="875">
        <f t="shared" si="30"/>
        <v>0</v>
      </c>
      <c r="X169" s="875">
        <f t="shared" si="30"/>
        <v>35794</v>
      </c>
      <c r="Y169" s="883"/>
      <c r="Z169" s="875">
        <f t="shared" si="31"/>
        <v>0</v>
      </c>
      <c r="AA169" s="875">
        <f t="shared" si="31"/>
        <v>0</v>
      </c>
      <c r="AB169" s="875">
        <f t="shared" si="31"/>
        <v>0</v>
      </c>
      <c r="AC169" s="878"/>
    </row>
    <row r="170" spans="1:30" ht="57.75" customHeight="1" x14ac:dyDescent="0.2">
      <c r="A170" s="618" t="s">
        <v>593</v>
      </c>
      <c r="B170" s="619" t="s">
        <v>747</v>
      </c>
      <c r="C170" s="620">
        <v>244</v>
      </c>
      <c r="D170" s="620">
        <v>226</v>
      </c>
      <c r="E170" s="596">
        <f t="shared" si="24"/>
        <v>15128.04</v>
      </c>
      <c r="F170" s="595">
        <f>'Прилож 4 24 (10)'!V170</f>
        <v>0</v>
      </c>
      <c r="G170" s="595">
        <f>'Прилож 4 24 (10)'!W170</f>
        <v>0</v>
      </c>
      <c r="H170" s="595">
        <f>'Прилож 4 24 (10)'!X170</f>
        <v>15128.04</v>
      </c>
      <c r="I170" s="628"/>
      <c r="J170" s="595">
        <f>'Прилож 4 24 (10)'!Z170</f>
        <v>0</v>
      </c>
      <c r="K170" s="595">
        <f>'Прилож 4 24 (10)'!AA170</f>
        <v>0</v>
      </c>
      <c r="L170" s="595">
        <f>'Прилож 4 24 (10)'!AB170</f>
        <v>0</v>
      </c>
      <c r="M170" s="876">
        <f t="shared" si="21"/>
        <v>0</v>
      </c>
      <c r="N170" s="875"/>
      <c r="O170" s="875"/>
      <c r="P170" s="875"/>
      <c r="Q170" s="877"/>
      <c r="R170" s="875"/>
      <c r="S170" s="875"/>
      <c r="T170" s="875"/>
      <c r="U170" s="876">
        <f t="shared" si="25"/>
        <v>15128.04</v>
      </c>
      <c r="V170" s="875">
        <f t="shared" si="25"/>
        <v>0</v>
      </c>
      <c r="W170" s="875">
        <f t="shared" si="30"/>
        <v>0</v>
      </c>
      <c r="X170" s="875">
        <f t="shared" si="30"/>
        <v>15128.04</v>
      </c>
      <c r="Y170" s="883"/>
      <c r="Z170" s="875">
        <f t="shared" si="31"/>
        <v>0</v>
      </c>
      <c r="AA170" s="875">
        <f t="shared" si="31"/>
        <v>0</v>
      </c>
      <c r="AB170" s="875">
        <f t="shared" si="31"/>
        <v>0</v>
      </c>
      <c r="AC170" s="878"/>
    </row>
    <row r="171" spans="1:30" ht="24" customHeight="1" x14ac:dyDescent="0.2">
      <c r="A171" s="618" t="s">
        <v>1194</v>
      </c>
      <c r="B171" s="619" t="s">
        <v>747</v>
      </c>
      <c r="C171" s="620">
        <v>244</v>
      </c>
      <c r="D171" s="620">
        <v>226</v>
      </c>
      <c r="E171" s="596">
        <f t="shared" si="24"/>
        <v>20250</v>
      </c>
      <c r="F171" s="595">
        <f>'Прилож 4 24 (10)'!V171</f>
        <v>0</v>
      </c>
      <c r="G171" s="595">
        <f>'Прилож 4 24 (10)'!W171</f>
        <v>0</v>
      </c>
      <c r="H171" s="595">
        <f>'Прилож 4 24 (10)'!X171</f>
        <v>20250</v>
      </c>
      <c r="I171" s="628"/>
      <c r="J171" s="595">
        <f>'Прилож 4 24 (10)'!Z171</f>
        <v>0</v>
      </c>
      <c r="K171" s="595">
        <f>'Прилож 4 24 (10)'!AA171</f>
        <v>0</v>
      </c>
      <c r="L171" s="595">
        <f>'Прилож 4 24 (10)'!AB171</f>
        <v>0</v>
      </c>
      <c r="M171" s="876">
        <f t="shared" si="21"/>
        <v>0</v>
      </c>
      <c r="N171" s="875"/>
      <c r="O171" s="875"/>
      <c r="P171" s="875"/>
      <c r="Q171" s="877"/>
      <c r="R171" s="875"/>
      <c r="S171" s="875"/>
      <c r="T171" s="875"/>
      <c r="U171" s="876">
        <f t="shared" si="25"/>
        <v>20250</v>
      </c>
      <c r="V171" s="875">
        <f t="shared" si="25"/>
        <v>0</v>
      </c>
      <c r="W171" s="875">
        <f t="shared" si="30"/>
        <v>0</v>
      </c>
      <c r="X171" s="875">
        <f t="shared" si="30"/>
        <v>20250</v>
      </c>
      <c r="Y171" s="883"/>
      <c r="Z171" s="875">
        <f t="shared" si="31"/>
        <v>0</v>
      </c>
      <c r="AA171" s="875">
        <f t="shared" si="31"/>
        <v>0</v>
      </c>
      <c r="AB171" s="875">
        <f t="shared" si="31"/>
        <v>0</v>
      </c>
      <c r="AC171" s="878"/>
    </row>
    <row r="172" spans="1:30" ht="52.9" customHeight="1" x14ac:dyDescent="0.2">
      <c r="A172" s="618" t="s">
        <v>1518</v>
      </c>
      <c r="B172" s="619" t="s">
        <v>747</v>
      </c>
      <c r="C172" s="620">
        <v>244</v>
      </c>
      <c r="D172" s="620">
        <v>226</v>
      </c>
      <c r="E172" s="596">
        <f t="shared" si="24"/>
        <v>9000</v>
      </c>
      <c r="F172" s="595">
        <f>'Прилож 4 24 (10)'!V172</f>
        <v>0</v>
      </c>
      <c r="G172" s="595">
        <f>'Прилож 4 24 (10)'!W172</f>
        <v>0</v>
      </c>
      <c r="H172" s="595">
        <f>'Прилож 4 24 (10)'!X172</f>
        <v>0</v>
      </c>
      <c r="I172" s="628"/>
      <c r="J172" s="595">
        <f>'Прилож 4 24 (10)'!Z172</f>
        <v>0</v>
      </c>
      <c r="K172" s="595">
        <f>'Прилож 4 24 (10)'!AA172</f>
        <v>0</v>
      </c>
      <c r="L172" s="595">
        <f>'Прилож 4 24 (10)'!AB172</f>
        <v>9000</v>
      </c>
      <c r="M172" s="876">
        <f t="shared" si="21"/>
        <v>0</v>
      </c>
      <c r="N172" s="875"/>
      <c r="O172" s="875"/>
      <c r="P172" s="875"/>
      <c r="Q172" s="877"/>
      <c r="R172" s="875"/>
      <c r="S172" s="875"/>
      <c r="T172" s="875"/>
      <c r="U172" s="876">
        <f t="shared" si="25"/>
        <v>9000</v>
      </c>
      <c r="V172" s="875">
        <f t="shared" si="25"/>
        <v>0</v>
      </c>
      <c r="W172" s="875">
        <f t="shared" si="30"/>
        <v>0</v>
      </c>
      <c r="X172" s="875">
        <f t="shared" si="30"/>
        <v>0</v>
      </c>
      <c r="Y172" s="883"/>
      <c r="Z172" s="875"/>
      <c r="AA172" s="875"/>
      <c r="AB172" s="875">
        <f t="shared" si="31"/>
        <v>9000</v>
      </c>
      <c r="AC172" s="878"/>
    </row>
    <row r="173" spans="1:30" ht="32.25" customHeight="1" x14ac:dyDescent="0.2">
      <c r="A173" s="618" t="s">
        <v>1318</v>
      </c>
      <c r="B173" s="619" t="s">
        <v>747</v>
      </c>
      <c r="C173" s="620">
        <v>244</v>
      </c>
      <c r="D173" s="620">
        <v>226</v>
      </c>
      <c r="E173" s="596">
        <f t="shared" si="24"/>
        <v>0</v>
      </c>
      <c r="F173" s="595">
        <f>'Прилож 4 24 (10)'!V173</f>
        <v>0</v>
      </c>
      <c r="G173" s="595">
        <f>'Прилож 4 24 (10)'!W173</f>
        <v>0</v>
      </c>
      <c r="H173" s="595">
        <f>'Прилож 4 24 (10)'!X173</f>
        <v>0</v>
      </c>
      <c r="I173" s="877" t="s">
        <v>1322</v>
      </c>
      <c r="J173" s="595">
        <f>'Прилож 4 24 (10)'!Z173</f>
        <v>0</v>
      </c>
      <c r="K173" s="595">
        <f>'Прилож 4 24 (10)'!AA173</f>
        <v>0</v>
      </c>
      <c r="L173" s="595">
        <f>'Прилож 4 24 (10)'!AB173</f>
        <v>0</v>
      </c>
      <c r="M173" s="875">
        <f>N173+O173+P173+R173+S173+T173</f>
        <v>0</v>
      </c>
      <c r="N173" s="875"/>
      <c r="O173" s="875"/>
      <c r="P173" s="875"/>
      <c r="Q173" s="877"/>
      <c r="R173" s="875"/>
      <c r="S173" s="875"/>
      <c r="T173" s="875"/>
      <c r="U173" s="876">
        <f t="shared" si="25"/>
        <v>0</v>
      </c>
      <c r="V173" s="875">
        <f t="shared" si="25"/>
        <v>0</v>
      </c>
      <c r="W173" s="875">
        <f t="shared" si="30"/>
        <v>0</v>
      </c>
      <c r="X173" s="875">
        <f t="shared" si="30"/>
        <v>0</v>
      </c>
      <c r="Y173" s="877" t="s">
        <v>1322</v>
      </c>
      <c r="Z173" s="875">
        <f t="shared" ref="Z173:AB197" si="32">R173+J173</f>
        <v>0</v>
      </c>
      <c r="AA173" s="875">
        <f t="shared" si="32"/>
        <v>0</v>
      </c>
      <c r="AB173" s="875">
        <f t="shared" si="31"/>
        <v>0</v>
      </c>
      <c r="AC173" s="878"/>
    </row>
    <row r="174" spans="1:30" s="637" customFormat="1" ht="25.5" customHeight="1" x14ac:dyDescent="0.2">
      <c r="A174" s="632" t="s">
        <v>1143</v>
      </c>
      <c r="B174" s="619" t="s">
        <v>747</v>
      </c>
      <c r="C174" s="634">
        <v>244</v>
      </c>
      <c r="D174" s="634">
        <v>226</v>
      </c>
      <c r="E174" s="596">
        <f t="shared" si="24"/>
        <v>300737.95999999996</v>
      </c>
      <c r="F174" s="595">
        <f>'Прилож 4 24 (10)'!V174</f>
        <v>0</v>
      </c>
      <c r="G174" s="595">
        <f>'Прилож 4 24 (10)'!W174</f>
        <v>0</v>
      </c>
      <c r="H174" s="595">
        <f>'Прилож 4 24 (10)'!X174</f>
        <v>291737.95999999996</v>
      </c>
      <c r="I174" s="640"/>
      <c r="J174" s="595">
        <f>'Прилож 4 24 (10)'!Z174</f>
        <v>0</v>
      </c>
      <c r="K174" s="595">
        <f>'Прилож 4 24 (10)'!AA174</f>
        <v>0</v>
      </c>
      <c r="L174" s="595">
        <f>'Прилож 4 24 (10)'!AB174</f>
        <v>9000</v>
      </c>
      <c r="M174" s="876">
        <f t="shared" ref="M174:M237" si="33">N174+P174+R174+S174+T174+O174</f>
        <v>0</v>
      </c>
      <c r="N174" s="887"/>
      <c r="O174" s="887"/>
      <c r="P174" s="887">
        <f>SUM(P166:P171)</f>
        <v>0</v>
      </c>
      <c r="Q174" s="893"/>
      <c r="R174" s="887"/>
      <c r="S174" s="887"/>
      <c r="T174" s="887">
        <f>T172</f>
        <v>0</v>
      </c>
      <c r="U174" s="876">
        <f t="shared" si="25"/>
        <v>300737.95999999996</v>
      </c>
      <c r="V174" s="875">
        <f t="shared" si="25"/>
        <v>0</v>
      </c>
      <c r="W174" s="875">
        <f t="shared" si="30"/>
        <v>0</v>
      </c>
      <c r="X174" s="875">
        <f t="shared" si="30"/>
        <v>291737.95999999996</v>
      </c>
      <c r="Y174" s="893"/>
      <c r="Z174" s="875">
        <f t="shared" si="32"/>
        <v>0</v>
      </c>
      <c r="AA174" s="875">
        <f t="shared" si="32"/>
        <v>0</v>
      </c>
      <c r="AB174" s="875">
        <f t="shared" si="31"/>
        <v>9000</v>
      </c>
      <c r="AC174" s="886"/>
    </row>
    <row r="175" spans="1:30" ht="31.5" x14ac:dyDescent="0.2">
      <c r="A175" s="618" t="s">
        <v>586</v>
      </c>
      <c r="B175" s="619" t="s">
        <v>729</v>
      </c>
      <c r="C175" s="620">
        <v>244</v>
      </c>
      <c r="D175" s="620">
        <v>226</v>
      </c>
      <c r="E175" s="596">
        <f t="shared" si="24"/>
        <v>53845.919999999998</v>
      </c>
      <c r="F175" s="595">
        <f>'Прилож 4 24 (10)'!V175</f>
        <v>0</v>
      </c>
      <c r="G175" s="595">
        <f>'Прилож 4 24 (10)'!W175</f>
        <v>0</v>
      </c>
      <c r="H175" s="595">
        <f>'Прилож 4 24 (10)'!X175</f>
        <v>53845.919999999998</v>
      </c>
      <c r="I175" s="628"/>
      <c r="J175" s="595">
        <f>'Прилож 4 24 (10)'!Z175</f>
        <v>0</v>
      </c>
      <c r="K175" s="595">
        <f>'Прилож 4 24 (10)'!AA175</f>
        <v>0</v>
      </c>
      <c r="L175" s="595">
        <f>'Прилож 4 24 (10)'!AB175</f>
        <v>0</v>
      </c>
      <c r="M175" s="876">
        <f t="shared" si="33"/>
        <v>0</v>
      </c>
      <c r="N175" s="875"/>
      <c r="O175" s="875"/>
      <c r="P175" s="875"/>
      <c r="Q175" s="877"/>
      <c r="R175" s="875"/>
      <c r="S175" s="875"/>
      <c r="T175" s="875"/>
      <c r="U175" s="876">
        <f t="shared" si="25"/>
        <v>53845.919999999998</v>
      </c>
      <c r="V175" s="875">
        <f t="shared" si="25"/>
        <v>0</v>
      </c>
      <c r="W175" s="875">
        <f t="shared" si="30"/>
        <v>0</v>
      </c>
      <c r="X175" s="875">
        <f t="shared" si="30"/>
        <v>53845.919999999998</v>
      </c>
      <c r="Y175" s="883"/>
      <c r="Z175" s="875">
        <f t="shared" si="32"/>
        <v>0</v>
      </c>
      <c r="AA175" s="875">
        <f t="shared" si="32"/>
        <v>0</v>
      </c>
      <c r="AB175" s="875">
        <f t="shared" si="31"/>
        <v>0</v>
      </c>
      <c r="AC175" s="878"/>
    </row>
    <row r="176" spans="1:30" ht="31.5" x14ac:dyDescent="0.2">
      <c r="A176" s="618" t="s">
        <v>642</v>
      </c>
      <c r="B176" s="619" t="s">
        <v>729</v>
      </c>
      <c r="C176" s="620">
        <v>244</v>
      </c>
      <c r="D176" s="620">
        <v>226</v>
      </c>
      <c r="E176" s="596">
        <f t="shared" si="24"/>
        <v>60720</v>
      </c>
      <c r="F176" s="595">
        <f>'Прилож 4 24 (10)'!V176</f>
        <v>0</v>
      </c>
      <c r="G176" s="595">
        <f>'Прилож 4 24 (10)'!W176</f>
        <v>0</v>
      </c>
      <c r="H176" s="595">
        <f>'Прилож 4 24 (10)'!X176</f>
        <v>60720</v>
      </c>
      <c r="I176" s="628"/>
      <c r="J176" s="595">
        <f>'Прилож 4 24 (10)'!Z176</f>
        <v>0</v>
      </c>
      <c r="K176" s="595">
        <f>'Прилож 4 24 (10)'!AA176</f>
        <v>0</v>
      </c>
      <c r="L176" s="595">
        <f>'Прилож 4 24 (10)'!AB176</f>
        <v>0</v>
      </c>
      <c r="M176" s="876">
        <f t="shared" si="33"/>
        <v>0</v>
      </c>
      <c r="N176" s="875"/>
      <c r="O176" s="875"/>
      <c r="P176" s="875"/>
      <c r="Q176" s="877"/>
      <c r="R176" s="875"/>
      <c r="S176" s="875"/>
      <c r="T176" s="875"/>
      <c r="U176" s="876">
        <f t="shared" si="25"/>
        <v>60720</v>
      </c>
      <c r="V176" s="875">
        <f t="shared" si="25"/>
        <v>0</v>
      </c>
      <c r="W176" s="875">
        <f t="shared" si="30"/>
        <v>0</v>
      </c>
      <c r="X176" s="875">
        <f t="shared" si="30"/>
        <v>60720</v>
      </c>
      <c r="Y176" s="883"/>
      <c r="Z176" s="875">
        <f t="shared" si="32"/>
        <v>0</v>
      </c>
      <c r="AA176" s="875">
        <f t="shared" si="32"/>
        <v>0</v>
      </c>
      <c r="AB176" s="875">
        <f t="shared" si="31"/>
        <v>0</v>
      </c>
      <c r="AC176" s="878"/>
    </row>
    <row r="177" spans="1:30" ht="60.75" customHeight="1" x14ac:dyDescent="0.2">
      <c r="A177" s="618" t="s">
        <v>1244</v>
      </c>
      <c r="B177" s="619" t="s">
        <v>729</v>
      </c>
      <c r="C177" s="620">
        <v>244</v>
      </c>
      <c r="D177" s="620">
        <v>226</v>
      </c>
      <c r="E177" s="596">
        <f t="shared" si="24"/>
        <v>28279.97</v>
      </c>
      <c r="F177" s="595">
        <f>'Прилож 4 24 (10)'!V177</f>
        <v>0</v>
      </c>
      <c r="G177" s="595">
        <f>'Прилож 4 24 (10)'!W177</f>
        <v>0</v>
      </c>
      <c r="H177" s="595">
        <f>'Прилож 4 24 (10)'!X177</f>
        <v>28279.97</v>
      </c>
      <c r="I177" s="628"/>
      <c r="J177" s="595">
        <f>'Прилож 4 24 (10)'!Z177</f>
        <v>0</v>
      </c>
      <c r="K177" s="595">
        <f>'Прилож 4 24 (10)'!AA177</f>
        <v>0</v>
      </c>
      <c r="L177" s="595">
        <f>'Прилож 4 24 (10)'!AB177</f>
        <v>0</v>
      </c>
      <c r="M177" s="876">
        <f t="shared" si="33"/>
        <v>0</v>
      </c>
      <c r="N177" s="875"/>
      <c r="O177" s="875"/>
      <c r="P177" s="875"/>
      <c r="Q177" s="877"/>
      <c r="R177" s="875"/>
      <c r="S177" s="875"/>
      <c r="T177" s="875"/>
      <c r="U177" s="876">
        <f t="shared" si="25"/>
        <v>28279.97</v>
      </c>
      <c r="V177" s="875">
        <f t="shared" si="25"/>
        <v>0</v>
      </c>
      <c r="W177" s="875">
        <f t="shared" si="30"/>
        <v>0</v>
      </c>
      <c r="X177" s="875">
        <f t="shared" si="30"/>
        <v>28279.97</v>
      </c>
      <c r="Y177" s="883"/>
      <c r="Z177" s="875">
        <f t="shared" si="32"/>
        <v>0</v>
      </c>
      <c r="AA177" s="875">
        <f t="shared" si="32"/>
        <v>0</v>
      </c>
      <c r="AB177" s="875">
        <f t="shared" si="31"/>
        <v>0</v>
      </c>
      <c r="AC177" s="878"/>
    </row>
    <row r="178" spans="1:30" ht="31.5" x14ac:dyDescent="0.2">
      <c r="A178" s="618" t="s">
        <v>752</v>
      </c>
      <c r="B178" s="619" t="s">
        <v>729</v>
      </c>
      <c r="C178" s="620">
        <v>244</v>
      </c>
      <c r="D178" s="620">
        <v>226</v>
      </c>
      <c r="E178" s="596">
        <f t="shared" si="24"/>
        <v>151500</v>
      </c>
      <c r="F178" s="595">
        <f>'Прилож 4 24 (10)'!V178</f>
        <v>0</v>
      </c>
      <c r="G178" s="595">
        <f>'Прилож 4 24 (10)'!W178</f>
        <v>0</v>
      </c>
      <c r="H178" s="595">
        <f>'Прилож 4 24 (10)'!X178</f>
        <v>151500</v>
      </c>
      <c r="I178" s="628"/>
      <c r="J178" s="595">
        <f>'Прилож 4 24 (10)'!Z178</f>
        <v>0</v>
      </c>
      <c r="K178" s="595">
        <f>'Прилож 4 24 (10)'!AA178</f>
        <v>0</v>
      </c>
      <c r="L178" s="595">
        <f>'Прилож 4 24 (10)'!AB178</f>
        <v>0</v>
      </c>
      <c r="M178" s="876">
        <f t="shared" si="33"/>
        <v>0</v>
      </c>
      <c r="N178" s="875"/>
      <c r="O178" s="875"/>
      <c r="P178" s="875"/>
      <c r="Q178" s="877"/>
      <c r="R178" s="875"/>
      <c r="S178" s="875"/>
      <c r="T178" s="875"/>
      <c r="U178" s="876">
        <f t="shared" si="25"/>
        <v>151500</v>
      </c>
      <c r="V178" s="875">
        <f t="shared" si="25"/>
        <v>0</v>
      </c>
      <c r="W178" s="875">
        <f t="shared" si="30"/>
        <v>0</v>
      </c>
      <c r="X178" s="875">
        <f t="shared" si="30"/>
        <v>151500</v>
      </c>
      <c r="Y178" s="883"/>
      <c r="Z178" s="875">
        <f t="shared" si="32"/>
        <v>0</v>
      </c>
      <c r="AA178" s="875">
        <f t="shared" si="32"/>
        <v>0</v>
      </c>
      <c r="AB178" s="875">
        <f t="shared" si="31"/>
        <v>0</v>
      </c>
      <c r="AC178" s="878"/>
    </row>
    <row r="179" spans="1:30" ht="60.6" customHeight="1" x14ac:dyDescent="0.2">
      <c r="A179" s="618" t="s">
        <v>593</v>
      </c>
      <c r="B179" s="619" t="s">
        <v>729</v>
      </c>
      <c r="C179" s="620">
        <v>244</v>
      </c>
      <c r="D179" s="620">
        <v>226</v>
      </c>
      <c r="E179" s="596">
        <f t="shared" si="24"/>
        <v>2373.9599999999991</v>
      </c>
      <c r="F179" s="595">
        <f>'Прилож 4 24 (10)'!V179</f>
        <v>0</v>
      </c>
      <c r="G179" s="595">
        <f>'Прилож 4 24 (10)'!W179</f>
        <v>0</v>
      </c>
      <c r="H179" s="595">
        <f>'Прилож 4 24 (10)'!X179</f>
        <v>2373.9599999999991</v>
      </c>
      <c r="I179" s="628"/>
      <c r="J179" s="595">
        <f>'Прилож 4 24 (10)'!Z179</f>
        <v>0</v>
      </c>
      <c r="K179" s="595">
        <f>'Прилож 4 24 (10)'!AA179</f>
        <v>0</v>
      </c>
      <c r="L179" s="595">
        <f>'Прилож 4 24 (10)'!AB179</f>
        <v>0</v>
      </c>
      <c r="M179" s="876">
        <f t="shared" si="33"/>
        <v>0</v>
      </c>
      <c r="N179" s="875"/>
      <c r="O179" s="875"/>
      <c r="P179" s="875"/>
      <c r="Q179" s="877"/>
      <c r="R179" s="875"/>
      <c r="S179" s="875"/>
      <c r="T179" s="875"/>
      <c r="U179" s="876">
        <f t="shared" si="25"/>
        <v>2373.9599999999991</v>
      </c>
      <c r="V179" s="875">
        <f t="shared" si="25"/>
        <v>0</v>
      </c>
      <c r="W179" s="875">
        <f t="shared" si="30"/>
        <v>0</v>
      </c>
      <c r="X179" s="875">
        <f t="shared" si="30"/>
        <v>2373.9599999999991</v>
      </c>
      <c r="Y179" s="883"/>
      <c r="Z179" s="875">
        <f t="shared" si="32"/>
        <v>0</v>
      </c>
      <c r="AA179" s="875">
        <f t="shared" si="32"/>
        <v>0</v>
      </c>
      <c r="AB179" s="875">
        <f t="shared" si="31"/>
        <v>0</v>
      </c>
      <c r="AC179" s="878"/>
    </row>
    <row r="180" spans="1:30" ht="23.25" customHeight="1" x14ac:dyDescent="0.2">
      <c r="A180" s="618" t="s">
        <v>914</v>
      </c>
      <c r="B180" s="619" t="s">
        <v>729</v>
      </c>
      <c r="C180" s="620">
        <v>244</v>
      </c>
      <c r="D180" s="620">
        <v>226</v>
      </c>
      <c r="E180" s="596">
        <f t="shared" si="24"/>
        <v>54800</v>
      </c>
      <c r="F180" s="595">
        <f>'Прилож 4 24 (10)'!V180</f>
        <v>0</v>
      </c>
      <c r="G180" s="595">
        <f>'Прилож 4 24 (10)'!W180</f>
        <v>0</v>
      </c>
      <c r="H180" s="595">
        <f>'Прилож 4 24 (10)'!X180</f>
        <v>54800</v>
      </c>
      <c r="I180" s="628"/>
      <c r="J180" s="595">
        <f>'Прилож 4 24 (10)'!Z180</f>
        <v>0</v>
      </c>
      <c r="K180" s="595">
        <f>'Прилож 4 24 (10)'!AA180</f>
        <v>0</v>
      </c>
      <c r="L180" s="595">
        <f>'Прилож 4 24 (10)'!AB180</f>
        <v>0</v>
      </c>
      <c r="M180" s="876">
        <f t="shared" si="33"/>
        <v>0</v>
      </c>
      <c r="N180" s="875"/>
      <c r="O180" s="875"/>
      <c r="P180" s="875"/>
      <c r="Q180" s="877"/>
      <c r="R180" s="875"/>
      <c r="S180" s="875"/>
      <c r="T180" s="875"/>
      <c r="U180" s="876">
        <f t="shared" si="25"/>
        <v>54800</v>
      </c>
      <c r="V180" s="875">
        <f t="shared" si="25"/>
        <v>0</v>
      </c>
      <c r="W180" s="875">
        <f t="shared" si="30"/>
        <v>0</v>
      </c>
      <c r="X180" s="875">
        <f t="shared" si="30"/>
        <v>54800</v>
      </c>
      <c r="Y180" s="883"/>
      <c r="Z180" s="875">
        <f t="shared" si="32"/>
        <v>0</v>
      </c>
      <c r="AA180" s="875">
        <f t="shared" si="32"/>
        <v>0</v>
      </c>
      <c r="AB180" s="875">
        <f t="shared" si="31"/>
        <v>0</v>
      </c>
      <c r="AC180" s="1003"/>
    </row>
    <row r="181" spans="1:30" ht="31.5" customHeight="1" x14ac:dyDescent="0.2">
      <c r="A181" s="618" t="s">
        <v>1245</v>
      </c>
      <c r="B181" s="619" t="s">
        <v>729</v>
      </c>
      <c r="C181" s="620">
        <v>244</v>
      </c>
      <c r="D181" s="620">
        <v>226</v>
      </c>
      <c r="E181" s="596">
        <f t="shared" si="24"/>
        <v>7200</v>
      </c>
      <c r="F181" s="595">
        <f>'Прилож 4 24 (10)'!V181</f>
        <v>0</v>
      </c>
      <c r="G181" s="595">
        <f>'Прилож 4 24 (10)'!W181</f>
        <v>0</v>
      </c>
      <c r="H181" s="595">
        <f>'Прилож 4 24 (10)'!X181</f>
        <v>7200</v>
      </c>
      <c r="I181" s="628"/>
      <c r="J181" s="595">
        <f>'Прилож 4 24 (10)'!Z181</f>
        <v>0</v>
      </c>
      <c r="K181" s="595">
        <f>'Прилож 4 24 (10)'!AA181</f>
        <v>0</v>
      </c>
      <c r="L181" s="595">
        <f>'Прилож 4 24 (10)'!AB181</f>
        <v>0</v>
      </c>
      <c r="M181" s="876">
        <f t="shared" si="33"/>
        <v>0</v>
      </c>
      <c r="N181" s="875"/>
      <c r="O181" s="875"/>
      <c r="P181" s="875"/>
      <c r="Q181" s="877"/>
      <c r="R181" s="875"/>
      <c r="S181" s="875"/>
      <c r="T181" s="875"/>
      <c r="U181" s="876">
        <f t="shared" si="25"/>
        <v>7200</v>
      </c>
      <c r="V181" s="875">
        <f t="shared" si="25"/>
        <v>0</v>
      </c>
      <c r="W181" s="875">
        <f t="shared" si="30"/>
        <v>0</v>
      </c>
      <c r="X181" s="875">
        <f t="shared" si="30"/>
        <v>7200</v>
      </c>
      <c r="Y181" s="883"/>
      <c r="Z181" s="875">
        <f t="shared" si="32"/>
        <v>0</v>
      </c>
      <c r="AA181" s="875">
        <f t="shared" si="32"/>
        <v>0</v>
      </c>
      <c r="AB181" s="875">
        <f t="shared" si="32"/>
        <v>0</v>
      </c>
      <c r="AC181" s="878"/>
    </row>
    <row r="182" spans="1:30" ht="36" customHeight="1" x14ac:dyDescent="0.2">
      <c r="A182" s="618" t="s">
        <v>1185</v>
      </c>
      <c r="B182" s="619" t="s">
        <v>729</v>
      </c>
      <c r="C182" s="620">
        <v>244</v>
      </c>
      <c r="D182" s="620">
        <v>226</v>
      </c>
      <c r="E182" s="596">
        <f t="shared" si="24"/>
        <v>0</v>
      </c>
      <c r="F182" s="595">
        <f>'Прилож 4 24 (10)'!V182</f>
        <v>0</v>
      </c>
      <c r="G182" s="595">
        <f>'Прилож 4 24 (10)'!W182</f>
        <v>0</v>
      </c>
      <c r="H182" s="595">
        <f>'Прилож 4 24 (10)'!X182</f>
        <v>0</v>
      </c>
      <c r="I182" s="621"/>
      <c r="J182" s="595">
        <f>'Прилож 4 24 (10)'!Z182</f>
        <v>0</v>
      </c>
      <c r="K182" s="595">
        <f>'Прилож 4 24 (10)'!AA182</f>
        <v>0</v>
      </c>
      <c r="L182" s="595">
        <f>'Прилож 4 24 (10)'!AB182</f>
        <v>0</v>
      </c>
      <c r="M182" s="876">
        <f t="shared" si="33"/>
        <v>0</v>
      </c>
      <c r="N182" s="875"/>
      <c r="O182" s="875"/>
      <c r="P182" s="875"/>
      <c r="Q182" s="877"/>
      <c r="R182" s="875"/>
      <c r="S182" s="875"/>
      <c r="T182" s="875"/>
      <c r="U182" s="876">
        <f t="shared" si="25"/>
        <v>0</v>
      </c>
      <c r="V182" s="875">
        <f t="shared" si="25"/>
        <v>0</v>
      </c>
      <c r="W182" s="875">
        <f t="shared" si="30"/>
        <v>0</v>
      </c>
      <c r="X182" s="875">
        <f t="shared" si="30"/>
        <v>0</v>
      </c>
      <c r="Y182" s="877"/>
      <c r="Z182" s="875">
        <f t="shared" si="32"/>
        <v>0</v>
      </c>
      <c r="AA182" s="875">
        <f t="shared" si="32"/>
        <v>0</v>
      </c>
      <c r="AB182" s="875">
        <f t="shared" si="32"/>
        <v>0</v>
      </c>
      <c r="AC182" s="878"/>
    </row>
    <row r="183" spans="1:30" ht="27" customHeight="1" x14ac:dyDescent="0.2">
      <c r="A183" s="618" t="s">
        <v>1194</v>
      </c>
      <c r="B183" s="619" t="s">
        <v>729</v>
      </c>
      <c r="C183" s="620">
        <v>244</v>
      </c>
      <c r="D183" s="620">
        <v>226</v>
      </c>
      <c r="E183" s="596">
        <f t="shared" si="24"/>
        <v>16000</v>
      </c>
      <c r="F183" s="595">
        <f>'Прилож 4 24 (10)'!V183</f>
        <v>0</v>
      </c>
      <c r="G183" s="595">
        <f>'Прилож 4 24 (10)'!W183</f>
        <v>0</v>
      </c>
      <c r="H183" s="595">
        <f>'Прилож 4 24 (10)'!X183</f>
        <v>16000</v>
      </c>
      <c r="I183" s="621"/>
      <c r="J183" s="595">
        <f>'Прилож 4 24 (10)'!Z183</f>
        <v>0</v>
      </c>
      <c r="K183" s="595">
        <f>'Прилож 4 24 (10)'!AA183</f>
        <v>0</v>
      </c>
      <c r="L183" s="595">
        <f>'Прилож 4 24 (10)'!AB183</f>
        <v>0</v>
      </c>
      <c r="M183" s="876">
        <f t="shared" si="33"/>
        <v>0</v>
      </c>
      <c r="N183" s="875"/>
      <c r="O183" s="875"/>
      <c r="P183" s="875"/>
      <c r="Q183" s="877"/>
      <c r="R183" s="875"/>
      <c r="S183" s="875"/>
      <c r="T183" s="875"/>
      <c r="U183" s="876">
        <f t="shared" si="25"/>
        <v>16000</v>
      </c>
      <c r="V183" s="875">
        <f t="shared" si="25"/>
        <v>0</v>
      </c>
      <c r="W183" s="875">
        <f t="shared" si="30"/>
        <v>0</v>
      </c>
      <c r="X183" s="875">
        <f t="shared" si="30"/>
        <v>16000</v>
      </c>
      <c r="Y183" s="877"/>
      <c r="Z183" s="875">
        <f t="shared" si="32"/>
        <v>0</v>
      </c>
      <c r="AA183" s="875">
        <f t="shared" si="32"/>
        <v>0</v>
      </c>
      <c r="AB183" s="875">
        <f t="shared" si="32"/>
        <v>0</v>
      </c>
      <c r="AC183" s="878"/>
    </row>
    <row r="184" spans="1:30" ht="54.75" customHeight="1" x14ac:dyDescent="0.2">
      <c r="A184" s="618" t="s">
        <v>1223</v>
      </c>
      <c r="B184" s="619" t="s">
        <v>729</v>
      </c>
      <c r="C184" s="620">
        <v>244</v>
      </c>
      <c r="D184" s="620">
        <v>226</v>
      </c>
      <c r="E184" s="596">
        <f t="shared" si="24"/>
        <v>14900</v>
      </c>
      <c r="F184" s="595">
        <f>'Прилож 4 24 (10)'!V184</f>
        <v>0</v>
      </c>
      <c r="G184" s="595">
        <f>'Прилож 4 24 (10)'!W184</f>
        <v>0</v>
      </c>
      <c r="H184" s="595">
        <f>'Прилож 4 24 (10)'!X184</f>
        <v>14900</v>
      </c>
      <c r="I184" s="628"/>
      <c r="J184" s="595">
        <f>'Прилож 4 24 (10)'!Z184</f>
        <v>0</v>
      </c>
      <c r="K184" s="595">
        <f>'Прилож 4 24 (10)'!AA184</f>
        <v>0</v>
      </c>
      <c r="L184" s="595">
        <f>'Прилож 4 24 (10)'!AB184</f>
        <v>0</v>
      </c>
      <c r="M184" s="876">
        <f t="shared" si="33"/>
        <v>0</v>
      </c>
      <c r="N184" s="875"/>
      <c r="O184" s="875"/>
      <c r="P184" s="875"/>
      <c r="Q184" s="877"/>
      <c r="R184" s="875"/>
      <c r="S184" s="875"/>
      <c r="T184" s="875"/>
      <c r="U184" s="876">
        <f t="shared" si="25"/>
        <v>14900</v>
      </c>
      <c r="V184" s="875">
        <f t="shared" si="25"/>
        <v>0</v>
      </c>
      <c r="W184" s="875">
        <f t="shared" si="30"/>
        <v>0</v>
      </c>
      <c r="X184" s="875">
        <f t="shared" si="30"/>
        <v>14900</v>
      </c>
      <c r="Y184" s="883"/>
      <c r="Z184" s="875">
        <f t="shared" si="32"/>
        <v>0</v>
      </c>
      <c r="AA184" s="875">
        <f t="shared" si="32"/>
        <v>0</v>
      </c>
      <c r="AB184" s="875">
        <f t="shared" si="32"/>
        <v>0</v>
      </c>
      <c r="AC184" s="878"/>
    </row>
    <row r="185" spans="1:30" ht="47.25" x14ac:dyDescent="0.2">
      <c r="A185" s="618" t="s">
        <v>1289</v>
      </c>
      <c r="B185" s="619" t="s">
        <v>729</v>
      </c>
      <c r="C185" s="620">
        <v>244</v>
      </c>
      <c r="D185" s="620">
        <v>226</v>
      </c>
      <c r="E185" s="596">
        <f t="shared" si="24"/>
        <v>11320</v>
      </c>
      <c r="F185" s="595">
        <f>'Прилож 4 24 (10)'!V185</f>
        <v>0</v>
      </c>
      <c r="G185" s="595">
        <f>'Прилож 4 24 (10)'!W185</f>
        <v>0</v>
      </c>
      <c r="H185" s="595">
        <f>'Прилож 4 24 (10)'!X185</f>
        <v>11320</v>
      </c>
      <c r="I185" s="628"/>
      <c r="J185" s="595">
        <f>'Прилож 4 24 (10)'!Z185</f>
        <v>0</v>
      </c>
      <c r="K185" s="595">
        <f>'Прилож 4 24 (10)'!AA185</f>
        <v>0</v>
      </c>
      <c r="L185" s="595">
        <f>'Прилож 4 24 (10)'!AB185</f>
        <v>0</v>
      </c>
      <c r="M185" s="876">
        <f t="shared" si="33"/>
        <v>0</v>
      </c>
      <c r="N185" s="875"/>
      <c r="O185" s="875"/>
      <c r="P185" s="875"/>
      <c r="Q185" s="877"/>
      <c r="R185" s="875"/>
      <c r="S185" s="875"/>
      <c r="T185" s="875"/>
      <c r="U185" s="876">
        <f t="shared" si="25"/>
        <v>11320</v>
      </c>
      <c r="V185" s="875">
        <f t="shared" si="25"/>
        <v>0</v>
      </c>
      <c r="W185" s="875">
        <f t="shared" si="30"/>
        <v>0</v>
      </c>
      <c r="X185" s="875">
        <f t="shared" si="30"/>
        <v>11320</v>
      </c>
      <c r="Y185" s="883"/>
      <c r="Z185" s="875">
        <f t="shared" si="32"/>
        <v>0</v>
      </c>
      <c r="AA185" s="875">
        <f t="shared" si="32"/>
        <v>0</v>
      </c>
      <c r="AB185" s="875">
        <f t="shared" si="32"/>
        <v>0</v>
      </c>
      <c r="AC185" s="878"/>
    </row>
    <row r="186" spans="1:30" ht="24.75" customHeight="1" x14ac:dyDescent="0.2">
      <c r="A186" s="618" t="s">
        <v>1313</v>
      </c>
      <c r="B186" s="619" t="s">
        <v>729</v>
      </c>
      <c r="C186" s="620">
        <v>244</v>
      </c>
      <c r="D186" s="620">
        <v>226</v>
      </c>
      <c r="E186" s="596">
        <f t="shared" si="24"/>
        <v>163101.6</v>
      </c>
      <c r="F186" s="595">
        <f>'Прилож 4 24 (10)'!V186</f>
        <v>0</v>
      </c>
      <c r="G186" s="595">
        <f>'Прилож 4 24 (10)'!W186</f>
        <v>0</v>
      </c>
      <c r="H186" s="595">
        <f>'Прилож 4 24 (10)'!X186</f>
        <v>0</v>
      </c>
      <c r="I186" s="582" t="s">
        <v>1314</v>
      </c>
      <c r="J186" s="595">
        <f>'Прилож 4 24 (10)'!Z186</f>
        <v>0</v>
      </c>
      <c r="K186" s="595">
        <f>'Прилож 4 24 (10)'!AA186</f>
        <v>163101.6</v>
      </c>
      <c r="L186" s="595">
        <f>'Прилож 4 24 (10)'!AB186</f>
        <v>0</v>
      </c>
      <c r="M186" s="876">
        <f t="shared" si="33"/>
        <v>0</v>
      </c>
      <c r="N186" s="875"/>
      <c r="O186" s="875"/>
      <c r="P186" s="875"/>
      <c r="Q186" s="873"/>
      <c r="R186" s="875"/>
      <c r="S186" s="875"/>
      <c r="T186" s="875"/>
      <c r="U186" s="876">
        <f t="shared" si="25"/>
        <v>163101.6</v>
      </c>
      <c r="V186" s="875">
        <f t="shared" si="25"/>
        <v>0</v>
      </c>
      <c r="W186" s="875">
        <f t="shared" si="30"/>
        <v>0</v>
      </c>
      <c r="X186" s="875">
        <f t="shared" si="30"/>
        <v>0</v>
      </c>
      <c r="Y186" s="873" t="s">
        <v>1314</v>
      </c>
      <c r="Z186" s="875">
        <f t="shared" si="32"/>
        <v>0</v>
      </c>
      <c r="AA186" s="875">
        <f t="shared" si="32"/>
        <v>163101.6</v>
      </c>
      <c r="AB186" s="875">
        <f t="shared" si="32"/>
        <v>0</v>
      </c>
      <c r="AC186" s="878"/>
    </row>
    <row r="187" spans="1:30" ht="41.25" customHeight="1" x14ac:dyDescent="0.2">
      <c r="A187" s="618" t="s">
        <v>1318</v>
      </c>
      <c r="B187" s="619" t="s">
        <v>729</v>
      </c>
      <c r="C187" s="620">
        <v>244</v>
      </c>
      <c r="D187" s="620">
        <v>226</v>
      </c>
      <c r="E187" s="596">
        <f t="shared" si="24"/>
        <v>0</v>
      </c>
      <c r="F187" s="595">
        <f>'Прилож 4 24 (10)'!V187</f>
        <v>0</v>
      </c>
      <c r="G187" s="595">
        <f>'Прилож 4 24 (10)'!W187</f>
        <v>0</v>
      </c>
      <c r="H187" s="595">
        <f>'Прилож 4 24 (10)'!X187</f>
        <v>0</v>
      </c>
      <c r="I187" s="582" t="s">
        <v>1314</v>
      </c>
      <c r="J187" s="595">
        <f>'Прилож 4 24 (10)'!Z187</f>
        <v>0</v>
      </c>
      <c r="K187" s="595">
        <f>'Прилож 4 24 (10)'!AA187</f>
        <v>0</v>
      </c>
      <c r="L187" s="595">
        <f>'Прилож 4 24 (10)'!AB187</f>
        <v>0</v>
      </c>
      <c r="M187" s="876">
        <f t="shared" si="33"/>
        <v>0</v>
      </c>
      <c r="N187" s="875"/>
      <c r="O187" s="875"/>
      <c r="P187" s="875"/>
      <c r="Q187" s="990"/>
      <c r="R187" s="875"/>
      <c r="S187" s="875"/>
      <c r="T187" s="875"/>
      <c r="U187" s="876">
        <f t="shared" si="25"/>
        <v>0</v>
      </c>
      <c r="V187" s="875">
        <f t="shared" si="25"/>
        <v>0</v>
      </c>
      <c r="W187" s="875">
        <f t="shared" si="30"/>
        <v>0</v>
      </c>
      <c r="X187" s="875">
        <f t="shared" si="30"/>
        <v>0</v>
      </c>
      <c r="Y187" s="873" t="s">
        <v>1314</v>
      </c>
      <c r="Z187" s="875">
        <f t="shared" si="32"/>
        <v>0</v>
      </c>
      <c r="AA187" s="875">
        <f t="shared" si="32"/>
        <v>0</v>
      </c>
      <c r="AB187" s="875">
        <f t="shared" si="32"/>
        <v>0</v>
      </c>
      <c r="AC187" s="878"/>
    </row>
    <row r="188" spans="1:30" ht="47.25" customHeight="1" x14ac:dyDescent="0.2">
      <c r="A188" s="618" t="s">
        <v>1424</v>
      </c>
      <c r="B188" s="619" t="s">
        <v>729</v>
      </c>
      <c r="C188" s="620">
        <v>244</v>
      </c>
      <c r="D188" s="620">
        <v>226</v>
      </c>
      <c r="E188" s="596">
        <f t="shared" si="24"/>
        <v>43822.35</v>
      </c>
      <c r="F188" s="595">
        <f>'Прилож 4 24 (10)'!V188</f>
        <v>43822.35</v>
      </c>
      <c r="G188" s="595">
        <f>'Прилож 4 24 (10)'!W188</f>
        <v>0</v>
      </c>
      <c r="H188" s="595">
        <f>'Прилож 4 24 (10)'!X188</f>
        <v>0</v>
      </c>
      <c r="I188" s="582"/>
      <c r="J188" s="595">
        <f>'Прилож 4 24 (10)'!Z188</f>
        <v>0</v>
      </c>
      <c r="K188" s="595">
        <f>'Прилож 4 24 (10)'!AA188</f>
        <v>0</v>
      </c>
      <c r="L188" s="595">
        <f>'Прилож 4 24 (10)'!AB188</f>
        <v>0</v>
      </c>
      <c r="M188" s="876">
        <f t="shared" si="33"/>
        <v>0</v>
      </c>
      <c r="N188" s="875"/>
      <c r="O188" s="875"/>
      <c r="P188" s="875"/>
      <c r="Q188" s="873"/>
      <c r="R188" s="875"/>
      <c r="S188" s="875"/>
      <c r="T188" s="875"/>
      <c r="U188" s="876">
        <f t="shared" si="25"/>
        <v>43822.35</v>
      </c>
      <c r="V188" s="875">
        <f t="shared" si="25"/>
        <v>43822.35</v>
      </c>
      <c r="W188" s="875">
        <f t="shared" si="30"/>
        <v>0</v>
      </c>
      <c r="X188" s="875">
        <f t="shared" si="30"/>
        <v>0</v>
      </c>
      <c r="Y188" s="873"/>
      <c r="Z188" s="875">
        <f t="shared" si="32"/>
        <v>0</v>
      </c>
      <c r="AA188" s="875">
        <f t="shared" si="32"/>
        <v>0</v>
      </c>
      <c r="AB188" s="875">
        <f t="shared" si="32"/>
        <v>0</v>
      </c>
      <c r="AC188" s="878"/>
    </row>
    <row r="189" spans="1:30" ht="25.5" customHeight="1" x14ac:dyDescent="0.2">
      <c r="A189" s="618" t="s">
        <v>1393</v>
      </c>
      <c r="B189" s="619" t="s">
        <v>729</v>
      </c>
      <c r="C189" s="620">
        <v>244</v>
      </c>
      <c r="D189" s="620">
        <v>226</v>
      </c>
      <c r="E189" s="596">
        <f t="shared" ref="E189:E211" si="34">L189+K189+J189+H189+G189+F189</f>
        <v>0</v>
      </c>
      <c r="F189" s="595">
        <f>'Прилож 4 24 (10)'!V189</f>
        <v>0</v>
      </c>
      <c r="G189" s="595">
        <f>'Прилож 4 24 (10)'!W189</f>
        <v>0</v>
      </c>
      <c r="H189" s="595">
        <f>'Прилож 4 24 (10)'!X189</f>
        <v>0</v>
      </c>
      <c r="I189" s="582"/>
      <c r="J189" s="595">
        <f>'Прилож 4 24 (10)'!Z189</f>
        <v>0</v>
      </c>
      <c r="K189" s="595">
        <f>'Прилож 4 24 (10)'!AA189</f>
        <v>0</v>
      </c>
      <c r="L189" s="595">
        <f>'Прилож 4 24 (10)'!AB189</f>
        <v>0</v>
      </c>
      <c r="M189" s="876">
        <f t="shared" si="33"/>
        <v>0</v>
      </c>
      <c r="N189" s="875"/>
      <c r="O189" s="875"/>
      <c r="P189" s="875"/>
      <c r="Q189" s="873"/>
      <c r="R189" s="875"/>
      <c r="S189" s="875"/>
      <c r="T189" s="875"/>
      <c r="U189" s="876">
        <f t="shared" ref="U189:V251" si="35">E189+M189</f>
        <v>0</v>
      </c>
      <c r="V189" s="875">
        <f t="shared" si="35"/>
        <v>0</v>
      </c>
      <c r="W189" s="875">
        <f t="shared" si="30"/>
        <v>0</v>
      </c>
      <c r="X189" s="875">
        <f t="shared" si="30"/>
        <v>0</v>
      </c>
      <c r="Y189" s="873"/>
      <c r="Z189" s="875">
        <f t="shared" si="32"/>
        <v>0</v>
      </c>
      <c r="AA189" s="875">
        <f t="shared" si="32"/>
        <v>0</v>
      </c>
      <c r="AB189" s="875">
        <f t="shared" si="32"/>
        <v>0</v>
      </c>
      <c r="AC189" s="878"/>
    </row>
    <row r="190" spans="1:30" ht="48.75" customHeight="1" x14ac:dyDescent="0.2">
      <c r="A190" s="618" t="s">
        <v>1327</v>
      </c>
      <c r="B190" s="619" t="s">
        <v>729</v>
      </c>
      <c r="C190" s="620">
        <v>244</v>
      </c>
      <c r="D190" s="620">
        <v>226</v>
      </c>
      <c r="E190" s="596">
        <f t="shared" si="34"/>
        <v>4898492.1900000004</v>
      </c>
      <c r="F190" s="595">
        <f>'Прилож 4 24 (10)'!V190</f>
        <v>0</v>
      </c>
      <c r="G190" s="595">
        <f>'Прилож 4 24 (10)'!W190</f>
        <v>0</v>
      </c>
      <c r="H190" s="595">
        <f>'Прилож 4 24 (10)'!X190</f>
        <v>0</v>
      </c>
      <c r="I190" s="621" t="s">
        <v>1314</v>
      </c>
      <c r="J190" s="595">
        <f>'Прилож 4 24 (10)'!Z190</f>
        <v>0</v>
      </c>
      <c r="K190" s="595">
        <f>'Прилож 4 24 (10)'!AA190</f>
        <v>4898492.1900000004</v>
      </c>
      <c r="L190" s="595">
        <f>'Прилож 4 24 (10)'!AB190</f>
        <v>0</v>
      </c>
      <c r="M190" s="876">
        <f t="shared" si="33"/>
        <v>0</v>
      </c>
      <c r="N190" s="875"/>
      <c r="O190" s="875"/>
      <c r="P190" s="875"/>
      <c r="Q190" s="621"/>
      <c r="R190" s="875"/>
      <c r="S190" s="875"/>
      <c r="T190" s="875"/>
      <c r="U190" s="876">
        <f t="shared" si="35"/>
        <v>4898492.1900000004</v>
      </c>
      <c r="V190" s="875">
        <f t="shared" si="35"/>
        <v>0</v>
      </c>
      <c r="W190" s="875">
        <f t="shared" si="30"/>
        <v>0</v>
      </c>
      <c r="X190" s="875">
        <f t="shared" si="30"/>
        <v>0</v>
      </c>
      <c r="Y190" s="621" t="s">
        <v>1314</v>
      </c>
      <c r="Z190" s="875">
        <f t="shared" si="32"/>
        <v>0</v>
      </c>
      <c r="AA190" s="875">
        <f t="shared" si="32"/>
        <v>4898492.1900000004</v>
      </c>
      <c r="AB190" s="875">
        <f t="shared" si="32"/>
        <v>0</v>
      </c>
      <c r="AC190" s="878"/>
    </row>
    <row r="191" spans="1:30" s="637" customFormat="1" ht="30" customHeight="1" x14ac:dyDescent="0.2">
      <c r="A191" s="1046" t="s">
        <v>1143</v>
      </c>
      <c r="B191" s="1047" t="s">
        <v>729</v>
      </c>
      <c r="C191" s="1048">
        <v>244</v>
      </c>
      <c r="D191" s="1048">
        <v>226</v>
      </c>
      <c r="E191" s="596">
        <f t="shared" si="34"/>
        <v>5506355.9899999993</v>
      </c>
      <c r="F191" s="595">
        <f>'Прилож 4 24 (10)'!V191</f>
        <v>43822.35</v>
      </c>
      <c r="G191" s="595">
        <f>'Прилож 4 24 (10)'!W191</f>
        <v>0</v>
      </c>
      <c r="H191" s="595">
        <f>'Прилож 4 24 (10)'!X191</f>
        <v>400939.85</v>
      </c>
      <c r="I191" s="635"/>
      <c r="J191" s="595">
        <f>'Прилож 4 24 (10)'!Z191</f>
        <v>0</v>
      </c>
      <c r="K191" s="595">
        <f>'Прилож 4 24 (10)'!AA191</f>
        <v>5061593.79</v>
      </c>
      <c r="L191" s="595">
        <f>'Прилож 4 24 (10)'!AB191</f>
        <v>0</v>
      </c>
      <c r="M191" s="876">
        <f t="shared" si="33"/>
        <v>0</v>
      </c>
      <c r="N191" s="884">
        <f>SUM(N175:N189)</f>
        <v>0</v>
      </c>
      <c r="O191" s="884"/>
      <c r="P191" s="884">
        <f>SUM(P175:P189)</f>
        <v>0</v>
      </c>
      <c r="Q191" s="885"/>
      <c r="R191" s="884"/>
      <c r="S191" s="884">
        <f>SUM(S175:S190)</f>
        <v>0</v>
      </c>
      <c r="T191" s="884"/>
      <c r="U191" s="876">
        <f t="shared" si="35"/>
        <v>5506355.9899999993</v>
      </c>
      <c r="V191" s="876">
        <f t="shared" si="35"/>
        <v>43822.35</v>
      </c>
      <c r="W191" s="876">
        <f t="shared" si="30"/>
        <v>0</v>
      </c>
      <c r="X191" s="876">
        <f t="shared" si="30"/>
        <v>400939.85</v>
      </c>
      <c r="Y191" s="885"/>
      <c r="Z191" s="876">
        <f t="shared" si="32"/>
        <v>0</v>
      </c>
      <c r="AA191" s="876">
        <f t="shared" si="32"/>
        <v>5061593.79</v>
      </c>
      <c r="AB191" s="876">
        <f t="shared" si="32"/>
        <v>0</v>
      </c>
      <c r="AC191" s="1049"/>
      <c r="AD191" s="819"/>
    </row>
    <row r="192" spans="1:30" x14ac:dyDescent="0.2">
      <c r="A192" s="618" t="s">
        <v>753</v>
      </c>
      <c r="B192" s="619" t="s">
        <v>691</v>
      </c>
      <c r="C192" s="620">
        <v>244</v>
      </c>
      <c r="D192" s="620">
        <v>226</v>
      </c>
      <c r="E192" s="596">
        <f t="shared" si="34"/>
        <v>190260</v>
      </c>
      <c r="F192" s="595">
        <f>'Прилож 4 24 (10)'!V192</f>
        <v>32288.760000000002</v>
      </c>
      <c r="G192" s="595">
        <f>'Прилож 4 24 (10)'!W192</f>
        <v>0</v>
      </c>
      <c r="H192" s="595">
        <f>'Прилож 4 24 (10)'!X192</f>
        <v>109128.84999999999</v>
      </c>
      <c r="I192" s="628"/>
      <c r="J192" s="595">
        <f>'Прилож 4 24 (10)'!Z192</f>
        <v>0</v>
      </c>
      <c r="K192" s="595">
        <f>'Прилож 4 24 (10)'!AA192</f>
        <v>0</v>
      </c>
      <c r="L192" s="595">
        <f>'Прилож 4 24 (10)'!AB192</f>
        <v>48842.39</v>
      </c>
      <c r="M192" s="876">
        <f t="shared" si="33"/>
        <v>0</v>
      </c>
      <c r="N192" s="875"/>
      <c r="O192" s="875"/>
      <c r="P192" s="875"/>
      <c r="Q192" s="877"/>
      <c r="R192" s="875"/>
      <c r="S192" s="875"/>
      <c r="T192" s="875"/>
      <c r="U192" s="876">
        <f t="shared" si="35"/>
        <v>190260</v>
      </c>
      <c r="V192" s="875">
        <f t="shared" si="35"/>
        <v>32288.760000000002</v>
      </c>
      <c r="W192" s="875">
        <f t="shared" si="30"/>
        <v>0</v>
      </c>
      <c r="X192" s="875">
        <f t="shared" si="30"/>
        <v>109128.84999999999</v>
      </c>
      <c r="Y192" s="883"/>
      <c r="Z192" s="875">
        <f t="shared" si="32"/>
        <v>0</v>
      </c>
      <c r="AA192" s="875">
        <f t="shared" si="32"/>
        <v>0</v>
      </c>
      <c r="AB192" s="875">
        <f t="shared" si="32"/>
        <v>48842.39</v>
      </c>
      <c r="AC192" s="878"/>
    </row>
    <row r="193" spans="1:30" x14ac:dyDescent="0.2">
      <c r="A193" s="618" t="s">
        <v>754</v>
      </c>
      <c r="B193" s="619" t="s">
        <v>691</v>
      </c>
      <c r="C193" s="620">
        <v>244</v>
      </c>
      <c r="D193" s="620">
        <v>226</v>
      </c>
      <c r="E193" s="596">
        <f t="shared" si="34"/>
        <v>74560.5</v>
      </c>
      <c r="F193" s="595">
        <f>'Прилож 4 24 (10)'!V193</f>
        <v>0</v>
      </c>
      <c r="G193" s="595">
        <f>'Прилож 4 24 (10)'!W193</f>
        <v>0</v>
      </c>
      <c r="H193" s="595">
        <f>'Прилож 4 24 (10)'!X193</f>
        <v>63301.25</v>
      </c>
      <c r="I193" s="628"/>
      <c r="J193" s="595">
        <f>'Прилож 4 24 (10)'!Z193</f>
        <v>0</v>
      </c>
      <c r="K193" s="595">
        <f>'Прилож 4 24 (10)'!AA193</f>
        <v>0</v>
      </c>
      <c r="L193" s="595">
        <f>'Прилож 4 24 (10)'!AB193</f>
        <v>11259.25</v>
      </c>
      <c r="M193" s="876">
        <f t="shared" si="33"/>
        <v>0</v>
      </c>
      <c r="N193" s="875"/>
      <c r="O193" s="875"/>
      <c r="P193" s="875"/>
      <c r="Q193" s="877"/>
      <c r="R193" s="875"/>
      <c r="S193" s="875"/>
      <c r="T193" s="875"/>
      <c r="U193" s="876">
        <f t="shared" si="35"/>
        <v>74560.5</v>
      </c>
      <c r="V193" s="875">
        <f t="shared" si="35"/>
        <v>0</v>
      </c>
      <c r="W193" s="875">
        <f t="shared" si="30"/>
        <v>0</v>
      </c>
      <c r="X193" s="875">
        <f t="shared" si="30"/>
        <v>63301.25</v>
      </c>
      <c r="Y193" s="883"/>
      <c r="Z193" s="875">
        <f t="shared" si="32"/>
        <v>0</v>
      </c>
      <c r="AA193" s="875">
        <f t="shared" si="32"/>
        <v>0</v>
      </c>
      <c r="AB193" s="875">
        <f t="shared" si="32"/>
        <v>11259.25</v>
      </c>
      <c r="AC193" s="878"/>
    </row>
    <row r="194" spans="1:30" ht="45" customHeight="1" x14ac:dyDescent="0.2">
      <c r="A194" s="618" t="s">
        <v>712</v>
      </c>
      <c r="B194" s="619" t="s">
        <v>691</v>
      </c>
      <c r="C194" s="620">
        <v>244</v>
      </c>
      <c r="D194" s="620">
        <v>226</v>
      </c>
      <c r="E194" s="596">
        <f t="shared" si="34"/>
        <v>28538.999999999996</v>
      </c>
      <c r="F194" s="595">
        <f>'Прилож 4 24 (10)'!V194</f>
        <v>0</v>
      </c>
      <c r="G194" s="595">
        <f>'Прилож 4 24 (10)'!W194</f>
        <v>0</v>
      </c>
      <c r="H194" s="595">
        <f>'Прилож 4 24 (10)'!X194</f>
        <v>27112.049999999996</v>
      </c>
      <c r="I194" s="628"/>
      <c r="J194" s="595">
        <f>'Прилож 4 24 (10)'!Z194</f>
        <v>0</v>
      </c>
      <c r="K194" s="595">
        <f>'Прилож 4 24 (10)'!AA194</f>
        <v>0</v>
      </c>
      <c r="L194" s="595">
        <f>'Прилож 4 24 (10)'!AB194</f>
        <v>1426.95</v>
      </c>
      <c r="M194" s="876">
        <f t="shared" si="33"/>
        <v>0</v>
      </c>
      <c r="N194" s="875"/>
      <c r="O194" s="875"/>
      <c r="P194" s="875"/>
      <c r="Q194" s="877"/>
      <c r="R194" s="875"/>
      <c r="S194" s="875"/>
      <c r="T194" s="875"/>
      <c r="U194" s="876">
        <f t="shared" si="35"/>
        <v>28538.999999999996</v>
      </c>
      <c r="V194" s="875">
        <f t="shared" si="35"/>
        <v>0</v>
      </c>
      <c r="W194" s="875">
        <f t="shared" si="30"/>
        <v>0</v>
      </c>
      <c r="X194" s="875">
        <f t="shared" si="30"/>
        <v>27112.049999999996</v>
      </c>
      <c r="Y194" s="883"/>
      <c r="Z194" s="875">
        <f t="shared" si="32"/>
        <v>0</v>
      </c>
      <c r="AA194" s="875">
        <f t="shared" si="32"/>
        <v>0</v>
      </c>
      <c r="AB194" s="875">
        <f t="shared" si="32"/>
        <v>1426.95</v>
      </c>
      <c r="AC194" s="878"/>
    </row>
    <row r="195" spans="1:30" x14ac:dyDescent="0.2">
      <c r="A195" s="618" t="s">
        <v>755</v>
      </c>
      <c r="B195" s="619" t="s">
        <v>691</v>
      </c>
      <c r="C195" s="620">
        <v>244</v>
      </c>
      <c r="D195" s="620">
        <v>226</v>
      </c>
      <c r="E195" s="596">
        <f t="shared" si="34"/>
        <v>0</v>
      </c>
      <c r="F195" s="595">
        <f>'Прилож 4 24 (10)'!V195</f>
        <v>0</v>
      </c>
      <c r="G195" s="595">
        <f>'Прилож 4 24 (10)'!W195</f>
        <v>0</v>
      </c>
      <c r="H195" s="595">
        <f>'Прилож 4 24 (10)'!X195</f>
        <v>0</v>
      </c>
      <c r="I195" s="628"/>
      <c r="J195" s="595">
        <f>'Прилож 4 24 (10)'!Z195</f>
        <v>0</v>
      </c>
      <c r="K195" s="595">
        <f>'Прилож 4 24 (10)'!AA195</f>
        <v>0</v>
      </c>
      <c r="L195" s="595">
        <f>'Прилож 4 24 (10)'!AB195</f>
        <v>0</v>
      </c>
      <c r="M195" s="876">
        <f t="shared" si="33"/>
        <v>0</v>
      </c>
      <c r="N195" s="875"/>
      <c r="O195" s="875"/>
      <c r="P195" s="875"/>
      <c r="Q195" s="877"/>
      <c r="R195" s="875"/>
      <c r="S195" s="875"/>
      <c r="T195" s="875"/>
      <c r="U195" s="876">
        <f t="shared" si="35"/>
        <v>0</v>
      </c>
      <c r="V195" s="875">
        <f t="shared" si="35"/>
        <v>0</v>
      </c>
      <c r="W195" s="875">
        <f t="shared" si="30"/>
        <v>0</v>
      </c>
      <c r="X195" s="875">
        <f t="shared" si="30"/>
        <v>0</v>
      </c>
      <c r="Y195" s="883"/>
      <c r="Z195" s="875">
        <f t="shared" si="32"/>
        <v>0</v>
      </c>
      <c r="AA195" s="875">
        <f t="shared" si="32"/>
        <v>0</v>
      </c>
      <c r="AB195" s="875">
        <f t="shared" si="32"/>
        <v>0</v>
      </c>
      <c r="AC195" s="878"/>
    </row>
    <row r="196" spans="1:30" ht="30" customHeight="1" x14ac:dyDescent="0.2">
      <c r="A196" s="618" t="s">
        <v>756</v>
      </c>
      <c r="B196" s="619" t="s">
        <v>691</v>
      </c>
      <c r="C196" s="620">
        <v>244</v>
      </c>
      <c r="D196" s="620">
        <v>226</v>
      </c>
      <c r="E196" s="596">
        <f t="shared" si="34"/>
        <v>29384.92</v>
      </c>
      <c r="F196" s="595">
        <f>'Прилож 4 24 (10)'!V196</f>
        <v>0</v>
      </c>
      <c r="G196" s="595">
        <f>'Прилож 4 24 (10)'!W196</f>
        <v>0</v>
      </c>
      <c r="H196" s="595">
        <f>'Прилож 4 24 (10)'!X196</f>
        <v>25135.27</v>
      </c>
      <c r="I196" s="628"/>
      <c r="J196" s="595">
        <f>'Прилож 4 24 (10)'!Z196</f>
        <v>0</v>
      </c>
      <c r="K196" s="595">
        <f>'Прилож 4 24 (10)'!AA196</f>
        <v>0</v>
      </c>
      <c r="L196" s="595">
        <f>'Прилож 4 24 (10)'!AB196</f>
        <v>4249.6499999999996</v>
      </c>
      <c r="M196" s="876">
        <f t="shared" si="33"/>
        <v>0</v>
      </c>
      <c r="N196" s="875"/>
      <c r="O196" s="875"/>
      <c r="P196" s="875"/>
      <c r="Q196" s="877"/>
      <c r="R196" s="875"/>
      <c r="S196" s="875"/>
      <c r="T196" s="875"/>
      <c r="U196" s="876">
        <f t="shared" si="35"/>
        <v>29384.92</v>
      </c>
      <c r="V196" s="875">
        <f t="shared" si="35"/>
        <v>0</v>
      </c>
      <c r="W196" s="875">
        <f t="shared" si="30"/>
        <v>0</v>
      </c>
      <c r="X196" s="875">
        <f t="shared" si="30"/>
        <v>25135.27</v>
      </c>
      <c r="Y196" s="883"/>
      <c r="Z196" s="875">
        <f t="shared" si="32"/>
        <v>0</v>
      </c>
      <c r="AA196" s="875">
        <f t="shared" si="32"/>
        <v>0</v>
      </c>
      <c r="AB196" s="875">
        <f t="shared" si="32"/>
        <v>4249.6499999999996</v>
      </c>
      <c r="AC196" s="878"/>
    </row>
    <row r="197" spans="1:30" x14ac:dyDescent="0.2">
      <c r="A197" s="618" t="s">
        <v>706</v>
      </c>
      <c r="B197" s="619" t="s">
        <v>691</v>
      </c>
      <c r="C197" s="620">
        <v>244</v>
      </c>
      <c r="D197" s="620">
        <v>226</v>
      </c>
      <c r="E197" s="596">
        <f t="shared" si="34"/>
        <v>0</v>
      </c>
      <c r="F197" s="595">
        <f>'Прилож 4 24 (10)'!V197</f>
        <v>0</v>
      </c>
      <c r="G197" s="595">
        <f>'Прилож 4 24 (10)'!W197</f>
        <v>0</v>
      </c>
      <c r="H197" s="595">
        <f>'Прилож 4 24 (10)'!X197</f>
        <v>0</v>
      </c>
      <c r="I197" s="628"/>
      <c r="J197" s="595">
        <f>'Прилож 4 24 (10)'!Z197</f>
        <v>0</v>
      </c>
      <c r="K197" s="595">
        <f>'Прилож 4 24 (10)'!AA197</f>
        <v>0</v>
      </c>
      <c r="L197" s="595">
        <f>'Прилож 4 24 (10)'!AB197</f>
        <v>0</v>
      </c>
      <c r="M197" s="876">
        <f t="shared" si="33"/>
        <v>0</v>
      </c>
      <c r="N197" s="875"/>
      <c r="O197" s="875"/>
      <c r="P197" s="875"/>
      <c r="Q197" s="877"/>
      <c r="R197" s="875"/>
      <c r="S197" s="875"/>
      <c r="T197" s="875"/>
      <c r="U197" s="876">
        <f t="shared" si="35"/>
        <v>0</v>
      </c>
      <c r="V197" s="875">
        <f t="shared" si="35"/>
        <v>0</v>
      </c>
      <c r="W197" s="875">
        <f t="shared" si="30"/>
        <v>0</v>
      </c>
      <c r="X197" s="875">
        <f t="shared" si="30"/>
        <v>0</v>
      </c>
      <c r="Y197" s="883"/>
      <c r="Z197" s="875">
        <f t="shared" si="32"/>
        <v>0</v>
      </c>
      <c r="AA197" s="875">
        <f t="shared" si="32"/>
        <v>0</v>
      </c>
      <c r="AB197" s="875">
        <f t="shared" si="32"/>
        <v>0</v>
      </c>
      <c r="AC197" s="878"/>
    </row>
    <row r="198" spans="1:30" ht="37.5" customHeight="1" x14ac:dyDescent="0.2">
      <c r="A198" s="994" t="s">
        <v>1445</v>
      </c>
      <c r="B198" s="619" t="s">
        <v>691</v>
      </c>
      <c r="C198" s="620">
        <v>244</v>
      </c>
      <c r="D198" s="620">
        <v>226</v>
      </c>
      <c r="E198" s="596">
        <f t="shared" si="34"/>
        <v>21411</v>
      </c>
      <c r="F198" s="595">
        <f>'Прилож 4 24 (10)'!V198</f>
        <v>0</v>
      </c>
      <c r="G198" s="595">
        <f>'Прилож 4 24 (10)'!W198</f>
        <v>0</v>
      </c>
      <c r="H198" s="595">
        <f>'Прилож 4 24 (10)'!X198</f>
        <v>0</v>
      </c>
      <c r="I198" s="877" t="s">
        <v>1440</v>
      </c>
      <c r="J198" s="595">
        <f>'Прилож 4 24 (10)'!Z198</f>
        <v>0</v>
      </c>
      <c r="K198" s="595">
        <f>'Прилож 4 24 (10)'!AA198</f>
        <v>21411</v>
      </c>
      <c r="L198" s="595">
        <f>'Прилож 4 24 (10)'!AB198</f>
        <v>0</v>
      </c>
      <c r="M198" s="876">
        <f t="shared" si="33"/>
        <v>0</v>
      </c>
      <c r="N198" s="875"/>
      <c r="O198" s="875"/>
      <c r="P198" s="875"/>
      <c r="Q198" s="877"/>
      <c r="R198" s="875"/>
      <c r="S198" s="875"/>
      <c r="T198" s="875"/>
      <c r="U198" s="876">
        <f t="shared" si="35"/>
        <v>21411</v>
      </c>
      <c r="V198" s="875">
        <f t="shared" si="35"/>
        <v>0</v>
      </c>
      <c r="W198" s="875">
        <f t="shared" ref="W198:X209" si="36">O198+G198</f>
        <v>0</v>
      </c>
      <c r="X198" s="875"/>
      <c r="Y198" s="877" t="s">
        <v>1440</v>
      </c>
      <c r="Z198" s="875"/>
      <c r="AA198" s="875">
        <f t="shared" ref="AA198:AB209" si="37">S198+K198</f>
        <v>21411</v>
      </c>
      <c r="AB198" s="875">
        <f t="shared" si="37"/>
        <v>0</v>
      </c>
      <c r="AC198" s="878"/>
    </row>
    <row r="199" spans="1:30" s="637" customFormat="1" x14ac:dyDescent="0.2">
      <c r="A199" s="632" t="s">
        <v>1143</v>
      </c>
      <c r="B199" s="633" t="s">
        <v>691</v>
      </c>
      <c r="C199" s="634">
        <v>244</v>
      </c>
      <c r="D199" s="634">
        <v>226</v>
      </c>
      <c r="E199" s="596">
        <f t="shared" si="34"/>
        <v>344155.42</v>
      </c>
      <c r="F199" s="595">
        <f>'Прилож 4 24 (10)'!V199</f>
        <v>32288.760000000002</v>
      </c>
      <c r="G199" s="595">
        <f>'Прилож 4 24 (10)'!W199</f>
        <v>0</v>
      </c>
      <c r="H199" s="595">
        <f>'Прилож 4 24 (10)'!X199</f>
        <v>224677.41999999998</v>
      </c>
      <c r="I199" s="635"/>
      <c r="J199" s="595">
        <f>'Прилож 4 24 (10)'!Z199</f>
        <v>0</v>
      </c>
      <c r="K199" s="595">
        <f>'Прилож 4 24 (10)'!AA199</f>
        <v>21411</v>
      </c>
      <c r="L199" s="595">
        <f>'Прилож 4 24 (10)'!AB199</f>
        <v>65778.240000000005</v>
      </c>
      <c r="M199" s="876">
        <f t="shared" si="33"/>
        <v>0</v>
      </c>
      <c r="N199" s="884">
        <f>SUM(N192:N198)</f>
        <v>0</v>
      </c>
      <c r="O199" s="884"/>
      <c r="P199" s="884">
        <f>SUM(P192:P197)</f>
        <v>0</v>
      </c>
      <c r="Q199" s="885"/>
      <c r="R199" s="884"/>
      <c r="S199" s="884">
        <f>SUM(S192:S198)</f>
        <v>0</v>
      </c>
      <c r="T199" s="884">
        <f>SUM(T192:T197)</f>
        <v>0</v>
      </c>
      <c r="U199" s="876">
        <f t="shared" si="35"/>
        <v>344155.42</v>
      </c>
      <c r="V199" s="875">
        <f t="shared" si="35"/>
        <v>32288.760000000002</v>
      </c>
      <c r="W199" s="875">
        <f t="shared" si="36"/>
        <v>0</v>
      </c>
      <c r="X199" s="875">
        <f t="shared" si="36"/>
        <v>224677.41999999998</v>
      </c>
      <c r="Y199" s="885"/>
      <c r="Z199" s="875">
        <f t="shared" ref="Z199:Z209" si="38">R199+J199</f>
        <v>0</v>
      </c>
      <c r="AA199" s="875">
        <f t="shared" si="37"/>
        <v>21411</v>
      </c>
      <c r="AB199" s="875">
        <f t="shared" si="37"/>
        <v>65778.240000000005</v>
      </c>
      <c r="AC199" s="886"/>
      <c r="AD199" s="819"/>
    </row>
    <row r="200" spans="1:30" s="614" customFormat="1" x14ac:dyDescent="0.2">
      <c r="A200" s="630" t="s">
        <v>739</v>
      </c>
      <c r="B200" s="631"/>
      <c r="C200" s="624"/>
      <c r="D200" s="624"/>
      <c r="E200" s="596">
        <f t="shared" si="34"/>
        <v>6151249.3700000001</v>
      </c>
      <c r="F200" s="595">
        <f>'Прилож 4 24 (10)'!V200</f>
        <v>76111.11</v>
      </c>
      <c r="G200" s="595">
        <f>'Прилож 4 24 (10)'!W200</f>
        <v>0</v>
      </c>
      <c r="H200" s="595">
        <f>'Прилож 4 24 (10)'!X200</f>
        <v>917355.22999999986</v>
      </c>
      <c r="I200" s="626"/>
      <c r="J200" s="595">
        <f>'Прилож 4 24 (10)'!Z200</f>
        <v>0</v>
      </c>
      <c r="K200" s="595">
        <f>'Прилож 4 24 (10)'!AA200</f>
        <v>5083004.79</v>
      </c>
      <c r="L200" s="595">
        <f>'Прилож 4 24 (10)'!AB200</f>
        <v>74778.240000000005</v>
      </c>
      <c r="M200" s="876">
        <f t="shared" si="33"/>
        <v>0</v>
      </c>
      <c r="N200" s="876">
        <f>N199+N191+N174</f>
        <v>0</v>
      </c>
      <c r="O200" s="876"/>
      <c r="P200" s="876">
        <f>P199+P191+P174</f>
        <v>0</v>
      </c>
      <c r="Q200" s="881"/>
      <c r="R200" s="876">
        <f>R199+R191+R174</f>
        <v>0</v>
      </c>
      <c r="S200" s="876">
        <f>S199+S191+S174</f>
        <v>0</v>
      </c>
      <c r="T200" s="876">
        <f>T199+T191+T174</f>
        <v>0</v>
      </c>
      <c r="U200" s="876">
        <f>E200+M200</f>
        <v>6151249.3700000001</v>
      </c>
      <c r="V200" s="875">
        <f t="shared" si="35"/>
        <v>76111.11</v>
      </c>
      <c r="W200" s="875">
        <f t="shared" si="36"/>
        <v>0</v>
      </c>
      <c r="X200" s="875">
        <f t="shared" si="36"/>
        <v>917355.22999999986</v>
      </c>
      <c r="Y200" s="881"/>
      <c r="Z200" s="875">
        <f t="shared" si="38"/>
        <v>0</v>
      </c>
      <c r="AA200" s="875">
        <f t="shared" si="37"/>
        <v>5083004.79</v>
      </c>
      <c r="AB200" s="875">
        <f t="shared" si="37"/>
        <v>74778.240000000005</v>
      </c>
      <c r="AC200" s="879"/>
      <c r="AD200" s="819"/>
    </row>
    <row r="201" spans="1:30" ht="28.5" customHeight="1" x14ac:dyDescent="0.2">
      <c r="A201" s="618" t="s">
        <v>637</v>
      </c>
      <c r="B201" s="619" t="s">
        <v>729</v>
      </c>
      <c r="C201" s="620">
        <v>244</v>
      </c>
      <c r="D201" s="620">
        <v>227</v>
      </c>
      <c r="E201" s="596">
        <f t="shared" si="34"/>
        <v>7874.55</v>
      </c>
      <c r="F201" s="595">
        <f>'Прилож 4 24 (10)'!V201</f>
        <v>0</v>
      </c>
      <c r="G201" s="595">
        <f>'Прилож 4 24 (10)'!W201</f>
        <v>0</v>
      </c>
      <c r="H201" s="595">
        <f>'Прилож 4 24 (10)'!X201</f>
        <v>7874.55</v>
      </c>
      <c r="I201" s="628"/>
      <c r="J201" s="595">
        <f>'Прилож 4 24 (10)'!Z201</f>
        <v>0</v>
      </c>
      <c r="K201" s="595">
        <f>'Прилож 4 24 (10)'!AA201</f>
        <v>0</v>
      </c>
      <c r="L201" s="595">
        <f>'Прилож 4 24 (10)'!AB201</f>
        <v>0</v>
      </c>
      <c r="M201" s="876">
        <f t="shared" si="33"/>
        <v>0</v>
      </c>
      <c r="N201" s="875"/>
      <c r="O201" s="875"/>
      <c r="P201" s="875"/>
      <c r="Q201" s="877"/>
      <c r="R201" s="875"/>
      <c r="S201" s="875"/>
      <c r="T201" s="875"/>
      <c r="U201" s="876">
        <f t="shared" si="35"/>
        <v>7874.55</v>
      </c>
      <c r="V201" s="875">
        <f t="shared" si="35"/>
        <v>0</v>
      </c>
      <c r="W201" s="875">
        <f t="shared" si="36"/>
        <v>0</v>
      </c>
      <c r="X201" s="875">
        <f t="shared" si="36"/>
        <v>7874.55</v>
      </c>
      <c r="Y201" s="883"/>
      <c r="Z201" s="875">
        <f t="shared" si="38"/>
        <v>0</v>
      </c>
      <c r="AA201" s="875">
        <f t="shared" si="37"/>
        <v>0</v>
      </c>
      <c r="AB201" s="875">
        <f t="shared" si="37"/>
        <v>0</v>
      </c>
      <c r="AC201" s="878"/>
    </row>
    <row r="202" spans="1:30" ht="25.5" customHeight="1" x14ac:dyDescent="0.2">
      <c r="A202" s="618" t="s">
        <v>678</v>
      </c>
      <c r="B202" s="619" t="s">
        <v>691</v>
      </c>
      <c r="C202" s="620">
        <v>244</v>
      </c>
      <c r="D202" s="620">
        <v>227</v>
      </c>
      <c r="E202" s="596">
        <f t="shared" si="34"/>
        <v>1827</v>
      </c>
      <c r="F202" s="595">
        <f>'Прилож 4 24 (10)'!V202</f>
        <v>0</v>
      </c>
      <c r="G202" s="595">
        <f>'Прилож 4 24 (10)'!W202</f>
        <v>0</v>
      </c>
      <c r="H202" s="595">
        <f>'Прилож 4 24 (10)'!X202</f>
        <v>1551.11</v>
      </c>
      <c r="I202" s="628"/>
      <c r="J202" s="595">
        <f>'Прилож 4 24 (10)'!Z202</f>
        <v>0</v>
      </c>
      <c r="K202" s="595">
        <f>'Прилож 4 24 (10)'!AA202</f>
        <v>0</v>
      </c>
      <c r="L202" s="595">
        <f>'Прилож 4 24 (10)'!AB202</f>
        <v>275.89</v>
      </c>
      <c r="M202" s="876">
        <f t="shared" si="33"/>
        <v>0</v>
      </c>
      <c r="N202" s="875"/>
      <c r="O202" s="875"/>
      <c r="P202" s="875"/>
      <c r="Q202" s="877"/>
      <c r="R202" s="875"/>
      <c r="S202" s="875"/>
      <c r="T202" s="875"/>
      <c r="U202" s="876">
        <f t="shared" si="35"/>
        <v>1827</v>
      </c>
      <c r="V202" s="875">
        <f t="shared" si="35"/>
        <v>0</v>
      </c>
      <c r="W202" s="875">
        <f t="shared" si="36"/>
        <v>0</v>
      </c>
      <c r="X202" s="875">
        <f t="shared" si="36"/>
        <v>1551.11</v>
      </c>
      <c r="Y202" s="883"/>
      <c r="Z202" s="875">
        <f t="shared" si="38"/>
        <v>0</v>
      </c>
      <c r="AA202" s="875">
        <f t="shared" si="37"/>
        <v>0</v>
      </c>
      <c r="AB202" s="875">
        <f t="shared" si="37"/>
        <v>275.89</v>
      </c>
      <c r="AC202" s="878"/>
    </row>
    <row r="203" spans="1:30" s="614" customFormat="1" x14ac:dyDescent="0.2">
      <c r="A203" s="630" t="s">
        <v>740</v>
      </c>
      <c r="B203" s="631"/>
      <c r="C203" s="624"/>
      <c r="D203" s="624"/>
      <c r="E203" s="596">
        <f t="shared" si="34"/>
        <v>9701.5499999999993</v>
      </c>
      <c r="F203" s="595">
        <f>'Прилож 4 24 (10)'!V203</f>
        <v>0</v>
      </c>
      <c r="G203" s="595">
        <f>'Прилож 4 24 (10)'!W203</f>
        <v>0</v>
      </c>
      <c r="H203" s="595">
        <f>'Прилож 4 24 (10)'!X203</f>
        <v>9425.66</v>
      </c>
      <c r="I203" s="626"/>
      <c r="J203" s="595">
        <f>'Прилож 4 24 (10)'!Z203</f>
        <v>0</v>
      </c>
      <c r="K203" s="595">
        <f>'Прилож 4 24 (10)'!AA203</f>
        <v>0</v>
      </c>
      <c r="L203" s="595">
        <f>'Прилож 4 24 (10)'!AB203</f>
        <v>275.89</v>
      </c>
      <c r="M203" s="876">
        <f t="shared" si="33"/>
        <v>0</v>
      </c>
      <c r="N203" s="876"/>
      <c r="O203" s="876"/>
      <c r="P203" s="876">
        <f>SUM(P201:P202)</f>
        <v>0</v>
      </c>
      <c r="Q203" s="881"/>
      <c r="R203" s="876"/>
      <c r="S203" s="876"/>
      <c r="T203" s="876"/>
      <c r="U203" s="876">
        <f t="shared" si="35"/>
        <v>9701.5499999999993</v>
      </c>
      <c r="V203" s="875">
        <f t="shared" si="35"/>
        <v>0</v>
      </c>
      <c r="W203" s="875">
        <f t="shared" si="36"/>
        <v>0</v>
      </c>
      <c r="X203" s="875">
        <f t="shared" si="36"/>
        <v>9425.66</v>
      </c>
      <c r="Y203" s="881"/>
      <c r="Z203" s="875">
        <f t="shared" si="38"/>
        <v>0</v>
      </c>
      <c r="AA203" s="875">
        <f t="shared" si="37"/>
        <v>0</v>
      </c>
      <c r="AB203" s="875">
        <f t="shared" si="37"/>
        <v>275.89</v>
      </c>
      <c r="AC203" s="879"/>
    </row>
    <row r="204" spans="1:30" x14ac:dyDescent="0.2">
      <c r="A204" s="618" t="s">
        <v>1227</v>
      </c>
      <c r="B204" s="619" t="s">
        <v>747</v>
      </c>
      <c r="C204" s="620">
        <v>244</v>
      </c>
      <c r="D204" s="620">
        <v>310</v>
      </c>
      <c r="E204" s="596">
        <f t="shared" si="34"/>
        <v>0</v>
      </c>
      <c r="F204" s="595">
        <f>'Прилож 4 24 (10)'!V204</f>
        <v>0</v>
      </c>
      <c r="G204" s="595">
        <f>'Прилож 4 24 (10)'!W204</f>
        <v>0</v>
      </c>
      <c r="H204" s="595">
        <f>'Прилож 4 24 (10)'!X204</f>
        <v>0</v>
      </c>
      <c r="I204" s="621"/>
      <c r="J204" s="595">
        <f>'Прилож 4 24 (10)'!Z204</f>
        <v>0</v>
      </c>
      <c r="K204" s="595">
        <f>'Прилож 4 24 (10)'!AA204</f>
        <v>0</v>
      </c>
      <c r="L204" s="595">
        <f>'Прилож 4 24 (10)'!AB204</f>
        <v>0</v>
      </c>
      <c r="M204" s="876">
        <f t="shared" si="33"/>
        <v>0</v>
      </c>
      <c r="N204" s="875"/>
      <c r="O204" s="875"/>
      <c r="P204" s="875"/>
      <c r="Q204" s="877"/>
      <c r="R204" s="875"/>
      <c r="S204" s="875"/>
      <c r="T204" s="875"/>
      <c r="U204" s="876">
        <f t="shared" si="35"/>
        <v>0</v>
      </c>
      <c r="V204" s="875">
        <f t="shared" si="35"/>
        <v>0</v>
      </c>
      <c r="W204" s="875">
        <f t="shared" si="36"/>
        <v>0</v>
      </c>
      <c r="X204" s="875">
        <f t="shared" si="36"/>
        <v>0</v>
      </c>
      <c r="Y204" s="877"/>
      <c r="Z204" s="875">
        <f t="shared" si="38"/>
        <v>0</v>
      </c>
      <c r="AA204" s="875">
        <f t="shared" si="37"/>
        <v>0</v>
      </c>
      <c r="AB204" s="875">
        <f t="shared" si="37"/>
        <v>0</v>
      </c>
      <c r="AC204" s="878"/>
    </row>
    <row r="205" spans="1:30" ht="31.5" x14ac:dyDescent="0.2">
      <c r="A205" s="618" t="s">
        <v>1228</v>
      </c>
      <c r="B205" s="619" t="s">
        <v>747</v>
      </c>
      <c r="C205" s="620">
        <v>244</v>
      </c>
      <c r="D205" s="620">
        <v>310</v>
      </c>
      <c r="E205" s="596">
        <f t="shared" si="34"/>
        <v>0</v>
      </c>
      <c r="F205" s="595">
        <f>'Прилож 4 24 (10)'!V205</f>
        <v>0</v>
      </c>
      <c r="G205" s="595">
        <f>'Прилож 4 24 (10)'!W205</f>
        <v>0</v>
      </c>
      <c r="H205" s="595">
        <f>'Прилож 4 24 (10)'!X205</f>
        <v>0</v>
      </c>
      <c r="I205" s="621"/>
      <c r="J205" s="595">
        <f>'Прилож 4 24 (10)'!Z205</f>
        <v>0</v>
      </c>
      <c r="K205" s="595">
        <f>'Прилож 4 24 (10)'!AA205</f>
        <v>0</v>
      </c>
      <c r="L205" s="595">
        <f>'Прилож 4 24 (10)'!AB205</f>
        <v>0</v>
      </c>
      <c r="M205" s="876">
        <f t="shared" si="33"/>
        <v>0</v>
      </c>
      <c r="N205" s="875"/>
      <c r="O205" s="875"/>
      <c r="P205" s="875"/>
      <c r="Q205" s="877"/>
      <c r="R205" s="875"/>
      <c r="S205" s="875"/>
      <c r="T205" s="875"/>
      <c r="U205" s="876">
        <f t="shared" si="35"/>
        <v>0</v>
      </c>
      <c r="V205" s="875">
        <f t="shared" si="35"/>
        <v>0</v>
      </c>
      <c r="W205" s="875">
        <f t="shared" si="36"/>
        <v>0</v>
      </c>
      <c r="X205" s="875">
        <f t="shared" si="36"/>
        <v>0</v>
      </c>
      <c r="Y205" s="877"/>
      <c r="Z205" s="875">
        <f t="shared" si="38"/>
        <v>0</v>
      </c>
      <c r="AA205" s="875">
        <f t="shared" si="37"/>
        <v>0</v>
      </c>
      <c r="AB205" s="875">
        <f t="shared" si="37"/>
        <v>0</v>
      </c>
      <c r="AC205" s="878"/>
    </row>
    <row r="206" spans="1:30" ht="31.5" x14ac:dyDescent="0.2">
      <c r="A206" s="618" t="s">
        <v>1229</v>
      </c>
      <c r="B206" s="619" t="s">
        <v>747</v>
      </c>
      <c r="C206" s="620">
        <v>244</v>
      </c>
      <c r="D206" s="620">
        <v>310</v>
      </c>
      <c r="E206" s="596">
        <f t="shared" si="34"/>
        <v>0</v>
      </c>
      <c r="F206" s="595">
        <f>'Прилож 4 24 (10)'!V206</f>
        <v>0</v>
      </c>
      <c r="G206" s="595">
        <f>'Прилож 4 24 (10)'!W206</f>
        <v>0</v>
      </c>
      <c r="H206" s="595">
        <f>'Прилож 4 24 (10)'!X206</f>
        <v>0</v>
      </c>
      <c r="I206" s="621"/>
      <c r="J206" s="595">
        <f>'Прилож 4 24 (10)'!Z206</f>
        <v>0</v>
      </c>
      <c r="K206" s="595">
        <f>'Прилож 4 24 (10)'!AA206</f>
        <v>0</v>
      </c>
      <c r="L206" s="595">
        <f>'Прилож 4 24 (10)'!AB206</f>
        <v>0</v>
      </c>
      <c r="M206" s="876">
        <f t="shared" si="33"/>
        <v>0</v>
      </c>
      <c r="N206" s="875"/>
      <c r="O206" s="875"/>
      <c r="P206" s="875"/>
      <c r="Q206" s="877"/>
      <c r="R206" s="875"/>
      <c r="S206" s="875"/>
      <c r="T206" s="875"/>
      <c r="U206" s="876">
        <f t="shared" si="35"/>
        <v>0</v>
      </c>
      <c r="V206" s="875">
        <f t="shared" si="35"/>
        <v>0</v>
      </c>
      <c r="W206" s="875">
        <f t="shared" si="36"/>
        <v>0</v>
      </c>
      <c r="X206" s="875">
        <f t="shared" si="36"/>
        <v>0</v>
      </c>
      <c r="Y206" s="877"/>
      <c r="Z206" s="875">
        <f t="shared" si="38"/>
        <v>0</v>
      </c>
      <c r="AA206" s="875">
        <f t="shared" si="37"/>
        <v>0</v>
      </c>
      <c r="AB206" s="875">
        <f t="shared" si="37"/>
        <v>0</v>
      </c>
      <c r="AC206" s="878"/>
    </row>
    <row r="207" spans="1:30" x14ac:dyDescent="0.2">
      <c r="A207" s="618" t="s">
        <v>1284</v>
      </c>
      <c r="B207" s="619" t="s">
        <v>747</v>
      </c>
      <c r="C207" s="620">
        <v>244</v>
      </c>
      <c r="D207" s="620">
        <v>310</v>
      </c>
      <c r="E207" s="596">
        <f t="shared" si="34"/>
        <v>18000</v>
      </c>
      <c r="F207" s="595">
        <f>'Прилож 4 24 (10)'!V207</f>
        <v>18000</v>
      </c>
      <c r="G207" s="595">
        <f>'Прилож 4 24 (10)'!W207</f>
        <v>0</v>
      </c>
      <c r="H207" s="595">
        <f>'Прилож 4 24 (10)'!X207</f>
        <v>0</v>
      </c>
      <c r="I207" s="621"/>
      <c r="J207" s="595">
        <f>'Прилож 4 24 (10)'!Z207</f>
        <v>0</v>
      </c>
      <c r="K207" s="595">
        <f>'Прилож 4 24 (10)'!AA207</f>
        <v>0</v>
      </c>
      <c r="L207" s="595">
        <f>'Прилож 4 24 (10)'!AB207</f>
        <v>0</v>
      </c>
      <c r="M207" s="876">
        <f t="shared" si="33"/>
        <v>0</v>
      </c>
      <c r="N207" s="875"/>
      <c r="O207" s="875"/>
      <c r="P207" s="875"/>
      <c r="Q207" s="877"/>
      <c r="R207" s="875"/>
      <c r="S207" s="875"/>
      <c r="T207" s="875"/>
      <c r="U207" s="876">
        <f t="shared" si="35"/>
        <v>18000</v>
      </c>
      <c r="V207" s="875">
        <f t="shared" si="35"/>
        <v>18000</v>
      </c>
      <c r="W207" s="875">
        <f t="shared" si="36"/>
        <v>0</v>
      </c>
      <c r="X207" s="875">
        <f t="shared" si="36"/>
        <v>0</v>
      </c>
      <c r="Y207" s="877"/>
      <c r="Z207" s="875">
        <f t="shared" si="38"/>
        <v>0</v>
      </c>
      <c r="AA207" s="875">
        <f t="shared" si="37"/>
        <v>0</v>
      </c>
      <c r="AB207" s="875">
        <f t="shared" si="37"/>
        <v>0</v>
      </c>
      <c r="AC207" s="878"/>
    </row>
    <row r="208" spans="1:30" ht="21" customHeight="1" x14ac:dyDescent="0.2">
      <c r="A208" s="618" t="s">
        <v>1344</v>
      </c>
      <c r="B208" s="619" t="s">
        <v>747</v>
      </c>
      <c r="C208" s="620">
        <v>244</v>
      </c>
      <c r="D208" s="620">
        <v>310</v>
      </c>
      <c r="E208" s="596">
        <f t="shared" si="34"/>
        <v>219950</v>
      </c>
      <c r="F208" s="595">
        <f>'Прилож 4 24 (10)'!V208</f>
        <v>219950</v>
      </c>
      <c r="G208" s="595">
        <f>'Прилож 4 24 (10)'!W208</f>
        <v>0</v>
      </c>
      <c r="H208" s="595">
        <f>'Прилож 4 24 (10)'!X208</f>
        <v>0</v>
      </c>
      <c r="I208" s="621"/>
      <c r="J208" s="595">
        <f>'Прилож 4 24 (10)'!Z208</f>
        <v>0</v>
      </c>
      <c r="K208" s="595">
        <f>'Прилож 4 24 (10)'!AA208</f>
        <v>0</v>
      </c>
      <c r="L208" s="595">
        <f>'Прилож 4 24 (10)'!AB208</f>
        <v>0</v>
      </c>
      <c r="M208" s="876">
        <f t="shared" si="33"/>
        <v>0</v>
      </c>
      <c r="N208" s="875"/>
      <c r="O208" s="875"/>
      <c r="P208" s="875"/>
      <c r="Q208" s="877"/>
      <c r="R208" s="875"/>
      <c r="S208" s="875"/>
      <c r="T208" s="875"/>
      <c r="U208" s="876">
        <f t="shared" si="35"/>
        <v>219950</v>
      </c>
      <c r="V208" s="875">
        <f t="shared" si="35"/>
        <v>219950</v>
      </c>
      <c r="W208" s="875">
        <f t="shared" si="36"/>
        <v>0</v>
      </c>
      <c r="X208" s="875">
        <f t="shared" si="36"/>
        <v>0</v>
      </c>
      <c r="Y208" s="877"/>
      <c r="Z208" s="875">
        <f t="shared" si="38"/>
        <v>0</v>
      </c>
      <c r="AA208" s="875">
        <f t="shared" si="37"/>
        <v>0</v>
      </c>
      <c r="AB208" s="875">
        <f t="shared" si="37"/>
        <v>0</v>
      </c>
      <c r="AC208" s="878"/>
    </row>
    <row r="209" spans="1:30" ht="27.75" customHeight="1" x14ac:dyDescent="0.2">
      <c r="A209" s="618" t="s">
        <v>1345</v>
      </c>
      <c r="B209" s="619" t="s">
        <v>747</v>
      </c>
      <c r="C209" s="620">
        <v>244</v>
      </c>
      <c r="D209" s="620">
        <v>310</v>
      </c>
      <c r="E209" s="596">
        <f t="shared" si="34"/>
        <v>45990</v>
      </c>
      <c r="F209" s="595">
        <f>'Прилож 4 24 (10)'!V209</f>
        <v>45990</v>
      </c>
      <c r="G209" s="595">
        <f>'Прилож 4 24 (10)'!W209</f>
        <v>0</v>
      </c>
      <c r="H209" s="595">
        <f>'Прилож 4 24 (10)'!X209</f>
        <v>0</v>
      </c>
      <c r="I209" s="621"/>
      <c r="J209" s="595">
        <f>'Прилож 4 24 (10)'!Z209</f>
        <v>0</v>
      </c>
      <c r="K209" s="595">
        <f>'Прилож 4 24 (10)'!AA209</f>
        <v>0</v>
      </c>
      <c r="L209" s="595">
        <f>'Прилож 4 24 (10)'!AB209</f>
        <v>0</v>
      </c>
      <c r="M209" s="876">
        <f t="shared" si="33"/>
        <v>0</v>
      </c>
      <c r="N209" s="875"/>
      <c r="O209" s="875"/>
      <c r="P209" s="875"/>
      <c r="Q209" s="877"/>
      <c r="R209" s="875"/>
      <c r="S209" s="875"/>
      <c r="T209" s="875"/>
      <c r="U209" s="876">
        <f t="shared" si="35"/>
        <v>45990</v>
      </c>
      <c r="V209" s="875">
        <f t="shared" si="35"/>
        <v>45990</v>
      </c>
      <c r="W209" s="875">
        <f t="shared" si="36"/>
        <v>0</v>
      </c>
      <c r="X209" s="875">
        <f t="shared" si="36"/>
        <v>0</v>
      </c>
      <c r="Y209" s="877"/>
      <c r="Z209" s="875">
        <f t="shared" si="38"/>
        <v>0</v>
      </c>
      <c r="AA209" s="875">
        <f t="shared" si="37"/>
        <v>0</v>
      </c>
      <c r="AB209" s="875">
        <f t="shared" si="37"/>
        <v>0</v>
      </c>
      <c r="AC209" s="878"/>
    </row>
    <row r="210" spans="1:30" ht="27.75" customHeight="1" x14ac:dyDescent="0.2">
      <c r="A210" s="618" t="s">
        <v>1519</v>
      </c>
      <c r="B210" s="619" t="s">
        <v>747</v>
      </c>
      <c r="C210" s="620">
        <v>244</v>
      </c>
      <c r="D210" s="620">
        <v>310</v>
      </c>
      <c r="E210" s="596">
        <f t="shared" si="34"/>
        <v>19790</v>
      </c>
      <c r="F210" s="595">
        <f>'Прилож 4 24 (10)'!V210</f>
        <v>19790</v>
      </c>
      <c r="G210" s="595">
        <f>'Прилож 4 24 (10)'!W210</f>
        <v>0</v>
      </c>
      <c r="H210" s="595">
        <f>'Прилож 4 24 (10)'!X210</f>
        <v>0</v>
      </c>
      <c r="I210" s="621"/>
      <c r="J210" s="595">
        <f>'Прилож 4 24 (10)'!Z210</f>
        <v>0</v>
      </c>
      <c r="K210" s="595">
        <f>'Прилож 4 24 (10)'!AA210</f>
        <v>0</v>
      </c>
      <c r="L210" s="595">
        <f>'Прилож 4 24 (10)'!AB210</f>
        <v>0</v>
      </c>
      <c r="M210" s="876">
        <f t="shared" si="33"/>
        <v>0</v>
      </c>
      <c r="N210" s="875"/>
      <c r="O210" s="875"/>
      <c r="P210" s="875"/>
      <c r="Q210" s="877"/>
      <c r="R210" s="875"/>
      <c r="S210" s="875"/>
      <c r="T210" s="875"/>
      <c r="U210" s="876">
        <f t="shared" si="35"/>
        <v>19790</v>
      </c>
      <c r="V210" s="875">
        <f t="shared" si="35"/>
        <v>19790</v>
      </c>
      <c r="W210" s="875"/>
      <c r="X210" s="875"/>
      <c r="Y210" s="877"/>
      <c r="Z210" s="875"/>
      <c r="AA210" s="875"/>
      <c r="AB210" s="875"/>
      <c r="AC210" s="878"/>
    </row>
    <row r="211" spans="1:30" ht="27.75" customHeight="1" x14ac:dyDescent="0.2">
      <c r="A211" s="618" t="s">
        <v>1520</v>
      </c>
      <c r="B211" s="619" t="s">
        <v>747</v>
      </c>
      <c r="C211" s="620">
        <v>244</v>
      </c>
      <c r="D211" s="620">
        <v>310</v>
      </c>
      <c r="E211" s="596">
        <f t="shared" si="34"/>
        <v>43990</v>
      </c>
      <c r="F211" s="595">
        <f>'Прилож 4 24 (10)'!V211</f>
        <v>43990</v>
      </c>
      <c r="G211" s="595">
        <f>'Прилож 4 24 (10)'!W211</f>
        <v>0</v>
      </c>
      <c r="H211" s="595">
        <f>'Прилож 4 24 (10)'!X211</f>
        <v>0</v>
      </c>
      <c r="I211" s="621"/>
      <c r="J211" s="595">
        <f>'Прилож 4 24 (10)'!Z211</f>
        <v>0</v>
      </c>
      <c r="K211" s="595">
        <f>'Прилож 4 24 (10)'!AA211</f>
        <v>0</v>
      </c>
      <c r="L211" s="595">
        <f>'Прилож 4 24 (10)'!AB211</f>
        <v>0</v>
      </c>
      <c r="M211" s="876">
        <f t="shared" si="33"/>
        <v>0</v>
      </c>
      <c r="N211" s="875"/>
      <c r="O211" s="875"/>
      <c r="P211" s="875"/>
      <c r="Q211" s="877"/>
      <c r="R211" s="875"/>
      <c r="S211" s="875"/>
      <c r="T211" s="875"/>
      <c r="U211" s="876">
        <f t="shared" si="35"/>
        <v>43990</v>
      </c>
      <c r="V211" s="875">
        <f t="shared" si="35"/>
        <v>43990</v>
      </c>
      <c r="W211" s="875"/>
      <c r="X211" s="875"/>
      <c r="Y211" s="877"/>
      <c r="Z211" s="875"/>
      <c r="AA211" s="875"/>
      <c r="AB211" s="875"/>
      <c r="AC211" s="878"/>
    </row>
    <row r="212" spans="1:30" ht="35.25" customHeight="1" x14ac:dyDescent="0.2">
      <c r="A212" s="618" t="s">
        <v>1599</v>
      </c>
      <c r="B212" s="619" t="s">
        <v>747</v>
      </c>
      <c r="C212" s="620">
        <v>244</v>
      </c>
      <c r="D212" s="620">
        <v>310</v>
      </c>
      <c r="E212" s="596"/>
      <c r="F212" s="595">
        <f>'Прилож 4 24 (10)'!V212</f>
        <v>413000</v>
      </c>
      <c r="G212" s="595">
        <f>'Прилож 4 24 (10)'!W212</f>
        <v>0</v>
      </c>
      <c r="H212" s="595">
        <f>'Прилож 4 24 (10)'!X212</f>
        <v>0</v>
      </c>
      <c r="I212" s="621"/>
      <c r="J212" s="595">
        <f>'Прилож 4 24 (10)'!Z212</f>
        <v>0</v>
      </c>
      <c r="K212" s="595">
        <f>'Прилож 4 24 (10)'!AA212</f>
        <v>0</v>
      </c>
      <c r="L212" s="595">
        <f>'Прилож 4 24 (10)'!AB212</f>
        <v>0</v>
      </c>
      <c r="M212" s="876">
        <f t="shared" si="33"/>
        <v>0</v>
      </c>
      <c r="N212" s="875"/>
      <c r="O212" s="875"/>
      <c r="P212" s="875"/>
      <c r="Q212" s="877"/>
      <c r="R212" s="875"/>
      <c r="S212" s="875"/>
      <c r="T212" s="875"/>
      <c r="U212" s="876">
        <f t="shared" si="35"/>
        <v>0</v>
      </c>
      <c r="V212" s="875">
        <f t="shared" si="35"/>
        <v>413000</v>
      </c>
      <c r="W212" s="875"/>
      <c r="X212" s="875"/>
      <c r="Y212" s="877"/>
      <c r="Z212" s="875"/>
      <c r="AA212" s="875"/>
      <c r="AB212" s="875"/>
      <c r="AC212" s="878"/>
    </row>
    <row r="213" spans="1:30" s="637" customFormat="1" ht="22.5" customHeight="1" x14ac:dyDescent="0.2">
      <c r="A213" s="632" t="s">
        <v>783</v>
      </c>
      <c r="B213" s="619" t="s">
        <v>747</v>
      </c>
      <c r="C213" s="620">
        <v>244</v>
      </c>
      <c r="D213" s="620">
        <v>310</v>
      </c>
      <c r="E213" s="596">
        <f t="shared" ref="E213:E223" si="39">L213+K213+J213+H213+G213+F213</f>
        <v>760720</v>
      </c>
      <c r="F213" s="595">
        <f>'Прилож 4 24 (10)'!V213</f>
        <v>760720</v>
      </c>
      <c r="G213" s="595">
        <f>'Прилож 4 24 (10)'!W213</f>
        <v>0</v>
      </c>
      <c r="H213" s="595">
        <f>'Прилож 4 24 (10)'!X213</f>
        <v>0</v>
      </c>
      <c r="I213" s="597">
        <f>SUM(I204:I207)</f>
        <v>0</v>
      </c>
      <c r="J213" s="595">
        <f>'Прилож 4 24 (10)'!Z213</f>
        <v>0</v>
      </c>
      <c r="K213" s="595">
        <f>'Прилож 4 24 (10)'!AA213</f>
        <v>0</v>
      </c>
      <c r="L213" s="595">
        <f>'Прилож 4 24 (10)'!AB213</f>
        <v>0</v>
      </c>
      <c r="M213" s="876">
        <f t="shared" si="33"/>
        <v>0</v>
      </c>
      <c r="N213" s="884">
        <f>SUM(N212)</f>
        <v>0</v>
      </c>
      <c r="O213" s="884"/>
      <c r="P213" s="884"/>
      <c r="Q213" s="884"/>
      <c r="R213" s="884"/>
      <c r="S213" s="884"/>
      <c r="T213" s="884"/>
      <c r="U213" s="876">
        <f t="shared" si="35"/>
        <v>760720</v>
      </c>
      <c r="V213" s="875">
        <f t="shared" si="35"/>
        <v>760720</v>
      </c>
      <c r="W213" s="875">
        <f t="shared" ref="W213:X222" si="40">O213+G213</f>
        <v>0</v>
      </c>
      <c r="X213" s="875">
        <f t="shared" si="40"/>
        <v>0</v>
      </c>
      <c r="Y213" s="884">
        <f>SUM(Y204:Y207)</f>
        <v>0</v>
      </c>
      <c r="Z213" s="875">
        <f t="shared" ref="Z213:AB222" si="41">R213+J213</f>
        <v>0</v>
      </c>
      <c r="AA213" s="875">
        <f t="shared" si="41"/>
        <v>0</v>
      </c>
      <c r="AB213" s="875">
        <f t="shared" si="41"/>
        <v>0</v>
      </c>
      <c r="AC213" s="886"/>
    </row>
    <row r="214" spans="1:30" ht="31.5" x14ac:dyDescent="0.2">
      <c r="A214" s="618" t="s">
        <v>1281</v>
      </c>
      <c r="B214" s="619" t="s">
        <v>729</v>
      </c>
      <c r="C214" s="620">
        <v>244</v>
      </c>
      <c r="D214" s="620">
        <v>310</v>
      </c>
      <c r="E214" s="596">
        <f t="shared" si="39"/>
        <v>50000</v>
      </c>
      <c r="F214" s="595">
        <f>'Прилож 4 24 (10)'!V214</f>
        <v>50000</v>
      </c>
      <c r="G214" s="595">
        <f>'Прилож 4 24 (10)'!W214</f>
        <v>0</v>
      </c>
      <c r="H214" s="595">
        <f>'Прилож 4 24 (10)'!X214</f>
        <v>0</v>
      </c>
      <c r="I214" s="621"/>
      <c r="J214" s="595">
        <f>'Прилож 4 24 (10)'!Z214</f>
        <v>0</v>
      </c>
      <c r="K214" s="595">
        <f>'Прилож 4 24 (10)'!AA214</f>
        <v>0</v>
      </c>
      <c r="L214" s="595">
        <f>'Прилож 4 24 (10)'!AB214</f>
        <v>0</v>
      </c>
      <c r="M214" s="876">
        <f t="shared" si="33"/>
        <v>0</v>
      </c>
      <c r="N214" s="875"/>
      <c r="O214" s="875"/>
      <c r="P214" s="875"/>
      <c r="Q214" s="877"/>
      <c r="R214" s="875"/>
      <c r="S214" s="875"/>
      <c r="T214" s="875"/>
      <c r="U214" s="876">
        <f t="shared" si="35"/>
        <v>50000</v>
      </c>
      <c r="V214" s="875">
        <f t="shared" si="35"/>
        <v>50000</v>
      </c>
      <c r="W214" s="875">
        <f t="shared" si="40"/>
        <v>0</v>
      </c>
      <c r="X214" s="875">
        <f t="shared" si="40"/>
        <v>0</v>
      </c>
      <c r="Y214" s="877"/>
      <c r="Z214" s="875">
        <f t="shared" si="41"/>
        <v>0</v>
      </c>
      <c r="AA214" s="875">
        <f t="shared" si="41"/>
        <v>0</v>
      </c>
      <c r="AB214" s="875">
        <f t="shared" si="41"/>
        <v>0</v>
      </c>
      <c r="AC214" s="878"/>
    </row>
    <row r="215" spans="1:30" ht="42" customHeight="1" x14ac:dyDescent="0.2">
      <c r="A215" s="618" t="s">
        <v>1282</v>
      </c>
      <c r="B215" s="619" t="s">
        <v>729</v>
      </c>
      <c r="C215" s="620">
        <v>244</v>
      </c>
      <c r="D215" s="620">
        <v>310</v>
      </c>
      <c r="E215" s="596">
        <f t="shared" si="39"/>
        <v>396336.17000000004</v>
      </c>
      <c r="F215" s="595">
        <f>'Прилож 4 24 (10)'!V215</f>
        <v>396336.17000000004</v>
      </c>
      <c r="G215" s="595">
        <f>'Прилож 4 24 (10)'!W215</f>
        <v>0</v>
      </c>
      <c r="H215" s="595">
        <f>'Прилож 4 24 (10)'!X215</f>
        <v>0</v>
      </c>
      <c r="I215" s="621"/>
      <c r="J215" s="595">
        <f>'Прилож 4 24 (10)'!Z215</f>
        <v>0</v>
      </c>
      <c r="K215" s="595">
        <f>'Прилож 4 24 (10)'!AA215</f>
        <v>0</v>
      </c>
      <c r="L215" s="595">
        <f>'Прилож 4 24 (10)'!AB215</f>
        <v>0</v>
      </c>
      <c r="M215" s="876">
        <f t="shared" si="33"/>
        <v>0</v>
      </c>
      <c r="N215" s="875"/>
      <c r="O215" s="875"/>
      <c r="P215" s="875"/>
      <c r="Q215" s="877"/>
      <c r="R215" s="875"/>
      <c r="S215" s="875"/>
      <c r="T215" s="875"/>
      <c r="U215" s="876">
        <f t="shared" si="35"/>
        <v>396336.17000000004</v>
      </c>
      <c r="V215" s="875">
        <f t="shared" si="35"/>
        <v>396336.17000000004</v>
      </c>
      <c r="W215" s="875">
        <f t="shared" si="40"/>
        <v>0</v>
      </c>
      <c r="X215" s="875">
        <f t="shared" si="40"/>
        <v>0</v>
      </c>
      <c r="Y215" s="877"/>
      <c r="Z215" s="875">
        <f t="shared" si="41"/>
        <v>0</v>
      </c>
      <c r="AA215" s="875">
        <f t="shared" si="41"/>
        <v>0</v>
      </c>
      <c r="AB215" s="875">
        <f t="shared" si="41"/>
        <v>0</v>
      </c>
      <c r="AC215" s="878"/>
    </row>
    <row r="216" spans="1:30" ht="24.75" customHeight="1" x14ac:dyDescent="0.2">
      <c r="A216" s="618" t="s">
        <v>1284</v>
      </c>
      <c r="B216" s="619" t="s">
        <v>729</v>
      </c>
      <c r="C216" s="620">
        <v>244</v>
      </c>
      <c r="D216" s="620">
        <v>310</v>
      </c>
      <c r="E216" s="596">
        <f t="shared" si="39"/>
        <v>27000</v>
      </c>
      <c r="F216" s="595">
        <f>'Прилож 4 24 (10)'!V216</f>
        <v>27000</v>
      </c>
      <c r="G216" s="595">
        <f>'Прилож 4 24 (10)'!W216</f>
        <v>0</v>
      </c>
      <c r="H216" s="595">
        <f>'Прилож 4 24 (10)'!X216</f>
        <v>0</v>
      </c>
      <c r="I216" s="621"/>
      <c r="J216" s="595">
        <f>'Прилож 4 24 (10)'!Z216</f>
        <v>0</v>
      </c>
      <c r="K216" s="595">
        <f>'Прилож 4 24 (10)'!AA216</f>
        <v>0</v>
      </c>
      <c r="L216" s="595">
        <f>'Прилож 4 24 (10)'!AB216</f>
        <v>0</v>
      </c>
      <c r="M216" s="876">
        <f t="shared" si="33"/>
        <v>0</v>
      </c>
      <c r="N216" s="875"/>
      <c r="O216" s="875"/>
      <c r="P216" s="875"/>
      <c r="Q216" s="877"/>
      <c r="R216" s="875"/>
      <c r="S216" s="875"/>
      <c r="T216" s="875"/>
      <c r="U216" s="876">
        <f t="shared" si="35"/>
        <v>27000</v>
      </c>
      <c r="V216" s="875">
        <f t="shared" si="35"/>
        <v>27000</v>
      </c>
      <c r="W216" s="875">
        <f t="shared" si="40"/>
        <v>0</v>
      </c>
      <c r="X216" s="875">
        <f t="shared" si="40"/>
        <v>0</v>
      </c>
      <c r="Y216" s="877"/>
      <c r="Z216" s="875">
        <f t="shared" si="41"/>
        <v>0</v>
      </c>
      <c r="AA216" s="875">
        <f t="shared" si="41"/>
        <v>0</v>
      </c>
      <c r="AB216" s="875">
        <f t="shared" si="41"/>
        <v>0</v>
      </c>
      <c r="AC216" s="878"/>
    </row>
    <row r="217" spans="1:30" ht="25.5" customHeight="1" x14ac:dyDescent="0.2">
      <c r="A217" s="618" t="s">
        <v>1227</v>
      </c>
      <c r="B217" s="619" t="s">
        <v>729</v>
      </c>
      <c r="C217" s="620">
        <v>244</v>
      </c>
      <c r="D217" s="620">
        <v>310</v>
      </c>
      <c r="E217" s="596">
        <f t="shared" si="39"/>
        <v>4025</v>
      </c>
      <c r="F217" s="595">
        <f>'Прилож 4 24 (10)'!V217</f>
        <v>0</v>
      </c>
      <c r="G217" s="595">
        <f>'Прилож 4 24 (10)'!W217</f>
        <v>0</v>
      </c>
      <c r="H217" s="595">
        <f>'Прилож 4 24 (10)'!X217</f>
        <v>0</v>
      </c>
      <c r="I217" s="621" t="s">
        <v>1226</v>
      </c>
      <c r="J217" s="595">
        <f>'Прилож 4 24 (10)'!Z217</f>
        <v>0</v>
      </c>
      <c r="K217" s="595">
        <f>'Прилож 4 24 (10)'!AA217</f>
        <v>4025</v>
      </c>
      <c r="L217" s="595">
        <f>'Прилож 4 24 (10)'!AB217</f>
        <v>0</v>
      </c>
      <c r="M217" s="876">
        <f t="shared" si="33"/>
        <v>0</v>
      </c>
      <c r="N217" s="875"/>
      <c r="O217" s="875"/>
      <c r="P217" s="875"/>
      <c r="Q217" s="877"/>
      <c r="R217" s="875"/>
      <c r="S217" s="875"/>
      <c r="T217" s="875"/>
      <c r="U217" s="876">
        <f t="shared" si="35"/>
        <v>4025</v>
      </c>
      <c r="V217" s="875">
        <f t="shared" si="35"/>
        <v>0</v>
      </c>
      <c r="W217" s="875">
        <f t="shared" si="40"/>
        <v>0</v>
      </c>
      <c r="X217" s="875">
        <f t="shared" si="40"/>
        <v>0</v>
      </c>
      <c r="Y217" s="877" t="s">
        <v>1226</v>
      </c>
      <c r="Z217" s="875">
        <f t="shared" si="41"/>
        <v>0</v>
      </c>
      <c r="AA217" s="875">
        <f t="shared" si="41"/>
        <v>4025</v>
      </c>
      <c r="AB217" s="875">
        <f t="shared" si="41"/>
        <v>0</v>
      </c>
      <c r="AC217" s="878"/>
    </row>
    <row r="218" spans="1:30" ht="31.5" x14ac:dyDescent="0.2">
      <c r="A218" s="618" t="s">
        <v>1228</v>
      </c>
      <c r="B218" s="619" t="s">
        <v>729</v>
      </c>
      <c r="C218" s="620">
        <v>244</v>
      </c>
      <c r="D218" s="620">
        <v>310</v>
      </c>
      <c r="E218" s="596">
        <f t="shared" si="39"/>
        <v>4638</v>
      </c>
      <c r="F218" s="595">
        <f>'Прилож 4 24 (10)'!V218</f>
        <v>0</v>
      </c>
      <c r="G218" s="595">
        <f>'Прилож 4 24 (10)'!W218</f>
        <v>0</v>
      </c>
      <c r="H218" s="595">
        <f>'Прилож 4 24 (10)'!X218</f>
        <v>0</v>
      </c>
      <c r="I218" s="621" t="s">
        <v>1226</v>
      </c>
      <c r="J218" s="595">
        <f>'Прилож 4 24 (10)'!Z218</f>
        <v>0</v>
      </c>
      <c r="K218" s="595">
        <f>'Прилож 4 24 (10)'!AA218</f>
        <v>4638</v>
      </c>
      <c r="L218" s="595">
        <f>'Прилож 4 24 (10)'!AB218</f>
        <v>0</v>
      </c>
      <c r="M218" s="876">
        <f t="shared" si="33"/>
        <v>0</v>
      </c>
      <c r="N218" s="875"/>
      <c r="O218" s="875"/>
      <c r="P218" s="875"/>
      <c r="Q218" s="877"/>
      <c r="R218" s="875"/>
      <c r="S218" s="875"/>
      <c r="T218" s="875"/>
      <c r="U218" s="876">
        <f t="shared" si="35"/>
        <v>4638</v>
      </c>
      <c r="V218" s="875">
        <f t="shared" si="35"/>
        <v>0</v>
      </c>
      <c r="W218" s="875">
        <f t="shared" si="40"/>
        <v>0</v>
      </c>
      <c r="X218" s="875">
        <f t="shared" si="40"/>
        <v>0</v>
      </c>
      <c r="Y218" s="877" t="s">
        <v>1226</v>
      </c>
      <c r="Z218" s="875">
        <f t="shared" si="41"/>
        <v>0</v>
      </c>
      <c r="AA218" s="875">
        <f t="shared" si="41"/>
        <v>4638</v>
      </c>
      <c r="AB218" s="875">
        <f t="shared" si="41"/>
        <v>0</v>
      </c>
      <c r="AC218" s="878"/>
      <c r="AD218" s="820"/>
    </row>
    <row r="219" spans="1:30" ht="31.5" x14ac:dyDescent="0.2">
      <c r="A219" s="618" t="s">
        <v>1229</v>
      </c>
      <c r="B219" s="619" t="s">
        <v>729</v>
      </c>
      <c r="C219" s="620">
        <v>244</v>
      </c>
      <c r="D219" s="620">
        <v>310</v>
      </c>
      <c r="E219" s="596">
        <f t="shared" si="39"/>
        <v>93768</v>
      </c>
      <c r="F219" s="595">
        <f>'Прилож 4 24 (10)'!V219</f>
        <v>0</v>
      </c>
      <c r="G219" s="595">
        <f>'Прилож 4 24 (10)'!W219</f>
        <v>0</v>
      </c>
      <c r="H219" s="595">
        <f>'Прилож 4 24 (10)'!X219</f>
        <v>0</v>
      </c>
      <c r="I219" s="621" t="s">
        <v>1226</v>
      </c>
      <c r="J219" s="595">
        <f>'Прилож 4 24 (10)'!Z219</f>
        <v>0</v>
      </c>
      <c r="K219" s="595">
        <f>'Прилож 4 24 (10)'!AA219</f>
        <v>93768</v>
      </c>
      <c r="L219" s="595">
        <f>'Прилож 4 24 (10)'!AB219</f>
        <v>0</v>
      </c>
      <c r="M219" s="876">
        <f t="shared" si="33"/>
        <v>0</v>
      </c>
      <c r="N219" s="875"/>
      <c r="O219" s="875"/>
      <c r="P219" s="875"/>
      <c r="Q219" s="877"/>
      <c r="R219" s="875"/>
      <c r="S219" s="875"/>
      <c r="T219" s="875"/>
      <c r="U219" s="876">
        <f t="shared" si="35"/>
        <v>93768</v>
      </c>
      <c r="V219" s="875">
        <f t="shared" si="35"/>
        <v>0</v>
      </c>
      <c r="W219" s="875">
        <f t="shared" si="40"/>
        <v>0</v>
      </c>
      <c r="X219" s="875">
        <f t="shared" si="40"/>
        <v>0</v>
      </c>
      <c r="Y219" s="877" t="s">
        <v>1226</v>
      </c>
      <c r="Z219" s="875">
        <f t="shared" si="41"/>
        <v>0</v>
      </c>
      <c r="AA219" s="875">
        <f t="shared" si="41"/>
        <v>93768</v>
      </c>
      <c r="AB219" s="875">
        <f t="shared" si="41"/>
        <v>0</v>
      </c>
      <c r="AC219" s="878"/>
    </row>
    <row r="220" spans="1:30" ht="33" customHeight="1" x14ac:dyDescent="0.2">
      <c r="A220" s="618" t="s">
        <v>1360</v>
      </c>
      <c r="B220" s="619" t="s">
        <v>729</v>
      </c>
      <c r="C220" s="620">
        <v>244</v>
      </c>
      <c r="D220" s="620">
        <v>310</v>
      </c>
      <c r="E220" s="596">
        <f t="shared" si="39"/>
        <v>100000</v>
      </c>
      <c r="F220" s="595">
        <f>'Прилож 4 24 (10)'!V220</f>
        <v>0</v>
      </c>
      <c r="G220" s="595">
        <f>'Прилож 4 24 (10)'!W220</f>
        <v>0</v>
      </c>
      <c r="H220" s="595">
        <f>'Прилож 4 24 (10)'!X220</f>
        <v>0</v>
      </c>
      <c r="I220" s="1020" t="s">
        <v>1226</v>
      </c>
      <c r="J220" s="595">
        <f>'Прилож 4 24 (10)'!Z220</f>
        <v>0</v>
      </c>
      <c r="K220" s="595">
        <f>'Прилож 4 24 (10)'!AA220</f>
        <v>100000</v>
      </c>
      <c r="L220" s="595">
        <f>'Прилож 4 24 (10)'!AB220</f>
        <v>0</v>
      </c>
      <c r="M220" s="876">
        <f t="shared" si="33"/>
        <v>0</v>
      </c>
      <c r="N220" s="875"/>
      <c r="O220" s="875"/>
      <c r="P220" s="875"/>
      <c r="Q220" s="877"/>
      <c r="R220" s="875"/>
      <c r="S220" s="875"/>
      <c r="T220" s="875"/>
      <c r="U220" s="876">
        <f t="shared" si="35"/>
        <v>100000</v>
      </c>
      <c r="V220" s="875">
        <f t="shared" si="35"/>
        <v>0</v>
      </c>
      <c r="W220" s="875">
        <f t="shared" si="40"/>
        <v>0</v>
      </c>
      <c r="X220" s="875">
        <f t="shared" si="40"/>
        <v>0</v>
      </c>
      <c r="Y220" s="877" t="s">
        <v>1226</v>
      </c>
      <c r="Z220" s="875">
        <f t="shared" si="41"/>
        <v>0</v>
      </c>
      <c r="AA220" s="875">
        <f t="shared" si="41"/>
        <v>100000</v>
      </c>
      <c r="AB220" s="875">
        <f t="shared" si="41"/>
        <v>0</v>
      </c>
      <c r="AC220" s="878"/>
    </row>
    <row r="221" spans="1:30" ht="34.5" customHeight="1" x14ac:dyDescent="0.2">
      <c r="A221" s="618" t="s">
        <v>1358</v>
      </c>
      <c r="B221" s="619" t="s">
        <v>729</v>
      </c>
      <c r="C221" s="620">
        <v>244</v>
      </c>
      <c r="D221" s="620">
        <v>310</v>
      </c>
      <c r="E221" s="596">
        <f t="shared" si="39"/>
        <v>120850</v>
      </c>
      <c r="F221" s="595">
        <f>'Прилож 4 24 (10)'!V221</f>
        <v>120850</v>
      </c>
      <c r="G221" s="595">
        <f>'Прилож 4 24 (10)'!W221</f>
        <v>0</v>
      </c>
      <c r="H221" s="595">
        <f>'Прилож 4 24 (10)'!X221</f>
        <v>0</v>
      </c>
      <c r="I221" s="621"/>
      <c r="J221" s="595">
        <f>'Прилож 4 24 (10)'!Z221</f>
        <v>0</v>
      </c>
      <c r="K221" s="595">
        <f>'Прилож 4 24 (10)'!AA221</f>
        <v>0</v>
      </c>
      <c r="L221" s="595">
        <f>'Прилож 4 24 (10)'!AB221</f>
        <v>0</v>
      </c>
      <c r="M221" s="876">
        <f t="shared" si="33"/>
        <v>0</v>
      </c>
      <c r="N221" s="875"/>
      <c r="O221" s="875"/>
      <c r="P221" s="875"/>
      <c r="Q221" s="877"/>
      <c r="R221" s="875"/>
      <c r="S221" s="875"/>
      <c r="T221" s="875"/>
      <c r="U221" s="876">
        <f t="shared" si="35"/>
        <v>120850</v>
      </c>
      <c r="V221" s="875">
        <f t="shared" si="35"/>
        <v>120850</v>
      </c>
      <c r="W221" s="875">
        <f t="shared" si="40"/>
        <v>0</v>
      </c>
      <c r="X221" s="875">
        <f t="shared" si="40"/>
        <v>0</v>
      </c>
      <c r="Y221" s="877"/>
      <c r="Z221" s="875">
        <f t="shared" si="41"/>
        <v>0</v>
      </c>
      <c r="AA221" s="875">
        <f t="shared" si="41"/>
        <v>0</v>
      </c>
      <c r="AB221" s="875">
        <f t="shared" si="41"/>
        <v>0</v>
      </c>
      <c r="AC221" s="878"/>
    </row>
    <row r="222" spans="1:30" ht="30.75" customHeight="1" x14ac:dyDescent="0.2">
      <c r="A222" s="618" t="s">
        <v>1359</v>
      </c>
      <c r="B222" s="619" t="s">
        <v>729</v>
      </c>
      <c r="C222" s="620">
        <v>244</v>
      </c>
      <c r="D222" s="620">
        <v>310</v>
      </c>
      <c r="E222" s="596">
        <f t="shared" si="39"/>
        <v>76990</v>
      </c>
      <c r="F222" s="595">
        <f>'Прилож 4 24 (10)'!V222</f>
        <v>76990</v>
      </c>
      <c r="G222" s="595">
        <f>'Прилож 4 24 (10)'!W222</f>
        <v>0</v>
      </c>
      <c r="H222" s="595">
        <f>'Прилож 4 24 (10)'!X222</f>
        <v>0</v>
      </c>
      <c r="I222" s="621"/>
      <c r="J222" s="595">
        <f>'Прилож 4 24 (10)'!Z222</f>
        <v>0</v>
      </c>
      <c r="K222" s="595">
        <f>'Прилож 4 24 (10)'!AA222</f>
        <v>0</v>
      </c>
      <c r="L222" s="595">
        <f>'Прилож 4 24 (10)'!AB222</f>
        <v>0</v>
      </c>
      <c r="M222" s="876">
        <f t="shared" si="33"/>
        <v>0</v>
      </c>
      <c r="N222" s="875"/>
      <c r="O222" s="875"/>
      <c r="P222" s="875"/>
      <c r="Q222" s="877"/>
      <c r="R222" s="875"/>
      <c r="S222" s="875"/>
      <c r="T222" s="875"/>
      <c r="U222" s="876">
        <f t="shared" si="35"/>
        <v>76990</v>
      </c>
      <c r="V222" s="875">
        <f t="shared" si="35"/>
        <v>76990</v>
      </c>
      <c r="W222" s="875">
        <f t="shared" si="40"/>
        <v>0</v>
      </c>
      <c r="X222" s="875">
        <f t="shared" si="40"/>
        <v>0</v>
      </c>
      <c r="Y222" s="877"/>
      <c r="Z222" s="875">
        <f t="shared" si="41"/>
        <v>0</v>
      </c>
      <c r="AA222" s="875">
        <f t="shared" si="41"/>
        <v>0</v>
      </c>
      <c r="AB222" s="875">
        <f t="shared" si="41"/>
        <v>0</v>
      </c>
      <c r="AC222" s="878"/>
    </row>
    <row r="223" spans="1:30" ht="30.75" customHeight="1" x14ac:dyDescent="0.2">
      <c r="A223" s="994" t="s">
        <v>1516</v>
      </c>
      <c r="B223" s="619" t="s">
        <v>729</v>
      </c>
      <c r="C223" s="620">
        <v>244</v>
      </c>
      <c r="D223" s="620">
        <v>310</v>
      </c>
      <c r="E223" s="596">
        <f t="shared" si="39"/>
        <v>11200</v>
      </c>
      <c r="F223" s="595">
        <f>'Прилож 4 24 (10)'!V223</f>
        <v>11200</v>
      </c>
      <c r="G223" s="595">
        <f>'Прилож 4 24 (10)'!W223</f>
        <v>0</v>
      </c>
      <c r="H223" s="595">
        <f>'Прилож 4 24 (10)'!X223</f>
        <v>0</v>
      </c>
      <c r="I223" s="621"/>
      <c r="J223" s="595">
        <f>'Прилож 4 24 (10)'!Z223</f>
        <v>0</v>
      </c>
      <c r="K223" s="595">
        <f>'Прилож 4 24 (10)'!AA223</f>
        <v>0</v>
      </c>
      <c r="L223" s="595">
        <f>'Прилож 4 24 (10)'!AB223</f>
        <v>0</v>
      </c>
      <c r="M223" s="876">
        <f t="shared" si="33"/>
        <v>0</v>
      </c>
      <c r="N223" s="875"/>
      <c r="O223" s="875"/>
      <c r="P223" s="875"/>
      <c r="Q223" s="877"/>
      <c r="R223" s="875"/>
      <c r="S223" s="875"/>
      <c r="T223" s="875"/>
      <c r="U223" s="876">
        <f t="shared" si="35"/>
        <v>11200</v>
      </c>
      <c r="V223" s="875">
        <f t="shared" si="35"/>
        <v>11200</v>
      </c>
      <c r="W223" s="875"/>
      <c r="X223" s="875"/>
      <c r="Y223" s="877"/>
      <c r="Z223" s="875"/>
      <c r="AA223" s="875">
        <f>S223+K223</f>
        <v>0</v>
      </c>
      <c r="AB223" s="875">
        <f>T223+L223</f>
        <v>0</v>
      </c>
      <c r="AC223" s="878"/>
    </row>
    <row r="224" spans="1:30" ht="30.75" customHeight="1" x14ac:dyDescent="0.2">
      <c r="A224" s="994" t="s">
        <v>1643</v>
      </c>
      <c r="B224" s="619" t="s">
        <v>729</v>
      </c>
      <c r="C224" s="620">
        <v>244</v>
      </c>
      <c r="D224" s="620">
        <v>310</v>
      </c>
      <c r="E224" s="596"/>
      <c r="F224" s="595">
        <f>'Прилож 4 24 (10)'!V224</f>
        <v>82800</v>
      </c>
      <c r="G224" s="595">
        <f>'Прилож 4 24 (10)'!W224</f>
        <v>0</v>
      </c>
      <c r="H224" s="595">
        <f>'Прилож 4 24 (10)'!X224</f>
        <v>0</v>
      </c>
      <c r="I224" s="621"/>
      <c r="J224" s="595">
        <f>'Прилож 4 24 (10)'!Z224</f>
        <v>0</v>
      </c>
      <c r="K224" s="595">
        <f>'Прилож 4 24 (10)'!AA224</f>
        <v>0</v>
      </c>
      <c r="L224" s="595">
        <f>'Прилож 4 24 (10)'!AB224</f>
        <v>0</v>
      </c>
      <c r="M224" s="876">
        <f t="shared" si="33"/>
        <v>0</v>
      </c>
      <c r="N224" s="875"/>
      <c r="O224" s="875"/>
      <c r="P224" s="875"/>
      <c r="Q224" s="877"/>
      <c r="R224" s="875"/>
      <c r="S224" s="875"/>
      <c r="T224" s="875"/>
      <c r="U224" s="876">
        <f t="shared" si="35"/>
        <v>0</v>
      </c>
      <c r="V224" s="875">
        <f t="shared" si="35"/>
        <v>82800</v>
      </c>
      <c r="W224" s="875"/>
      <c r="X224" s="875"/>
      <c r="Y224" s="877"/>
      <c r="Z224" s="875"/>
      <c r="AA224" s="875"/>
      <c r="AB224" s="875"/>
      <c r="AC224" s="878"/>
    </row>
    <row r="225" spans="1:30" ht="30.75" customHeight="1" x14ac:dyDescent="0.2">
      <c r="A225" s="994" t="s">
        <v>1660</v>
      </c>
      <c r="B225" s="619" t="s">
        <v>729</v>
      </c>
      <c r="C225" s="620">
        <v>244</v>
      </c>
      <c r="D225" s="620">
        <v>310</v>
      </c>
      <c r="E225" s="596"/>
      <c r="F225" s="595">
        <f>'Прилож 4 24 (10)'!V225</f>
        <v>18490</v>
      </c>
      <c r="G225" s="595">
        <f>'Прилож 4 24 (10)'!W225</f>
        <v>0</v>
      </c>
      <c r="H225" s="595">
        <f>'Прилож 4 24 (10)'!X225</f>
        <v>0</v>
      </c>
      <c r="I225" s="621"/>
      <c r="J225" s="595">
        <f>'Прилож 4 24 (10)'!Z225</f>
        <v>0</v>
      </c>
      <c r="K225" s="595">
        <f>'Прилож 4 24 (10)'!AA225</f>
        <v>0</v>
      </c>
      <c r="L225" s="595">
        <f>'Прилож 4 24 (10)'!AB225</f>
        <v>0</v>
      </c>
      <c r="M225" s="876">
        <f t="shared" si="33"/>
        <v>0</v>
      </c>
      <c r="N225" s="875"/>
      <c r="O225" s="875"/>
      <c r="P225" s="875"/>
      <c r="Q225" s="877"/>
      <c r="R225" s="875"/>
      <c r="S225" s="875"/>
      <c r="T225" s="875"/>
      <c r="U225" s="876">
        <f t="shared" si="35"/>
        <v>0</v>
      </c>
      <c r="V225" s="875">
        <f t="shared" si="35"/>
        <v>18490</v>
      </c>
      <c r="W225" s="875"/>
      <c r="X225" s="875"/>
      <c r="Y225" s="877"/>
      <c r="Z225" s="875"/>
      <c r="AA225" s="875"/>
      <c r="AB225" s="875"/>
      <c r="AC225" s="878"/>
    </row>
    <row r="226" spans="1:30" ht="30.75" customHeight="1" x14ac:dyDescent="0.2">
      <c r="A226" s="994" t="s">
        <v>1701</v>
      </c>
      <c r="B226" s="619" t="s">
        <v>729</v>
      </c>
      <c r="C226" s="620">
        <v>244</v>
      </c>
      <c r="D226" s="620">
        <v>310</v>
      </c>
      <c r="E226" s="596"/>
      <c r="F226" s="595">
        <f>'Прилож 4 24 (10)'!V226</f>
        <v>6040</v>
      </c>
      <c r="G226" s="595">
        <f>'Прилож 4 24 (10)'!W226</f>
        <v>0</v>
      </c>
      <c r="H226" s="595">
        <f>'Прилож 4 24 (10)'!X226</f>
        <v>0</v>
      </c>
      <c r="I226" s="621"/>
      <c r="J226" s="595">
        <f>'Прилож 4 24 (10)'!Z226</f>
        <v>0</v>
      </c>
      <c r="K226" s="595">
        <f>'Прилож 4 24 (10)'!AA226</f>
        <v>0</v>
      </c>
      <c r="L226" s="595">
        <f>'Прилож 4 24 (10)'!AB226</f>
        <v>0</v>
      </c>
      <c r="M226" s="876">
        <f t="shared" si="33"/>
        <v>0</v>
      </c>
      <c r="N226" s="875"/>
      <c r="O226" s="875"/>
      <c r="P226" s="875"/>
      <c r="Q226" s="877"/>
      <c r="R226" s="875"/>
      <c r="S226" s="875"/>
      <c r="T226" s="875"/>
      <c r="U226" s="876">
        <f t="shared" si="35"/>
        <v>0</v>
      </c>
      <c r="V226" s="875">
        <f t="shared" si="35"/>
        <v>6040</v>
      </c>
      <c r="W226" s="875"/>
      <c r="X226" s="875"/>
      <c r="Y226" s="877"/>
      <c r="Z226" s="875"/>
      <c r="AA226" s="875"/>
      <c r="AB226" s="875"/>
      <c r="AC226" s="878"/>
    </row>
    <row r="227" spans="1:30" ht="37.9" customHeight="1" x14ac:dyDescent="0.2">
      <c r="A227" s="994" t="s">
        <v>1734</v>
      </c>
      <c r="B227" s="619" t="s">
        <v>729</v>
      </c>
      <c r="C227" s="620">
        <v>244</v>
      </c>
      <c r="D227" s="620">
        <v>310</v>
      </c>
      <c r="E227" s="596"/>
      <c r="F227" s="595">
        <f>'Прилож 4 24 (10)'!V227</f>
        <v>44840</v>
      </c>
      <c r="G227" s="595">
        <f>'Прилож 4 24 (10)'!W227</f>
        <v>0</v>
      </c>
      <c r="H227" s="595">
        <f>'Прилож 4 24 (10)'!X227</f>
        <v>0</v>
      </c>
      <c r="I227" s="621"/>
      <c r="J227" s="595">
        <f>'Прилож 4 24 (10)'!Z227</f>
        <v>0</v>
      </c>
      <c r="K227" s="595">
        <f>'Прилож 4 24 (10)'!AA227</f>
        <v>0</v>
      </c>
      <c r="L227" s="595">
        <f>'Прилож 4 24 (10)'!AB227</f>
        <v>0</v>
      </c>
      <c r="M227" s="876">
        <f t="shared" si="33"/>
        <v>0</v>
      </c>
      <c r="N227" s="875"/>
      <c r="O227" s="875"/>
      <c r="P227" s="875"/>
      <c r="Q227" s="877"/>
      <c r="R227" s="875"/>
      <c r="S227" s="875"/>
      <c r="T227" s="875"/>
      <c r="U227" s="876">
        <f t="shared" si="35"/>
        <v>0</v>
      </c>
      <c r="V227" s="875">
        <f t="shared" si="35"/>
        <v>44840</v>
      </c>
      <c r="W227" s="875"/>
      <c r="X227" s="875"/>
      <c r="Y227" s="877"/>
      <c r="Z227" s="875"/>
      <c r="AA227" s="875"/>
      <c r="AB227" s="875"/>
      <c r="AC227" s="878"/>
    </row>
    <row r="228" spans="1:30" ht="46.9" customHeight="1" x14ac:dyDescent="0.2">
      <c r="A228" s="994" t="s">
        <v>1632</v>
      </c>
      <c r="B228" s="619" t="s">
        <v>729</v>
      </c>
      <c r="C228" s="620">
        <v>244</v>
      </c>
      <c r="D228" s="620">
        <v>310</v>
      </c>
      <c r="E228" s="596">
        <f t="shared" ref="E228:E270" si="42">L228+K228+J228+H228+G228+F228</f>
        <v>39100</v>
      </c>
      <c r="F228" s="595">
        <f>'Прилож 4 24 (10)'!V228</f>
        <v>0</v>
      </c>
      <c r="G228" s="595">
        <f>'Прилож 4 24 (10)'!W228</f>
        <v>0</v>
      </c>
      <c r="H228" s="595">
        <f>'Прилож 4 24 (10)'!X228</f>
        <v>0</v>
      </c>
      <c r="I228" s="621"/>
      <c r="J228" s="595">
        <f>'Прилож 4 24 (10)'!Z228</f>
        <v>0</v>
      </c>
      <c r="K228" s="595">
        <f>'Прилож 4 24 (10)'!AA228</f>
        <v>0</v>
      </c>
      <c r="L228" s="595">
        <f>'Прилож 4 24 (10)'!AB228</f>
        <v>39100</v>
      </c>
      <c r="M228" s="876">
        <f t="shared" si="33"/>
        <v>0</v>
      </c>
      <c r="N228" s="875"/>
      <c r="O228" s="875"/>
      <c r="P228" s="875"/>
      <c r="Q228" s="884"/>
      <c r="R228" s="875"/>
      <c r="S228" s="875"/>
      <c r="T228" s="875"/>
      <c r="U228" s="876">
        <f t="shared" si="35"/>
        <v>39100</v>
      </c>
      <c r="V228" s="875">
        <f t="shared" si="35"/>
        <v>0</v>
      </c>
      <c r="W228" s="875"/>
      <c r="X228" s="875"/>
      <c r="Y228" s="877"/>
      <c r="Z228" s="875"/>
      <c r="AA228" s="875">
        <f t="shared" ref="AA228:AB236" si="43">S228+K228</f>
        <v>0</v>
      </c>
      <c r="AB228" s="875">
        <f t="shared" si="43"/>
        <v>39100</v>
      </c>
      <c r="AC228" s="618"/>
    </row>
    <row r="229" spans="1:30" ht="22.5" customHeight="1" x14ac:dyDescent="0.2">
      <c r="A229" s="618" t="s">
        <v>1287</v>
      </c>
      <c r="B229" s="619" t="s">
        <v>729</v>
      </c>
      <c r="C229" s="620">
        <v>244</v>
      </c>
      <c r="D229" s="620">
        <v>310</v>
      </c>
      <c r="E229" s="596">
        <f t="shared" si="42"/>
        <v>1076077.17</v>
      </c>
      <c r="F229" s="595">
        <f>'Прилож 4 24 (10)'!V229</f>
        <v>834546.17</v>
      </c>
      <c r="G229" s="595">
        <f>'Прилож 4 24 (10)'!W229</f>
        <v>0</v>
      </c>
      <c r="H229" s="595">
        <f>'Прилож 4 24 (10)'!X229</f>
        <v>0</v>
      </c>
      <c r="I229" s="596">
        <f>SUM(I214:I216)</f>
        <v>0</v>
      </c>
      <c r="J229" s="595">
        <f>'Прилож 4 24 (10)'!Z229</f>
        <v>0</v>
      </c>
      <c r="K229" s="595">
        <f>'Прилож 4 24 (10)'!AA229</f>
        <v>202431</v>
      </c>
      <c r="L229" s="595">
        <f>'Прилож 4 24 (10)'!AB229</f>
        <v>39100</v>
      </c>
      <c r="M229" s="876">
        <f t="shared" si="33"/>
        <v>0</v>
      </c>
      <c r="N229" s="876">
        <f>SUM(N214:N228)</f>
        <v>0</v>
      </c>
      <c r="O229" s="876"/>
      <c r="P229" s="876">
        <f>SUM(P214:P222)</f>
        <v>0</v>
      </c>
      <c r="Q229" s="876">
        <f>Q214+Q215+Q216+Q217+Q218+Q219+Q220+Q221+Q222+Q228</f>
        <v>0</v>
      </c>
      <c r="R229" s="876"/>
      <c r="S229" s="876">
        <f>SUM(S214:S220)</f>
        <v>0</v>
      </c>
      <c r="T229" s="876">
        <f>SUM(T214:T228)</f>
        <v>0</v>
      </c>
      <c r="U229" s="876">
        <f t="shared" si="35"/>
        <v>1076077.17</v>
      </c>
      <c r="V229" s="875">
        <f t="shared" si="35"/>
        <v>834546.17</v>
      </c>
      <c r="W229" s="875">
        <f t="shared" ref="W229:X244" si="44">O229+G229</f>
        <v>0</v>
      </c>
      <c r="X229" s="875">
        <f t="shared" si="44"/>
        <v>0</v>
      </c>
      <c r="Y229" s="876">
        <f>SUM(Y214:Y216)</f>
        <v>0</v>
      </c>
      <c r="Z229" s="875">
        <f t="shared" ref="Z229:AB244" si="45">R229+J229</f>
        <v>0</v>
      </c>
      <c r="AA229" s="875">
        <f t="shared" si="43"/>
        <v>202431</v>
      </c>
      <c r="AB229" s="875">
        <f t="shared" si="43"/>
        <v>39100</v>
      </c>
      <c r="AC229" s="876"/>
      <c r="AD229" s="820"/>
    </row>
    <row r="230" spans="1:30" s="614" customFormat="1" ht="29.25" customHeight="1" x14ac:dyDescent="0.2">
      <c r="A230" s="630" t="s">
        <v>741</v>
      </c>
      <c r="B230" s="631"/>
      <c r="C230" s="624"/>
      <c r="D230" s="624"/>
      <c r="E230" s="596">
        <f t="shared" si="42"/>
        <v>1836797.17</v>
      </c>
      <c r="F230" s="595">
        <f>'Прилож 4 24 (10)'!V230</f>
        <v>1595266.17</v>
      </c>
      <c r="G230" s="595">
        <f>'Прилож 4 24 (10)'!W230</f>
        <v>0</v>
      </c>
      <c r="H230" s="595">
        <f>'Прилож 4 24 (10)'!X230</f>
        <v>0</v>
      </c>
      <c r="I230" s="596">
        <f>I229+I213</f>
        <v>0</v>
      </c>
      <c r="J230" s="595">
        <f>'Прилож 4 24 (10)'!Z230</f>
        <v>0</v>
      </c>
      <c r="K230" s="595">
        <f>'Прилож 4 24 (10)'!AA230</f>
        <v>202431</v>
      </c>
      <c r="L230" s="595">
        <f>'Прилож 4 24 (10)'!AB230</f>
        <v>39100</v>
      </c>
      <c r="M230" s="876">
        <f t="shared" si="33"/>
        <v>0</v>
      </c>
      <c r="N230" s="876">
        <f>N213+N229</f>
        <v>0</v>
      </c>
      <c r="O230" s="876"/>
      <c r="P230" s="876">
        <f>P229+P213</f>
        <v>0</v>
      </c>
      <c r="Q230" s="876"/>
      <c r="R230" s="876"/>
      <c r="S230" s="876">
        <f>S213+S229</f>
        <v>0</v>
      </c>
      <c r="T230" s="876">
        <f>T213+T229</f>
        <v>0</v>
      </c>
      <c r="U230" s="876">
        <f t="shared" si="35"/>
        <v>1836797.17</v>
      </c>
      <c r="V230" s="875">
        <f t="shared" si="35"/>
        <v>1595266.17</v>
      </c>
      <c r="W230" s="875">
        <f t="shared" si="44"/>
        <v>0</v>
      </c>
      <c r="X230" s="875">
        <f t="shared" si="44"/>
        <v>0</v>
      </c>
      <c r="Y230" s="876">
        <f>Y229+Y213</f>
        <v>0</v>
      </c>
      <c r="Z230" s="875">
        <f t="shared" si="45"/>
        <v>0</v>
      </c>
      <c r="AA230" s="875">
        <f t="shared" si="43"/>
        <v>202431</v>
      </c>
      <c r="AB230" s="875">
        <f t="shared" si="43"/>
        <v>39100</v>
      </c>
      <c r="AC230" s="876"/>
    </row>
    <row r="231" spans="1:30" ht="22.5" customHeight="1" x14ac:dyDescent="0.2">
      <c r="A231" s="618" t="s">
        <v>588</v>
      </c>
      <c r="B231" s="619" t="s">
        <v>747</v>
      </c>
      <c r="C231" s="620">
        <v>244</v>
      </c>
      <c r="D231" s="620">
        <v>341</v>
      </c>
      <c r="E231" s="596">
        <f t="shared" si="42"/>
        <v>0</v>
      </c>
      <c r="F231" s="595">
        <f>'Прилож 4 24 (10)'!V231</f>
        <v>0</v>
      </c>
      <c r="G231" s="595">
        <f>'Прилож 4 24 (10)'!W231</f>
        <v>0</v>
      </c>
      <c r="H231" s="595">
        <f>'Прилож 4 24 (10)'!X231</f>
        <v>0</v>
      </c>
      <c r="I231" s="621"/>
      <c r="J231" s="595">
        <f>'Прилож 4 24 (10)'!Z231</f>
        <v>0</v>
      </c>
      <c r="K231" s="595">
        <f>'Прилож 4 24 (10)'!AA231</f>
        <v>0</v>
      </c>
      <c r="L231" s="595">
        <f>'Прилож 4 24 (10)'!AB231</f>
        <v>0</v>
      </c>
      <c r="M231" s="876">
        <f t="shared" si="33"/>
        <v>0</v>
      </c>
      <c r="N231" s="875"/>
      <c r="O231" s="875"/>
      <c r="P231" s="875"/>
      <c r="Q231" s="894"/>
      <c r="R231" s="875"/>
      <c r="S231" s="875"/>
      <c r="T231" s="875"/>
      <c r="U231" s="876">
        <f t="shared" si="35"/>
        <v>0</v>
      </c>
      <c r="V231" s="875">
        <f t="shared" si="35"/>
        <v>0</v>
      </c>
      <c r="W231" s="875">
        <f t="shared" si="44"/>
        <v>0</v>
      </c>
      <c r="X231" s="875">
        <f t="shared" si="44"/>
        <v>0</v>
      </c>
      <c r="Y231" s="877"/>
      <c r="Z231" s="875">
        <f t="shared" si="45"/>
        <v>0</v>
      </c>
      <c r="AA231" s="875">
        <f t="shared" si="43"/>
        <v>0</v>
      </c>
      <c r="AB231" s="875">
        <f t="shared" si="43"/>
        <v>0</v>
      </c>
      <c r="AC231" s="878"/>
    </row>
    <row r="232" spans="1:30" ht="19.5" customHeight="1" x14ac:dyDescent="0.2">
      <c r="A232" s="618" t="s">
        <v>588</v>
      </c>
      <c r="B232" s="619" t="s">
        <v>729</v>
      </c>
      <c r="C232" s="620">
        <v>244</v>
      </c>
      <c r="D232" s="620">
        <v>341</v>
      </c>
      <c r="E232" s="596">
        <f t="shared" si="42"/>
        <v>27315</v>
      </c>
      <c r="F232" s="595">
        <f>'Прилож 4 24 (10)'!V232</f>
        <v>0</v>
      </c>
      <c r="G232" s="595">
        <f>'Прилож 4 24 (10)'!W232</f>
        <v>0</v>
      </c>
      <c r="H232" s="595">
        <f>'Прилож 4 24 (10)'!X232</f>
        <v>13280</v>
      </c>
      <c r="I232" s="621" t="s">
        <v>1226</v>
      </c>
      <c r="J232" s="595">
        <f>'Прилож 4 24 (10)'!Z232</f>
        <v>0</v>
      </c>
      <c r="K232" s="595">
        <f>'Прилож 4 24 (10)'!AA232</f>
        <v>14035</v>
      </c>
      <c r="L232" s="595">
        <f>'Прилож 4 24 (10)'!AB232</f>
        <v>0</v>
      </c>
      <c r="M232" s="876">
        <f t="shared" si="33"/>
        <v>0</v>
      </c>
      <c r="N232" s="875"/>
      <c r="O232" s="875"/>
      <c r="P232" s="875"/>
      <c r="Q232" s="894"/>
      <c r="R232" s="875"/>
      <c r="S232" s="875"/>
      <c r="T232" s="875"/>
      <c r="U232" s="876">
        <f t="shared" si="35"/>
        <v>27315</v>
      </c>
      <c r="V232" s="875">
        <f t="shared" si="35"/>
        <v>0</v>
      </c>
      <c r="W232" s="875">
        <f t="shared" si="44"/>
        <v>0</v>
      </c>
      <c r="X232" s="875">
        <f t="shared" si="44"/>
        <v>13280</v>
      </c>
      <c r="Y232" s="877" t="s">
        <v>1226</v>
      </c>
      <c r="Z232" s="875">
        <f t="shared" si="45"/>
        <v>0</v>
      </c>
      <c r="AA232" s="875">
        <f t="shared" si="43"/>
        <v>14035</v>
      </c>
      <c r="AB232" s="875">
        <f t="shared" si="43"/>
        <v>0</v>
      </c>
      <c r="AC232" s="878"/>
    </row>
    <row r="233" spans="1:30" s="614" customFormat="1" ht="26.25" customHeight="1" x14ac:dyDescent="0.2">
      <c r="A233" s="630" t="s">
        <v>742</v>
      </c>
      <c r="B233" s="631"/>
      <c r="C233" s="624"/>
      <c r="D233" s="624"/>
      <c r="E233" s="596">
        <f t="shared" si="42"/>
        <v>27315</v>
      </c>
      <c r="F233" s="595">
        <f>'Прилож 4 24 (10)'!V233</f>
        <v>0</v>
      </c>
      <c r="G233" s="595">
        <f>'Прилож 4 24 (10)'!W233</f>
        <v>0</v>
      </c>
      <c r="H233" s="595">
        <f>'Прилож 4 24 (10)'!X233</f>
        <v>13280</v>
      </c>
      <c r="I233" s="626"/>
      <c r="J233" s="595">
        <f>'Прилож 4 24 (10)'!Z233</f>
        <v>0</v>
      </c>
      <c r="K233" s="595">
        <f>'Прилож 4 24 (10)'!AA233</f>
        <v>14035</v>
      </c>
      <c r="L233" s="595">
        <f>'Прилож 4 24 (10)'!AB233</f>
        <v>0</v>
      </c>
      <c r="M233" s="876">
        <f t="shared" si="33"/>
        <v>0</v>
      </c>
      <c r="N233" s="876"/>
      <c r="O233" s="876"/>
      <c r="P233" s="876">
        <f>P231+P232</f>
        <v>0</v>
      </c>
      <c r="Q233" s="881"/>
      <c r="R233" s="876"/>
      <c r="S233" s="876"/>
      <c r="T233" s="876"/>
      <c r="U233" s="876">
        <f t="shared" si="35"/>
        <v>27315</v>
      </c>
      <c r="V233" s="875">
        <f t="shared" si="35"/>
        <v>0</v>
      </c>
      <c r="W233" s="875">
        <f t="shared" si="44"/>
        <v>0</v>
      </c>
      <c r="X233" s="875">
        <f t="shared" si="44"/>
        <v>13280</v>
      </c>
      <c r="Y233" s="881"/>
      <c r="Z233" s="875">
        <f t="shared" si="45"/>
        <v>0</v>
      </c>
      <c r="AA233" s="875">
        <f t="shared" si="43"/>
        <v>14035</v>
      </c>
      <c r="AB233" s="875">
        <f t="shared" si="43"/>
        <v>0</v>
      </c>
      <c r="AC233" s="879"/>
    </row>
    <row r="234" spans="1:30" ht="45.6" customHeight="1" x14ac:dyDescent="0.2">
      <c r="A234" s="618" t="s">
        <v>1736</v>
      </c>
      <c r="B234" s="619" t="s">
        <v>747</v>
      </c>
      <c r="C234" s="620">
        <v>244</v>
      </c>
      <c r="D234" s="620">
        <v>342</v>
      </c>
      <c r="E234" s="596">
        <f t="shared" si="42"/>
        <v>1623895.72</v>
      </c>
      <c r="F234" s="595">
        <f>'Прилож 4 24 (10)'!V234</f>
        <v>0</v>
      </c>
      <c r="G234" s="595">
        <f>'Прилож 4 24 (10)'!W234</f>
        <v>0</v>
      </c>
      <c r="H234" s="595">
        <f>'Прилож 4 24 (10)'!X234</f>
        <v>671438.72</v>
      </c>
      <c r="I234" s="628"/>
      <c r="J234" s="595">
        <f>'Прилож 4 24 (10)'!Z234</f>
        <v>0</v>
      </c>
      <c r="K234" s="595">
        <f>'Прилож 4 24 (10)'!AA234</f>
        <v>0</v>
      </c>
      <c r="L234" s="595">
        <f>'Прилож 4 24 (10)'!AB234</f>
        <v>952457</v>
      </c>
      <c r="M234" s="876">
        <f t="shared" si="33"/>
        <v>0</v>
      </c>
      <c r="N234" s="875"/>
      <c r="O234" s="875"/>
      <c r="P234" s="875"/>
      <c r="Q234" s="877"/>
      <c r="R234" s="875"/>
      <c r="S234" s="875"/>
      <c r="T234" s="875"/>
      <c r="U234" s="876">
        <f t="shared" si="35"/>
        <v>1623895.72</v>
      </c>
      <c r="V234" s="875">
        <f t="shared" si="35"/>
        <v>0</v>
      </c>
      <c r="W234" s="875">
        <f t="shared" si="44"/>
        <v>0</v>
      </c>
      <c r="X234" s="875">
        <f t="shared" si="44"/>
        <v>671438.72</v>
      </c>
      <c r="Y234" s="883"/>
      <c r="Z234" s="875">
        <f t="shared" si="45"/>
        <v>0</v>
      </c>
      <c r="AA234" s="875">
        <f t="shared" si="43"/>
        <v>0</v>
      </c>
      <c r="AB234" s="875">
        <f t="shared" si="43"/>
        <v>952457</v>
      </c>
      <c r="AC234" s="878"/>
    </row>
    <row r="235" spans="1:30" s="614" customFormat="1" ht="26.25" customHeight="1" x14ac:dyDescent="0.2">
      <c r="A235" s="630" t="s">
        <v>786</v>
      </c>
      <c r="B235" s="631"/>
      <c r="C235" s="624"/>
      <c r="D235" s="624"/>
      <c r="E235" s="596">
        <f t="shared" si="42"/>
        <v>1623895.72</v>
      </c>
      <c r="F235" s="595">
        <f>'Прилож 4 24 (10)'!V235</f>
        <v>0</v>
      </c>
      <c r="G235" s="595">
        <f>'Прилож 4 24 (10)'!W235</f>
        <v>0</v>
      </c>
      <c r="H235" s="595">
        <f>'Прилож 4 24 (10)'!X235</f>
        <v>671438.72</v>
      </c>
      <c r="I235" s="626"/>
      <c r="J235" s="595">
        <f>'Прилож 4 24 (10)'!Z235</f>
        <v>0</v>
      </c>
      <c r="K235" s="595">
        <f>'Прилож 4 24 (10)'!AA235</f>
        <v>0</v>
      </c>
      <c r="L235" s="595">
        <f>'Прилож 4 24 (10)'!AB235</f>
        <v>952457</v>
      </c>
      <c r="M235" s="876">
        <f t="shared" si="33"/>
        <v>0</v>
      </c>
      <c r="N235" s="876"/>
      <c r="O235" s="876"/>
      <c r="P235" s="876">
        <f>SUM(P234)</f>
        <v>0</v>
      </c>
      <c r="Q235" s="881"/>
      <c r="R235" s="876"/>
      <c r="S235" s="876"/>
      <c r="T235" s="876">
        <f>SUM(T234)</f>
        <v>0</v>
      </c>
      <c r="U235" s="876">
        <f t="shared" si="35"/>
        <v>1623895.72</v>
      </c>
      <c r="V235" s="875">
        <f t="shared" si="35"/>
        <v>0</v>
      </c>
      <c r="W235" s="875">
        <f t="shared" si="44"/>
        <v>0</v>
      </c>
      <c r="X235" s="875">
        <f t="shared" si="44"/>
        <v>671438.72</v>
      </c>
      <c r="Y235" s="881"/>
      <c r="Z235" s="875">
        <f t="shared" si="45"/>
        <v>0</v>
      </c>
      <c r="AA235" s="875">
        <f t="shared" si="43"/>
        <v>0</v>
      </c>
      <c r="AB235" s="875">
        <f t="shared" si="43"/>
        <v>952457</v>
      </c>
      <c r="AC235" s="879"/>
      <c r="AD235" s="818"/>
    </row>
    <row r="236" spans="1:30" ht="47.25" x14ac:dyDescent="0.2">
      <c r="A236" s="618" t="s">
        <v>793</v>
      </c>
      <c r="B236" s="619" t="s">
        <v>791</v>
      </c>
      <c r="C236" s="620">
        <v>244</v>
      </c>
      <c r="D236" s="620">
        <v>342</v>
      </c>
      <c r="E236" s="596">
        <f t="shared" si="42"/>
        <v>510000</v>
      </c>
      <c r="F236" s="595">
        <f>'Прилож 4 24 (10)'!V236</f>
        <v>510000</v>
      </c>
      <c r="G236" s="595">
        <f>'Прилож 4 24 (10)'!W236</f>
        <v>0</v>
      </c>
      <c r="H236" s="595">
        <f>'Прилож 4 24 (10)'!X236</f>
        <v>0</v>
      </c>
      <c r="I236" s="628"/>
      <c r="J236" s="595">
        <f>'Прилож 4 24 (10)'!Z236</f>
        <v>0</v>
      </c>
      <c r="K236" s="595">
        <f>'Прилож 4 24 (10)'!AA236</f>
        <v>0</v>
      </c>
      <c r="L236" s="595">
        <f>'Прилож 4 24 (10)'!AB236</f>
        <v>0</v>
      </c>
      <c r="M236" s="876">
        <f t="shared" si="33"/>
        <v>0</v>
      </c>
      <c r="N236" s="875"/>
      <c r="O236" s="875"/>
      <c r="P236" s="875"/>
      <c r="Q236" s="877"/>
      <c r="R236" s="875"/>
      <c r="S236" s="875"/>
      <c r="T236" s="875"/>
      <c r="U236" s="876">
        <f t="shared" si="35"/>
        <v>510000</v>
      </c>
      <c r="V236" s="875">
        <f t="shared" si="35"/>
        <v>510000</v>
      </c>
      <c r="W236" s="875">
        <f t="shared" si="44"/>
        <v>0</v>
      </c>
      <c r="X236" s="875">
        <f t="shared" si="44"/>
        <v>0</v>
      </c>
      <c r="Y236" s="883"/>
      <c r="Z236" s="875">
        <f t="shared" si="45"/>
        <v>0</v>
      </c>
      <c r="AA236" s="875">
        <f t="shared" si="43"/>
        <v>0</v>
      </c>
      <c r="AB236" s="875">
        <f t="shared" si="43"/>
        <v>0</v>
      </c>
      <c r="AC236" s="1003"/>
    </row>
    <row r="237" spans="1:30" s="614" customFormat="1" ht="21" customHeight="1" x14ac:dyDescent="0.2">
      <c r="A237" s="630" t="s">
        <v>786</v>
      </c>
      <c r="B237" s="631"/>
      <c r="C237" s="624"/>
      <c r="D237" s="624"/>
      <c r="E237" s="596">
        <f t="shared" si="42"/>
        <v>510000</v>
      </c>
      <c r="F237" s="595">
        <f>'Прилож 4 24 (10)'!V237</f>
        <v>510000</v>
      </c>
      <c r="G237" s="595">
        <f>'Прилож 4 24 (10)'!W237</f>
        <v>0</v>
      </c>
      <c r="H237" s="595">
        <f>'Прилож 4 24 (10)'!X237</f>
        <v>0</v>
      </c>
      <c r="I237" s="626"/>
      <c r="J237" s="595">
        <f>'Прилож 4 24 (10)'!Z237</f>
        <v>0</v>
      </c>
      <c r="K237" s="595">
        <f>'Прилож 4 24 (10)'!AA237</f>
        <v>0</v>
      </c>
      <c r="L237" s="595">
        <f>'Прилож 4 24 (10)'!AB237</f>
        <v>0</v>
      </c>
      <c r="M237" s="876">
        <f t="shared" si="33"/>
        <v>0</v>
      </c>
      <c r="N237" s="876">
        <f>SUM(N236:N236)</f>
        <v>0</v>
      </c>
      <c r="O237" s="876"/>
      <c r="P237" s="876"/>
      <c r="Q237" s="881"/>
      <c r="R237" s="876"/>
      <c r="S237" s="876"/>
      <c r="T237" s="876"/>
      <c r="U237" s="876">
        <f t="shared" si="35"/>
        <v>510000</v>
      </c>
      <c r="V237" s="875">
        <f t="shared" si="35"/>
        <v>510000</v>
      </c>
      <c r="W237" s="875">
        <f t="shared" si="44"/>
        <v>0</v>
      </c>
      <c r="X237" s="875">
        <f t="shared" si="44"/>
        <v>0</v>
      </c>
      <c r="Y237" s="881"/>
      <c r="Z237" s="875">
        <f t="shared" si="45"/>
        <v>0</v>
      </c>
      <c r="AA237" s="875">
        <f t="shared" si="45"/>
        <v>0</v>
      </c>
      <c r="AB237" s="875">
        <f t="shared" si="45"/>
        <v>0</v>
      </c>
      <c r="AC237" s="624"/>
    </row>
    <row r="238" spans="1:30" ht="19.5" customHeight="1" x14ac:dyDescent="0.2">
      <c r="A238" s="618" t="s">
        <v>621</v>
      </c>
      <c r="B238" s="619" t="s">
        <v>747</v>
      </c>
      <c r="C238" s="620">
        <v>244</v>
      </c>
      <c r="D238" s="620">
        <v>343</v>
      </c>
      <c r="E238" s="596">
        <f t="shared" si="42"/>
        <v>256</v>
      </c>
      <c r="F238" s="595">
        <f>'Прилож 4 24 (10)'!V238</f>
        <v>0</v>
      </c>
      <c r="G238" s="595">
        <f>'Прилож 4 24 (10)'!W238</f>
        <v>0</v>
      </c>
      <c r="H238" s="595">
        <f>'Прилож 4 24 (10)'!X238</f>
        <v>256</v>
      </c>
      <c r="I238" s="628"/>
      <c r="J238" s="595">
        <f>'Прилож 4 24 (10)'!Z238</f>
        <v>0</v>
      </c>
      <c r="K238" s="595">
        <f>'Прилож 4 24 (10)'!AA238</f>
        <v>0</v>
      </c>
      <c r="L238" s="595">
        <f>'Прилож 4 24 (10)'!AB238</f>
        <v>0</v>
      </c>
      <c r="M238" s="876">
        <f t="shared" ref="M238:M266" si="46">N238+P238+R238+S238+T238+O238</f>
        <v>0</v>
      </c>
      <c r="N238" s="875"/>
      <c r="O238" s="875"/>
      <c r="P238" s="875"/>
      <c r="Q238" s="877"/>
      <c r="R238" s="875"/>
      <c r="S238" s="875"/>
      <c r="T238" s="875"/>
      <c r="U238" s="876">
        <f t="shared" si="35"/>
        <v>256</v>
      </c>
      <c r="V238" s="875">
        <f t="shared" si="35"/>
        <v>0</v>
      </c>
      <c r="W238" s="875">
        <f t="shared" si="44"/>
        <v>0</v>
      </c>
      <c r="X238" s="875">
        <f t="shared" si="44"/>
        <v>256</v>
      </c>
      <c r="Y238" s="883"/>
      <c r="Z238" s="875">
        <f t="shared" si="45"/>
        <v>0</v>
      </c>
      <c r="AA238" s="875">
        <f t="shared" si="45"/>
        <v>0</v>
      </c>
      <c r="AB238" s="875">
        <f t="shared" si="45"/>
        <v>0</v>
      </c>
      <c r="AC238" s="879"/>
    </row>
    <row r="239" spans="1:30" ht="50.45" customHeight="1" x14ac:dyDescent="0.2">
      <c r="A239" s="618" t="s">
        <v>1145</v>
      </c>
      <c r="B239" s="619" t="s">
        <v>729</v>
      </c>
      <c r="C239" s="620">
        <v>244</v>
      </c>
      <c r="D239" s="620">
        <v>343</v>
      </c>
      <c r="E239" s="596">
        <f t="shared" si="42"/>
        <v>360262</v>
      </c>
      <c r="F239" s="595">
        <f>'Прилож 4 24 (10)'!V239</f>
        <v>350000</v>
      </c>
      <c r="G239" s="595">
        <f>'Прилож 4 24 (10)'!W239</f>
        <v>0</v>
      </c>
      <c r="H239" s="595">
        <f>'Прилож 4 24 (10)'!X239</f>
        <v>10262</v>
      </c>
      <c r="I239" s="628"/>
      <c r="J239" s="595">
        <f>'Прилож 4 24 (10)'!Z239</f>
        <v>0</v>
      </c>
      <c r="K239" s="595">
        <f>'Прилож 4 24 (10)'!AA239</f>
        <v>0</v>
      </c>
      <c r="L239" s="595">
        <f>'Прилож 4 24 (10)'!AB239</f>
        <v>0</v>
      </c>
      <c r="M239" s="876">
        <f t="shared" si="46"/>
        <v>0</v>
      </c>
      <c r="N239" s="875"/>
      <c r="O239" s="875"/>
      <c r="P239" s="875"/>
      <c r="Q239" s="877"/>
      <c r="R239" s="875"/>
      <c r="S239" s="875"/>
      <c r="T239" s="875"/>
      <c r="U239" s="876">
        <f t="shared" si="35"/>
        <v>360262</v>
      </c>
      <c r="V239" s="875">
        <f t="shared" si="35"/>
        <v>350000</v>
      </c>
      <c r="W239" s="875">
        <f t="shared" si="44"/>
        <v>0</v>
      </c>
      <c r="X239" s="875">
        <f t="shared" si="44"/>
        <v>10262</v>
      </c>
      <c r="Y239" s="883"/>
      <c r="Z239" s="875">
        <f t="shared" si="45"/>
        <v>0</v>
      </c>
      <c r="AA239" s="875">
        <f t="shared" si="45"/>
        <v>0</v>
      </c>
      <c r="AB239" s="875">
        <f t="shared" si="45"/>
        <v>0</v>
      </c>
      <c r="AC239" s="878"/>
    </row>
    <row r="240" spans="1:30" s="614" customFormat="1" ht="22.5" customHeight="1" x14ac:dyDescent="0.2">
      <c r="A240" s="630" t="s">
        <v>879</v>
      </c>
      <c r="B240" s="631"/>
      <c r="C240" s="624"/>
      <c r="D240" s="624"/>
      <c r="E240" s="596">
        <f t="shared" si="42"/>
        <v>360518</v>
      </c>
      <c r="F240" s="595">
        <f>'Прилож 4 24 (10)'!V240</f>
        <v>350000</v>
      </c>
      <c r="G240" s="595">
        <f>'Прилож 4 24 (10)'!W240</f>
        <v>0</v>
      </c>
      <c r="H240" s="595">
        <f>'Прилож 4 24 (10)'!X240</f>
        <v>10518</v>
      </c>
      <c r="I240" s="626"/>
      <c r="J240" s="595">
        <f>'Прилож 4 24 (10)'!Z240</f>
        <v>0</v>
      </c>
      <c r="K240" s="595">
        <f>'Прилож 4 24 (10)'!AA240</f>
        <v>0</v>
      </c>
      <c r="L240" s="595">
        <f>'Прилож 4 24 (10)'!AB240</f>
        <v>0</v>
      </c>
      <c r="M240" s="876">
        <f t="shared" si="46"/>
        <v>0</v>
      </c>
      <c r="N240" s="876">
        <f>SUM(N238:N239)</f>
        <v>0</v>
      </c>
      <c r="O240" s="876"/>
      <c r="P240" s="876">
        <f>SUM(P238:P239)</f>
        <v>0</v>
      </c>
      <c r="Q240" s="881"/>
      <c r="R240" s="876"/>
      <c r="S240" s="876"/>
      <c r="T240" s="876"/>
      <c r="U240" s="876">
        <f t="shared" si="35"/>
        <v>360518</v>
      </c>
      <c r="V240" s="875">
        <f t="shared" si="35"/>
        <v>350000</v>
      </c>
      <c r="W240" s="875">
        <f t="shared" si="44"/>
        <v>0</v>
      </c>
      <c r="X240" s="875">
        <f t="shared" si="44"/>
        <v>10518</v>
      </c>
      <c r="Y240" s="881"/>
      <c r="Z240" s="875">
        <f t="shared" si="45"/>
        <v>0</v>
      </c>
      <c r="AA240" s="875">
        <f t="shared" si="45"/>
        <v>0</v>
      </c>
      <c r="AB240" s="875">
        <f t="shared" si="45"/>
        <v>0</v>
      </c>
      <c r="AC240" s="879"/>
    </row>
    <row r="241" spans="1:31" s="614" customFormat="1" ht="22.5" customHeight="1" x14ac:dyDescent="0.2">
      <c r="A241" s="618" t="s">
        <v>941</v>
      </c>
      <c r="B241" s="619" t="s">
        <v>729</v>
      </c>
      <c r="C241" s="620">
        <v>244</v>
      </c>
      <c r="D241" s="620">
        <v>344</v>
      </c>
      <c r="E241" s="596">
        <f t="shared" si="42"/>
        <v>0</v>
      </c>
      <c r="F241" s="595">
        <f>'Прилож 4 24 (10)'!V241</f>
        <v>0</v>
      </c>
      <c r="G241" s="595">
        <f>'Прилож 4 24 (10)'!W241</f>
        <v>0</v>
      </c>
      <c r="H241" s="595">
        <f>'Прилож 4 24 (10)'!X241</f>
        <v>0</v>
      </c>
      <c r="I241" s="628"/>
      <c r="J241" s="595">
        <f>'Прилож 4 24 (10)'!Z241</f>
        <v>0</v>
      </c>
      <c r="K241" s="595">
        <f>'Прилож 4 24 (10)'!AA241</f>
        <v>0</v>
      </c>
      <c r="L241" s="595">
        <f>'Прилож 4 24 (10)'!AB241</f>
        <v>0</v>
      </c>
      <c r="M241" s="876">
        <f t="shared" si="46"/>
        <v>0</v>
      </c>
      <c r="N241" s="876"/>
      <c r="O241" s="876"/>
      <c r="P241" s="875"/>
      <c r="Q241" s="883"/>
      <c r="R241" s="876"/>
      <c r="S241" s="876"/>
      <c r="T241" s="875"/>
      <c r="U241" s="876">
        <f t="shared" si="35"/>
        <v>0</v>
      </c>
      <c r="V241" s="875">
        <f t="shared" si="35"/>
        <v>0</v>
      </c>
      <c r="W241" s="875">
        <f t="shared" si="44"/>
        <v>0</v>
      </c>
      <c r="X241" s="875">
        <f t="shared" si="44"/>
        <v>0</v>
      </c>
      <c r="Y241" s="883"/>
      <c r="Z241" s="875">
        <f t="shared" si="45"/>
        <v>0</v>
      </c>
      <c r="AA241" s="875">
        <f t="shared" si="45"/>
        <v>0</v>
      </c>
      <c r="AB241" s="875">
        <f t="shared" si="45"/>
        <v>0</v>
      </c>
      <c r="AC241" s="878"/>
    </row>
    <row r="242" spans="1:31" s="614" customFormat="1" ht="22.5" customHeight="1" x14ac:dyDescent="0.2">
      <c r="A242" s="630" t="s">
        <v>942</v>
      </c>
      <c r="B242" s="631"/>
      <c r="C242" s="624"/>
      <c r="D242" s="624"/>
      <c r="E242" s="596">
        <f t="shared" si="42"/>
        <v>0</v>
      </c>
      <c r="F242" s="595">
        <f>'Прилож 4 24 (10)'!V242</f>
        <v>0</v>
      </c>
      <c r="G242" s="595">
        <f>'Прилож 4 24 (10)'!W242</f>
        <v>0</v>
      </c>
      <c r="H242" s="595">
        <f>'Прилож 4 24 (10)'!X242</f>
        <v>0</v>
      </c>
      <c r="I242" s="626"/>
      <c r="J242" s="595">
        <f>'Прилож 4 24 (10)'!Z242</f>
        <v>0</v>
      </c>
      <c r="K242" s="595">
        <f>'Прилож 4 24 (10)'!AA242</f>
        <v>0</v>
      </c>
      <c r="L242" s="595">
        <f>'Прилож 4 24 (10)'!AB242</f>
        <v>0</v>
      </c>
      <c r="M242" s="876">
        <f t="shared" si="46"/>
        <v>0</v>
      </c>
      <c r="N242" s="876"/>
      <c r="O242" s="876"/>
      <c r="P242" s="876"/>
      <c r="Q242" s="881"/>
      <c r="R242" s="876"/>
      <c r="S242" s="876"/>
      <c r="T242" s="876"/>
      <c r="U242" s="876">
        <f t="shared" si="35"/>
        <v>0</v>
      </c>
      <c r="V242" s="875">
        <f t="shared" si="35"/>
        <v>0</v>
      </c>
      <c r="W242" s="875">
        <f t="shared" si="44"/>
        <v>0</v>
      </c>
      <c r="X242" s="875">
        <f t="shared" si="44"/>
        <v>0</v>
      </c>
      <c r="Y242" s="881"/>
      <c r="Z242" s="875">
        <f t="shared" si="45"/>
        <v>0</v>
      </c>
      <c r="AA242" s="875">
        <f t="shared" si="45"/>
        <v>0</v>
      </c>
      <c r="AB242" s="875">
        <f t="shared" si="45"/>
        <v>0</v>
      </c>
      <c r="AC242" s="1084"/>
    </row>
    <row r="243" spans="1:31" ht="29.25" customHeight="1" x14ac:dyDescent="0.2">
      <c r="A243" s="618" t="s">
        <v>169</v>
      </c>
      <c r="B243" s="619" t="s">
        <v>747</v>
      </c>
      <c r="C243" s="620">
        <v>244</v>
      </c>
      <c r="D243" s="620">
        <v>345</v>
      </c>
      <c r="E243" s="596">
        <f t="shared" si="42"/>
        <v>18430</v>
      </c>
      <c r="F243" s="595">
        <f>'Прилож 4 24 (10)'!V243</f>
        <v>0</v>
      </c>
      <c r="G243" s="595">
        <f>'Прилож 4 24 (10)'!W243</f>
        <v>0</v>
      </c>
      <c r="H243" s="595">
        <f>'Прилож 4 24 (10)'!X243</f>
        <v>0</v>
      </c>
      <c r="I243" s="628"/>
      <c r="J243" s="595">
        <f>'Прилож 4 24 (10)'!Z243</f>
        <v>0</v>
      </c>
      <c r="K243" s="595">
        <f>'Прилож 4 24 (10)'!AA243</f>
        <v>0</v>
      </c>
      <c r="L243" s="595">
        <f>'Прилож 4 24 (10)'!AB243</f>
        <v>18430</v>
      </c>
      <c r="M243" s="876">
        <f t="shared" si="46"/>
        <v>0</v>
      </c>
      <c r="N243" s="875"/>
      <c r="O243" s="875"/>
      <c r="P243" s="875"/>
      <c r="Q243" s="877"/>
      <c r="R243" s="875"/>
      <c r="S243" s="875"/>
      <c r="T243" s="875"/>
      <c r="U243" s="876">
        <f t="shared" si="35"/>
        <v>18430</v>
      </c>
      <c r="V243" s="875">
        <f t="shared" si="35"/>
        <v>0</v>
      </c>
      <c r="W243" s="875">
        <f t="shared" si="44"/>
        <v>0</v>
      </c>
      <c r="X243" s="875">
        <f t="shared" si="44"/>
        <v>0</v>
      </c>
      <c r="Y243" s="883"/>
      <c r="Z243" s="875">
        <f t="shared" si="45"/>
        <v>0</v>
      </c>
      <c r="AA243" s="875">
        <f t="shared" si="45"/>
        <v>0</v>
      </c>
      <c r="AB243" s="875">
        <f t="shared" si="45"/>
        <v>18430</v>
      </c>
      <c r="AC243" s="878"/>
    </row>
    <row r="244" spans="1:31" s="614" customFormat="1" ht="30" customHeight="1" x14ac:dyDescent="0.2">
      <c r="A244" s="630" t="s">
        <v>743</v>
      </c>
      <c r="B244" s="631"/>
      <c r="C244" s="624"/>
      <c r="D244" s="624"/>
      <c r="E244" s="596">
        <f t="shared" si="42"/>
        <v>18430</v>
      </c>
      <c r="F244" s="595">
        <f>'Прилож 4 24 (10)'!V244</f>
        <v>0</v>
      </c>
      <c r="G244" s="595">
        <f>'Прилож 4 24 (10)'!W244</f>
        <v>0</v>
      </c>
      <c r="H244" s="595">
        <f>'Прилож 4 24 (10)'!X244</f>
        <v>0</v>
      </c>
      <c r="I244" s="626"/>
      <c r="J244" s="595">
        <f>'Прилож 4 24 (10)'!Z244</f>
        <v>0</v>
      </c>
      <c r="K244" s="595">
        <f>'Прилож 4 24 (10)'!AA244</f>
        <v>0</v>
      </c>
      <c r="L244" s="595">
        <f>'Прилож 4 24 (10)'!AB244</f>
        <v>18430</v>
      </c>
      <c r="M244" s="876">
        <f t="shared" si="46"/>
        <v>0</v>
      </c>
      <c r="N244" s="876"/>
      <c r="O244" s="876"/>
      <c r="P244" s="876"/>
      <c r="Q244" s="881"/>
      <c r="R244" s="876"/>
      <c r="S244" s="876"/>
      <c r="T244" s="876">
        <f>T243</f>
        <v>0</v>
      </c>
      <c r="U244" s="876">
        <f t="shared" si="35"/>
        <v>18430</v>
      </c>
      <c r="V244" s="875">
        <f t="shared" si="35"/>
        <v>0</v>
      </c>
      <c r="W244" s="875">
        <f t="shared" si="44"/>
        <v>0</v>
      </c>
      <c r="X244" s="875">
        <f t="shared" si="44"/>
        <v>0</v>
      </c>
      <c r="Y244" s="881"/>
      <c r="Z244" s="875">
        <f t="shared" si="45"/>
        <v>0</v>
      </c>
      <c r="AA244" s="875">
        <f t="shared" si="45"/>
        <v>0</v>
      </c>
      <c r="AB244" s="875">
        <f t="shared" si="45"/>
        <v>18430</v>
      </c>
      <c r="AC244" s="879"/>
    </row>
    <row r="245" spans="1:31" ht="50.25" customHeight="1" x14ac:dyDescent="0.2">
      <c r="A245" s="618" t="s">
        <v>1735</v>
      </c>
      <c r="B245" s="619" t="s">
        <v>747</v>
      </c>
      <c r="C245" s="620">
        <v>244</v>
      </c>
      <c r="D245" s="620">
        <v>346</v>
      </c>
      <c r="E245" s="596">
        <f t="shared" si="42"/>
        <v>434976.32</v>
      </c>
      <c r="F245" s="595">
        <f>'Прилож 4 24 (10)'!V245</f>
        <v>80000</v>
      </c>
      <c r="G245" s="595">
        <f>'Прилож 4 24 (10)'!W245</f>
        <v>0</v>
      </c>
      <c r="H245" s="595">
        <f>'Прилож 4 24 (10)'!X245</f>
        <v>306582.45</v>
      </c>
      <c r="I245" s="621"/>
      <c r="J245" s="595">
        <f>'Прилож 4 24 (10)'!Z245</f>
        <v>0</v>
      </c>
      <c r="K245" s="595">
        <f>'Прилож 4 24 (10)'!AA245</f>
        <v>0</v>
      </c>
      <c r="L245" s="595">
        <f>'Прилож 4 24 (10)'!AB245</f>
        <v>48393.87</v>
      </c>
      <c r="M245" s="876">
        <f t="shared" si="46"/>
        <v>0</v>
      </c>
      <c r="N245" s="875"/>
      <c r="O245" s="875"/>
      <c r="P245" s="875"/>
      <c r="Q245" s="877"/>
      <c r="R245" s="875"/>
      <c r="S245" s="875"/>
      <c r="T245" s="875"/>
      <c r="U245" s="876">
        <f t="shared" si="35"/>
        <v>434976.32</v>
      </c>
      <c r="V245" s="875">
        <f t="shared" si="35"/>
        <v>80000</v>
      </c>
      <c r="W245" s="875">
        <f t="shared" ref="W245:X254" si="47">O245+G245</f>
        <v>0</v>
      </c>
      <c r="X245" s="875">
        <f t="shared" si="47"/>
        <v>306582.45</v>
      </c>
      <c r="Y245" s="877"/>
      <c r="Z245" s="875">
        <f t="shared" ref="Z245:AB254" si="48">R245+J245</f>
        <v>0</v>
      </c>
      <c r="AA245" s="875">
        <f t="shared" si="48"/>
        <v>0</v>
      </c>
      <c r="AB245" s="875">
        <f t="shared" si="48"/>
        <v>48393.87</v>
      </c>
      <c r="AC245" s="878"/>
    </row>
    <row r="246" spans="1:31" ht="90" customHeight="1" x14ac:dyDescent="0.2">
      <c r="A246" s="618" t="s">
        <v>1311</v>
      </c>
      <c r="B246" s="619" t="s">
        <v>747</v>
      </c>
      <c r="C246" s="620">
        <v>244</v>
      </c>
      <c r="D246" s="620">
        <v>346</v>
      </c>
      <c r="E246" s="596">
        <f t="shared" si="42"/>
        <v>621152.19999999995</v>
      </c>
      <c r="F246" s="595">
        <f>'Прилож 4 24 (10)'!V246</f>
        <v>621152.19999999995</v>
      </c>
      <c r="G246" s="595">
        <f>'Прилож 4 24 (10)'!W246</f>
        <v>0</v>
      </c>
      <c r="H246" s="595">
        <f>'Прилож 4 24 (10)'!X246</f>
        <v>0</v>
      </c>
      <c r="I246" s="621"/>
      <c r="J246" s="595">
        <f>'Прилож 4 24 (10)'!Z246</f>
        <v>0</v>
      </c>
      <c r="K246" s="595">
        <f>'Прилож 4 24 (10)'!AA246</f>
        <v>0</v>
      </c>
      <c r="L246" s="595">
        <f>'Прилож 4 24 (10)'!AB246</f>
        <v>0</v>
      </c>
      <c r="M246" s="876">
        <f t="shared" si="46"/>
        <v>0</v>
      </c>
      <c r="N246" s="875"/>
      <c r="O246" s="875"/>
      <c r="P246" s="875"/>
      <c r="Q246" s="877"/>
      <c r="R246" s="875"/>
      <c r="S246" s="875"/>
      <c r="T246" s="875"/>
      <c r="U246" s="876">
        <f t="shared" si="35"/>
        <v>621152.19999999995</v>
      </c>
      <c r="V246" s="875">
        <f t="shared" si="35"/>
        <v>621152.19999999995</v>
      </c>
      <c r="W246" s="875">
        <f t="shared" si="47"/>
        <v>0</v>
      </c>
      <c r="X246" s="875">
        <f t="shared" si="47"/>
        <v>0</v>
      </c>
      <c r="Y246" s="877"/>
      <c r="Z246" s="875">
        <f t="shared" si="48"/>
        <v>0</v>
      </c>
      <c r="AA246" s="875">
        <f t="shared" si="48"/>
        <v>0</v>
      </c>
      <c r="AB246" s="875">
        <f t="shared" si="48"/>
        <v>0</v>
      </c>
      <c r="AC246" s="878"/>
      <c r="AD246" s="820"/>
    </row>
    <row r="247" spans="1:31" ht="32.25" customHeight="1" x14ac:dyDescent="0.2">
      <c r="A247" s="618" t="s">
        <v>1419</v>
      </c>
      <c r="B247" s="619" t="s">
        <v>747</v>
      </c>
      <c r="C247" s="620">
        <v>244</v>
      </c>
      <c r="D247" s="620">
        <v>346</v>
      </c>
      <c r="E247" s="596">
        <f t="shared" si="42"/>
        <v>30000</v>
      </c>
      <c r="F247" s="595">
        <f>'Прилож 4 24 (10)'!V247</f>
        <v>30000</v>
      </c>
      <c r="G247" s="595">
        <f>'Прилож 4 24 (10)'!W247</f>
        <v>0</v>
      </c>
      <c r="H247" s="595">
        <f>'Прилож 4 24 (10)'!X247</f>
        <v>0</v>
      </c>
      <c r="I247" s="621"/>
      <c r="J247" s="595">
        <f>'Прилож 4 24 (10)'!Z247</f>
        <v>0</v>
      </c>
      <c r="K247" s="595">
        <f>'Прилож 4 24 (10)'!AA247</f>
        <v>0</v>
      </c>
      <c r="L247" s="595">
        <f>'Прилож 4 24 (10)'!AB247</f>
        <v>0</v>
      </c>
      <c r="M247" s="876">
        <f t="shared" si="46"/>
        <v>0</v>
      </c>
      <c r="N247" s="875"/>
      <c r="O247" s="875"/>
      <c r="P247" s="875"/>
      <c r="Q247" s="877"/>
      <c r="R247" s="875"/>
      <c r="S247" s="875"/>
      <c r="T247" s="875"/>
      <c r="U247" s="876">
        <f t="shared" si="35"/>
        <v>30000</v>
      </c>
      <c r="V247" s="875">
        <f t="shared" si="35"/>
        <v>30000</v>
      </c>
      <c r="W247" s="875">
        <f t="shared" si="47"/>
        <v>0</v>
      </c>
      <c r="X247" s="875">
        <f t="shared" si="47"/>
        <v>0</v>
      </c>
      <c r="Y247" s="877"/>
      <c r="Z247" s="875">
        <f t="shared" si="48"/>
        <v>0</v>
      </c>
      <c r="AA247" s="875">
        <f t="shared" si="48"/>
        <v>0</v>
      </c>
      <c r="AB247" s="875">
        <f t="shared" si="48"/>
        <v>0</v>
      </c>
      <c r="AC247" s="878"/>
      <c r="AD247" s="820"/>
    </row>
    <row r="248" spans="1:31" ht="33" customHeight="1" x14ac:dyDescent="0.2">
      <c r="A248" s="618" t="s">
        <v>1293</v>
      </c>
      <c r="B248" s="619" t="s">
        <v>747</v>
      </c>
      <c r="C248" s="620">
        <v>244</v>
      </c>
      <c r="D248" s="620">
        <v>346</v>
      </c>
      <c r="E248" s="596">
        <f t="shared" si="42"/>
        <v>12000</v>
      </c>
      <c r="F248" s="595">
        <f>'Прилож 4 24 (10)'!V248</f>
        <v>0</v>
      </c>
      <c r="G248" s="595">
        <f>'Прилож 4 24 (10)'!W248</f>
        <v>0</v>
      </c>
      <c r="H248" s="595">
        <f>'Прилож 4 24 (10)'!X248</f>
        <v>0</v>
      </c>
      <c r="I248" s="621"/>
      <c r="J248" s="595">
        <f>'Прилож 4 24 (10)'!Z248</f>
        <v>0</v>
      </c>
      <c r="K248" s="595">
        <f>'Прилож 4 24 (10)'!AA248</f>
        <v>0</v>
      </c>
      <c r="L248" s="595">
        <f>'Прилож 4 24 (10)'!AB248</f>
        <v>12000</v>
      </c>
      <c r="M248" s="876">
        <f t="shared" si="46"/>
        <v>0</v>
      </c>
      <c r="N248" s="875"/>
      <c r="O248" s="875"/>
      <c r="P248" s="875"/>
      <c r="Q248" s="877"/>
      <c r="R248" s="875"/>
      <c r="S248" s="875"/>
      <c r="T248" s="875"/>
      <c r="U248" s="876">
        <f t="shared" si="35"/>
        <v>12000</v>
      </c>
      <c r="V248" s="875">
        <f t="shared" si="35"/>
        <v>0</v>
      </c>
      <c r="W248" s="875">
        <f t="shared" si="47"/>
        <v>0</v>
      </c>
      <c r="X248" s="875">
        <f t="shared" si="47"/>
        <v>0</v>
      </c>
      <c r="Y248" s="877"/>
      <c r="Z248" s="875">
        <f t="shared" si="48"/>
        <v>0</v>
      </c>
      <c r="AA248" s="875">
        <f t="shared" si="48"/>
        <v>0</v>
      </c>
      <c r="AB248" s="875">
        <f t="shared" si="48"/>
        <v>12000</v>
      </c>
      <c r="AC248" s="878"/>
      <c r="AD248" s="820"/>
    </row>
    <row r="249" spans="1:31" s="637" customFormat="1" ht="19.5" customHeight="1" x14ac:dyDescent="0.2">
      <c r="A249" s="632" t="s">
        <v>1143</v>
      </c>
      <c r="B249" s="633" t="s">
        <v>747</v>
      </c>
      <c r="C249" s="634">
        <v>244</v>
      </c>
      <c r="D249" s="634">
        <v>346</v>
      </c>
      <c r="E249" s="596">
        <f t="shared" si="42"/>
        <v>1098128.52</v>
      </c>
      <c r="F249" s="595">
        <f>'Прилож 4 24 (10)'!V249</f>
        <v>731152.2</v>
      </c>
      <c r="G249" s="595">
        <f>'Прилож 4 24 (10)'!W249</f>
        <v>0</v>
      </c>
      <c r="H249" s="595">
        <f>'Прилож 4 24 (10)'!X249</f>
        <v>306582.45</v>
      </c>
      <c r="I249" s="597">
        <f>SUM(I245:I248)</f>
        <v>0</v>
      </c>
      <c r="J249" s="595">
        <f>'Прилож 4 24 (10)'!Z249</f>
        <v>0</v>
      </c>
      <c r="K249" s="595">
        <f>'Прилож 4 24 (10)'!AA249</f>
        <v>0</v>
      </c>
      <c r="L249" s="595">
        <f>'Прилож 4 24 (10)'!AB249</f>
        <v>60393.87</v>
      </c>
      <c r="M249" s="876">
        <f t="shared" si="46"/>
        <v>0</v>
      </c>
      <c r="N249" s="876">
        <f>SUM(N245:N248)</f>
        <v>0</v>
      </c>
      <c r="O249" s="876"/>
      <c r="P249" s="876">
        <f>SUM(P245:P248)</f>
        <v>0</v>
      </c>
      <c r="Q249" s="876"/>
      <c r="R249" s="876"/>
      <c r="S249" s="876"/>
      <c r="T249" s="876">
        <f>SUM(T245:T248)</f>
        <v>0</v>
      </c>
      <c r="U249" s="876">
        <f t="shared" si="35"/>
        <v>1098128.52</v>
      </c>
      <c r="V249" s="875">
        <f t="shared" si="35"/>
        <v>731152.2</v>
      </c>
      <c r="W249" s="875">
        <f t="shared" si="47"/>
        <v>0</v>
      </c>
      <c r="X249" s="875">
        <f t="shared" si="47"/>
        <v>306582.45</v>
      </c>
      <c r="Y249" s="884">
        <f>SUM(Y245:Y248)</f>
        <v>0</v>
      </c>
      <c r="Z249" s="875">
        <f t="shared" si="48"/>
        <v>0</v>
      </c>
      <c r="AA249" s="875">
        <f t="shared" si="48"/>
        <v>0</v>
      </c>
      <c r="AB249" s="875">
        <f t="shared" si="48"/>
        <v>60393.87</v>
      </c>
      <c r="AC249" s="886"/>
      <c r="AD249" s="819"/>
      <c r="AE249" s="819"/>
    </row>
    <row r="250" spans="1:31" ht="69.599999999999994" customHeight="1" x14ac:dyDescent="0.2">
      <c r="A250" s="618" t="s">
        <v>1423</v>
      </c>
      <c r="B250" s="619" t="s">
        <v>729</v>
      </c>
      <c r="C250" s="620">
        <v>244</v>
      </c>
      <c r="D250" s="620">
        <v>346</v>
      </c>
      <c r="E250" s="596">
        <f t="shared" si="42"/>
        <v>260689.46000000002</v>
      </c>
      <c r="F250" s="595">
        <f>'Прилож 4 24 (10)'!V250</f>
        <v>33000</v>
      </c>
      <c r="G250" s="595">
        <f>'Прилож 4 24 (10)'!W250</f>
        <v>0</v>
      </c>
      <c r="H250" s="595">
        <f>'Прилож 4 24 (10)'!X250</f>
        <v>155781.84000000003</v>
      </c>
      <c r="I250" s="621"/>
      <c r="J250" s="595">
        <f>'Прилож 4 24 (10)'!Z250</f>
        <v>0</v>
      </c>
      <c r="K250" s="595">
        <f>'Прилож 4 24 (10)'!AA250</f>
        <v>0</v>
      </c>
      <c r="L250" s="595">
        <f>'Прилож 4 24 (10)'!AB250</f>
        <v>71907.62</v>
      </c>
      <c r="M250" s="876">
        <f t="shared" si="46"/>
        <v>0</v>
      </c>
      <c r="N250" s="875"/>
      <c r="O250" s="875"/>
      <c r="P250" s="875"/>
      <c r="Q250" s="877"/>
      <c r="R250" s="875"/>
      <c r="S250" s="875"/>
      <c r="T250" s="875"/>
      <c r="U250" s="876">
        <f t="shared" si="35"/>
        <v>260689.46000000002</v>
      </c>
      <c r="V250" s="875">
        <f t="shared" si="35"/>
        <v>33000</v>
      </c>
      <c r="W250" s="875">
        <f t="shared" si="47"/>
        <v>0</v>
      </c>
      <c r="X250" s="875">
        <f t="shared" si="47"/>
        <v>155781.84000000003</v>
      </c>
      <c r="Y250" s="877"/>
      <c r="Z250" s="875">
        <f t="shared" si="48"/>
        <v>0</v>
      </c>
      <c r="AA250" s="875">
        <f t="shared" si="48"/>
        <v>0</v>
      </c>
      <c r="AB250" s="875">
        <f t="shared" si="48"/>
        <v>71907.62</v>
      </c>
      <c r="AC250" s="1085"/>
    </row>
    <row r="251" spans="1:31" ht="33" customHeight="1" x14ac:dyDescent="0.2">
      <c r="A251" s="618" t="s">
        <v>617</v>
      </c>
      <c r="B251" s="619" t="s">
        <v>729</v>
      </c>
      <c r="C251" s="620">
        <v>244</v>
      </c>
      <c r="D251" s="620">
        <v>346</v>
      </c>
      <c r="E251" s="596">
        <f t="shared" si="42"/>
        <v>203565</v>
      </c>
      <c r="F251" s="595">
        <f>'Прилож 4 24 (10)'!V251</f>
        <v>0</v>
      </c>
      <c r="G251" s="595">
        <f>'Прилож 4 24 (10)'!W251</f>
        <v>0</v>
      </c>
      <c r="H251" s="595">
        <f>'Прилож 4 24 (10)'!X251</f>
        <v>203565</v>
      </c>
      <c r="I251" s="621"/>
      <c r="J251" s="595">
        <f>'Прилож 4 24 (10)'!Z251</f>
        <v>0</v>
      </c>
      <c r="K251" s="595">
        <f>'Прилож 4 24 (10)'!AA251</f>
        <v>0</v>
      </c>
      <c r="L251" s="595">
        <f>'Прилож 4 24 (10)'!AB251</f>
        <v>0</v>
      </c>
      <c r="M251" s="876">
        <f t="shared" si="46"/>
        <v>0</v>
      </c>
      <c r="N251" s="875"/>
      <c r="O251" s="875"/>
      <c r="P251" s="875"/>
      <c r="Q251" s="877"/>
      <c r="R251" s="875"/>
      <c r="S251" s="875"/>
      <c r="T251" s="875"/>
      <c r="U251" s="876">
        <f t="shared" si="35"/>
        <v>203565</v>
      </c>
      <c r="V251" s="875">
        <f t="shared" si="35"/>
        <v>0</v>
      </c>
      <c r="W251" s="875">
        <f t="shared" si="47"/>
        <v>0</v>
      </c>
      <c r="X251" s="875">
        <f t="shared" si="47"/>
        <v>203565</v>
      </c>
      <c r="Y251" s="877"/>
      <c r="Z251" s="875">
        <f t="shared" si="48"/>
        <v>0</v>
      </c>
      <c r="AA251" s="875">
        <f t="shared" si="48"/>
        <v>0</v>
      </c>
      <c r="AB251" s="875">
        <f t="shared" si="48"/>
        <v>0</v>
      </c>
      <c r="AC251" s="878"/>
    </row>
    <row r="252" spans="1:31" ht="34.5" customHeight="1" x14ac:dyDescent="0.2">
      <c r="A252" s="618" t="s">
        <v>1427</v>
      </c>
      <c r="B252" s="619" t="s">
        <v>729</v>
      </c>
      <c r="C252" s="620">
        <v>244</v>
      </c>
      <c r="D252" s="620">
        <v>346</v>
      </c>
      <c r="E252" s="596">
        <f t="shared" si="42"/>
        <v>9972</v>
      </c>
      <c r="F252" s="595">
        <f>'Прилож 4 24 (10)'!V252</f>
        <v>9972</v>
      </c>
      <c r="G252" s="595">
        <f>'Прилож 4 24 (10)'!W252</f>
        <v>0</v>
      </c>
      <c r="H252" s="595">
        <f>'Прилож 4 24 (10)'!X252</f>
        <v>0</v>
      </c>
      <c r="I252" s="621"/>
      <c r="J252" s="595">
        <f>'Прилож 4 24 (10)'!Z252</f>
        <v>0</v>
      </c>
      <c r="K252" s="595">
        <f>'Прилож 4 24 (10)'!AA252</f>
        <v>0</v>
      </c>
      <c r="L252" s="595">
        <f>'Прилож 4 24 (10)'!AB252</f>
        <v>0</v>
      </c>
      <c r="M252" s="876">
        <f t="shared" si="46"/>
        <v>0</v>
      </c>
      <c r="N252" s="875"/>
      <c r="O252" s="875"/>
      <c r="P252" s="875"/>
      <c r="Q252" s="877"/>
      <c r="R252" s="875"/>
      <c r="S252" s="875"/>
      <c r="T252" s="875"/>
      <c r="U252" s="876">
        <f t="shared" ref="U252:V267" si="49">E252+M252</f>
        <v>9972</v>
      </c>
      <c r="V252" s="875">
        <f t="shared" si="49"/>
        <v>9972</v>
      </c>
      <c r="W252" s="875">
        <f t="shared" si="47"/>
        <v>0</v>
      </c>
      <c r="X252" s="875">
        <f t="shared" si="47"/>
        <v>0</v>
      </c>
      <c r="Y252" s="877"/>
      <c r="Z252" s="875">
        <f t="shared" si="48"/>
        <v>0</v>
      </c>
      <c r="AA252" s="875">
        <f t="shared" si="48"/>
        <v>0</v>
      </c>
      <c r="AB252" s="875">
        <f t="shared" si="48"/>
        <v>0</v>
      </c>
      <c r="AC252" s="878"/>
    </row>
    <row r="253" spans="1:31" ht="27.75" customHeight="1" x14ac:dyDescent="0.2">
      <c r="A253" s="618" t="s">
        <v>1285</v>
      </c>
      <c r="B253" s="619" t="s">
        <v>729</v>
      </c>
      <c r="C253" s="620">
        <v>244</v>
      </c>
      <c r="D253" s="620">
        <v>346</v>
      </c>
      <c r="E253" s="596">
        <f t="shared" si="42"/>
        <v>50000</v>
      </c>
      <c r="F253" s="595">
        <f>'Прилож 4 24 (10)'!V253</f>
        <v>50000</v>
      </c>
      <c r="G253" s="595">
        <f>'Прилож 4 24 (10)'!W253</f>
        <v>0</v>
      </c>
      <c r="H253" s="595">
        <f>'Прилож 4 24 (10)'!X253</f>
        <v>0</v>
      </c>
      <c r="I253" s="621"/>
      <c r="J253" s="595">
        <f>'Прилож 4 24 (10)'!Z253</f>
        <v>0</v>
      </c>
      <c r="K253" s="595">
        <f>'Прилож 4 24 (10)'!AA253</f>
        <v>0</v>
      </c>
      <c r="L253" s="595">
        <f>'Прилож 4 24 (10)'!AB253</f>
        <v>0</v>
      </c>
      <c r="M253" s="876">
        <f t="shared" si="46"/>
        <v>0</v>
      </c>
      <c r="N253" s="875"/>
      <c r="O253" s="875"/>
      <c r="P253" s="875"/>
      <c r="Q253" s="877"/>
      <c r="R253" s="875"/>
      <c r="S253" s="875"/>
      <c r="T253" s="875"/>
      <c r="U253" s="876">
        <f t="shared" si="49"/>
        <v>50000</v>
      </c>
      <c r="V253" s="875">
        <f t="shared" si="49"/>
        <v>50000</v>
      </c>
      <c r="W253" s="875">
        <f t="shared" si="47"/>
        <v>0</v>
      </c>
      <c r="X253" s="875">
        <f t="shared" si="47"/>
        <v>0</v>
      </c>
      <c r="Y253" s="877"/>
      <c r="Z253" s="875">
        <f t="shared" si="48"/>
        <v>0</v>
      </c>
      <c r="AA253" s="875">
        <f t="shared" si="48"/>
        <v>0</v>
      </c>
      <c r="AB253" s="875">
        <f t="shared" si="48"/>
        <v>0</v>
      </c>
      <c r="AC253" s="878"/>
    </row>
    <row r="254" spans="1:31" ht="46.15" customHeight="1" x14ac:dyDescent="0.2">
      <c r="A254" s="618" t="s">
        <v>1286</v>
      </c>
      <c r="B254" s="619" t="s">
        <v>729</v>
      </c>
      <c r="C254" s="620">
        <v>244</v>
      </c>
      <c r="D254" s="620">
        <v>346</v>
      </c>
      <c r="E254" s="596">
        <f t="shared" si="42"/>
        <v>132669.90000000002</v>
      </c>
      <c r="F254" s="595">
        <f>'Прилож 4 24 (10)'!V254</f>
        <v>132669.90000000002</v>
      </c>
      <c r="G254" s="595">
        <f>'Прилож 4 24 (10)'!W254</f>
        <v>0</v>
      </c>
      <c r="H254" s="595">
        <f>'Прилож 4 24 (10)'!X254</f>
        <v>0</v>
      </c>
      <c r="I254" s="621"/>
      <c r="J254" s="595">
        <f>'Прилож 4 24 (10)'!Z254</f>
        <v>0</v>
      </c>
      <c r="K254" s="595">
        <f>'Прилож 4 24 (10)'!AA254</f>
        <v>0</v>
      </c>
      <c r="L254" s="595">
        <f>'Прилож 4 24 (10)'!AB254</f>
        <v>0</v>
      </c>
      <c r="M254" s="876">
        <f t="shared" si="46"/>
        <v>0</v>
      </c>
      <c r="N254" s="875"/>
      <c r="O254" s="875"/>
      <c r="P254" s="875"/>
      <c r="Q254" s="877"/>
      <c r="R254" s="875"/>
      <c r="S254" s="875"/>
      <c r="T254" s="875"/>
      <c r="U254" s="876">
        <f t="shared" si="49"/>
        <v>132669.90000000002</v>
      </c>
      <c r="V254" s="875">
        <f t="shared" si="49"/>
        <v>132669.90000000002</v>
      </c>
      <c r="W254" s="875">
        <f t="shared" si="47"/>
        <v>0</v>
      </c>
      <c r="X254" s="875">
        <f t="shared" si="47"/>
        <v>0</v>
      </c>
      <c r="Y254" s="877"/>
      <c r="Z254" s="875">
        <f t="shared" si="48"/>
        <v>0</v>
      </c>
      <c r="AA254" s="875">
        <f t="shared" si="48"/>
        <v>0</v>
      </c>
      <c r="AB254" s="875">
        <f t="shared" si="48"/>
        <v>0</v>
      </c>
      <c r="AC254" s="878"/>
    </row>
    <row r="255" spans="1:31" ht="34.5" customHeight="1" x14ac:dyDescent="0.2">
      <c r="A255" s="618" t="s">
        <v>1421</v>
      </c>
      <c r="B255" s="619" t="s">
        <v>729</v>
      </c>
      <c r="C255" s="620">
        <v>244</v>
      </c>
      <c r="D255" s="620">
        <v>346</v>
      </c>
      <c r="E255" s="596">
        <f t="shared" si="42"/>
        <v>9550</v>
      </c>
      <c r="F255" s="595">
        <f>'Прилож 4 24 (10)'!V255</f>
        <v>9550</v>
      </c>
      <c r="G255" s="595">
        <f>'Прилож 4 24 (10)'!W255</f>
        <v>0</v>
      </c>
      <c r="H255" s="595">
        <f>'Прилож 4 24 (10)'!X255</f>
        <v>0</v>
      </c>
      <c r="I255" s="621"/>
      <c r="J255" s="595">
        <f>'Прилож 4 24 (10)'!Z255</f>
        <v>0</v>
      </c>
      <c r="K255" s="595">
        <f>'Прилож 4 24 (10)'!AA255</f>
        <v>0</v>
      </c>
      <c r="L255" s="595">
        <f>'Прилож 4 24 (10)'!AB255</f>
        <v>0</v>
      </c>
      <c r="M255" s="876">
        <f t="shared" si="46"/>
        <v>0</v>
      </c>
      <c r="N255" s="875"/>
      <c r="O255" s="875"/>
      <c r="P255" s="875"/>
      <c r="Q255" s="877"/>
      <c r="R255" s="875"/>
      <c r="S255" s="875"/>
      <c r="T255" s="875"/>
      <c r="U255" s="876">
        <f t="shared" si="49"/>
        <v>9550</v>
      </c>
      <c r="V255" s="875">
        <f t="shared" si="49"/>
        <v>9550</v>
      </c>
      <c r="W255" s="875"/>
      <c r="X255" s="875"/>
      <c r="Y255" s="877"/>
      <c r="Z255" s="875"/>
      <c r="AA255" s="875"/>
      <c r="AB255" s="875"/>
      <c r="AC255" s="878"/>
    </row>
    <row r="256" spans="1:31" ht="30" customHeight="1" x14ac:dyDescent="0.2">
      <c r="A256" s="618" t="s">
        <v>1422</v>
      </c>
      <c r="B256" s="619" t="s">
        <v>729</v>
      </c>
      <c r="C256" s="620">
        <v>244</v>
      </c>
      <c r="D256" s="620">
        <v>346</v>
      </c>
      <c r="E256" s="596">
        <f t="shared" si="42"/>
        <v>47395</v>
      </c>
      <c r="F256" s="595">
        <f>'Прилож 4 24 (10)'!V256</f>
        <v>47395</v>
      </c>
      <c r="G256" s="595">
        <f>'Прилож 4 24 (10)'!W256</f>
        <v>0</v>
      </c>
      <c r="H256" s="595">
        <f>'Прилож 4 24 (10)'!X256</f>
        <v>0</v>
      </c>
      <c r="I256" s="621"/>
      <c r="J256" s="595">
        <f>'Прилож 4 24 (10)'!Z256</f>
        <v>0</v>
      </c>
      <c r="K256" s="595">
        <f>'Прилож 4 24 (10)'!AA256</f>
        <v>0</v>
      </c>
      <c r="L256" s="595">
        <f>'Прилож 4 24 (10)'!AB256</f>
        <v>0</v>
      </c>
      <c r="M256" s="876">
        <f t="shared" si="46"/>
        <v>0</v>
      </c>
      <c r="N256" s="875"/>
      <c r="O256" s="875"/>
      <c r="P256" s="875"/>
      <c r="Q256" s="877"/>
      <c r="R256" s="875"/>
      <c r="S256" s="875"/>
      <c r="T256" s="875"/>
      <c r="U256" s="876">
        <f t="shared" si="49"/>
        <v>47395</v>
      </c>
      <c r="V256" s="875">
        <f t="shared" si="49"/>
        <v>47395</v>
      </c>
      <c r="W256" s="875">
        <f>O256+G256</f>
        <v>0</v>
      </c>
      <c r="X256" s="875">
        <f>P256+H256</f>
        <v>0</v>
      </c>
      <c r="Y256" s="877"/>
      <c r="Z256" s="875">
        <f>R256+J256</f>
        <v>0</v>
      </c>
      <c r="AA256" s="875">
        <f>S256+K256</f>
        <v>0</v>
      </c>
      <c r="AB256" s="875">
        <f>T256+L256</f>
        <v>0</v>
      </c>
      <c r="AC256" s="878"/>
    </row>
    <row r="257" spans="1:31" ht="39.75" customHeight="1" x14ac:dyDescent="0.2">
      <c r="A257" s="618" t="s">
        <v>1346</v>
      </c>
      <c r="B257" s="619" t="s">
        <v>729</v>
      </c>
      <c r="C257" s="620">
        <v>244</v>
      </c>
      <c r="D257" s="620">
        <v>346</v>
      </c>
      <c r="E257" s="596">
        <f t="shared" si="42"/>
        <v>31356</v>
      </c>
      <c r="F257" s="595">
        <f>'Прилож 4 24 (10)'!V257</f>
        <v>31356</v>
      </c>
      <c r="G257" s="595">
        <f>'Прилож 4 24 (10)'!W257</f>
        <v>0</v>
      </c>
      <c r="H257" s="595">
        <f>'Прилож 4 24 (10)'!X257</f>
        <v>0</v>
      </c>
      <c r="I257" s="621"/>
      <c r="J257" s="595">
        <f>'Прилож 4 24 (10)'!Z257</f>
        <v>0</v>
      </c>
      <c r="K257" s="595">
        <f>'Прилож 4 24 (10)'!AA257</f>
        <v>0</v>
      </c>
      <c r="L257" s="595">
        <f>'Прилож 4 24 (10)'!AB257</f>
        <v>0</v>
      </c>
      <c r="M257" s="876">
        <f t="shared" si="46"/>
        <v>0</v>
      </c>
      <c r="N257" s="875"/>
      <c r="O257" s="875"/>
      <c r="P257" s="875"/>
      <c r="Q257" s="877"/>
      <c r="R257" s="875"/>
      <c r="S257" s="875"/>
      <c r="T257" s="875"/>
      <c r="U257" s="876">
        <f t="shared" si="49"/>
        <v>31356</v>
      </c>
      <c r="V257" s="875">
        <f t="shared" si="49"/>
        <v>31356</v>
      </c>
      <c r="W257" s="875"/>
      <c r="X257" s="875">
        <f t="shared" ref="X257:X269" si="50">P257+H257</f>
        <v>0</v>
      </c>
      <c r="Y257" s="877"/>
      <c r="Z257" s="875">
        <f t="shared" ref="Z257:AA271" si="51">R257+J257</f>
        <v>0</v>
      </c>
      <c r="AA257" s="875"/>
      <c r="AB257" s="875">
        <f t="shared" ref="AB257:AB276" si="52">T257+L257</f>
        <v>0</v>
      </c>
      <c r="AC257" s="878"/>
    </row>
    <row r="258" spans="1:31" s="637" customFormat="1" ht="26.25" customHeight="1" x14ac:dyDescent="0.2">
      <c r="A258" s="632" t="s">
        <v>1143</v>
      </c>
      <c r="B258" s="619" t="s">
        <v>729</v>
      </c>
      <c r="C258" s="620">
        <v>244</v>
      </c>
      <c r="D258" s="620">
        <v>346</v>
      </c>
      <c r="E258" s="596">
        <f t="shared" si="42"/>
        <v>745197.3600000001</v>
      </c>
      <c r="F258" s="595">
        <f>'Прилож 4 24 (10)'!V258</f>
        <v>313942.90000000002</v>
      </c>
      <c r="G258" s="595">
        <f>'Прилож 4 24 (10)'!W258</f>
        <v>0</v>
      </c>
      <c r="H258" s="595">
        <f>'Прилож 4 24 (10)'!X258</f>
        <v>359346.84</v>
      </c>
      <c r="I258" s="597">
        <f>SUM(I250:I254)</f>
        <v>0</v>
      </c>
      <c r="J258" s="595">
        <f>'Прилож 4 24 (10)'!Z258</f>
        <v>0</v>
      </c>
      <c r="K258" s="595">
        <f>'Прилож 4 24 (10)'!AA258</f>
        <v>0</v>
      </c>
      <c r="L258" s="595">
        <f>'Прилож 4 24 (10)'!AB258</f>
        <v>71907.62</v>
      </c>
      <c r="M258" s="876">
        <f t="shared" si="46"/>
        <v>0</v>
      </c>
      <c r="N258" s="876">
        <f>SUM(N250:N257)</f>
        <v>0</v>
      </c>
      <c r="O258" s="876"/>
      <c r="P258" s="876">
        <f>SUM(P250:P257)</f>
        <v>0</v>
      </c>
      <c r="Q258" s="876"/>
      <c r="R258" s="876"/>
      <c r="S258" s="876"/>
      <c r="T258" s="876">
        <f>SUM(T250:T256)</f>
        <v>0</v>
      </c>
      <c r="U258" s="876">
        <f t="shared" si="49"/>
        <v>745197.3600000001</v>
      </c>
      <c r="V258" s="876">
        <f t="shared" si="49"/>
        <v>313942.90000000002</v>
      </c>
      <c r="W258" s="876">
        <f t="shared" ref="W258:W270" si="53">O258+G258</f>
        <v>0</v>
      </c>
      <c r="X258" s="876">
        <f t="shared" si="50"/>
        <v>359346.84</v>
      </c>
      <c r="Y258" s="884">
        <f>SUM(Y250:Y254)</f>
        <v>0</v>
      </c>
      <c r="Z258" s="876">
        <f t="shared" si="51"/>
        <v>0</v>
      </c>
      <c r="AA258" s="876">
        <f t="shared" si="51"/>
        <v>0</v>
      </c>
      <c r="AB258" s="876">
        <f t="shared" si="52"/>
        <v>71907.62</v>
      </c>
      <c r="AC258" s="886"/>
      <c r="AD258" s="819"/>
    </row>
    <row r="259" spans="1:31" ht="22.5" customHeight="1" x14ac:dyDescent="0.2">
      <c r="A259" s="618" t="s">
        <v>67</v>
      </c>
      <c r="B259" s="619" t="s">
        <v>64</v>
      </c>
      <c r="C259" s="620">
        <v>244</v>
      </c>
      <c r="D259" s="620">
        <v>346</v>
      </c>
      <c r="E259" s="596">
        <f t="shared" si="42"/>
        <v>3200</v>
      </c>
      <c r="F259" s="595">
        <f>'Прилож 4 24 (10)'!V259</f>
        <v>0</v>
      </c>
      <c r="G259" s="595">
        <f>'Прилож 4 24 (10)'!W259</f>
        <v>0</v>
      </c>
      <c r="H259" s="595">
        <f>'Прилож 4 24 (10)'!X259</f>
        <v>0</v>
      </c>
      <c r="I259" s="621" t="s">
        <v>1235</v>
      </c>
      <c r="J259" s="595">
        <f>'Прилож 4 24 (10)'!Z259</f>
        <v>0</v>
      </c>
      <c r="K259" s="595">
        <f>'Прилож 4 24 (10)'!AA259</f>
        <v>3200</v>
      </c>
      <c r="L259" s="595">
        <f>'Прилож 4 24 (10)'!AB259</f>
        <v>0</v>
      </c>
      <c r="M259" s="876">
        <f t="shared" si="46"/>
        <v>0</v>
      </c>
      <c r="N259" s="875"/>
      <c r="O259" s="875"/>
      <c r="P259" s="875"/>
      <c r="Q259" s="877"/>
      <c r="R259" s="875"/>
      <c r="S259" s="875"/>
      <c r="T259" s="875"/>
      <c r="U259" s="876">
        <f t="shared" si="49"/>
        <v>3200</v>
      </c>
      <c r="V259" s="875">
        <f t="shared" si="49"/>
        <v>0</v>
      </c>
      <c r="W259" s="875">
        <f t="shared" si="53"/>
        <v>0</v>
      </c>
      <c r="X259" s="875">
        <f t="shared" si="50"/>
        <v>0</v>
      </c>
      <c r="Y259" s="621" t="s">
        <v>1235</v>
      </c>
      <c r="Z259" s="875">
        <f t="shared" si="51"/>
        <v>0</v>
      </c>
      <c r="AA259" s="875">
        <f t="shared" si="51"/>
        <v>3200</v>
      </c>
      <c r="AB259" s="875">
        <f t="shared" si="52"/>
        <v>0</v>
      </c>
      <c r="AC259" s="878"/>
    </row>
    <row r="260" spans="1:31" s="637" customFormat="1" ht="22.5" customHeight="1" x14ac:dyDescent="0.2">
      <c r="A260" s="1046" t="s">
        <v>1143</v>
      </c>
      <c r="B260" s="619" t="s">
        <v>64</v>
      </c>
      <c r="C260" s="620">
        <v>244</v>
      </c>
      <c r="D260" s="620">
        <v>346</v>
      </c>
      <c r="E260" s="596">
        <f t="shared" si="42"/>
        <v>3200</v>
      </c>
      <c r="F260" s="595">
        <f>'Прилож 4 24 (10)'!V260</f>
        <v>0</v>
      </c>
      <c r="G260" s="595">
        <f>'Прилож 4 24 (10)'!W260</f>
        <v>0</v>
      </c>
      <c r="H260" s="595">
        <f>'Прилож 4 24 (10)'!X260</f>
        <v>0</v>
      </c>
      <c r="I260" s="597"/>
      <c r="J260" s="595">
        <f>'Прилож 4 24 (10)'!Z260</f>
        <v>0</v>
      </c>
      <c r="K260" s="595">
        <f>'Прилож 4 24 (10)'!AA260</f>
        <v>3200</v>
      </c>
      <c r="L260" s="595">
        <f>'Прилож 4 24 (10)'!AB260</f>
        <v>0</v>
      </c>
      <c r="M260" s="876">
        <f t="shared" si="46"/>
        <v>0</v>
      </c>
      <c r="N260" s="884"/>
      <c r="O260" s="884"/>
      <c r="P260" s="884"/>
      <c r="Q260" s="884"/>
      <c r="R260" s="884"/>
      <c r="S260" s="884"/>
      <c r="T260" s="884"/>
      <c r="U260" s="876">
        <f t="shared" si="49"/>
        <v>3200</v>
      </c>
      <c r="V260" s="876">
        <f t="shared" si="49"/>
        <v>0</v>
      </c>
      <c r="W260" s="876">
        <f t="shared" si="53"/>
        <v>0</v>
      </c>
      <c r="X260" s="876">
        <f t="shared" si="50"/>
        <v>0</v>
      </c>
      <c r="Y260" s="884"/>
      <c r="Z260" s="876">
        <f t="shared" si="51"/>
        <v>0</v>
      </c>
      <c r="AA260" s="876">
        <f t="shared" si="51"/>
        <v>3200</v>
      </c>
      <c r="AB260" s="875">
        <f t="shared" si="52"/>
        <v>0</v>
      </c>
      <c r="AC260" s="886"/>
    </row>
    <row r="261" spans="1:31" ht="33" customHeight="1" x14ac:dyDescent="0.2">
      <c r="A261" s="618" t="s">
        <v>710</v>
      </c>
      <c r="B261" s="619" t="s">
        <v>691</v>
      </c>
      <c r="C261" s="620">
        <v>244</v>
      </c>
      <c r="D261" s="620">
        <v>346</v>
      </c>
      <c r="E261" s="596">
        <f t="shared" si="42"/>
        <v>17057.180000000229</v>
      </c>
      <c r="F261" s="595">
        <f>'Прилож 4 24 (10)'!V261</f>
        <v>0</v>
      </c>
      <c r="G261" s="595">
        <f>'Прилож 4 24 (10)'!W261</f>
        <v>2.3283064365386963E-10</v>
      </c>
      <c r="H261" s="595">
        <f>'Прилож 4 24 (10)'!X261</f>
        <v>15649.169999999998</v>
      </c>
      <c r="I261" s="621"/>
      <c r="J261" s="595">
        <f>'Прилож 4 24 (10)'!Z261</f>
        <v>0</v>
      </c>
      <c r="K261" s="595">
        <f>'Прилож 4 24 (10)'!AA261</f>
        <v>0</v>
      </c>
      <c r="L261" s="595">
        <f>'Прилож 4 24 (10)'!AB261</f>
        <v>1408.01</v>
      </c>
      <c r="M261" s="876">
        <f t="shared" si="46"/>
        <v>0</v>
      </c>
      <c r="N261" s="875"/>
      <c r="O261" s="875"/>
      <c r="P261" s="875"/>
      <c r="Q261" s="877"/>
      <c r="R261" s="875"/>
      <c r="S261" s="875"/>
      <c r="T261" s="875"/>
      <c r="U261" s="876">
        <f t="shared" si="49"/>
        <v>17057.180000000229</v>
      </c>
      <c r="V261" s="875">
        <f t="shared" si="49"/>
        <v>0</v>
      </c>
      <c r="W261" s="875">
        <f t="shared" si="53"/>
        <v>2.3283064365386963E-10</v>
      </c>
      <c r="X261" s="875">
        <f t="shared" si="50"/>
        <v>15649.169999999998</v>
      </c>
      <c r="Y261" s="877"/>
      <c r="Z261" s="875">
        <f t="shared" si="51"/>
        <v>0</v>
      </c>
      <c r="AA261" s="875">
        <f t="shared" si="51"/>
        <v>0</v>
      </c>
      <c r="AB261" s="875">
        <f t="shared" si="52"/>
        <v>1408.01</v>
      </c>
      <c r="AC261" s="878"/>
    </row>
    <row r="262" spans="1:31" ht="39.75" customHeight="1" x14ac:dyDescent="0.2">
      <c r="A262" s="618" t="s">
        <v>709</v>
      </c>
      <c r="B262" s="619" t="s">
        <v>691</v>
      </c>
      <c r="C262" s="620">
        <v>244</v>
      </c>
      <c r="D262" s="620">
        <v>346</v>
      </c>
      <c r="E262" s="596">
        <f t="shared" si="42"/>
        <v>5836.95</v>
      </c>
      <c r="F262" s="595">
        <f>'Прилож 4 24 (10)'!V262</f>
        <v>0</v>
      </c>
      <c r="G262" s="595">
        <f>'Прилож 4 24 (10)'!W262</f>
        <v>0</v>
      </c>
      <c r="H262" s="595">
        <f>'Прилож 4 24 (10)'!X262</f>
        <v>5171</v>
      </c>
      <c r="I262" s="621"/>
      <c r="J262" s="595">
        <f>'Прилож 4 24 (10)'!Z262</f>
        <v>0</v>
      </c>
      <c r="K262" s="595">
        <f>'Прилож 4 24 (10)'!AA262</f>
        <v>0</v>
      </c>
      <c r="L262" s="595">
        <f>'Прилож 4 24 (10)'!AB262</f>
        <v>665.95</v>
      </c>
      <c r="M262" s="876">
        <f t="shared" si="46"/>
        <v>0</v>
      </c>
      <c r="N262" s="875"/>
      <c r="O262" s="875"/>
      <c r="P262" s="875"/>
      <c r="Q262" s="877"/>
      <c r="R262" s="875"/>
      <c r="S262" s="875"/>
      <c r="T262" s="875"/>
      <c r="U262" s="876">
        <f t="shared" si="49"/>
        <v>5836.95</v>
      </c>
      <c r="V262" s="875">
        <f t="shared" si="49"/>
        <v>0</v>
      </c>
      <c r="W262" s="875">
        <f t="shared" si="53"/>
        <v>0</v>
      </c>
      <c r="X262" s="875">
        <f t="shared" si="50"/>
        <v>5171</v>
      </c>
      <c r="Y262" s="877"/>
      <c r="Z262" s="875">
        <f t="shared" si="51"/>
        <v>0</v>
      </c>
      <c r="AA262" s="875">
        <f t="shared" si="51"/>
        <v>0</v>
      </c>
      <c r="AB262" s="875">
        <f t="shared" si="52"/>
        <v>665.95</v>
      </c>
      <c r="AC262" s="878"/>
    </row>
    <row r="263" spans="1:31" s="637" customFormat="1" ht="25.5" customHeight="1" x14ac:dyDescent="0.2">
      <c r="A263" s="1046" t="s">
        <v>1143</v>
      </c>
      <c r="B263" s="1047" t="s">
        <v>691</v>
      </c>
      <c r="C263" s="1048">
        <v>244</v>
      </c>
      <c r="D263" s="1048">
        <v>346</v>
      </c>
      <c r="E263" s="596">
        <f t="shared" si="42"/>
        <v>22894.13</v>
      </c>
      <c r="F263" s="595">
        <f>'Прилож 4 24 (10)'!V263</f>
        <v>0</v>
      </c>
      <c r="G263" s="595">
        <f>'Прилож 4 24 (10)'!W263</f>
        <v>0</v>
      </c>
      <c r="H263" s="595">
        <f>'Прилож 4 24 (10)'!X263</f>
        <v>20820.170000000002</v>
      </c>
      <c r="I263" s="635"/>
      <c r="J263" s="595">
        <f>'Прилож 4 24 (10)'!Z263</f>
        <v>0</v>
      </c>
      <c r="K263" s="595">
        <f>'Прилож 4 24 (10)'!AA263</f>
        <v>0</v>
      </c>
      <c r="L263" s="595">
        <f>'Прилож 4 24 (10)'!AB263</f>
        <v>2073.96</v>
      </c>
      <c r="M263" s="876">
        <f t="shared" si="46"/>
        <v>0</v>
      </c>
      <c r="N263" s="884"/>
      <c r="O263" s="884"/>
      <c r="P263" s="884">
        <f>SUM(P261:P262)</f>
        <v>0</v>
      </c>
      <c r="Q263" s="885"/>
      <c r="R263" s="884"/>
      <c r="S263" s="884"/>
      <c r="T263" s="884">
        <f>SUM(T261:T262)</f>
        <v>0</v>
      </c>
      <c r="U263" s="876">
        <f t="shared" si="49"/>
        <v>22894.13</v>
      </c>
      <c r="V263" s="876">
        <f t="shared" si="49"/>
        <v>0</v>
      </c>
      <c r="W263" s="876">
        <f t="shared" si="53"/>
        <v>0</v>
      </c>
      <c r="X263" s="876">
        <f t="shared" si="50"/>
        <v>20820.170000000002</v>
      </c>
      <c r="Y263" s="885"/>
      <c r="Z263" s="876">
        <f t="shared" si="51"/>
        <v>0</v>
      </c>
      <c r="AA263" s="876">
        <f t="shared" si="51"/>
        <v>0</v>
      </c>
      <c r="AB263" s="876">
        <f t="shared" si="52"/>
        <v>2073.96</v>
      </c>
      <c r="AC263" s="1086"/>
    </row>
    <row r="264" spans="1:31" s="614" customFormat="1" ht="27.75" customHeight="1" x14ac:dyDescent="0.2">
      <c r="A264" s="630" t="s">
        <v>744</v>
      </c>
      <c r="B264" s="631"/>
      <c r="C264" s="624"/>
      <c r="D264" s="624"/>
      <c r="E264" s="596">
        <f t="shared" si="42"/>
        <v>1869420.0099999998</v>
      </c>
      <c r="F264" s="595">
        <f>'Прилож 4 24 (10)'!V264</f>
        <v>1045095.1</v>
      </c>
      <c r="G264" s="595">
        <f>'Прилож 4 24 (10)'!W264</f>
        <v>0</v>
      </c>
      <c r="H264" s="595">
        <f>'Прилож 4 24 (10)'!X264</f>
        <v>686749.46</v>
      </c>
      <c r="I264" s="596"/>
      <c r="J264" s="595">
        <f>'Прилож 4 24 (10)'!Z264</f>
        <v>0</v>
      </c>
      <c r="K264" s="595">
        <f>'Прилож 4 24 (10)'!AA264</f>
        <v>3200</v>
      </c>
      <c r="L264" s="595">
        <f>'Прилож 4 24 (10)'!AB264</f>
        <v>134375.44999999998</v>
      </c>
      <c r="M264" s="876">
        <f t="shared" si="46"/>
        <v>0</v>
      </c>
      <c r="N264" s="876">
        <f>N263+N260+N258+N249</f>
        <v>0</v>
      </c>
      <c r="O264" s="876"/>
      <c r="P264" s="876">
        <f>P249+P258+P263</f>
        <v>0</v>
      </c>
      <c r="Q264" s="876"/>
      <c r="R264" s="876"/>
      <c r="S264" s="876"/>
      <c r="T264" s="876">
        <f>T249+T258+T263</f>
        <v>0</v>
      </c>
      <c r="U264" s="876">
        <f t="shared" si="49"/>
        <v>1869420.0099999998</v>
      </c>
      <c r="V264" s="875">
        <f t="shared" si="49"/>
        <v>1045095.1</v>
      </c>
      <c r="W264" s="875">
        <f t="shared" si="53"/>
        <v>0</v>
      </c>
      <c r="X264" s="875">
        <f t="shared" si="50"/>
        <v>686749.46</v>
      </c>
      <c r="Y264" s="876"/>
      <c r="Z264" s="875">
        <f t="shared" si="51"/>
        <v>0</v>
      </c>
      <c r="AA264" s="875">
        <f t="shared" si="51"/>
        <v>3200</v>
      </c>
      <c r="AB264" s="875">
        <f t="shared" si="52"/>
        <v>134375.44999999998</v>
      </c>
      <c r="AC264" s="879"/>
      <c r="AD264" s="818"/>
    </row>
    <row r="265" spans="1:31" ht="39.75" customHeight="1" x14ac:dyDescent="0.2">
      <c r="A265" s="618" t="s">
        <v>948</v>
      </c>
      <c r="B265" s="619" t="s">
        <v>729</v>
      </c>
      <c r="C265" s="620">
        <v>244</v>
      </c>
      <c r="D265" s="620">
        <v>349</v>
      </c>
      <c r="E265" s="596">
        <f t="shared" si="42"/>
        <v>4644</v>
      </c>
      <c r="F265" s="595">
        <f>'Прилож 4 24 (10)'!V265</f>
        <v>4644</v>
      </c>
      <c r="G265" s="595">
        <f>'Прилож 4 24 (10)'!W265</f>
        <v>0</v>
      </c>
      <c r="H265" s="595">
        <f>'Прилож 4 24 (10)'!X265</f>
        <v>0</v>
      </c>
      <c r="I265" s="626"/>
      <c r="J265" s="595">
        <f>'Прилож 4 24 (10)'!Z265</f>
        <v>0</v>
      </c>
      <c r="K265" s="595">
        <f>'Прилож 4 24 (10)'!AA265</f>
        <v>0</v>
      </c>
      <c r="L265" s="595">
        <f>'Прилож 4 24 (10)'!AB265</f>
        <v>0</v>
      </c>
      <c r="M265" s="876">
        <f t="shared" si="46"/>
        <v>0</v>
      </c>
      <c r="N265" s="875"/>
      <c r="O265" s="876"/>
      <c r="P265" s="876"/>
      <c r="Q265" s="881"/>
      <c r="R265" s="876"/>
      <c r="S265" s="876"/>
      <c r="T265" s="875"/>
      <c r="U265" s="876">
        <f t="shared" si="49"/>
        <v>4644</v>
      </c>
      <c r="V265" s="875">
        <f t="shared" si="49"/>
        <v>4644</v>
      </c>
      <c r="W265" s="875">
        <f t="shared" si="53"/>
        <v>0</v>
      </c>
      <c r="X265" s="875">
        <f t="shared" si="50"/>
        <v>0</v>
      </c>
      <c r="Y265" s="881"/>
      <c r="Z265" s="875">
        <f t="shared" si="51"/>
        <v>0</v>
      </c>
      <c r="AA265" s="875">
        <f t="shared" si="51"/>
        <v>0</v>
      </c>
      <c r="AB265" s="875">
        <f t="shared" si="52"/>
        <v>0</v>
      </c>
      <c r="AC265" s="878"/>
    </row>
    <row r="266" spans="1:31" s="614" customFormat="1" ht="27.75" customHeight="1" x14ac:dyDescent="0.2">
      <c r="A266" s="630" t="s">
        <v>949</v>
      </c>
      <c r="B266" s="631"/>
      <c r="C266" s="624"/>
      <c r="D266" s="624"/>
      <c r="E266" s="596">
        <f t="shared" si="42"/>
        <v>4644</v>
      </c>
      <c r="F266" s="595">
        <f>'Прилож 4 24 (10)'!V266</f>
        <v>4644</v>
      </c>
      <c r="G266" s="595">
        <f>'Прилож 4 24 (10)'!W266</f>
        <v>0</v>
      </c>
      <c r="H266" s="595">
        <f>'Прилож 4 24 (10)'!X266</f>
        <v>0</v>
      </c>
      <c r="I266" s="626"/>
      <c r="J266" s="595">
        <f>'Прилож 4 24 (10)'!Z266</f>
        <v>0</v>
      </c>
      <c r="K266" s="595">
        <f>'Прилож 4 24 (10)'!AA266</f>
        <v>0</v>
      </c>
      <c r="L266" s="595">
        <f>'Прилож 4 24 (10)'!AB266</f>
        <v>0</v>
      </c>
      <c r="M266" s="876">
        <f t="shared" si="46"/>
        <v>0</v>
      </c>
      <c r="N266" s="875"/>
      <c r="O266" s="876">
        <f>O258+O260+O263</f>
        <v>0</v>
      </c>
      <c r="P266" s="876"/>
      <c r="Q266" s="881"/>
      <c r="R266" s="876">
        <f>R258+R260+R263</f>
        <v>0</v>
      </c>
      <c r="S266" s="876">
        <f>S258+S260+S263</f>
        <v>0</v>
      </c>
      <c r="T266" s="876"/>
      <c r="U266" s="876">
        <f t="shared" si="49"/>
        <v>4644</v>
      </c>
      <c r="V266" s="875">
        <f t="shared" si="49"/>
        <v>4644</v>
      </c>
      <c r="W266" s="875">
        <f t="shared" si="53"/>
        <v>0</v>
      </c>
      <c r="X266" s="875">
        <f t="shared" si="50"/>
        <v>0</v>
      </c>
      <c r="Y266" s="881"/>
      <c r="Z266" s="875">
        <f t="shared" si="51"/>
        <v>0</v>
      </c>
      <c r="AA266" s="875">
        <f t="shared" si="51"/>
        <v>0</v>
      </c>
      <c r="AB266" s="875">
        <f t="shared" si="52"/>
        <v>0</v>
      </c>
      <c r="AC266" s="879"/>
    </row>
    <row r="267" spans="1:31" s="614" customFormat="1" x14ac:dyDescent="0.2">
      <c r="A267" s="624" t="s">
        <v>745</v>
      </c>
      <c r="B267" s="631"/>
      <c r="C267" s="624"/>
      <c r="D267" s="624"/>
      <c r="E267" s="596">
        <f t="shared" si="42"/>
        <v>69392130.660000011</v>
      </c>
      <c r="F267" s="595">
        <f>'Прилож 4 24 (10)'!V267</f>
        <v>42371661.800000004</v>
      </c>
      <c r="G267" s="595">
        <f>'Прилож 4 24 (10)'!W267</f>
        <v>2315726.5499999998</v>
      </c>
      <c r="H267" s="595">
        <f>'Прилож 4 24 (10)'!X267</f>
        <v>11500323.030000001</v>
      </c>
      <c r="I267" s="626"/>
      <c r="J267" s="595">
        <f>'Прилож 4 24 (10)'!Z267</f>
        <v>0</v>
      </c>
      <c r="K267" s="595">
        <f>'Прилож 4 24 (10)'!AA267</f>
        <v>10749997.869999999</v>
      </c>
      <c r="L267" s="595">
        <f>'Прилож 4 24 (10)'!AB267</f>
        <v>2454421.4099999997</v>
      </c>
      <c r="M267" s="876">
        <f>M266+M264+M244+M242+M240+M237+M235+M230++M203+M200+M165+M107+M105+M88+M70+M61+M50+M48+M43+M233+M45+M52</f>
        <v>-44385.25</v>
      </c>
      <c r="N267" s="876">
        <f>N264+N244+N242+N240+N237+N235+N233+N230+N203+N200+N165+N107+N105+N88+N70+N61+N50+N48+N45+N43+N266</f>
        <v>0</v>
      </c>
      <c r="O267" s="876">
        <f>O264+O244+O242+O240+O237+O235+O233+O230+O203+O200+O165+O107+O105+O88+O70+O61+O50+O48+O45+O43</f>
        <v>0</v>
      </c>
      <c r="P267" s="876">
        <f>P264+P244+P242+P240+P237+P235+P233+P230+P203+P200+P165+P107+P105+P88+P70+P61+P50+P48+P45+P43</f>
        <v>0</v>
      </c>
      <c r="Q267" s="876"/>
      <c r="R267" s="876">
        <f>R264+R244+R242+R240+R237+R235+R233+R230+R203+R200+R165+R107+R105+R88+R70+R61+R50+R48+R45+R43</f>
        <v>0</v>
      </c>
      <c r="S267" s="876">
        <f>S264+S244+S242+S240+S237+S235+S233+S230+S203+S200+S165+S107+S105+S88+S70+S61+S50+S48+S45+S43+S52</f>
        <v>-44385.25</v>
      </c>
      <c r="T267" s="876">
        <f>T264+T244+T242+T240+T237+T235+T233+T230+T203+T200+T165+T107+T105+T88+T70+T61+T50+T48+T45+T43</f>
        <v>0</v>
      </c>
      <c r="U267" s="876">
        <f>U266+U264+U244+U242+U240+U237+U235+U230++U203+U200+U165+U107+U105+U88+U70+U61+U50+U48+U43+U233+U45+U51</f>
        <v>69347745.409999996</v>
      </c>
      <c r="V267" s="875">
        <f t="shared" si="49"/>
        <v>42371661.800000004</v>
      </c>
      <c r="W267" s="875">
        <f t="shared" si="53"/>
        <v>2315726.5499999998</v>
      </c>
      <c r="X267" s="875">
        <f t="shared" si="50"/>
        <v>11500323.030000001</v>
      </c>
      <c r="Y267" s="876">
        <f>Y266+Y264+Y244+Y242+Y240+Y237+Y235+Y230++Y203+Y200+Y165+Y107+Y105+Y88+Y70+Y61+Y50+Y48+Y43+Y233</f>
        <v>0</v>
      </c>
      <c r="Z267" s="875">
        <f t="shared" si="51"/>
        <v>0</v>
      </c>
      <c r="AA267" s="875">
        <f t="shared" si="51"/>
        <v>10705612.619999999</v>
      </c>
      <c r="AB267" s="875">
        <f t="shared" si="52"/>
        <v>2454421.4099999997</v>
      </c>
      <c r="AC267" s="879"/>
      <c r="AD267" s="818"/>
      <c r="AE267" s="818">
        <f>V267+W267+X267</f>
        <v>56187711.380000003</v>
      </c>
    </row>
    <row r="268" spans="1:31" ht="25.5" customHeight="1" x14ac:dyDescent="0.2">
      <c r="A268" s="618" t="s">
        <v>946</v>
      </c>
      <c r="B268" s="619"/>
      <c r="C268" s="620"/>
      <c r="D268" s="620">
        <v>189</v>
      </c>
      <c r="E268" s="596">
        <f t="shared" si="42"/>
        <v>-12500</v>
      </c>
      <c r="F268" s="595">
        <f>'Прилож 4 24 (2)'!V208</f>
        <v>0</v>
      </c>
      <c r="G268" s="595">
        <f>'Прилож 4 24 (2)'!W218</f>
        <v>0</v>
      </c>
      <c r="H268" s="595">
        <f>'Прилож 4 24 (2)'!X208</f>
        <v>0</v>
      </c>
      <c r="I268" s="621"/>
      <c r="J268" s="595">
        <f>'Прилож 4 24 (2)'!Z208</f>
        <v>0</v>
      </c>
      <c r="K268" s="595">
        <f>'Прилож 4 24 (2)'!AA208</f>
        <v>0</v>
      </c>
      <c r="L268" s="875">
        <f>'Прилож 4 24 (2)'!AB208</f>
        <v>-12500</v>
      </c>
      <c r="M268" s="876">
        <f>N268+P268+R268+S268+T268+O268</f>
        <v>0</v>
      </c>
      <c r="N268" s="875"/>
      <c r="O268" s="875"/>
      <c r="P268" s="875"/>
      <c r="Q268" s="877"/>
      <c r="R268" s="875"/>
      <c r="S268" s="875"/>
      <c r="T268" s="875"/>
      <c r="U268" s="876">
        <f>V268+X268+Z268+AA268+AB268+W268</f>
        <v>-12500</v>
      </c>
      <c r="V268" s="875">
        <f t="shared" ref="V268:V271" si="54">F268+N268</f>
        <v>0</v>
      </c>
      <c r="W268" s="875">
        <f t="shared" si="53"/>
        <v>0</v>
      </c>
      <c r="X268" s="875">
        <f t="shared" si="50"/>
        <v>0</v>
      </c>
      <c r="Y268" s="877"/>
      <c r="Z268" s="875">
        <f t="shared" si="51"/>
        <v>0</v>
      </c>
      <c r="AA268" s="875">
        <f t="shared" si="51"/>
        <v>0</v>
      </c>
      <c r="AB268" s="875">
        <f t="shared" si="52"/>
        <v>-12500</v>
      </c>
      <c r="AC268" s="878"/>
    </row>
    <row r="269" spans="1:31" s="614" customFormat="1" ht="31.5" x14ac:dyDescent="0.2">
      <c r="A269" s="630" t="s">
        <v>746</v>
      </c>
      <c r="B269" s="624"/>
      <c r="C269" s="624"/>
      <c r="D269" s="624"/>
      <c r="E269" s="596">
        <f t="shared" si="42"/>
        <v>-12500</v>
      </c>
      <c r="F269" s="595">
        <f>'Прилож 4 24 (2)'!V209</f>
        <v>0</v>
      </c>
      <c r="G269" s="595">
        <f>'Прилож 4 24 (2)'!W219</f>
        <v>0</v>
      </c>
      <c r="H269" s="595">
        <f>'Прилож 4 24 (2)'!X209</f>
        <v>0</v>
      </c>
      <c r="I269" s="626"/>
      <c r="J269" s="595">
        <f>'Прилож 4 24 (2)'!Z209</f>
        <v>0</v>
      </c>
      <c r="K269" s="595">
        <f>'Прилож 4 24 (2)'!AA209</f>
        <v>0</v>
      </c>
      <c r="L269" s="875">
        <f>'Прилож 4 24 (2)'!AB209</f>
        <v>-12500</v>
      </c>
      <c r="M269" s="876">
        <f>N269+P269+R269+S269+T269+O269</f>
        <v>0</v>
      </c>
      <c r="N269" s="876">
        <f>N268</f>
        <v>0</v>
      </c>
      <c r="O269" s="876">
        <f>O268</f>
        <v>0</v>
      </c>
      <c r="P269" s="876">
        <f>P268</f>
        <v>0</v>
      </c>
      <c r="Q269" s="881"/>
      <c r="R269" s="876">
        <f>R268</f>
        <v>0</v>
      </c>
      <c r="S269" s="876"/>
      <c r="T269" s="876">
        <f>T268</f>
        <v>0</v>
      </c>
      <c r="U269" s="876">
        <f>V269+X269+Z269+AA269+AB269+W269</f>
        <v>-12500</v>
      </c>
      <c r="V269" s="875">
        <f t="shared" si="54"/>
        <v>0</v>
      </c>
      <c r="W269" s="875">
        <f t="shared" si="53"/>
        <v>0</v>
      </c>
      <c r="X269" s="875">
        <f t="shared" si="50"/>
        <v>0</v>
      </c>
      <c r="Y269" s="881">
        <f>Y268</f>
        <v>0</v>
      </c>
      <c r="Z269" s="875">
        <f t="shared" si="51"/>
        <v>0</v>
      </c>
      <c r="AA269" s="875">
        <f t="shared" si="51"/>
        <v>0</v>
      </c>
      <c r="AB269" s="875">
        <f t="shared" si="52"/>
        <v>-12500</v>
      </c>
      <c r="AC269" s="878"/>
    </row>
    <row r="270" spans="1:31" s="614" customFormat="1" x14ac:dyDescent="0.2">
      <c r="A270" s="630" t="s">
        <v>950</v>
      </c>
      <c r="B270" s="631" t="s">
        <v>747</v>
      </c>
      <c r="C270" s="624"/>
      <c r="D270" s="624">
        <v>610</v>
      </c>
      <c r="E270" s="596">
        <f t="shared" si="42"/>
        <v>142385.88</v>
      </c>
      <c r="F270" s="595">
        <f>'Прилож 4 24 (2)'!V210</f>
        <v>0</v>
      </c>
      <c r="G270" s="595">
        <f>'Прилож 4 24 (2)'!W220</f>
        <v>0</v>
      </c>
      <c r="H270" s="595">
        <f>'Прилож 4 24 (2)'!X210</f>
        <v>142385.88</v>
      </c>
      <c r="I270" s="626"/>
      <c r="J270" s="595">
        <f>'Прилож 4 24 (2)'!Z210</f>
        <v>0</v>
      </c>
      <c r="K270" s="595">
        <f>'Прилож 4 24 (2)'!AA210</f>
        <v>0</v>
      </c>
      <c r="L270" s="875">
        <f>'Прилож 4 24 (2)'!AB210</f>
        <v>0</v>
      </c>
      <c r="M270" s="876">
        <f>N270+P270+R270+S270+T270+O270</f>
        <v>0</v>
      </c>
      <c r="N270" s="876">
        <f>N269</f>
        <v>0</v>
      </c>
      <c r="O270" s="876">
        <f>O269</f>
        <v>0</v>
      </c>
      <c r="P270" s="876"/>
      <c r="Q270" s="881"/>
      <c r="R270" s="876">
        <f>R269</f>
        <v>0</v>
      </c>
      <c r="S270" s="876">
        <f>S269</f>
        <v>0</v>
      </c>
      <c r="T270" s="876"/>
      <c r="U270" s="876">
        <f>V270+X270+Z270+AA270+AB270+W270</f>
        <v>142385.88</v>
      </c>
      <c r="V270" s="875">
        <f t="shared" si="54"/>
        <v>0</v>
      </c>
      <c r="W270" s="875">
        <f t="shared" si="53"/>
        <v>0</v>
      </c>
      <c r="X270" s="875">
        <v>142385.88</v>
      </c>
      <c r="Y270" s="881">
        <f>Y269</f>
        <v>0</v>
      </c>
      <c r="Z270" s="875">
        <f t="shared" si="51"/>
        <v>0</v>
      </c>
      <c r="AA270" s="875">
        <f t="shared" si="51"/>
        <v>0</v>
      </c>
      <c r="AB270" s="875">
        <f t="shared" si="52"/>
        <v>0</v>
      </c>
      <c r="AC270" s="878"/>
    </row>
    <row r="271" spans="1:31" ht="33" customHeight="1" x14ac:dyDescent="0.2">
      <c r="A271" s="822" t="s">
        <v>1330</v>
      </c>
      <c r="E271" s="644">
        <f t="shared" ref="E271:Q271" si="55">E11+E35-E267+E269-E270</f>
        <v>-4.7730281949043274E-9</v>
      </c>
      <c r="F271" s="644">
        <f t="shared" si="55"/>
        <v>0</v>
      </c>
      <c r="G271" s="644">
        <f t="shared" si="55"/>
        <v>0</v>
      </c>
      <c r="H271" s="644">
        <f t="shared" si="55"/>
        <v>-1.0477378964424133E-9</v>
      </c>
      <c r="I271" s="641">
        <f t="shared" si="55"/>
        <v>0</v>
      </c>
      <c r="J271" s="644">
        <f t="shared" si="55"/>
        <v>0</v>
      </c>
      <c r="K271" s="644">
        <f t="shared" si="55"/>
        <v>0</v>
      </c>
      <c r="L271" s="644">
        <f t="shared" si="55"/>
        <v>9.3132257461547852E-10</v>
      </c>
      <c r="M271" s="644">
        <f t="shared" si="55"/>
        <v>0</v>
      </c>
      <c r="N271" s="644">
        <f t="shared" si="55"/>
        <v>0</v>
      </c>
      <c r="O271" s="644">
        <f t="shared" si="55"/>
        <v>0</v>
      </c>
      <c r="P271" s="644">
        <f t="shared" si="55"/>
        <v>0</v>
      </c>
      <c r="Q271" s="644">
        <f t="shared" si="55"/>
        <v>0</v>
      </c>
      <c r="R271" s="644"/>
      <c r="S271" s="644">
        <f>S11+S35-S267+S269-S270</f>
        <v>0</v>
      </c>
      <c r="T271" s="644">
        <f>T11+T35-T267+T269-T270</f>
        <v>0</v>
      </c>
      <c r="U271" s="644">
        <f>U11+U35-U267+U269-U270</f>
        <v>1.0128132998943329E-8</v>
      </c>
      <c r="V271" s="595">
        <f t="shared" si="54"/>
        <v>0</v>
      </c>
      <c r="W271" s="644">
        <f>W11+W35-W267+W269-W270</f>
        <v>0</v>
      </c>
      <c r="X271" s="644">
        <f>X11+X35-X267+X269-X270</f>
        <v>-1.0477378964424133E-9</v>
      </c>
      <c r="Y271" s="644">
        <f>Y11+Y35-Y267+Y269-Y270</f>
        <v>0</v>
      </c>
      <c r="Z271" s="595">
        <f t="shared" si="51"/>
        <v>0</v>
      </c>
      <c r="AA271" s="644">
        <f>AA11+AA35-AA267+AA269-AA270</f>
        <v>0</v>
      </c>
      <c r="AB271" s="595">
        <f t="shared" si="52"/>
        <v>9.3132257461547852E-10</v>
      </c>
      <c r="AC271" s="1005"/>
    </row>
    <row r="272" spans="1:31" x14ac:dyDescent="0.2">
      <c r="A272" s="624" t="s">
        <v>1266</v>
      </c>
      <c r="B272" s="620"/>
      <c r="C272" s="620"/>
      <c r="D272" s="620"/>
      <c r="E272" s="596"/>
      <c r="F272" s="595"/>
      <c r="G272" s="595"/>
      <c r="H272" s="595"/>
      <c r="W272" s="645">
        <f>SUM(W214:W229)</f>
        <v>0</v>
      </c>
      <c r="AB272" s="595">
        <f t="shared" si="52"/>
        <v>0</v>
      </c>
      <c r="AC272" s="1002"/>
    </row>
    <row r="273" spans="1:29" x14ac:dyDescent="0.2">
      <c r="A273" s="624" t="s">
        <v>1268</v>
      </c>
      <c r="B273" s="620"/>
      <c r="C273" s="620"/>
      <c r="D273" s="620"/>
      <c r="E273" s="596"/>
      <c r="F273" s="595"/>
      <c r="G273" s="595"/>
      <c r="H273" s="595"/>
      <c r="AB273" s="595">
        <f t="shared" si="52"/>
        <v>0</v>
      </c>
      <c r="AC273" s="1002"/>
    </row>
    <row r="274" spans="1:29" x14ac:dyDescent="0.2">
      <c r="A274" s="620" t="s">
        <v>1265</v>
      </c>
      <c r="B274" s="619" t="s">
        <v>747</v>
      </c>
      <c r="C274" s="620">
        <v>247</v>
      </c>
      <c r="D274" s="620">
        <v>223</v>
      </c>
      <c r="E274" s="596"/>
      <c r="F274" s="595"/>
      <c r="G274" s="595"/>
      <c r="H274" s="595">
        <v>97172.91</v>
      </c>
      <c r="AB274" s="595">
        <f t="shared" si="52"/>
        <v>0</v>
      </c>
      <c r="AC274" s="1002"/>
    </row>
    <row r="275" spans="1:29" x14ac:dyDescent="0.2">
      <c r="A275" s="620" t="s">
        <v>1265</v>
      </c>
      <c r="B275" s="619" t="s">
        <v>729</v>
      </c>
      <c r="C275" s="620">
        <v>247</v>
      </c>
      <c r="D275" s="620">
        <v>223</v>
      </c>
      <c r="E275" s="596"/>
      <c r="F275" s="595"/>
      <c r="G275" s="595"/>
      <c r="H275" s="595">
        <v>149284.57</v>
      </c>
      <c r="AB275" s="595">
        <f t="shared" si="52"/>
        <v>0</v>
      </c>
      <c r="AC275" s="1002"/>
    </row>
    <row r="276" spans="1:29" x14ac:dyDescent="0.2">
      <c r="A276" s="620"/>
      <c r="B276" s="620"/>
      <c r="C276" s="620"/>
      <c r="D276" s="620"/>
      <c r="E276" s="596"/>
      <c r="F276" s="595"/>
      <c r="G276" s="595"/>
      <c r="H276" s="595">
        <f>SUM(H274:H275)</f>
        <v>246457.48</v>
      </c>
      <c r="AB276" s="595">
        <f t="shared" si="52"/>
        <v>0</v>
      </c>
    </row>
    <row r="277" spans="1:29" x14ac:dyDescent="0.2">
      <c r="A277" s="624" t="s">
        <v>1269</v>
      </c>
      <c r="B277" s="620"/>
      <c r="C277" s="620"/>
      <c r="D277" s="620"/>
      <c r="E277" s="596"/>
      <c r="F277" s="595"/>
      <c r="G277" s="595"/>
      <c r="H277" s="595"/>
      <c r="L277" s="645">
        <v>-28336.69</v>
      </c>
    </row>
    <row r="278" spans="1:29" x14ac:dyDescent="0.2">
      <c r="A278" s="620" t="s">
        <v>735</v>
      </c>
      <c r="B278" s="619" t="s">
        <v>747</v>
      </c>
      <c r="C278" s="620">
        <v>244</v>
      </c>
      <c r="D278" s="620">
        <v>223</v>
      </c>
      <c r="E278" s="596"/>
      <c r="F278" s="595"/>
      <c r="G278" s="595"/>
      <c r="H278" s="595">
        <v>28336.69</v>
      </c>
    </row>
    <row r="279" spans="1:29" x14ac:dyDescent="0.2">
      <c r="A279" s="620" t="s">
        <v>1267</v>
      </c>
      <c r="B279" s="619" t="s">
        <v>747</v>
      </c>
      <c r="C279" s="620">
        <v>247</v>
      </c>
      <c r="D279" s="620">
        <v>223</v>
      </c>
      <c r="E279" s="596"/>
      <c r="F279" s="595"/>
      <c r="G279" s="595"/>
      <c r="H279" s="595">
        <v>19716.62</v>
      </c>
    </row>
    <row r="280" spans="1:29" x14ac:dyDescent="0.2">
      <c r="A280" s="620" t="s">
        <v>1267</v>
      </c>
      <c r="B280" s="619" t="s">
        <v>729</v>
      </c>
      <c r="C280" s="620">
        <v>247</v>
      </c>
      <c r="D280" s="620">
        <v>223</v>
      </c>
      <c r="E280" s="596"/>
      <c r="F280" s="595"/>
      <c r="G280" s="595"/>
      <c r="H280" s="595">
        <v>105588.85</v>
      </c>
    </row>
    <row r="281" spans="1:29" x14ac:dyDescent="0.2">
      <c r="A281" s="620"/>
      <c r="B281" s="620"/>
      <c r="C281" s="620"/>
      <c r="D281" s="620"/>
      <c r="E281" s="596"/>
      <c r="F281" s="595"/>
      <c r="G281" s="595"/>
      <c r="H281" s="595">
        <f>SUM(H278:H280)</f>
        <v>153642.16</v>
      </c>
    </row>
  </sheetData>
  <mergeCells count="28">
    <mergeCell ref="AC7:AC10"/>
    <mergeCell ref="V8:AB8"/>
    <mergeCell ref="Y9:AA9"/>
    <mergeCell ref="AB9:AB10"/>
    <mergeCell ref="M8:M10"/>
    <mergeCell ref="N8:T8"/>
    <mergeCell ref="U8:U10"/>
    <mergeCell ref="T9:T10"/>
    <mergeCell ref="N9:P9"/>
    <mergeCell ref="Q9:S9"/>
    <mergeCell ref="V9:X9"/>
    <mergeCell ref="M7:T7"/>
    <mergeCell ref="U7:AB7"/>
    <mergeCell ref="Z1:AB1"/>
    <mergeCell ref="Z2:AB2"/>
    <mergeCell ref="A3:X3"/>
    <mergeCell ref="A4:X4"/>
    <mergeCell ref="D5:P5"/>
    <mergeCell ref="A7:A10"/>
    <mergeCell ref="B7:B10"/>
    <mergeCell ref="C7:C10"/>
    <mergeCell ref="D7:D10"/>
    <mergeCell ref="E7:L7"/>
    <mergeCell ref="E8:E10"/>
    <mergeCell ref="F8:L8"/>
    <mergeCell ref="F9:H9"/>
    <mergeCell ref="I9:K9"/>
    <mergeCell ref="L9:L10"/>
  </mergeCells>
  <pageMargins left="0.25" right="0.25" top="0.75" bottom="0.75" header="0.3" footer="0.3"/>
  <pageSetup paperSize="9" scale="25"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R181"/>
  <sheetViews>
    <sheetView zoomScaleNormal="100" workbookViewId="0">
      <selection activeCell="A15" sqref="A15:XFD15"/>
    </sheetView>
  </sheetViews>
  <sheetFormatPr defaultColWidth="1.140625" defaultRowHeight="15.75" x14ac:dyDescent="0.2"/>
  <cols>
    <col min="1" max="1" width="4" style="128" customWidth="1"/>
    <col min="2" max="2" width="27.42578125" style="128" customWidth="1"/>
    <col min="3" max="3" width="12.85546875" style="128" customWidth="1"/>
    <col min="4" max="4" width="13.140625" style="128" customWidth="1"/>
    <col min="5" max="5" width="12.85546875" style="128" customWidth="1"/>
    <col min="6" max="6" width="16.28515625" style="128" customWidth="1"/>
    <col min="7" max="7" width="15" style="128" customWidth="1"/>
    <col min="8" max="8" width="16" style="128" customWidth="1"/>
    <col min="9" max="9" width="15.140625" style="128" customWidth="1"/>
    <col min="10" max="10" width="15.28515625" style="128" customWidth="1"/>
    <col min="11" max="11" width="13" style="128" customWidth="1"/>
    <col min="12" max="12" width="13.5703125" style="128" customWidth="1"/>
    <col min="13" max="13" width="12.85546875" style="128" customWidth="1"/>
    <col min="14" max="14" width="11.42578125" style="128" customWidth="1"/>
    <col min="15" max="15" width="20.42578125" style="128" customWidth="1"/>
    <col min="16" max="16" width="13.5703125" style="128" hidden="1" customWidth="1"/>
    <col min="17" max="17" width="12.42578125" style="128" hidden="1" customWidth="1"/>
    <col min="18" max="18" width="4.5703125" style="128" hidden="1" customWidth="1"/>
    <col min="19" max="16384" width="1.140625" style="128"/>
  </cols>
  <sheetData>
    <row r="1" spans="1:15" s="34" customFormat="1" x14ac:dyDescent="0.2">
      <c r="O1" s="124" t="s">
        <v>33</v>
      </c>
    </row>
    <row r="2" spans="1:15" s="34" customFormat="1" ht="17.25" customHeight="1" x14ac:dyDescent="0.2">
      <c r="O2" s="124" t="s">
        <v>59</v>
      </c>
    </row>
    <row r="3" spans="1:15" s="34" customFormat="1" ht="11.25" x14ac:dyDescent="0.2">
      <c r="O3" s="35"/>
    </row>
    <row r="4" spans="1:15" s="37" customFormat="1" x14ac:dyDescent="0.2">
      <c r="A4" s="1634" t="s">
        <v>1224</v>
      </c>
      <c r="B4" s="1634"/>
      <c r="C4" s="1634"/>
      <c r="D4" s="1634"/>
      <c r="E4" s="1634"/>
      <c r="F4" s="1634"/>
      <c r="G4" s="1634"/>
      <c r="H4" s="1634"/>
      <c r="I4" s="1634"/>
      <c r="J4" s="1634"/>
      <c r="K4" s="1634"/>
      <c r="L4" s="1634"/>
      <c r="M4" s="1634"/>
      <c r="N4" s="1634"/>
      <c r="O4" s="1634"/>
    </row>
    <row r="5" spans="1:15" s="39" customFormat="1" ht="9.75" x14ac:dyDescent="0.2">
      <c r="A5" s="38"/>
      <c r="B5" s="38"/>
      <c r="C5" s="38"/>
      <c r="D5" s="38"/>
      <c r="E5" s="38"/>
      <c r="F5" s="38"/>
      <c r="G5" s="38"/>
      <c r="H5" s="38"/>
    </row>
    <row r="6" spans="1:15" s="39" customFormat="1" ht="17.25" customHeight="1" x14ac:dyDescent="0.2">
      <c r="A6" s="37" t="s">
        <v>58</v>
      </c>
      <c r="B6" s="38"/>
      <c r="C6" s="38"/>
      <c r="D6" s="38"/>
      <c r="E6" s="38"/>
      <c r="F6" s="340" t="s">
        <v>591</v>
      </c>
      <c r="G6" s="125"/>
      <c r="H6" s="125"/>
      <c r="I6" s="125"/>
      <c r="J6" s="125"/>
      <c r="K6" s="125"/>
      <c r="L6" s="125"/>
      <c r="M6" s="125"/>
      <c r="N6" s="125"/>
      <c r="O6" s="125"/>
    </row>
    <row r="7" spans="1:15" s="37" customFormat="1" x14ac:dyDescent="0.2">
      <c r="A7" s="126" t="s">
        <v>34</v>
      </c>
      <c r="B7" s="126"/>
      <c r="C7" s="126"/>
      <c r="D7" s="126"/>
      <c r="E7" s="126"/>
      <c r="F7" s="126"/>
      <c r="G7" s="126"/>
      <c r="H7" s="126"/>
    </row>
    <row r="8" spans="1:15" x14ac:dyDescent="0.2">
      <c r="A8" s="126" t="s">
        <v>48</v>
      </c>
      <c r="B8" s="126"/>
      <c r="C8" s="126"/>
      <c r="D8" s="126"/>
      <c r="E8" s="126"/>
      <c r="F8" s="126"/>
      <c r="G8" s="126"/>
      <c r="H8" s="126"/>
      <c r="I8" s="126"/>
      <c r="J8" s="126"/>
      <c r="K8" s="126"/>
      <c r="L8" s="126"/>
      <c r="M8" s="126"/>
      <c r="N8" s="126"/>
      <c r="O8" s="126"/>
    </row>
    <row r="9" spans="1:15" x14ac:dyDescent="0.2">
      <c r="A9" s="126"/>
      <c r="B9" s="126"/>
      <c r="C9" s="126"/>
      <c r="D9" s="126"/>
      <c r="E9" s="126"/>
      <c r="F9" s="126"/>
      <c r="G9" s="126"/>
      <c r="H9" s="126"/>
      <c r="I9" s="126"/>
      <c r="J9" s="126"/>
      <c r="K9" s="126"/>
      <c r="L9" s="126"/>
      <c r="M9" s="126"/>
      <c r="N9" s="126"/>
      <c r="O9" s="126"/>
    </row>
    <row r="10" spans="1:15" s="127" customFormat="1" ht="12.75" x14ac:dyDescent="0.2">
      <c r="A10" s="129" t="s">
        <v>1180</v>
      </c>
    </row>
    <row r="11" spans="1:15" s="127" customFormat="1" ht="12.75" x14ac:dyDescent="0.2">
      <c r="A11" s="2018" t="s">
        <v>38</v>
      </c>
      <c r="B11" s="2024" t="s">
        <v>36</v>
      </c>
      <c r="C11" s="2018" t="s">
        <v>37</v>
      </c>
      <c r="D11" s="2018" t="s">
        <v>0</v>
      </c>
      <c r="E11" s="2018"/>
      <c r="F11" s="2018"/>
      <c r="G11" s="2018"/>
      <c r="H11" s="2018" t="s">
        <v>882</v>
      </c>
      <c r="I11" s="2018" t="s">
        <v>52</v>
      </c>
      <c r="J11" s="2018"/>
      <c r="K11" s="2018"/>
      <c r="L11" s="2018"/>
      <c r="M11" s="2018"/>
      <c r="N11" s="2018"/>
      <c r="O11" s="2018"/>
    </row>
    <row r="12" spans="1:15" s="127" customFormat="1" ht="12.75" x14ac:dyDescent="0.2">
      <c r="A12" s="2018"/>
      <c r="B12" s="2024"/>
      <c r="C12" s="2018"/>
      <c r="D12" s="2018" t="s">
        <v>1</v>
      </c>
      <c r="E12" s="2018" t="s">
        <v>39</v>
      </c>
      <c r="F12" s="2018" t="s">
        <v>40</v>
      </c>
      <c r="G12" s="2018" t="s">
        <v>41</v>
      </c>
      <c r="H12" s="2018"/>
      <c r="I12" s="2018" t="s">
        <v>35</v>
      </c>
      <c r="J12" s="2018"/>
      <c r="K12" s="2018"/>
      <c r="L12" s="2019" t="s">
        <v>45</v>
      </c>
      <c r="M12" s="2020"/>
      <c r="N12" s="2021"/>
      <c r="O12" s="2018" t="s">
        <v>46</v>
      </c>
    </row>
    <row r="13" spans="1:15" s="127" customFormat="1" ht="25.5" x14ac:dyDescent="0.2">
      <c r="A13" s="2018"/>
      <c r="B13" s="2024"/>
      <c r="C13" s="2018"/>
      <c r="D13" s="2018"/>
      <c r="E13" s="2018"/>
      <c r="F13" s="2018"/>
      <c r="G13" s="2018"/>
      <c r="H13" s="2018"/>
      <c r="I13" s="42" t="s">
        <v>43</v>
      </c>
      <c r="J13" s="42" t="s">
        <v>592</v>
      </c>
      <c r="K13" s="42" t="s">
        <v>44</v>
      </c>
      <c r="L13" s="42" t="s">
        <v>55</v>
      </c>
      <c r="M13" s="42" t="s">
        <v>43</v>
      </c>
      <c r="N13" s="42" t="s">
        <v>44</v>
      </c>
      <c r="O13" s="2018"/>
    </row>
    <row r="14" spans="1:15" s="127" customFormat="1" ht="12.75" x14ac:dyDescent="0.2">
      <c r="A14" s="43">
        <v>1</v>
      </c>
      <c r="B14" s="43">
        <v>2</v>
      </c>
      <c r="C14" s="43">
        <v>3</v>
      </c>
      <c r="D14" s="43" t="s">
        <v>47</v>
      </c>
      <c r="E14" s="43">
        <v>5</v>
      </c>
      <c r="F14" s="43">
        <v>6</v>
      </c>
      <c r="G14" s="43">
        <v>7</v>
      </c>
      <c r="H14" s="43" t="s">
        <v>63</v>
      </c>
      <c r="I14" s="43">
        <v>9</v>
      </c>
      <c r="J14" s="43"/>
      <c r="K14" s="43">
        <v>10</v>
      </c>
      <c r="L14" s="43">
        <v>11</v>
      </c>
      <c r="M14" s="43">
        <v>12</v>
      </c>
      <c r="N14" s="43">
        <v>13</v>
      </c>
      <c r="O14" s="43">
        <v>14</v>
      </c>
    </row>
    <row r="15" spans="1:15" s="127" customFormat="1" ht="25.5" x14ac:dyDescent="0.2">
      <c r="A15" s="43">
        <v>1</v>
      </c>
      <c r="B15" s="130" t="s">
        <v>822</v>
      </c>
      <c r="C15" s="303">
        <v>2</v>
      </c>
      <c r="D15" s="341">
        <f>E15+G15+F15</f>
        <v>29649.04305</v>
      </c>
      <c r="E15" s="341">
        <f>12265*1.9</f>
        <v>23303.5</v>
      </c>
      <c r="F15" s="341"/>
      <c r="G15" s="341">
        <f>E15*27.23%</f>
        <v>6345.5430499999993</v>
      </c>
      <c r="H15" s="341">
        <f>K15</f>
        <v>711600</v>
      </c>
      <c r="I15" s="342"/>
      <c r="J15" s="341"/>
      <c r="K15" s="341">
        <v>711600</v>
      </c>
      <c r="L15" s="341"/>
      <c r="M15" s="341"/>
      <c r="N15" s="341"/>
      <c r="O15" s="341"/>
    </row>
    <row r="16" spans="1:15" s="127" customFormat="1" ht="12.75" x14ac:dyDescent="0.2">
      <c r="A16" s="2016" t="s">
        <v>54</v>
      </c>
      <c r="B16" s="2016"/>
      <c r="C16" s="131" t="s">
        <v>3</v>
      </c>
      <c r="D16" s="343" t="s">
        <v>3</v>
      </c>
      <c r="E16" s="343" t="s">
        <v>3</v>
      </c>
      <c r="F16" s="343" t="s">
        <v>3</v>
      </c>
      <c r="G16" s="343" t="s">
        <v>3</v>
      </c>
      <c r="H16" s="343">
        <f>I16+J16+K16</f>
        <v>711600</v>
      </c>
      <c r="I16" s="343">
        <f>SUM(I15:I15)</f>
        <v>0</v>
      </c>
      <c r="J16" s="345"/>
      <c r="K16" s="343">
        <f>SUM(K15:K15)</f>
        <v>711600</v>
      </c>
      <c r="L16" s="343"/>
      <c r="M16" s="343"/>
      <c r="N16" s="343"/>
      <c r="O16" s="343"/>
    </row>
    <row r="17" spans="1:15" s="127" customFormat="1" ht="12.75" x14ac:dyDescent="0.2">
      <c r="A17" s="132"/>
      <c r="B17" s="132"/>
      <c r="C17" s="132"/>
      <c r="D17" s="344"/>
      <c r="E17" s="344"/>
      <c r="F17" s="344"/>
      <c r="G17" s="344"/>
      <c r="H17" s="344"/>
      <c r="I17" s="344"/>
      <c r="J17" s="344"/>
      <c r="K17" s="344"/>
      <c r="L17" s="344"/>
      <c r="M17" s="344"/>
      <c r="N17" s="344"/>
      <c r="O17" s="344"/>
    </row>
    <row r="18" spans="1:15" s="127" customFormat="1" ht="12.75" x14ac:dyDescent="0.2">
      <c r="H18" s="346"/>
      <c r="I18" s="346"/>
      <c r="J18" s="346"/>
      <c r="K18" s="346"/>
      <c r="M18" s="347"/>
      <c r="O18" s="347"/>
    </row>
    <row r="19" spans="1:15" s="127" customFormat="1" ht="12.75" x14ac:dyDescent="0.2">
      <c r="H19" s="480"/>
    </row>
    <row r="20" spans="1:15" s="127" customFormat="1" ht="12.75" x14ac:dyDescent="0.2">
      <c r="H20" s="480"/>
    </row>
    <row r="21" spans="1:15" s="127" customFormat="1" ht="12.75" x14ac:dyDescent="0.2">
      <c r="H21" s="481"/>
    </row>
    <row r="22" spans="1:15" s="127" customFormat="1" ht="12.75" x14ac:dyDescent="0.2">
      <c r="H22" s="481"/>
    </row>
    <row r="23" spans="1:15" s="127" customFormat="1" ht="12.75" x14ac:dyDescent="0.2">
      <c r="H23" s="481"/>
    </row>
    <row r="24" spans="1:15" s="127" customFormat="1" ht="12.75" x14ac:dyDescent="0.2">
      <c r="E24" s="1475"/>
      <c r="F24" s="1475"/>
      <c r="G24" s="1475"/>
      <c r="H24" s="346"/>
      <c r="K24" s="480"/>
    </row>
    <row r="25" spans="1:15" s="127" customFormat="1" ht="12.75" x14ac:dyDescent="0.2">
      <c r="H25" s="481"/>
      <c r="K25" s="480"/>
      <c r="L25" s="481"/>
      <c r="N25" s="481"/>
    </row>
    <row r="26" spans="1:15" s="127" customFormat="1" ht="12.75" x14ac:dyDescent="0.2">
      <c r="H26" s="481"/>
      <c r="J26" s="556"/>
      <c r="K26" s="480"/>
    </row>
    <row r="27" spans="1:15" s="127" customFormat="1" ht="12.75" x14ac:dyDescent="0.2">
      <c r="J27" s="556"/>
      <c r="K27" s="480"/>
    </row>
    <row r="28" spans="1:15" s="127" customFormat="1" ht="12.75" x14ac:dyDescent="0.2">
      <c r="J28" s="556"/>
      <c r="K28" s="480"/>
    </row>
    <row r="29" spans="1:15" s="127" customFormat="1" ht="12.75" x14ac:dyDescent="0.2">
      <c r="J29" s="556"/>
      <c r="K29" s="480"/>
    </row>
    <row r="30" spans="1:15" s="127" customFormat="1" ht="12.75" x14ac:dyDescent="0.2">
      <c r="K30" s="480"/>
    </row>
    <row r="31" spans="1:15" s="127" customFormat="1" ht="12.75" x14ac:dyDescent="0.2">
      <c r="K31" s="480"/>
    </row>
    <row r="32" spans="1:15" s="127" customFormat="1" ht="12.75" x14ac:dyDescent="0.2">
      <c r="K32" s="480"/>
    </row>
    <row r="33" spans="11:11" s="127" customFormat="1" ht="12.75" x14ac:dyDescent="0.2">
      <c r="K33" s="480"/>
    </row>
    <row r="34" spans="11:11" s="127" customFormat="1" ht="12.75" x14ac:dyDescent="0.2">
      <c r="K34" s="346"/>
    </row>
    <row r="35" spans="11:11" s="127" customFormat="1" ht="12.75" x14ac:dyDescent="0.2">
      <c r="K35" s="346"/>
    </row>
    <row r="36" spans="11:11" s="127" customFormat="1" ht="12.75" x14ac:dyDescent="0.2">
      <c r="K36" s="480"/>
    </row>
    <row r="37" spans="11:11" s="127" customFormat="1" ht="12.75" x14ac:dyDescent="0.2">
      <c r="K37" s="481"/>
    </row>
    <row r="38" spans="11:11" s="127" customFormat="1" ht="12.75" x14ac:dyDescent="0.2">
      <c r="K38" s="481"/>
    </row>
    <row r="39" spans="11:11" s="127" customFormat="1" ht="12.75" x14ac:dyDescent="0.2"/>
    <row r="40" spans="11:11" s="127" customFormat="1" ht="12.75" x14ac:dyDescent="0.2"/>
    <row r="41" spans="11:11" s="127" customFormat="1" ht="12.75" x14ac:dyDescent="0.2"/>
    <row r="42" spans="11:11" s="127" customFormat="1" ht="12.75" x14ac:dyDescent="0.2"/>
    <row r="43" spans="11:11" s="127" customFormat="1" ht="12.75" x14ac:dyDescent="0.2"/>
    <row r="44" spans="11:11" s="127" customFormat="1" ht="12.75" x14ac:dyDescent="0.2"/>
    <row r="45" spans="11:11" s="127" customFormat="1" ht="12.75" x14ac:dyDescent="0.2"/>
    <row r="46" spans="11:11" s="127" customFormat="1" ht="12.75" x14ac:dyDescent="0.2"/>
    <row r="47" spans="11:11" s="127" customFormat="1" ht="12.75" x14ac:dyDescent="0.2"/>
    <row r="48" spans="11:11" s="127" customFormat="1" ht="12.75" x14ac:dyDescent="0.2"/>
    <row r="49" s="127" customFormat="1" ht="12.75" x14ac:dyDescent="0.2"/>
    <row r="50" s="127" customFormat="1" ht="12.75" x14ac:dyDescent="0.2"/>
    <row r="51" s="127" customFormat="1" ht="12.75" x14ac:dyDescent="0.2"/>
    <row r="52" s="127" customFormat="1" ht="12.75" x14ac:dyDescent="0.2"/>
    <row r="53" s="127" customFormat="1" ht="12.75" x14ac:dyDescent="0.2"/>
    <row r="54" s="127" customFormat="1" ht="12.75" x14ac:dyDescent="0.2"/>
    <row r="55" s="127" customFormat="1" ht="12.75" x14ac:dyDescent="0.2"/>
    <row r="56" s="127" customFormat="1" ht="12.75" x14ac:dyDescent="0.2"/>
    <row r="57" s="127" customFormat="1" ht="12.75" x14ac:dyDescent="0.2"/>
    <row r="58" s="127" customFormat="1" ht="12.75" x14ac:dyDescent="0.2"/>
    <row r="59" s="127" customFormat="1" ht="12.75" x14ac:dyDescent="0.2"/>
    <row r="60" s="127" customFormat="1" ht="12.75" x14ac:dyDescent="0.2"/>
    <row r="61" s="127" customFormat="1" ht="12.75" x14ac:dyDescent="0.2"/>
    <row r="62" s="127" customFormat="1" ht="12.75" x14ac:dyDescent="0.2"/>
    <row r="63" s="127" customFormat="1" ht="12.75" x14ac:dyDescent="0.2"/>
    <row r="64" s="127" customFormat="1" ht="12.75" x14ac:dyDescent="0.2"/>
    <row r="65" s="127" customFormat="1" ht="12.75" x14ac:dyDescent="0.2"/>
    <row r="66" s="127" customFormat="1" ht="12.75" x14ac:dyDescent="0.2"/>
    <row r="67" s="127" customFormat="1" ht="12.75" x14ac:dyDescent="0.2"/>
    <row r="68" s="127" customFormat="1" ht="12.75" x14ac:dyDescent="0.2"/>
    <row r="69" s="127" customFormat="1" ht="12.75" x14ac:dyDescent="0.2"/>
    <row r="70" s="127" customFormat="1" ht="12.75" x14ac:dyDescent="0.2"/>
    <row r="71" s="127" customFormat="1" ht="12.75" x14ac:dyDescent="0.2"/>
    <row r="72" s="127" customFormat="1" ht="12.75" x14ac:dyDescent="0.2"/>
    <row r="73" s="127" customFormat="1" ht="12.75" x14ac:dyDescent="0.2"/>
    <row r="74" s="127" customFormat="1" ht="12.75" x14ac:dyDescent="0.2"/>
    <row r="75" s="127" customFormat="1" ht="12.75" x14ac:dyDescent="0.2"/>
    <row r="76" s="127" customFormat="1" ht="12.75" x14ac:dyDescent="0.2"/>
    <row r="77" s="127" customFormat="1" ht="12.75" x14ac:dyDescent="0.2"/>
    <row r="78" s="127" customFormat="1" ht="12.75" x14ac:dyDescent="0.2"/>
    <row r="79" s="127" customFormat="1" ht="12.75" x14ac:dyDescent="0.2"/>
    <row r="80" s="127" customFormat="1" ht="12.75" x14ac:dyDescent="0.2"/>
    <row r="81" s="127" customFormat="1" ht="12.75" x14ac:dyDescent="0.2"/>
    <row r="82" s="127" customFormat="1" ht="12.75" x14ac:dyDescent="0.2"/>
    <row r="83" s="127" customFormat="1" ht="12.75" x14ac:dyDescent="0.2"/>
    <row r="84" s="127" customFormat="1" ht="12.75" x14ac:dyDescent="0.2"/>
    <row r="85" s="127" customFormat="1" ht="12.75" x14ac:dyDescent="0.2"/>
    <row r="86" s="127" customFormat="1" ht="12.75" x14ac:dyDescent="0.2"/>
    <row r="87" s="127" customFormat="1" ht="12.75" x14ac:dyDescent="0.2"/>
    <row r="88" s="127" customFormat="1" ht="12.75" x14ac:dyDescent="0.2"/>
    <row r="89" s="127" customFormat="1" ht="12.75" x14ac:dyDescent="0.2"/>
    <row r="90" s="127" customFormat="1" ht="12.75" x14ac:dyDescent="0.2"/>
    <row r="91" s="127" customFormat="1" ht="12.75" x14ac:dyDescent="0.2"/>
    <row r="92" s="127" customFormat="1" ht="12.75" x14ac:dyDescent="0.2"/>
    <row r="93" s="127" customFormat="1" ht="12.75" x14ac:dyDescent="0.2"/>
    <row r="94" s="127" customFormat="1" ht="12.75" x14ac:dyDescent="0.2"/>
    <row r="95" s="127" customFormat="1" ht="12.75" x14ac:dyDescent="0.2"/>
    <row r="96" s="127" customFormat="1" ht="12.75" x14ac:dyDescent="0.2"/>
    <row r="97" s="127" customFormat="1" ht="12.75" x14ac:dyDescent="0.2"/>
    <row r="98" s="127" customFormat="1" ht="12.75" x14ac:dyDescent="0.2"/>
    <row r="99" s="127" customFormat="1" ht="12.75" x14ac:dyDescent="0.2"/>
    <row r="100" s="127" customFormat="1" ht="12.75" x14ac:dyDescent="0.2"/>
    <row r="101" s="127" customFormat="1" ht="12.75" x14ac:dyDescent="0.2"/>
    <row r="102" s="127" customFormat="1" ht="12.75" x14ac:dyDescent="0.2"/>
    <row r="103" s="127" customFormat="1" ht="12.75" x14ac:dyDescent="0.2"/>
    <row r="104" s="127" customFormat="1" ht="12.75" x14ac:dyDescent="0.2"/>
    <row r="105" s="127" customFormat="1" ht="12.75" x14ac:dyDescent="0.2"/>
    <row r="106" s="127" customFormat="1" ht="12.75" x14ac:dyDescent="0.2"/>
    <row r="107" s="127" customFormat="1" ht="12.75" x14ac:dyDescent="0.2"/>
    <row r="108" s="127" customFormat="1" ht="12.75" x14ac:dyDescent="0.2"/>
    <row r="109" s="127" customFormat="1" ht="12.75" x14ac:dyDescent="0.2"/>
    <row r="110" s="127" customFormat="1" ht="12.75" x14ac:dyDescent="0.2"/>
    <row r="111" s="127" customFormat="1" ht="12.75" x14ac:dyDescent="0.2"/>
    <row r="112" s="127" customFormat="1" ht="12.75" x14ac:dyDescent="0.2"/>
    <row r="113" s="127" customFormat="1" ht="12.75" x14ac:dyDescent="0.2"/>
    <row r="114" s="127" customFormat="1" ht="12.75" x14ac:dyDescent="0.2"/>
    <row r="115" s="127" customFormat="1" ht="12.75" x14ac:dyDescent="0.2"/>
    <row r="116" s="127" customFormat="1" ht="12.75" x14ac:dyDescent="0.2"/>
    <row r="117" s="127" customFormat="1" ht="12.75" x14ac:dyDescent="0.2"/>
    <row r="118" s="127" customFormat="1" ht="12.75" x14ac:dyDescent="0.2"/>
    <row r="119" s="127" customFormat="1" ht="12.75" x14ac:dyDescent="0.2"/>
    <row r="120" s="127" customFormat="1" ht="12.75" x14ac:dyDescent="0.2"/>
    <row r="121" s="127" customFormat="1" ht="12.75" x14ac:dyDescent="0.2"/>
    <row r="122" s="127" customFormat="1" ht="12.75" x14ac:dyDescent="0.2"/>
    <row r="123" s="127" customFormat="1" ht="12.75" x14ac:dyDescent="0.2"/>
    <row r="124" s="127" customFormat="1" ht="12.75" x14ac:dyDescent="0.2"/>
    <row r="125" s="127" customFormat="1" ht="12.75" x14ac:dyDescent="0.2"/>
    <row r="126" s="127" customFormat="1" ht="12.75" x14ac:dyDescent="0.2"/>
    <row r="127" s="127" customFormat="1" ht="12.75" x14ac:dyDescent="0.2"/>
    <row r="128" s="127" customFormat="1" ht="12.75" x14ac:dyDescent="0.2"/>
    <row r="129" s="127" customFormat="1" ht="12.75" x14ac:dyDescent="0.2"/>
    <row r="130" s="127" customFormat="1" ht="12.75" x14ac:dyDescent="0.2"/>
    <row r="131" s="127" customFormat="1" ht="12.75" x14ac:dyDescent="0.2"/>
    <row r="132" s="127" customFormat="1" ht="12.75" x14ac:dyDescent="0.2"/>
    <row r="133" s="127" customFormat="1" ht="12.75" x14ac:dyDescent="0.2"/>
    <row r="134" s="127" customFormat="1" ht="12.75" x14ac:dyDescent="0.2"/>
    <row r="135" s="127" customFormat="1" ht="12.75" x14ac:dyDescent="0.2"/>
    <row r="136" s="127" customFormat="1" ht="12.75" x14ac:dyDescent="0.2"/>
    <row r="137" s="127" customFormat="1" ht="12.75" x14ac:dyDescent="0.2"/>
    <row r="138" s="127" customFormat="1" ht="12.75" x14ac:dyDescent="0.2"/>
    <row r="139" s="127" customFormat="1" ht="12.75" x14ac:dyDescent="0.2"/>
    <row r="140" s="127" customFormat="1" ht="12.75" x14ac:dyDescent="0.2"/>
    <row r="141" s="127" customFormat="1" ht="12.75" x14ac:dyDescent="0.2"/>
    <row r="142" s="127" customFormat="1" ht="12.75" x14ac:dyDescent="0.2"/>
    <row r="143" s="127" customFormat="1" ht="12.75" x14ac:dyDescent="0.2"/>
    <row r="144" s="127" customFormat="1" ht="12.75" x14ac:dyDescent="0.2"/>
    <row r="145" spans="1:15" s="127" customFormat="1" ht="12.75" x14ac:dyDescent="0.2"/>
    <row r="146" spans="1:15" s="127" customFormat="1" ht="12.75" x14ac:dyDescent="0.2"/>
    <row r="147" spans="1:15" s="127" customFormat="1" ht="12.75" x14ac:dyDescent="0.2"/>
    <row r="148" spans="1:15" s="127" customFormat="1" ht="12.75" x14ac:dyDescent="0.2"/>
    <row r="149" spans="1:15" s="127" customFormat="1" ht="12.75" x14ac:dyDescent="0.2"/>
    <row r="150" spans="1:15" s="127" customFormat="1" ht="12.75" x14ac:dyDescent="0.2"/>
    <row r="151" spans="1:15" s="127" customFormat="1" ht="12.75" x14ac:dyDescent="0.2"/>
    <row r="152" spans="1:15" s="127" customFormat="1" ht="12.75" x14ac:dyDescent="0.2"/>
    <row r="153" spans="1:15" x14ac:dyDescent="0.2">
      <c r="A153" s="127"/>
      <c r="B153" s="127"/>
      <c r="C153" s="127"/>
      <c r="D153" s="127"/>
      <c r="E153" s="127"/>
      <c r="F153" s="127"/>
      <c r="G153" s="127"/>
      <c r="H153" s="127"/>
      <c r="I153" s="127"/>
      <c r="J153" s="127"/>
      <c r="K153" s="127"/>
      <c r="L153" s="127"/>
      <c r="M153" s="127"/>
      <c r="N153" s="127"/>
      <c r="O153" s="127"/>
    </row>
    <row r="154" spans="1:15" x14ac:dyDescent="0.2">
      <c r="A154" s="127"/>
      <c r="B154" s="127"/>
      <c r="C154" s="127"/>
      <c r="D154" s="127"/>
      <c r="E154" s="127"/>
      <c r="F154" s="127"/>
      <c r="G154" s="127"/>
      <c r="H154" s="127"/>
      <c r="I154" s="127"/>
      <c r="J154" s="127"/>
      <c r="K154" s="127"/>
      <c r="L154" s="127"/>
      <c r="M154" s="127"/>
      <c r="N154" s="127"/>
      <c r="O154" s="127"/>
    </row>
    <row r="155" spans="1:15" x14ac:dyDescent="0.2">
      <c r="A155" s="127"/>
      <c r="B155" s="127"/>
      <c r="C155" s="127"/>
      <c r="D155" s="127"/>
      <c r="E155" s="127"/>
      <c r="F155" s="127"/>
      <c r="G155" s="127"/>
      <c r="H155" s="127"/>
      <c r="I155" s="127"/>
      <c r="J155" s="127"/>
      <c r="K155" s="127"/>
      <c r="L155" s="127"/>
      <c r="M155" s="127"/>
      <c r="N155" s="127"/>
      <c r="O155" s="127"/>
    </row>
    <row r="156" spans="1:15" x14ac:dyDescent="0.2">
      <c r="A156" s="127"/>
      <c r="B156" s="127"/>
      <c r="C156" s="127"/>
      <c r="D156" s="127"/>
      <c r="E156" s="127"/>
      <c r="F156" s="127"/>
      <c r="G156" s="127"/>
      <c r="H156" s="127"/>
      <c r="I156" s="127"/>
      <c r="J156" s="127"/>
      <c r="K156" s="127"/>
      <c r="L156" s="127"/>
      <c r="M156" s="127"/>
      <c r="N156" s="127"/>
      <c r="O156" s="127"/>
    </row>
    <row r="157" spans="1:15" x14ac:dyDescent="0.2">
      <c r="A157" s="127"/>
      <c r="B157" s="127"/>
      <c r="C157" s="127"/>
      <c r="D157" s="127"/>
      <c r="E157" s="127"/>
      <c r="F157" s="127"/>
      <c r="G157" s="127"/>
      <c r="H157" s="127"/>
      <c r="I157" s="127"/>
      <c r="J157" s="127"/>
      <c r="K157" s="127"/>
      <c r="L157" s="127"/>
      <c r="M157" s="127"/>
      <c r="N157" s="127"/>
      <c r="O157" s="127"/>
    </row>
    <row r="158" spans="1:15" x14ac:dyDescent="0.2">
      <c r="A158" s="127"/>
      <c r="B158" s="127"/>
      <c r="C158" s="127"/>
      <c r="D158" s="127"/>
      <c r="E158" s="127"/>
      <c r="F158" s="127"/>
      <c r="G158" s="127"/>
      <c r="H158" s="127"/>
      <c r="I158" s="127"/>
      <c r="J158" s="127"/>
      <c r="K158" s="127"/>
      <c r="L158" s="127"/>
      <c r="M158" s="127"/>
      <c r="N158" s="127"/>
      <c r="O158" s="127"/>
    </row>
    <row r="159" spans="1:15" x14ac:dyDescent="0.2">
      <c r="A159" s="127"/>
      <c r="B159" s="127"/>
      <c r="C159" s="127"/>
      <c r="D159" s="127"/>
      <c r="E159" s="127"/>
      <c r="F159" s="127"/>
      <c r="G159" s="127"/>
      <c r="H159" s="127"/>
      <c r="I159" s="127"/>
      <c r="J159" s="127"/>
      <c r="K159" s="127"/>
      <c r="L159" s="127"/>
      <c r="M159" s="127"/>
      <c r="N159" s="127"/>
      <c r="O159" s="127"/>
    </row>
    <row r="160" spans="1:15" x14ac:dyDescent="0.2">
      <c r="A160" s="127"/>
      <c r="B160" s="127"/>
      <c r="C160" s="127"/>
      <c r="D160" s="127"/>
      <c r="E160" s="127"/>
      <c r="F160" s="127"/>
      <c r="G160" s="127"/>
      <c r="H160" s="127"/>
      <c r="I160" s="127"/>
      <c r="J160" s="127"/>
      <c r="K160" s="127"/>
      <c r="L160" s="127"/>
      <c r="M160" s="127"/>
      <c r="N160" s="127"/>
      <c r="O160" s="127"/>
    </row>
    <row r="161" spans="1:15" x14ac:dyDescent="0.2">
      <c r="A161" s="127"/>
      <c r="B161" s="127"/>
      <c r="C161" s="127"/>
      <c r="D161" s="127"/>
      <c r="E161" s="127"/>
      <c r="F161" s="127"/>
      <c r="G161" s="127"/>
      <c r="H161" s="127"/>
      <c r="I161" s="127"/>
      <c r="J161" s="127"/>
      <c r="K161" s="127"/>
      <c r="L161" s="127"/>
      <c r="M161" s="127"/>
      <c r="N161" s="127"/>
      <c r="O161" s="127"/>
    </row>
    <row r="162" spans="1:15" x14ac:dyDescent="0.2">
      <c r="A162" s="127"/>
      <c r="B162" s="127"/>
      <c r="C162" s="127"/>
      <c r="D162" s="127"/>
      <c r="E162" s="127"/>
      <c r="F162" s="127"/>
      <c r="G162" s="127"/>
      <c r="H162" s="127"/>
      <c r="I162" s="127"/>
      <c r="J162" s="127"/>
      <c r="K162" s="127"/>
      <c r="L162" s="127"/>
      <c r="M162" s="127"/>
      <c r="N162" s="127"/>
      <c r="O162" s="127"/>
    </row>
    <row r="163" spans="1:15" x14ac:dyDescent="0.2">
      <c r="A163" s="127"/>
      <c r="B163" s="127"/>
      <c r="C163" s="127"/>
      <c r="D163" s="127"/>
      <c r="E163" s="127"/>
      <c r="F163" s="127"/>
      <c r="G163" s="127"/>
      <c r="H163" s="127"/>
      <c r="I163" s="127"/>
      <c r="J163" s="127"/>
      <c r="K163" s="127"/>
      <c r="L163" s="127"/>
      <c r="M163" s="127"/>
      <c r="N163" s="127"/>
      <c r="O163" s="127"/>
    </row>
    <row r="164" spans="1:15" x14ac:dyDescent="0.2">
      <c r="A164" s="127"/>
      <c r="B164" s="127"/>
      <c r="C164" s="127"/>
      <c r="D164" s="127"/>
      <c r="E164" s="127"/>
      <c r="F164" s="127"/>
      <c r="G164" s="127"/>
      <c r="H164" s="127"/>
      <c r="I164" s="127"/>
      <c r="J164" s="127"/>
      <c r="K164" s="127"/>
      <c r="L164" s="127"/>
      <c r="M164" s="127"/>
      <c r="N164" s="127"/>
      <c r="O164" s="127"/>
    </row>
    <row r="165" spans="1:15" x14ac:dyDescent="0.2">
      <c r="A165" s="127"/>
      <c r="B165" s="127"/>
      <c r="C165" s="127"/>
      <c r="D165" s="127"/>
      <c r="E165" s="127"/>
      <c r="F165" s="127"/>
      <c r="G165" s="127"/>
      <c r="H165" s="127"/>
      <c r="I165" s="127"/>
      <c r="J165" s="127"/>
      <c r="K165" s="127"/>
      <c r="L165" s="127"/>
      <c r="M165" s="127"/>
      <c r="N165" s="127"/>
      <c r="O165" s="127"/>
    </row>
    <row r="166" spans="1:15" x14ac:dyDescent="0.2">
      <c r="A166" s="127"/>
      <c r="B166" s="127"/>
      <c r="C166" s="127"/>
      <c r="D166" s="127"/>
      <c r="E166" s="127"/>
      <c r="F166" s="127"/>
      <c r="G166" s="127"/>
      <c r="H166" s="127"/>
      <c r="I166" s="127"/>
      <c r="J166" s="127"/>
      <c r="K166" s="127"/>
      <c r="L166" s="127"/>
      <c r="M166" s="127"/>
      <c r="N166" s="127"/>
      <c r="O166" s="127"/>
    </row>
    <row r="167" spans="1:15" x14ac:dyDescent="0.2">
      <c r="A167" s="127"/>
      <c r="B167" s="127"/>
      <c r="C167" s="127"/>
      <c r="D167" s="127"/>
      <c r="E167" s="127"/>
      <c r="F167" s="127"/>
      <c r="G167" s="127"/>
      <c r="H167" s="127"/>
      <c r="I167" s="127"/>
      <c r="J167" s="127"/>
      <c r="K167" s="127"/>
      <c r="L167" s="127"/>
      <c r="M167" s="127"/>
      <c r="N167" s="127"/>
      <c r="O167" s="127"/>
    </row>
    <row r="168" spans="1:15" x14ac:dyDescent="0.2">
      <c r="A168" s="127"/>
      <c r="B168" s="127"/>
      <c r="C168" s="127"/>
      <c r="D168" s="127"/>
      <c r="E168" s="127"/>
      <c r="F168" s="127"/>
      <c r="G168" s="127"/>
      <c r="H168" s="127"/>
      <c r="I168" s="127"/>
      <c r="J168" s="127"/>
      <c r="K168" s="127"/>
      <c r="L168" s="127"/>
      <c r="M168" s="127"/>
      <c r="N168" s="127"/>
      <c r="O168" s="127"/>
    </row>
    <row r="169" spans="1:15" x14ac:dyDescent="0.2">
      <c r="A169" s="127"/>
      <c r="B169" s="127"/>
      <c r="C169" s="127"/>
      <c r="D169" s="127"/>
      <c r="E169" s="127"/>
      <c r="F169" s="127"/>
      <c r="G169" s="127"/>
      <c r="H169" s="127"/>
      <c r="I169" s="127"/>
      <c r="J169" s="127"/>
      <c r="K169" s="127"/>
      <c r="L169" s="127"/>
      <c r="M169" s="127"/>
      <c r="N169" s="127"/>
      <c r="O169" s="127"/>
    </row>
    <row r="170" spans="1:15" x14ac:dyDescent="0.2">
      <c r="A170" s="127"/>
      <c r="B170" s="127"/>
      <c r="C170" s="127"/>
      <c r="D170" s="127"/>
      <c r="E170" s="127"/>
      <c r="F170" s="127"/>
      <c r="G170" s="127"/>
      <c r="H170" s="127"/>
      <c r="I170" s="127"/>
      <c r="J170" s="127"/>
      <c r="K170" s="127"/>
      <c r="L170" s="127"/>
      <c r="M170" s="127"/>
      <c r="N170" s="127"/>
      <c r="O170" s="127"/>
    </row>
    <row r="171" spans="1:15" x14ac:dyDescent="0.2">
      <c r="A171" s="127"/>
      <c r="B171" s="127"/>
      <c r="C171" s="127"/>
      <c r="D171" s="127"/>
      <c r="E171" s="127"/>
      <c r="F171" s="127"/>
      <c r="G171" s="127"/>
      <c r="H171" s="127"/>
      <c r="I171" s="127"/>
      <c r="J171" s="127"/>
      <c r="K171" s="127"/>
      <c r="L171" s="127"/>
      <c r="M171" s="127"/>
      <c r="N171" s="127"/>
      <c r="O171" s="127"/>
    </row>
    <row r="172" spans="1:15" x14ac:dyDescent="0.2">
      <c r="A172" s="127"/>
      <c r="B172" s="127"/>
      <c r="C172" s="127"/>
      <c r="D172" s="127"/>
      <c r="E172" s="127"/>
      <c r="F172" s="127"/>
      <c r="G172" s="127"/>
      <c r="H172" s="127"/>
      <c r="I172" s="127"/>
      <c r="J172" s="127"/>
      <c r="K172" s="127"/>
      <c r="L172" s="127"/>
      <c r="M172" s="127"/>
      <c r="N172" s="127"/>
      <c r="O172" s="127"/>
    </row>
    <row r="173" spans="1:15" x14ac:dyDescent="0.2">
      <c r="A173" s="127"/>
      <c r="B173" s="127"/>
      <c r="C173" s="127"/>
      <c r="D173" s="127"/>
      <c r="E173" s="127"/>
      <c r="F173" s="127"/>
      <c r="G173" s="127"/>
      <c r="H173" s="127"/>
      <c r="I173" s="127"/>
      <c r="J173" s="127"/>
      <c r="K173" s="127"/>
      <c r="L173" s="127"/>
      <c r="M173" s="127"/>
      <c r="N173" s="127"/>
      <c r="O173" s="127"/>
    </row>
    <row r="174" spans="1:15" x14ac:dyDescent="0.2">
      <c r="A174" s="127"/>
      <c r="B174" s="127"/>
      <c r="C174" s="127"/>
      <c r="D174" s="127"/>
      <c r="E174" s="127"/>
      <c r="F174" s="127"/>
      <c r="G174" s="127"/>
      <c r="H174" s="127"/>
      <c r="I174" s="127"/>
      <c r="J174" s="127"/>
      <c r="K174" s="127"/>
      <c r="L174" s="127"/>
      <c r="M174" s="127"/>
      <c r="N174" s="127"/>
      <c r="O174" s="127"/>
    </row>
    <row r="175" spans="1:15" x14ac:dyDescent="0.2">
      <c r="A175" s="127"/>
      <c r="B175" s="127"/>
      <c r="C175" s="127"/>
      <c r="D175" s="127"/>
      <c r="E175" s="127"/>
      <c r="F175" s="127"/>
      <c r="G175" s="127"/>
      <c r="H175" s="127"/>
      <c r="I175" s="127"/>
      <c r="J175" s="127"/>
      <c r="K175" s="127"/>
      <c r="L175" s="127"/>
      <c r="M175" s="127"/>
      <c r="N175" s="127"/>
      <c r="O175" s="127"/>
    </row>
    <row r="176" spans="1:15" x14ac:dyDescent="0.2">
      <c r="A176" s="127"/>
      <c r="B176" s="127"/>
      <c r="C176" s="127"/>
      <c r="D176" s="127"/>
      <c r="E176" s="127"/>
      <c r="F176" s="127"/>
      <c r="G176" s="127"/>
      <c r="H176" s="127"/>
      <c r="I176" s="127"/>
      <c r="J176" s="127"/>
      <c r="K176" s="127"/>
      <c r="L176" s="127"/>
      <c r="M176" s="127"/>
      <c r="N176" s="127"/>
      <c r="O176" s="127"/>
    </row>
    <row r="177" spans="1:15" x14ac:dyDescent="0.2">
      <c r="A177" s="127"/>
      <c r="B177" s="127"/>
      <c r="C177" s="127"/>
      <c r="D177" s="127"/>
      <c r="E177" s="127"/>
      <c r="F177" s="127"/>
      <c r="G177" s="127"/>
      <c r="H177" s="127"/>
      <c r="I177" s="127"/>
      <c r="J177" s="127"/>
      <c r="K177" s="127"/>
      <c r="L177" s="127"/>
      <c r="M177" s="127"/>
      <c r="N177" s="127"/>
      <c r="O177" s="127"/>
    </row>
    <row r="178" spans="1:15" x14ac:dyDescent="0.2">
      <c r="A178" s="127"/>
      <c r="B178" s="127"/>
      <c r="C178" s="127"/>
      <c r="D178" s="127"/>
      <c r="E178" s="127"/>
      <c r="F178" s="127"/>
      <c r="G178" s="127"/>
      <c r="H178" s="127"/>
      <c r="I178" s="127"/>
      <c r="J178" s="127"/>
      <c r="K178" s="127"/>
      <c r="L178" s="127"/>
      <c r="M178" s="127"/>
      <c r="N178" s="127"/>
      <c r="O178" s="127"/>
    </row>
    <row r="179" spans="1:15" x14ac:dyDescent="0.2">
      <c r="A179" s="127"/>
      <c r="B179" s="127"/>
      <c r="C179" s="127"/>
      <c r="D179" s="127"/>
      <c r="E179" s="127"/>
      <c r="F179" s="127"/>
      <c r="G179" s="127"/>
      <c r="H179" s="127"/>
      <c r="I179" s="127"/>
      <c r="J179" s="127"/>
      <c r="K179" s="127"/>
      <c r="L179" s="127"/>
      <c r="M179" s="127"/>
      <c r="N179" s="127"/>
      <c r="O179" s="127"/>
    </row>
    <row r="180" spans="1:15" x14ac:dyDescent="0.2">
      <c r="A180" s="127"/>
      <c r="B180" s="127"/>
      <c r="C180" s="127"/>
      <c r="D180" s="127"/>
      <c r="E180" s="127"/>
      <c r="F180" s="127"/>
      <c r="G180" s="127"/>
      <c r="H180" s="127"/>
      <c r="I180" s="127"/>
      <c r="J180" s="127"/>
      <c r="K180" s="127"/>
      <c r="L180" s="127"/>
      <c r="M180" s="127"/>
      <c r="N180" s="127"/>
      <c r="O180" s="127"/>
    </row>
    <row r="181" spans="1:15" x14ac:dyDescent="0.2">
      <c r="A181" s="127"/>
      <c r="B181" s="127"/>
      <c r="C181" s="127"/>
      <c r="D181" s="127"/>
      <c r="E181" s="127"/>
      <c r="F181" s="127"/>
      <c r="G181" s="127"/>
      <c r="H181" s="127"/>
      <c r="I181" s="127"/>
      <c r="J181" s="127"/>
      <c r="K181" s="127"/>
      <c r="L181" s="127"/>
      <c r="M181" s="127"/>
      <c r="N181" s="127"/>
      <c r="O181" s="127"/>
    </row>
  </sheetData>
  <mergeCells count="16">
    <mergeCell ref="E24:G24"/>
    <mergeCell ref="A4:O4"/>
    <mergeCell ref="A11:A13"/>
    <mergeCell ref="B11:B13"/>
    <mergeCell ref="C11:C13"/>
    <mergeCell ref="D11:G11"/>
    <mergeCell ref="H11:H13"/>
    <mergeCell ref="I11:O11"/>
    <mergeCell ref="D12:D13"/>
    <mergeCell ref="E12:E13"/>
    <mergeCell ref="F12:F13"/>
    <mergeCell ref="G12:G13"/>
    <mergeCell ref="I12:K12"/>
    <mergeCell ref="L12:N12"/>
    <mergeCell ref="O12:O13"/>
    <mergeCell ref="A16:B16"/>
  </mergeCells>
  <pageMargins left="0.19685039370078741" right="0.19685039370078741" top="0.59055118110236227" bottom="0.19685039370078741" header="0.27559055118110237" footer="0.27559055118110237"/>
  <pageSetup paperSize="9" scale="66" fitToHeight="4" orientation="landscape" r:id="rId1"/>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56"/>
  <sheetViews>
    <sheetView topLeftCell="A19" zoomScale="90" zoomScaleNormal="90" workbookViewId="0">
      <selection activeCell="A21" sqref="A21:G21"/>
    </sheetView>
  </sheetViews>
  <sheetFormatPr defaultColWidth="9.140625" defaultRowHeight="12.75" x14ac:dyDescent="0.2"/>
  <cols>
    <col min="1" max="1" width="33.7109375" style="409" customWidth="1"/>
    <col min="2" max="2" width="15.42578125" style="409" customWidth="1"/>
    <col min="3" max="3" width="14.85546875" style="409" customWidth="1"/>
    <col min="4" max="4" width="17.85546875" style="409" customWidth="1"/>
    <col min="5" max="5" width="16.5703125" style="409" customWidth="1"/>
    <col min="6" max="6" width="17" style="409" customWidth="1"/>
    <col min="7" max="7" width="17.28515625" style="409" customWidth="1"/>
    <col min="8" max="8" width="12.42578125" style="409" bestFit="1" customWidth="1"/>
    <col min="9" max="16384" width="9.140625" style="409"/>
  </cols>
  <sheetData>
    <row r="1" spans="1:7" x14ac:dyDescent="0.2">
      <c r="A1" s="2242" t="s">
        <v>1148</v>
      </c>
      <c r="B1" s="2242"/>
      <c r="C1" s="2242"/>
      <c r="D1" s="2242"/>
      <c r="E1" s="2242"/>
    </row>
    <row r="2" spans="1:7" x14ac:dyDescent="0.2">
      <c r="B2" s="488"/>
    </row>
    <row r="3" spans="1:7" ht="16.5" customHeight="1" x14ac:dyDescent="0.2">
      <c r="A3" s="489"/>
      <c r="B3" s="2243" t="s">
        <v>179</v>
      </c>
      <c r="C3" s="2243"/>
      <c r="D3" s="2243"/>
      <c r="E3" s="2243"/>
      <c r="F3" s="2243"/>
    </row>
    <row r="4" spans="1:7" ht="20.25" customHeight="1" x14ac:dyDescent="0.2">
      <c r="A4" s="489"/>
      <c r="B4" s="2243" t="s">
        <v>1149</v>
      </c>
      <c r="C4" s="2243"/>
      <c r="D4" s="2243"/>
      <c r="E4" s="2243"/>
      <c r="F4" s="2243"/>
      <c r="G4" s="2243"/>
    </row>
    <row r="5" spans="1:7" x14ac:dyDescent="0.2">
      <c r="A5" s="2244"/>
      <c r="B5" s="2244"/>
      <c r="C5" s="2244"/>
      <c r="D5" s="2244"/>
      <c r="E5" s="2244"/>
    </row>
    <row r="7" spans="1:7" ht="24.95" customHeight="1" x14ac:dyDescent="0.2">
      <c r="A7" s="2245"/>
      <c r="B7" s="2189" t="s">
        <v>1150</v>
      </c>
      <c r="C7" s="2189"/>
      <c r="D7" s="2189"/>
      <c r="E7" s="2189"/>
      <c r="F7" s="2246" t="s">
        <v>1151</v>
      </c>
      <c r="G7" s="2246" t="s">
        <v>1175</v>
      </c>
    </row>
    <row r="8" spans="1:7" ht="48" customHeight="1" x14ac:dyDescent="0.2">
      <c r="A8" s="2245"/>
      <c r="B8" s="490" t="s">
        <v>183</v>
      </c>
      <c r="C8" s="486" t="s">
        <v>1152</v>
      </c>
      <c r="D8" s="486" t="s">
        <v>185</v>
      </c>
      <c r="E8" s="486" t="s">
        <v>186</v>
      </c>
      <c r="F8" s="2247"/>
      <c r="G8" s="2247"/>
    </row>
    <row r="9" spans="1:7" ht="25.5" customHeight="1" x14ac:dyDescent="0.25">
      <c r="A9" s="491" t="s">
        <v>184</v>
      </c>
      <c r="B9" s="492">
        <v>84</v>
      </c>
      <c r="C9" s="492">
        <f>C12-C10-C11</f>
        <v>10305</v>
      </c>
      <c r="D9" s="493">
        <f>D11-D27</f>
        <v>23.909999999999997</v>
      </c>
      <c r="E9" s="494">
        <f>C9*D9</f>
        <v>246392.54999999996</v>
      </c>
      <c r="F9" s="495"/>
      <c r="G9" s="495"/>
    </row>
    <row r="10" spans="1:7" ht="25.5" customHeight="1" x14ac:dyDescent="0.25">
      <c r="A10" s="491" t="s">
        <v>187</v>
      </c>
      <c r="B10" s="492">
        <v>10</v>
      </c>
      <c r="C10" s="485">
        <v>1417</v>
      </c>
      <c r="D10" s="493">
        <f>D28+D9</f>
        <v>81.814999999999998</v>
      </c>
      <c r="E10" s="494">
        <f>C10*D10</f>
        <v>115931.855</v>
      </c>
      <c r="F10" s="495"/>
      <c r="G10" s="495"/>
    </row>
    <row r="11" spans="1:7" ht="25.5" customHeight="1" x14ac:dyDescent="0.25">
      <c r="A11" s="491" t="s">
        <v>188</v>
      </c>
      <c r="B11" s="492">
        <v>4</v>
      </c>
      <c r="C11" s="485">
        <v>413</v>
      </c>
      <c r="D11" s="487">
        <v>139.72</v>
      </c>
      <c r="E11" s="494">
        <f>C11*D11</f>
        <v>57704.36</v>
      </c>
      <c r="F11" s="495"/>
      <c r="G11" s="495"/>
    </row>
    <row r="12" spans="1:7" ht="25.5" customHeight="1" x14ac:dyDescent="0.25">
      <c r="A12" s="496" t="s">
        <v>1153</v>
      </c>
      <c r="B12" s="497">
        <f>SUM(B9:B11)</f>
        <v>98</v>
      </c>
      <c r="C12" s="497">
        <v>12135</v>
      </c>
      <c r="D12" s="490"/>
      <c r="E12" s="498">
        <f>SUM(E9:E11)</f>
        <v>420028.76499999996</v>
      </c>
      <c r="F12" s="495"/>
      <c r="G12" s="495"/>
    </row>
    <row r="13" spans="1:7" ht="48" customHeight="1" x14ac:dyDescent="0.25">
      <c r="A13" s="496"/>
      <c r="B13" s="490" t="s">
        <v>183</v>
      </c>
      <c r="C13" s="486" t="s">
        <v>1154</v>
      </c>
      <c r="D13" s="486" t="s">
        <v>185</v>
      </c>
      <c r="E13" s="486" t="s">
        <v>186</v>
      </c>
      <c r="F13" s="495"/>
      <c r="G13" s="495"/>
    </row>
    <row r="14" spans="1:7" ht="25.5" customHeight="1" x14ac:dyDescent="0.25">
      <c r="A14" s="491" t="s">
        <v>184</v>
      </c>
      <c r="B14" s="492">
        <v>84</v>
      </c>
      <c r="C14" s="485">
        <v>2380</v>
      </c>
      <c r="D14" s="493">
        <v>32.19</v>
      </c>
      <c r="E14" s="494">
        <f>C14*D14</f>
        <v>76612.2</v>
      </c>
      <c r="F14" s="495"/>
      <c r="G14" s="495"/>
    </row>
    <row r="15" spans="1:7" ht="25.5" customHeight="1" x14ac:dyDescent="0.25">
      <c r="A15" s="491" t="s">
        <v>187</v>
      </c>
      <c r="B15" s="492">
        <v>10</v>
      </c>
      <c r="C15" s="485">
        <v>283</v>
      </c>
      <c r="D15" s="493">
        <v>91.09</v>
      </c>
      <c r="E15" s="494">
        <f>C15*D15</f>
        <v>25778.47</v>
      </c>
      <c r="F15" s="495"/>
      <c r="G15" s="495"/>
    </row>
    <row r="16" spans="1:7" ht="25.5" customHeight="1" x14ac:dyDescent="0.25">
      <c r="A16" s="491" t="s">
        <v>188</v>
      </c>
      <c r="B16" s="492">
        <v>4</v>
      </c>
      <c r="C16" s="485">
        <v>113</v>
      </c>
      <c r="D16" s="487">
        <v>150</v>
      </c>
      <c r="E16" s="494">
        <f>C16*D16</f>
        <v>16950</v>
      </c>
      <c r="F16" s="495"/>
      <c r="G16" s="495"/>
    </row>
    <row r="17" spans="1:8" ht="25.5" customHeight="1" x14ac:dyDescent="0.25">
      <c r="A17" s="496"/>
      <c r="B17" s="497">
        <f>SUM(B14:B16)</f>
        <v>98</v>
      </c>
      <c r="C17" s="497">
        <f>SUM(C14:C16)</f>
        <v>2776</v>
      </c>
      <c r="D17" s="484"/>
      <c r="E17" s="498">
        <f>SUM(E14:E16)</f>
        <v>119340.67</v>
      </c>
      <c r="F17" s="495"/>
      <c r="G17" s="495"/>
    </row>
    <row r="18" spans="1:8" ht="25.5" customHeight="1" x14ac:dyDescent="0.25">
      <c r="A18" s="499" t="s">
        <v>189</v>
      </c>
      <c r="B18" s="497"/>
      <c r="C18" s="500">
        <f>C17+C12</f>
        <v>14911</v>
      </c>
      <c r="D18" s="484"/>
      <c r="E18" s="501">
        <f>E17+E12</f>
        <v>539369.43499999994</v>
      </c>
      <c r="F18" s="502">
        <v>530000</v>
      </c>
      <c r="G18" s="503">
        <v>696467.76</v>
      </c>
      <c r="H18" s="504"/>
    </row>
    <row r="19" spans="1:8" ht="15" customHeight="1" x14ac:dyDescent="0.2">
      <c r="A19" s="2241" t="s">
        <v>1176</v>
      </c>
      <c r="B19" s="2241"/>
      <c r="C19" s="2241"/>
      <c r="D19" s="2241"/>
      <c r="E19" s="2241"/>
      <c r="F19" s="2241"/>
      <c r="G19" s="2241"/>
      <c r="H19" s="504"/>
    </row>
    <row r="20" spans="1:8" ht="13.5" customHeight="1" x14ac:dyDescent="0.2">
      <c r="A20" s="2241" t="s">
        <v>1174</v>
      </c>
      <c r="B20" s="2241"/>
      <c r="C20" s="2241"/>
      <c r="D20" s="2241"/>
      <c r="E20" s="2241"/>
      <c r="F20" s="2241"/>
      <c r="G20" s="2241"/>
    </row>
    <row r="21" spans="1:8" ht="25.5" customHeight="1" x14ac:dyDescent="0.2">
      <c r="A21" s="2241" t="s">
        <v>1170</v>
      </c>
      <c r="B21" s="2241"/>
      <c r="C21" s="2241"/>
      <c r="D21" s="2241"/>
      <c r="E21" s="2241"/>
      <c r="F21" s="2241"/>
      <c r="G21" s="2241"/>
    </row>
    <row r="22" spans="1:8" ht="27.75" customHeight="1" x14ac:dyDescent="0.2">
      <c r="A22" s="2243" t="s">
        <v>190</v>
      </c>
      <c r="B22" s="2243"/>
      <c r="C22" s="2243"/>
      <c r="D22" s="2243"/>
      <c r="E22" s="2243"/>
      <c r="F22" s="2243"/>
      <c r="G22" s="2243"/>
    </row>
    <row r="23" spans="1:8" ht="14.25" x14ac:dyDescent="0.2">
      <c r="A23" s="2243" t="s">
        <v>191</v>
      </c>
      <c r="B23" s="2243"/>
      <c r="C23" s="2243"/>
      <c r="D23" s="2243"/>
      <c r="E23" s="2243"/>
      <c r="F23" s="2243"/>
      <c r="G23" s="2243"/>
    </row>
    <row r="24" spans="1:8" ht="15" x14ac:dyDescent="0.25">
      <c r="A24" s="505"/>
      <c r="B24" s="505"/>
      <c r="C24" s="505"/>
      <c r="D24" s="505"/>
      <c r="E24" s="2243"/>
      <c r="F24" s="2243"/>
      <c r="G24" s="506"/>
    </row>
    <row r="25" spans="1:8" ht="25.5" customHeight="1" x14ac:dyDescent="0.2">
      <c r="A25" s="2245"/>
      <c r="B25" s="2189" t="str">
        <f>B7</f>
        <v xml:space="preserve"> 2023 год</v>
      </c>
      <c r="C25" s="2189"/>
      <c r="D25" s="2189"/>
      <c r="E25" s="2189"/>
      <c r="F25" s="2246" t="str">
        <f>F7</f>
        <v>компенсация</v>
      </c>
      <c r="G25" s="2249" t="s">
        <v>1155</v>
      </c>
    </row>
    <row r="26" spans="1:8" ht="57" customHeight="1" x14ac:dyDescent="0.2">
      <c r="A26" s="2245"/>
      <c r="B26" s="490" t="s">
        <v>183</v>
      </c>
      <c r="C26" s="486" t="str">
        <f>C8</f>
        <v>дето-дни факт за 10 месяцев 2023</v>
      </c>
      <c r="D26" s="486" t="s">
        <v>185</v>
      </c>
      <c r="E26" s="486" t="s">
        <v>186</v>
      </c>
      <c r="F26" s="2247"/>
      <c r="G26" s="2250"/>
    </row>
    <row r="27" spans="1:8" ht="22.5" customHeight="1" x14ac:dyDescent="0.25">
      <c r="A27" s="491" t="s">
        <v>1156</v>
      </c>
      <c r="B27" s="492">
        <f>B9</f>
        <v>84</v>
      </c>
      <c r="C27" s="485">
        <f>C9</f>
        <v>10305</v>
      </c>
      <c r="D27" s="487">
        <v>115.81</v>
      </c>
      <c r="E27" s="494">
        <f>C27*D27</f>
        <v>1193422.05</v>
      </c>
      <c r="F27" s="290"/>
      <c r="G27" s="507"/>
    </row>
    <row r="28" spans="1:8" ht="22.5" customHeight="1" x14ac:dyDescent="0.25">
      <c r="A28" s="491" t="s">
        <v>193</v>
      </c>
      <c r="B28" s="492">
        <f>B10</f>
        <v>10</v>
      </c>
      <c r="C28" s="485">
        <f>C10</f>
        <v>1417</v>
      </c>
      <c r="D28" s="487">
        <f>D27/2</f>
        <v>57.905000000000001</v>
      </c>
      <c r="E28" s="494">
        <f>C28*D28</f>
        <v>82051.384999999995</v>
      </c>
      <c r="F28" s="495"/>
      <c r="G28" s="507"/>
    </row>
    <row r="29" spans="1:8" ht="22.5" customHeight="1" x14ac:dyDescent="0.25">
      <c r="A29" s="491" t="s">
        <v>1157</v>
      </c>
      <c r="B29" s="492">
        <f>B11</f>
        <v>4</v>
      </c>
      <c r="C29" s="485">
        <f>C11</f>
        <v>413</v>
      </c>
      <c r="D29" s="487"/>
      <c r="E29" s="494">
        <f>C29*D29</f>
        <v>0</v>
      </c>
      <c r="F29" s="495"/>
      <c r="G29" s="508"/>
    </row>
    <row r="30" spans="1:8" ht="24.75" customHeight="1" x14ac:dyDescent="0.25">
      <c r="A30" s="496" t="s">
        <v>838</v>
      </c>
      <c r="B30" s="497">
        <f>SUM(B27:B29)</f>
        <v>98</v>
      </c>
      <c r="C30" s="497">
        <f>SUM(C27:C29)</f>
        <v>12135</v>
      </c>
      <c r="D30" s="490"/>
      <c r="E30" s="498">
        <f>SUM(E27:E29)</f>
        <v>1275473.4350000001</v>
      </c>
      <c r="F30" s="495"/>
      <c r="G30" s="508"/>
    </row>
    <row r="31" spans="1:8" ht="47.25" customHeight="1" x14ac:dyDescent="0.25">
      <c r="A31" s="496"/>
      <c r="B31" s="490" t="s">
        <v>183</v>
      </c>
      <c r="C31" s="486" t="str">
        <f>C13</f>
        <v>дето-дни план на 2 месяца 2023</v>
      </c>
      <c r="D31" s="486" t="s">
        <v>185</v>
      </c>
      <c r="E31" s="486" t="s">
        <v>186</v>
      </c>
      <c r="F31" s="495"/>
      <c r="G31" s="508"/>
    </row>
    <row r="32" spans="1:8" ht="22.5" customHeight="1" x14ac:dyDescent="0.25">
      <c r="A32" s="491" t="s">
        <v>1156</v>
      </c>
      <c r="B32" s="492">
        <f>B14</f>
        <v>84</v>
      </c>
      <c r="C32" s="485">
        <f>C14</f>
        <v>2380</v>
      </c>
      <c r="D32" s="487">
        <f>D27</f>
        <v>115.81</v>
      </c>
      <c r="E32" s="494">
        <f>C32*D32</f>
        <v>275627.8</v>
      </c>
      <c r="F32" s="495"/>
      <c r="G32" s="508"/>
    </row>
    <row r="33" spans="1:9" ht="22.5" customHeight="1" x14ac:dyDescent="0.25">
      <c r="A33" s="491" t="s">
        <v>1158</v>
      </c>
      <c r="B33" s="492">
        <f>B15</f>
        <v>10</v>
      </c>
      <c r="C33" s="485">
        <f>C15</f>
        <v>283</v>
      </c>
      <c r="D33" s="487">
        <f>D32/2</f>
        <v>57.905000000000001</v>
      </c>
      <c r="E33" s="494">
        <f>C33*D33</f>
        <v>16387.115000000002</v>
      </c>
      <c r="F33" s="495"/>
      <c r="G33" s="508"/>
    </row>
    <row r="34" spans="1:9" ht="22.5" customHeight="1" x14ac:dyDescent="0.25">
      <c r="A34" s="491" t="s">
        <v>1159</v>
      </c>
      <c r="B34" s="492">
        <f>B16</f>
        <v>4</v>
      </c>
      <c r="C34" s="485">
        <f>C16</f>
        <v>113</v>
      </c>
      <c r="D34" s="484"/>
      <c r="E34" s="494">
        <f>C34*D34</f>
        <v>0</v>
      </c>
      <c r="F34" s="495"/>
      <c r="G34" s="508"/>
    </row>
    <row r="35" spans="1:9" ht="22.5" customHeight="1" x14ac:dyDescent="0.25">
      <c r="A35" s="496" t="s">
        <v>1160</v>
      </c>
      <c r="B35" s="486">
        <f>SUM(B32:B34)</f>
        <v>98</v>
      </c>
      <c r="C35" s="497">
        <f>SUM(C32:C34)</f>
        <v>2776</v>
      </c>
      <c r="D35" s="490"/>
      <c r="E35" s="498">
        <f>SUM(E32:E34)</f>
        <v>292014.91499999998</v>
      </c>
      <c r="F35" s="495"/>
      <c r="G35" s="508"/>
    </row>
    <row r="36" spans="1:9" ht="15" x14ac:dyDescent="0.25">
      <c r="A36" s="496" t="s">
        <v>189</v>
      </c>
      <c r="B36" s="497"/>
      <c r="C36" s="500">
        <f>C35+C30</f>
        <v>14911</v>
      </c>
      <c r="D36" s="484"/>
      <c r="E36" s="509">
        <f>E35+E30-50.35</f>
        <v>1567438</v>
      </c>
      <c r="F36" s="502">
        <f>F18</f>
        <v>530000</v>
      </c>
      <c r="G36" s="510">
        <f>E36-F36</f>
        <v>1037438</v>
      </c>
    </row>
    <row r="37" spans="1:9" ht="20.25" customHeight="1" x14ac:dyDescent="0.2">
      <c r="F37" s="488"/>
      <c r="G37" s="511"/>
    </row>
    <row r="38" spans="1:9" ht="21" customHeight="1" x14ac:dyDescent="0.25">
      <c r="E38" s="406"/>
      <c r="F38" s="512"/>
      <c r="G38" s="513"/>
      <c r="H38" s="512"/>
      <c r="I38" s="512"/>
    </row>
    <row r="39" spans="1:9" ht="15.75" x14ac:dyDescent="0.25">
      <c r="A39" s="1777" t="s">
        <v>194</v>
      </c>
      <c r="B39" s="514">
        <f>C27+C32</f>
        <v>12685</v>
      </c>
      <c r="C39" s="515">
        <v>119</v>
      </c>
      <c r="D39" s="515">
        <f>B39*C39</f>
        <v>1509515</v>
      </c>
      <c r="E39" s="516"/>
      <c r="F39" s="517"/>
      <c r="G39" s="513"/>
      <c r="H39" s="512"/>
      <c r="I39" s="512"/>
    </row>
    <row r="40" spans="1:9" ht="18" customHeight="1" x14ac:dyDescent="0.25">
      <c r="A40" s="1777"/>
      <c r="B40" s="514">
        <f>C28+C33</f>
        <v>1700</v>
      </c>
      <c r="C40" s="515">
        <f>C39/2</f>
        <v>59.5</v>
      </c>
      <c r="D40" s="515">
        <f>B40*C40</f>
        <v>101150</v>
      </c>
      <c r="E40" s="406"/>
      <c r="F40" s="517"/>
      <c r="G40" s="513"/>
      <c r="H40" s="512"/>
      <c r="I40" s="512"/>
    </row>
    <row r="41" spans="1:9" ht="18" customHeight="1" x14ac:dyDescent="0.25">
      <c r="A41" s="483" t="s">
        <v>1161</v>
      </c>
      <c r="B41" s="514">
        <f>SUM(B39:B40)</f>
        <v>14385</v>
      </c>
      <c r="C41" s="515"/>
      <c r="D41" s="518">
        <f>D39+D40</f>
        <v>1610665</v>
      </c>
      <c r="E41" s="519">
        <f>((D45+D47)/D41)*100</f>
        <v>2.6837983069104996</v>
      </c>
      <c r="F41" s="517"/>
      <c r="G41" s="513"/>
      <c r="H41" s="512"/>
      <c r="I41" s="512"/>
    </row>
    <row r="42" spans="1:9" ht="18" customHeight="1" x14ac:dyDescent="0.25">
      <c r="A42" s="406" t="s">
        <v>1162</v>
      </c>
      <c r="B42" s="515"/>
      <c r="C42" s="515"/>
      <c r="D42" s="520">
        <f>F18</f>
        <v>530000</v>
      </c>
      <c r="E42" s="521"/>
      <c r="F42" s="522"/>
      <c r="G42" s="512"/>
      <c r="H42" s="512"/>
      <c r="I42" s="512"/>
    </row>
    <row r="43" spans="1:9" ht="18" customHeight="1" x14ac:dyDescent="0.25">
      <c r="A43" s="406" t="s">
        <v>1163</v>
      </c>
      <c r="B43" s="406"/>
      <c r="C43" s="406"/>
      <c r="D43" s="516">
        <f>D41-D42</f>
        <v>1080665</v>
      </c>
      <c r="E43" s="523"/>
      <c r="F43" s="512"/>
      <c r="G43" s="512"/>
      <c r="H43" s="512"/>
      <c r="I43" s="512"/>
    </row>
    <row r="44" spans="1:9" ht="18" customHeight="1" x14ac:dyDescent="0.25">
      <c r="A44" s="524" t="s">
        <v>1164</v>
      </c>
      <c r="B44" s="515" t="s">
        <v>1165</v>
      </c>
      <c r="C44" s="406"/>
      <c r="E44" s="524"/>
      <c r="F44" s="517"/>
      <c r="G44" s="513"/>
      <c r="H44" s="512"/>
      <c r="I44" s="512"/>
    </row>
    <row r="45" spans="1:9" ht="18" customHeight="1" x14ac:dyDescent="0.25">
      <c r="A45" s="406" t="s">
        <v>1171</v>
      </c>
      <c r="B45" s="406"/>
      <c r="C45" s="406"/>
      <c r="D45" s="515">
        <v>32420</v>
      </c>
      <c r="E45" s="406" t="s">
        <v>197</v>
      </c>
      <c r="F45" s="517"/>
      <c r="G45" s="513"/>
      <c r="H45" s="512"/>
      <c r="I45" s="512"/>
    </row>
    <row r="46" spans="1:9" ht="18" customHeight="1" x14ac:dyDescent="0.25">
      <c r="A46" s="406" t="s">
        <v>1173</v>
      </c>
      <c r="B46" s="406"/>
      <c r="C46" s="406"/>
      <c r="D46" s="515">
        <f>D43-D45</f>
        <v>1048245</v>
      </c>
      <c r="E46" s="406"/>
      <c r="F46" s="517"/>
      <c r="G46" s="513"/>
      <c r="H46" s="512"/>
      <c r="I46" s="512"/>
    </row>
    <row r="47" spans="1:9" ht="18" customHeight="1" x14ac:dyDescent="0.25">
      <c r="A47" s="406" t="s">
        <v>1172</v>
      </c>
      <c r="B47" s="406"/>
      <c r="C47" s="406"/>
      <c r="D47" s="516">
        <v>10807</v>
      </c>
      <c r="E47" s="406" t="s">
        <v>197</v>
      </c>
      <c r="F47" s="517"/>
      <c r="G47" s="512"/>
      <c r="H47" s="512"/>
      <c r="I47" s="512"/>
    </row>
    <row r="48" spans="1:9" ht="18" customHeight="1" x14ac:dyDescent="0.25">
      <c r="A48" s="406" t="s">
        <v>198</v>
      </c>
      <c r="B48" s="406"/>
      <c r="C48" s="406"/>
      <c r="D48" s="516">
        <f>D43-D45-D47</f>
        <v>1037438</v>
      </c>
      <c r="E48" s="406" t="s">
        <v>199</v>
      </c>
      <c r="F48" s="512"/>
      <c r="G48" s="512"/>
      <c r="H48" s="512"/>
      <c r="I48" s="512"/>
    </row>
    <row r="49" spans="1:9" ht="18" customHeight="1" x14ac:dyDescent="0.25">
      <c r="A49" s="406"/>
      <c r="B49" s="406"/>
      <c r="C49" s="406"/>
      <c r="D49" s="406"/>
      <c r="E49" s="406"/>
      <c r="F49" s="512"/>
      <c r="G49" s="512"/>
      <c r="H49" s="512"/>
      <c r="I49" s="512"/>
    </row>
    <row r="50" spans="1:9" ht="30" hidden="1" customHeight="1" x14ac:dyDescent="0.25">
      <c r="A50" s="2248" t="s">
        <v>1166</v>
      </c>
      <c r="D50" s="525">
        <f>D48/D41*100</f>
        <v>64.410538504282385</v>
      </c>
      <c r="E50" s="406" t="s">
        <v>1167</v>
      </c>
      <c r="F50" s="512"/>
      <c r="G50" s="512"/>
      <c r="H50" s="512"/>
      <c r="I50" s="512"/>
    </row>
    <row r="51" spans="1:9" ht="15.75" hidden="1" x14ac:dyDescent="0.25">
      <c r="A51" s="2248"/>
      <c r="D51" s="526">
        <f>C39*77.63%</f>
        <v>92.3797</v>
      </c>
      <c r="E51" s="406" t="s">
        <v>1168</v>
      </c>
      <c r="F51" s="512"/>
      <c r="G51" s="512"/>
      <c r="H51" s="512"/>
      <c r="I51" s="512"/>
    </row>
    <row r="52" spans="1:9" ht="27.75" customHeight="1" x14ac:dyDescent="0.25">
      <c r="D52" s="527">
        <v>83974.77</v>
      </c>
      <c r="E52" s="406" t="s">
        <v>1169</v>
      </c>
      <c r="F52" s="512"/>
      <c r="G52" s="512"/>
      <c r="H52" s="512"/>
      <c r="I52" s="512"/>
    </row>
    <row r="53" spans="1:9" ht="21.75" customHeight="1" x14ac:dyDescent="0.25">
      <c r="D53" s="527">
        <f>D48+D52</f>
        <v>1121412.77</v>
      </c>
      <c r="E53" s="406" t="s">
        <v>1143</v>
      </c>
    </row>
    <row r="55" spans="1:9" ht="18.75" x14ac:dyDescent="0.3">
      <c r="A55" s="411"/>
      <c r="B55" s="528"/>
      <c r="C55" s="528"/>
      <c r="D55" s="528"/>
    </row>
    <row r="56" spans="1:9" s="406" customFormat="1" ht="15.75" x14ac:dyDescent="0.25"/>
  </sheetData>
  <mergeCells count="20">
    <mergeCell ref="A50:A51"/>
    <mergeCell ref="A20:G20"/>
    <mergeCell ref="A21:G21"/>
    <mergeCell ref="A22:G22"/>
    <mergeCell ref="A23:G23"/>
    <mergeCell ref="E24:F24"/>
    <mergeCell ref="A25:A26"/>
    <mergeCell ref="B25:E25"/>
    <mergeCell ref="F25:F26"/>
    <mergeCell ref="G25:G26"/>
    <mergeCell ref="A39:A40"/>
    <mergeCell ref="A19:G19"/>
    <mergeCell ref="A1:E1"/>
    <mergeCell ref="B3:F3"/>
    <mergeCell ref="B4:G4"/>
    <mergeCell ref="A5:E5"/>
    <mergeCell ref="A7:A8"/>
    <mergeCell ref="B7:E7"/>
    <mergeCell ref="F7:F8"/>
    <mergeCell ref="G7:G8"/>
  </mergeCells>
  <printOptions gridLines="1"/>
  <pageMargins left="0.70866141732283472" right="0" top="0.15748031496062992" bottom="0.15748031496062992" header="0.31496062992125984" footer="0.31496062992125984"/>
  <pageSetup paperSize="9" scale="72"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fitToPage="1"/>
  </sheetPr>
  <dimension ref="A1:CF36"/>
  <sheetViews>
    <sheetView topLeftCell="A4" zoomScale="85" zoomScaleNormal="85" workbookViewId="0">
      <selection activeCell="BZ34" sqref="BZ34"/>
    </sheetView>
  </sheetViews>
  <sheetFormatPr defaultColWidth="1.140625" defaultRowHeight="12.75" x14ac:dyDescent="0.2"/>
  <cols>
    <col min="1" max="1" width="5.42578125" style="8" customWidth="1"/>
    <col min="2" max="54" width="1.140625" style="8"/>
    <col min="55" max="55" width="1.85546875" style="8" customWidth="1"/>
    <col min="56" max="77" width="1.140625" style="8"/>
    <col min="78" max="78" width="15.28515625" style="8" customWidth="1"/>
    <col min="79" max="79" width="15.85546875" style="8" customWidth="1"/>
    <col min="80" max="80" width="12.7109375" style="8" customWidth="1"/>
    <col min="81" max="81" width="9.140625" style="8" customWidth="1"/>
    <col min="82" max="82" width="9.42578125" style="8" customWidth="1"/>
    <col min="83" max="83" width="8.85546875" style="8" customWidth="1"/>
    <col min="84" max="84" width="17.5703125" style="8" customWidth="1"/>
    <col min="85" max="16384" width="1.140625" style="8"/>
  </cols>
  <sheetData>
    <row r="1" spans="1:84" s="4" customFormat="1" ht="15.75" x14ac:dyDescent="0.25">
      <c r="A1" s="1955" t="s">
        <v>62</v>
      </c>
      <c r="B1" s="1955"/>
      <c r="C1" s="1955"/>
      <c r="D1" s="1955"/>
      <c r="E1" s="1955"/>
      <c r="F1" s="1955"/>
      <c r="G1" s="1955"/>
      <c r="H1" s="1955"/>
      <c r="I1" s="1955"/>
      <c r="J1" s="1955"/>
      <c r="K1" s="1955"/>
      <c r="L1" s="1955"/>
      <c r="M1" s="1955"/>
      <c r="N1" s="1955"/>
      <c r="O1" s="1955"/>
      <c r="P1" s="1955"/>
      <c r="Q1" s="1955"/>
      <c r="R1" s="1955"/>
      <c r="S1" s="1955"/>
      <c r="T1" s="1955"/>
      <c r="U1" s="1955"/>
      <c r="V1" s="1955"/>
      <c r="W1" s="1955"/>
      <c r="X1" s="1955"/>
      <c r="Y1" s="1955"/>
      <c r="Z1" s="1955"/>
      <c r="AA1" s="1955"/>
      <c r="AB1" s="1955"/>
      <c r="AC1" s="1955"/>
      <c r="AD1" s="1955"/>
      <c r="AE1" s="1955"/>
      <c r="AF1" s="1955"/>
      <c r="AG1" s="1955"/>
      <c r="AH1" s="1955"/>
      <c r="AI1" s="1955"/>
      <c r="AJ1" s="1955"/>
      <c r="AK1" s="1955"/>
      <c r="AL1" s="1955"/>
      <c r="AM1" s="1955"/>
      <c r="AN1" s="1955"/>
      <c r="AO1" s="1955"/>
      <c r="AP1" s="1955"/>
      <c r="AQ1" s="1955"/>
      <c r="AR1" s="1955"/>
      <c r="AS1" s="1955"/>
      <c r="AT1" s="1955"/>
      <c r="AU1" s="1955"/>
      <c r="AV1" s="1955"/>
      <c r="AW1" s="1955"/>
      <c r="AX1" s="1955"/>
      <c r="AY1" s="1955"/>
      <c r="AZ1" s="1955"/>
      <c r="BA1" s="1955"/>
      <c r="BB1" s="1955"/>
      <c r="BC1" s="1955"/>
      <c r="BD1" s="1955"/>
      <c r="BE1" s="1955"/>
      <c r="BF1" s="1955"/>
      <c r="BG1" s="1955"/>
      <c r="BH1" s="1955"/>
      <c r="BI1" s="1955"/>
      <c r="BJ1" s="1955"/>
      <c r="BK1" s="1955"/>
      <c r="BL1" s="1955"/>
      <c r="BM1" s="1955"/>
      <c r="BN1" s="1955"/>
      <c r="BO1" s="1955"/>
      <c r="BP1" s="1955"/>
      <c r="BQ1" s="1955"/>
      <c r="BR1" s="1955"/>
      <c r="BS1" s="1955"/>
      <c r="BT1" s="1955"/>
      <c r="BU1" s="1955"/>
      <c r="BV1" s="1955"/>
      <c r="BW1" s="1955"/>
      <c r="BX1" s="1955"/>
      <c r="BY1" s="1955"/>
      <c r="BZ1" s="1955"/>
      <c r="CA1" s="1955"/>
      <c r="CB1" s="1955"/>
      <c r="CC1" s="1955"/>
      <c r="CD1" s="1955"/>
      <c r="CE1" s="1955"/>
      <c r="CF1" s="1955"/>
    </row>
    <row r="2" spans="1:84" ht="15.75" x14ac:dyDescent="0.25">
      <c r="A2" s="1955" t="s">
        <v>50</v>
      </c>
      <c r="B2" s="1955"/>
      <c r="C2" s="1955"/>
      <c r="D2" s="1955"/>
      <c r="E2" s="1955"/>
      <c r="F2" s="1955"/>
      <c r="G2" s="1955"/>
      <c r="H2" s="1955"/>
      <c r="I2" s="1955"/>
      <c r="J2" s="1955"/>
      <c r="K2" s="1955"/>
      <c r="L2" s="1955"/>
      <c r="M2" s="1955"/>
      <c r="N2" s="1955"/>
      <c r="O2" s="1955"/>
      <c r="P2" s="1955"/>
      <c r="Q2" s="1955"/>
      <c r="R2" s="1955"/>
      <c r="S2" s="1955"/>
      <c r="T2" s="1955"/>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c r="AT2" s="1955"/>
      <c r="AU2" s="1955"/>
      <c r="AV2" s="1955"/>
      <c r="AW2" s="1955"/>
      <c r="AX2" s="1955"/>
      <c r="AY2" s="1955"/>
      <c r="AZ2" s="1955"/>
      <c r="BA2" s="1955"/>
      <c r="BB2" s="1955"/>
      <c r="BC2" s="1955"/>
      <c r="BD2" s="1955"/>
      <c r="BE2" s="1955"/>
      <c r="BF2" s="1955"/>
      <c r="BG2" s="1955"/>
      <c r="BH2" s="1955"/>
      <c r="BI2" s="1955"/>
      <c r="BJ2" s="1955"/>
      <c r="BK2" s="1955"/>
      <c r="BL2" s="1955"/>
      <c r="BM2" s="1955"/>
      <c r="BN2" s="1955"/>
      <c r="BO2" s="1955"/>
      <c r="BP2" s="1955"/>
      <c r="BQ2" s="1955"/>
      <c r="BR2" s="1955"/>
      <c r="BS2" s="1955"/>
      <c r="BT2" s="1955"/>
      <c r="BU2" s="1955"/>
      <c r="BV2" s="1955"/>
      <c r="BW2" s="1955"/>
      <c r="BX2" s="1955"/>
      <c r="BY2" s="1955"/>
      <c r="BZ2" s="1955"/>
      <c r="CA2" s="1955"/>
      <c r="CB2" s="1955"/>
      <c r="CC2" s="1955"/>
      <c r="CD2" s="1955"/>
      <c r="CE2" s="1955"/>
      <c r="CF2" s="1955"/>
    </row>
    <row r="3" spans="1:84" s="5" customFormat="1" ht="12.75" customHeight="1" x14ac:dyDescent="0.15"/>
    <row r="4" spans="1:84" x14ac:dyDescent="0.2">
      <c r="A4" s="2251" t="s">
        <v>38</v>
      </c>
      <c r="B4" s="1818" t="s">
        <v>7</v>
      </c>
      <c r="C4" s="1819"/>
      <c r="D4" s="1819"/>
      <c r="E4" s="1819"/>
      <c r="F4" s="1819"/>
      <c r="G4" s="1819"/>
      <c r="H4" s="1819"/>
      <c r="I4" s="1819"/>
      <c r="J4" s="1819"/>
      <c r="K4" s="1819"/>
      <c r="L4" s="1819"/>
      <c r="M4" s="1819"/>
      <c r="N4" s="1819"/>
      <c r="O4" s="1819"/>
      <c r="P4" s="1819"/>
      <c r="Q4" s="1819"/>
      <c r="R4" s="1819"/>
      <c r="S4" s="1819"/>
      <c r="T4" s="1819"/>
      <c r="U4" s="1819"/>
      <c r="V4" s="1819"/>
      <c r="W4" s="1819"/>
      <c r="X4" s="1819"/>
      <c r="Y4" s="1819"/>
      <c r="Z4" s="1819"/>
      <c r="AA4" s="1819"/>
      <c r="AB4" s="1819"/>
      <c r="AC4" s="1819"/>
      <c r="AD4" s="1819"/>
      <c r="AE4" s="1819"/>
      <c r="AF4" s="1819"/>
      <c r="AG4" s="1819"/>
      <c r="AH4" s="1819"/>
      <c r="AI4" s="1819"/>
      <c r="AJ4" s="1819"/>
      <c r="AK4" s="1819"/>
      <c r="AL4" s="1819"/>
      <c r="AM4" s="1819"/>
      <c r="AN4" s="1819"/>
      <c r="AO4" s="1819"/>
      <c r="AP4" s="1819"/>
      <c r="AQ4" s="1819"/>
      <c r="AR4" s="1819"/>
      <c r="AS4" s="1819"/>
      <c r="AT4" s="1819"/>
      <c r="AU4" s="1819"/>
      <c r="AV4" s="1819"/>
      <c r="AW4" s="1819"/>
      <c r="AX4" s="1819"/>
      <c r="AY4" s="1819"/>
      <c r="AZ4" s="1819"/>
      <c r="BA4" s="1820"/>
      <c r="BB4" s="1781" t="s">
        <v>56</v>
      </c>
      <c r="BC4" s="1925"/>
      <c r="BD4" s="1925"/>
      <c r="BE4" s="1925"/>
      <c r="BF4" s="1925"/>
      <c r="BG4" s="1925"/>
      <c r="BH4" s="1925"/>
      <c r="BI4" s="1925"/>
      <c r="BJ4" s="1925"/>
      <c r="BK4" s="1925"/>
      <c r="BL4" s="1925"/>
      <c r="BM4" s="1782"/>
      <c r="BN4" s="1781" t="s">
        <v>57</v>
      </c>
      <c r="BO4" s="1925"/>
      <c r="BP4" s="1925"/>
      <c r="BQ4" s="1925"/>
      <c r="BR4" s="1925"/>
      <c r="BS4" s="1925"/>
      <c r="BT4" s="1925"/>
      <c r="BU4" s="1925"/>
      <c r="BV4" s="1925"/>
      <c r="BW4" s="1925"/>
      <c r="BX4" s="1925"/>
      <c r="BY4" s="1782"/>
      <c r="BZ4" s="1806" t="s">
        <v>52</v>
      </c>
      <c r="CA4" s="1806"/>
      <c r="CB4" s="1806"/>
      <c r="CC4" s="1806"/>
      <c r="CD4" s="1806"/>
      <c r="CE4" s="1806"/>
      <c r="CF4" s="1806"/>
    </row>
    <row r="5" spans="1:84" ht="81.75" customHeight="1" x14ac:dyDescent="0.2">
      <c r="A5" s="2252"/>
      <c r="B5" s="1807"/>
      <c r="C5" s="1808"/>
      <c r="D5" s="1808"/>
      <c r="E5" s="1808"/>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8"/>
      <c r="AJ5" s="1808"/>
      <c r="AK5" s="1808"/>
      <c r="AL5" s="1808"/>
      <c r="AM5" s="1808"/>
      <c r="AN5" s="1808"/>
      <c r="AO5" s="1808"/>
      <c r="AP5" s="1808"/>
      <c r="AQ5" s="1808"/>
      <c r="AR5" s="1808"/>
      <c r="AS5" s="1808"/>
      <c r="AT5" s="1808"/>
      <c r="AU5" s="1808"/>
      <c r="AV5" s="1808"/>
      <c r="AW5" s="1808"/>
      <c r="AX5" s="1808"/>
      <c r="AY5" s="1808"/>
      <c r="AZ5" s="1808"/>
      <c r="BA5" s="1809"/>
      <c r="BB5" s="1783"/>
      <c r="BC5" s="1926"/>
      <c r="BD5" s="1926"/>
      <c r="BE5" s="1926"/>
      <c r="BF5" s="1926"/>
      <c r="BG5" s="1926"/>
      <c r="BH5" s="1926"/>
      <c r="BI5" s="1926"/>
      <c r="BJ5" s="1926"/>
      <c r="BK5" s="1926"/>
      <c r="BL5" s="1926"/>
      <c r="BM5" s="1784"/>
      <c r="BN5" s="1783"/>
      <c r="BO5" s="1926"/>
      <c r="BP5" s="1926"/>
      <c r="BQ5" s="1926"/>
      <c r="BR5" s="1926"/>
      <c r="BS5" s="1926"/>
      <c r="BT5" s="1926"/>
      <c r="BU5" s="1926"/>
      <c r="BV5" s="1926"/>
      <c r="BW5" s="1926"/>
      <c r="BX5" s="1926"/>
      <c r="BY5" s="1784"/>
      <c r="BZ5" s="1810" t="s">
        <v>35</v>
      </c>
      <c r="CA5" s="1810"/>
      <c r="CB5" s="1810"/>
      <c r="CC5" s="1788" t="s">
        <v>45</v>
      </c>
      <c r="CD5" s="1790"/>
      <c r="CE5" s="1789"/>
      <c r="CF5" s="1778" t="s">
        <v>46</v>
      </c>
    </row>
    <row r="6" spans="1:84" ht="12.75" customHeight="1" x14ac:dyDescent="0.2">
      <c r="A6" s="2252"/>
      <c r="B6" s="1807"/>
      <c r="C6" s="1808"/>
      <c r="D6" s="1808"/>
      <c r="E6" s="1808"/>
      <c r="F6" s="1808"/>
      <c r="G6" s="1808"/>
      <c r="H6" s="1808"/>
      <c r="I6" s="1808"/>
      <c r="J6" s="1808"/>
      <c r="K6" s="1808"/>
      <c r="L6" s="1808"/>
      <c r="M6" s="1808"/>
      <c r="N6" s="1808"/>
      <c r="O6" s="1808"/>
      <c r="P6" s="1808"/>
      <c r="Q6" s="1808"/>
      <c r="R6" s="1808"/>
      <c r="S6" s="1808"/>
      <c r="T6" s="1808"/>
      <c r="U6" s="1808"/>
      <c r="V6" s="1808"/>
      <c r="W6" s="1808"/>
      <c r="X6" s="1808"/>
      <c r="Y6" s="1808"/>
      <c r="Z6" s="1808"/>
      <c r="AA6" s="1808"/>
      <c r="AB6" s="1808"/>
      <c r="AC6" s="1808"/>
      <c r="AD6" s="1808"/>
      <c r="AE6" s="1808"/>
      <c r="AF6" s="1808"/>
      <c r="AG6" s="1808"/>
      <c r="AH6" s="1808"/>
      <c r="AI6" s="1808"/>
      <c r="AJ6" s="1808"/>
      <c r="AK6" s="1808"/>
      <c r="AL6" s="1808"/>
      <c r="AM6" s="1808"/>
      <c r="AN6" s="1808"/>
      <c r="AO6" s="1808"/>
      <c r="AP6" s="1808"/>
      <c r="AQ6" s="1808"/>
      <c r="AR6" s="1808"/>
      <c r="AS6" s="1808"/>
      <c r="AT6" s="1808"/>
      <c r="AU6" s="1808"/>
      <c r="AV6" s="1808"/>
      <c r="AW6" s="1808"/>
      <c r="AX6" s="1808"/>
      <c r="AY6" s="1808"/>
      <c r="AZ6" s="1808"/>
      <c r="BA6" s="1809"/>
      <c r="BB6" s="1783"/>
      <c r="BC6" s="1926"/>
      <c r="BD6" s="1926"/>
      <c r="BE6" s="1926"/>
      <c r="BF6" s="1926"/>
      <c r="BG6" s="1926"/>
      <c r="BH6" s="1926"/>
      <c r="BI6" s="1926"/>
      <c r="BJ6" s="1926"/>
      <c r="BK6" s="1926"/>
      <c r="BL6" s="1926"/>
      <c r="BM6" s="1784"/>
      <c r="BN6" s="1783"/>
      <c r="BO6" s="1926"/>
      <c r="BP6" s="1926"/>
      <c r="BQ6" s="1926"/>
      <c r="BR6" s="1926"/>
      <c r="BS6" s="1926"/>
      <c r="BT6" s="1926"/>
      <c r="BU6" s="1926"/>
      <c r="BV6" s="1926"/>
      <c r="BW6" s="1926"/>
      <c r="BX6" s="1926"/>
      <c r="BY6" s="1784"/>
      <c r="BZ6" s="1811" t="s">
        <v>43</v>
      </c>
      <c r="CA6" s="1811" t="s">
        <v>592</v>
      </c>
      <c r="CB6" s="1811" t="s">
        <v>44</v>
      </c>
      <c r="CC6" s="1812" t="s">
        <v>55</v>
      </c>
      <c r="CD6" s="1811" t="s">
        <v>43</v>
      </c>
      <c r="CE6" s="1811" t="s">
        <v>44</v>
      </c>
      <c r="CF6" s="1779"/>
    </row>
    <row r="7" spans="1:84" x14ac:dyDescent="0.2">
      <c r="A7" s="2253"/>
      <c r="B7" s="1814"/>
      <c r="C7" s="1815"/>
      <c r="D7" s="1815"/>
      <c r="E7" s="1815"/>
      <c r="F7" s="1815"/>
      <c r="G7" s="1815"/>
      <c r="H7" s="1815"/>
      <c r="I7" s="1815"/>
      <c r="J7" s="1815"/>
      <c r="K7" s="1815"/>
      <c r="L7" s="1815"/>
      <c r="M7" s="1815"/>
      <c r="N7" s="1815"/>
      <c r="O7" s="1815"/>
      <c r="P7" s="1815"/>
      <c r="Q7" s="1815"/>
      <c r="R7" s="1815"/>
      <c r="S7" s="1815"/>
      <c r="T7" s="1815"/>
      <c r="U7" s="1815"/>
      <c r="V7" s="1815"/>
      <c r="W7" s="1815"/>
      <c r="X7" s="1815"/>
      <c r="Y7" s="1815"/>
      <c r="Z7" s="1815"/>
      <c r="AA7" s="1815"/>
      <c r="AB7" s="1815"/>
      <c r="AC7" s="1815"/>
      <c r="AD7" s="1815"/>
      <c r="AE7" s="1815"/>
      <c r="AF7" s="1815"/>
      <c r="AG7" s="1815"/>
      <c r="AH7" s="1815"/>
      <c r="AI7" s="1815"/>
      <c r="AJ7" s="1815"/>
      <c r="AK7" s="1815"/>
      <c r="AL7" s="1815"/>
      <c r="AM7" s="1815"/>
      <c r="AN7" s="1815"/>
      <c r="AO7" s="1815"/>
      <c r="AP7" s="1815"/>
      <c r="AQ7" s="1815"/>
      <c r="AR7" s="1815"/>
      <c r="AS7" s="1815"/>
      <c r="AT7" s="1815"/>
      <c r="AU7" s="1815"/>
      <c r="AV7" s="1815"/>
      <c r="AW7" s="1815"/>
      <c r="AX7" s="1815"/>
      <c r="AY7" s="1815"/>
      <c r="AZ7" s="1815"/>
      <c r="BA7" s="1816"/>
      <c r="BB7" s="1785"/>
      <c r="BC7" s="1927"/>
      <c r="BD7" s="1927"/>
      <c r="BE7" s="1927"/>
      <c r="BF7" s="1927"/>
      <c r="BG7" s="1927"/>
      <c r="BH7" s="1927"/>
      <c r="BI7" s="1927"/>
      <c r="BJ7" s="1927"/>
      <c r="BK7" s="1927"/>
      <c r="BL7" s="1927"/>
      <c r="BM7" s="1786"/>
      <c r="BN7" s="1785"/>
      <c r="BO7" s="1927"/>
      <c r="BP7" s="1927"/>
      <c r="BQ7" s="1927"/>
      <c r="BR7" s="1927"/>
      <c r="BS7" s="1927"/>
      <c r="BT7" s="1927"/>
      <c r="BU7" s="1927"/>
      <c r="BV7" s="1927"/>
      <c r="BW7" s="1927"/>
      <c r="BX7" s="1927"/>
      <c r="BY7" s="1786"/>
      <c r="BZ7" s="1811"/>
      <c r="CA7" s="1811"/>
      <c r="CB7" s="1811"/>
      <c r="CC7" s="1813"/>
      <c r="CD7" s="1811"/>
      <c r="CE7" s="1811"/>
      <c r="CF7" s="1780"/>
    </row>
    <row r="8" spans="1:84" x14ac:dyDescent="0.2">
      <c r="A8" s="16">
        <v>1</v>
      </c>
      <c r="B8" s="1830">
        <v>2</v>
      </c>
      <c r="C8" s="1830"/>
      <c r="D8" s="1830"/>
      <c r="E8" s="1830"/>
      <c r="F8" s="183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1830"/>
      <c r="AM8" s="1830"/>
      <c r="AN8" s="1830"/>
      <c r="AO8" s="1830"/>
      <c r="AP8" s="1830"/>
      <c r="AQ8" s="1830"/>
      <c r="AR8" s="1830"/>
      <c r="AS8" s="1830"/>
      <c r="AT8" s="1830"/>
      <c r="AU8" s="1830"/>
      <c r="AV8" s="1830"/>
      <c r="AW8" s="1830"/>
      <c r="AX8" s="1830"/>
      <c r="AY8" s="1830"/>
      <c r="AZ8" s="1830"/>
      <c r="BA8" s="1830"/>
      <c r="BB8" s="1806">
        <v>3</v>
      </c>
      <c r="BC8" s="1806"/>
      <c r="BD8" s="1806"/>
      <c r="BE8" s="1806"/>
      <c r="BF8" s="1806"/>
      <c r="BG8" s="1806"/>
      <c r="BH8" s="1806"/>
      <c r="BI8" s="1806"/>
      <c r="BJ8" s="1806"/>
      <c r="BK8" s="1806"/>
      <c r="BL8" s="1806"/>
      <c r="BM8" s="1806"/>
      <c r="BN8" s="1830">
        <v>4</v>
      </c>
      <c r="BO8" s="1830"/>
      <c r="BP8" s="1830"/>
      <c r="BQ8" s="1830"/>
      <c r="BR8" s="1830"/>
      <c r="BS8" s="1830"/>
      <c r="BT8" s="1830"/>
      <c r="BU8" s="1830"/>
      <c r="BV8" s="1830"/>
      <c r="BW8" s="1830"/>
      <c r="BX8" s="1830"/>
      <c r="BY8" s="1830"/>
      <c r="BZ8" s="15">
        <v>5</v>
      </c>
      <c r="CA8" s="15">
        <v>6</v>
      </c>
      <c r="CB8" s="15">
        <v>7</v>
      </c>
      <c r="CC8" s="15">
        <v>8</v>
      </c>
      <c r="CD8" s="15">
        <v>9</v>
      </c>
      <c r="CE8" s="15">
        <v>10</v>
      </c>
      <c r="CF8" s="15">
        <v>11</v>
      </c>
    </row>
    <row r="9" spans="1:84" x14ac:dyDescent="0.2">
      <c r="A9" s="13">
        <v>1</v>
      </c>
      <c r="B9" s="1803" t="s">
        <v>9</v>
      </c>
      <c r="C9" s="1804"/>
      <c r="D9" s="1804"/>
      <c r="E9" s="1804"/>
      <c r="F9" s="1804"/>
      <c r="G9" s="1804"/>
      <c r="H9" s="1804"/>
      <c r="I9" s="1804"/>
      <c r="J9" s="1804"/>
      <c r="K9" s="1804"/>
      <c r="L9" s="1804"/>
      <c r="M9" s="1804"/>
      <c r="N9" s="1804"/>
      <c r="O9" s="1804"/>
      <c r="P9" s="1804"/>
      <c r="Q9" s="1804"/>
      <c r="R9" s="1804"/>
      <c r="S9" s="1804"/>
      <c r="T9" s="1804"/>
      <c r="U9" s="1804"/>
      <c r="V9" s="1804"/>
      <c r="W9" s="1804"/>
      <c r="X9" s="1804"/>
      <c r="Y9" s="1804"/>
      <c r="Z9" s="1804"/>
      <c r="AA9" s="1804"/>
      <c r="AB9" s="1804"/>
      <c r="AC9" s="1804"/>
      <c r="AD9" s="1804"/>
      <c r="AE9" s="1804"/>
      <c r="AF9" s="1804"/>
      <c r="AG9" s="1804"/>
      <c r="AH9" s="1804"/>
      <c r="AI9" s="1804"/>
      <c r="AJ9" s="1804"/>
      <c r="AK9" s="1804"/>
      <c r="AL9" s="1804"/>
      <c r="AM9" s="1804"/>
      <c r="AN9" s="1804"/>
      <c r="AO9" s="1804"/>
      <c r="AP9" s="1804"/>
      <c r="AQ9" s="1804"/>
      <c r="AR9" s="1804"/>
      <c r="AS9" s="1804"/>
      <c r="AT9" s="1804"/>
      <c r="AU9" s="1804"/>
      <c r="AV9" s="1804"/>
      <c r="AW9" s="1804"/>
      <c r="AX9" s="1804"/>
      <c r="AY9" s="1804"/>
      <c r="AZ9" s="1804"/>
      <c r="BA9" s="1805"/>
      <c r="BB9" s="1806" t="s">
        <v>3</v>
      </c>
      <c r="BC9" s="1806"/>
      <c r="BD9" s="1806"/>
      <c r="BE9" s="1806"/>
      <c r="BF9" s="1806"/>
      <c r="BG9" s="1806"/>
      <c r="BH9" s="1806"/>
      <c r="BI9" s="1806"/>
      <c r="BJ9" s="1806"/>
      <c r="BK9" s="1806"/>
      <c r="BL9" s="1806"/>
      <c r="BM9" s="1806"/>
      <c r="BN9" s="2098"/>
      <c r="BO9" s="2098"/>
      <c r="BP9" s="2098"/>
      <c r="BQ9" s="2098"/>
      <c r="BR9" s="2098"/>
      <c r="BS9" s="2098"/>
      <c r="BT9" s="2098"/>
      <c r="BU9" s="2098"/>
      <c r="BV9" s="2098"/>
      <c r="BW9" s="2098"/>
      <c r="BX9" s="2098"/>
      <c r="BY9" s="2098"/>
      <c r="BZ9" s="232" t="s">
        <v>877</v>
      </c>
      <c r="CA9" s="15" t="s">
        <v>878</v>
      </c>
      <c r="CB9" s="15" t="s">
        <v>878</v>
      </c>
      <c r="CC9" s="17"/>
      <c r="CD9" s="17"/>
      <c r="CE9" s="17"/>
      <c r="CF9" s="17"/>
    </row>
    <row r="10" spans="1:84" x14ac:dyDescent="0.2">
      <c r="A10" s="1818" t="s">
        <v>8</v>
      </c>
      <c r="B10" s="2257" t="s">
        <v>2</v>
      </c>
      <c r="C10" s="2258"/>
      <c r="D10" s="2258"/>
      <c r="E10" s="2258"/>
      <c r="F10" s="2258"/>
      <c r="G10" s="2258"/>
      <c r="H10" s="2258"/>
      <c r="I10" s="2258"/>
      <c r="J10" s="2258"/>
      <c r="K10" s="2258"/>
      <c r="L10" s="2258"/>
      <c r="M10" s="2258"/>
      <c r="N10" s="2258"/>
      <c r="O10" s="2258"/>
      <c r="P10" s="2258"/>
      <c r="Q10" s="2258"/>
      <c r="R10" s="2258"/>
      <c r="S10" s="2258"/>
      <c r="T10" s="2258"/>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c r="AT10" s="2258"/>
      <c r="AU10" s="2258"/>
      <c r="AV10" s="2258"/>
      <c r="AW10" s="2258"/>
      <c r="AX10" s="2258"/>
      <c r="AY10" s="2258"/>
      <c r="AZ10" s="2258"/>
      <c r="BA10" s="2259"/>
      <c r="BB10" s="2260" t="e">
        <f>#REF!+#REF!+#REF!</f>
        <v>#REF!</v>
      </c>
      <c r="BC10" s="2260"/>
      <c r="BD10" s="2260"/>
      <c r="BE10" s="2260"/>
      <c r="BF10" s="2260"/>
      <c r="BG10" s="2260"/>
      <c r="BH10" s="2260"/>
      <c r="BI10" s="2260"/>
      <c r="BJ10" s="2260"/>
      <c r="BK10" s="2260"/>
      <c r="BL10" s="2260"/>
      <c r="BM10" s="2260"/>
      <c r="BN10" s="2261">
        <f>CB10+BZ10+CA10</f>
        <v>2131688.71</v>
      </c>
      <c r="BO10" s="2098"/>
      <c r="BP10" s="2098"/>
      <c r="BQ10" s="2098"/>
      <c r="BR10" s="2098"/>
      <c r="BS10" s="2098"/>
      <c r="BT10" s="2098"/>
      <c r="BU10" s="2098"/>
      <c r="BV10" s="2098"/>
      <c r="BW10" s="2098"/>
      <c r="BX10" s="2098"/>
      <c r="BY10" s="2098"/>
      <c r="BZ10" s="2262">
        <f>1415605.78+37.45+379330</f>
        <v>1794973.23</v>
      </c>
      <c r="CA10" s="2263">
        <v>186945.93</v>
      </c>
      <c r="CB10" s="2263">
        <f>149762.22+7.33</f>
        <v>149769.54999999999</v>
      </c>
      <c r="CC10" s="1886"/>
      <c r="CD10" s="1806"/>
      <c r="CE10" s="1977"/>
      <c r="CF10" s="1806"/>
    </row>
    <row r="11" spans="1:84" x14ac:dyDescent="0.2">
      <c r="A11" s="1814"/>
      <c r="B11" s="2254" t="s">
        <v>10</v>
      </c>
      <c r="C11" s="2255"/>
      <c r="D11" s="2255"/>
      <c r="E11" s="2255"/>
      <c r="F11" s="2255"/>
      <c r="G11" s="2255"/>
      <c r="H11" s="2255"/>
      <c r="I11" s="2255"/>
      <c r="J11" s="2255"/>
      <c r="K11" s="2255"/>
      <c r="L11" s="2255"/>
      <c r="M11" s="2255"/>
      <c r="N11" s="2255"/>
      <c r="O11" s="2255"/>
      <c r="P11" s="2255"/>
      <c r="Q11" s="2255"/>
      <c r="R11" s="2255"/>
      <c r="S11" s="2255"/>
      <c r="T11" s="2255"/>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c r="AT11" s="2255"/>
      <c r="AU11" s="2255"/>
      <c r="AV11" s="2255"/>
      <c r="AW11" s="2255"/>
      <c r="AX11" s="2255"/>
      <c r="AY11" s="2255"/>
      <c r="AZ11" s="2255"/>
      <c r="BA11" s="2256"/>
      <c r="BB11" s="2260"/>
      <c r="BC11" s="2260"/>
      <c r="BD11" s="2260"/>
      <c r="BE11" s="2260"/>
      <c r="BF11" s="2260"/>
      <c r="BG11" s="2260"/>
      <c r="BH11" s="2260"/>
      <c r="BI11" s="2260"/>
      <c r="BJ11" s="2260"/>
      <c r="BK11" s="2260"/>
      <c r="BL11" s="2260"/>
      <c r="BM11" s="2260"/>
      <c r="BN11" s="2098"/>
      <c r="BO11" s="2098"/>
      <c r="BP11" s="2098"/>
      <c r="BQ11" s="2098"/>
      <c r="BR11" s="2098"/>
      <c r="BS11" s="2098"/>
      <c r="BT11" s="2098"/>
      <c r="BU11" s="2098"/>
      <c r="BV11" s="2098"/>
      <c r="BW11" s="2098"/>
      <c r="BX11" s="2098"/>
      <c r="BY11" s="2098"/>
      <c r="BZ11" s="2262"/>
      <c r="CA11" s="2263"/>
      <c r="CB11" s="2263"/>
      <c r="CC11" s="2267"/>
      <c r="CD11" s="1806"/>
      <c r="CE11" s="1977"/>
      <c r="CF11" s="1806"/>
    </row>
    <row r="12" spans="1:84" x14ac:dyDescent="0.2">
      <c r="A12" s="12" t="s">
        <v>12</v>
      </c>
      <c r="B12" s="2264" t="s">
        <v>11</v>
      </c>
      <c r="C12" s="2265"/>
      <c r="D12" s="2265"/>
      <c r="E12" s="2265"/>
      <c r="F12" s="2265"/>
      <c r="G12" s="2265"/>
      <c r="H12" s="2265"/>
      <c r="I12" s="2265"/>
      <c r="J12" s="2265"/>
      <c r="K12" s="2265"/>
      <c r="L12" s="2265"/>
      <c r="M12" s="2265"/>
      <c r="N12" s="2265"/>
      <c r="O12" s="2265"/>
      <c r="P12" s="2265"/>
      <c r="Q12" s="2265"/>
      <c r="R12" s="2265"/>
      <c r="S12" s="2265"/>
      <c r="T12" s="2265"/>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c r="AT12" s="2265"/>
      <c r="AU12" s="2265"/>
      <c r="AV12" s="2265"/>
      <c r="AW12" s="2265"/>
      <c r="AX12" s="2265"/>
      <c r="AY12" s="2265"/>
      <c r="AZ12" s="2265"/>
      <c r="BA12" s="2266"/>
      <c r="BB12" s="2260"/>
      <c r="BC12" s="2260"/>
      <c r="BD12" s="2260"/>
      <c r="BE12" s="2260"/>
      <c r="BF12" s="2260"/>
      <c r="BG12" s="2260"/>
      <c r="BH12" s="2260"/>
      <c r="BI12" s="2260"/>
      <c r="BJ12" s="2260"/>
      <c r="BK12" s="2260"/>
      <c r="BL12" s="2260"/>
      <c r="BM12" s="2260"/>
      <c r="BN12" s="2098"/>
      <c r="BO12" s="2098"/>
      <c r="BP12" s="2098"/>
      <c r="BQ12" s="2098"/>
      <c r="BR12" s="2098"/>
      <c r="BS12" s="2098"/>
      <c r="BT12" s="2098"/>
      <c r="BU12" s="2098"/>
      <c r="BV12" s="2098"/>
      <c r="BW12" s="2098"/>
      <c r="BX12" s="2098"/>
      <c r="BY12" s="2098"/>
      <c r="BZ12" s="17"/>
      <c r="CA12" s="17"/>
      <c r="CB12" s="17"/>
      <c r="CC12" s="17"/>
      <c r="CD12" s="17"/>
      <c r="CE12" s="30"/>
      <c r="CF12" s="17"/>
    </row>
    <row r="13" spans="1:84" x14ac:dyDescent="0.2">
      <c r="A13" s="1818" t="s">
        <v>13</v>
      </c>
      <c r="B13" s="2257" t="s">
        <v>14</v>
      </c>
      <c r="C13" s="2258"/>
      <c r="D13" s="2258"/>
      <c r="E13" s="2258"/>
      <c r="F13" s="2258"/>
      <c r="G13" s="2258"/>
      <c r="H13" s="2258"/>
      <c r="I13" s="2258"/>
      <c r="J13" s="2258"/>
      <c r="K13" s="2258"/>
      <c r="L13" s="2258"/>
      <c r="M13" s="2258"/>
      <c r="N13" s="2258"/>
      <c r="O13" s="2258"/>
      <c r="P13" s="2258"/>
      <c r="Q13" s="2258"/>
      <c r="R13" s="2258"/>
      <c r="S13" s="2258"/>
      <c r="T13" s="2258"/>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c r="AT13" s="2258"/>
      <c r="AU13" s="2258"/>
      <c r="AV13" s="2258"/>
      <c r="AW13" s="2258"/>
      <c r="AX13" s="2258"/>
      <c r="AY13" s="2258"/>
      <c r="AZ13" s="2258"/>
      <c r="BA13" s="2259"/>
      <c r="BB13" s="2260"/>
      <c r="BC13" s="2260"/>
      <c r="BD13" s="2260"/>
      <c r="BE13" s="2260"/>
      <c r="BF13" s="2260"/>
      <c r="BG13" s="2260"/>
      <c r="BH13" s="2260"/>
      <c r="BI13" s="2260"/>
      <c r="BJ13" s="2260"/>
      <c r="BK13" s="2260"/>
      <c r="BL13" s="2260"/>
      <c r="BM13" s="2260"/>
      <c r="BN13" s="2098"/>
      <c r="BO13" s="2098"/>
      <c r="BP13" s="2098"/>
      <c r="BQ13" s="2098"/>
      <c r="BR13" s="2098"/>
      <c r="BS13" s="2098"/>
      <c r="BT13" s="2098"/>
      <c r="BU13" s="2098"/>
      <c r="BV13" s="2098"/>
      <c r="BW13" s="2098"/>
      <c r="BX13" s="2098"/>
      <c r="BY13" s="2098"/>
      <c r="BZ13" s="1806"/>
      <c r="CA13" s="1806"/>
      <c r="CB13" s="1806"/>
      <c r="CC13" s="1886"/>
      <c r="CD13" s="1806"/>
      <c r="CE13" s="1977"/>
      <c r="CF13" s="1806"/>
    </row>
    <row r="14" spans="1:84" x14ac:dyDescent="0.2">
      <c r="A14" s="1814"/>
      <c r="B14" s="2254" t="s">
        <v>15</v>
      </c>
      <c r="C14" s="2255"/>
      <c r="D14" s="2255"/>
      <c r="E14" s="2255"/>
      <c r="F14" s="2255"/>
      <c r="G14" s="2255"/>
      <c r="H14" s="2255"/>
      <c r="I14" s="2255"/>
      <c r="J14" s="2255"/>
      <c r="K14" s="2255"/>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c r="AT14" s="2255"/>
      <c r="AU14" s="2255"/>
      <c r="AV14" s="2255"/>
      <c r="AW14" s="2255"/>
      <c r="AX14" s="2255"/>
      <c r="AY14" s="2255"/>
      <c r="AZ14" s="2255"/>
      <c r="BA14" s="2256"/>
      <c r="BB14" s="2260"/>
      <c r="BC14" s="2260"/>
      <c r="BD14" s="2260"/>
      <c r="BE14" s="2260"/>
      <c r="BF14" s="2260"/>
      <c r="BG14" s="2260"/>
      <c r="BH14" s="2260"/>
      <c r="BI14" s="2260"/>
      <c r="BJ14" s="2260"/>
      <c r="BK14" s="2260"/>
      <c r="BL14" s="2260"/>
      <c r="BM14" s="2260"/>
      <c r="BN14" s="2098"/>
      <c r="BO14" s="2098"/>
      <c r="BP14" s="2098"/>
      <c r="BQ14" s="2098"/>
      <c r="BR14" s="2098"/>
      <c r="BS14" s="2098"/>
      <c r="BT14" s="2098"/>
      <c r="BU14" s="2098"/>
      <c r="BV14" s="2098"/>
      <c r="BW14" s="2098"/>
      <c r="BX14" s="2098"/>
      <c r="BY14" s="2098"/>
      <c r="BZ14" s="1806"/>
      <c r="CA14" s="1806"/>
      <c r="CB14" s="1806"/>
      <c r="CC14" s="2267"/>
      <c r="CD14" s="1806"/>
      <c r="CE14" s="1977"/>
      <c r="CF14" s="1806"/>
    </row>
    <row r="15" spans="1:84" x14ac:dyDescent="0.2">
      <c r="A15" s="1818">
        <v>2</v>
      </c>
      <c r="B15" s="2268" t="s">
        <v>16</v>
      </c>
      <c r="C15" s="2269"/>
      <c r="D15" s="2269"/>
      <c r="E15" s="2269"/>
      <c r="F15" s="2269"/>
      <c r="G15" s="2269"/>
      <c r="H15" s="2269"/>
      <c r="I15" s="2269"/>
      <c r="J15" s="2269"/>
      <c r="K15" s="2269"/>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c r="AT15" s="2269"/>
      <c r="AU15" s="2269"/>
      <c r="AV15" s="2269"/>
      <c r="AW15" s="2269"/>
      <c r="AX15" s="2269"/>
      <c r="AY15" s="2269"/>
      <c r="AZ15" s="2269"/>
      <c r="BA15" s="2270"/>
      <c r="BB15" s="2263" t="s">
        <v>3</v>
      </c>
      <c r="BC15" s="2263"/>
      <c r="BD15" s="2263"/>
      <c r="BE15" s="2263"/>
      <c r="BF15" s="2263"/>
      <c r="BG15" s="2263"/>
      <c r="BH15" s="2263"/>
      <c r="BI15" s="2263"/>
      <c r="BJ15" s="2263"/>
      <c r="BK15" s="2263"/>
      <c r="BL15" s="2263"/>
      <c r="BM15" s="2263"/>
      <c r="BN15" s="2098"/>
      <c r="BO15" s="2098"/>
      <c r="BP15" s="2098"/>
      <c r="BQ15" s="2098"/>
      <c r="BR15" s="2098"/>
      <c r="BS15" s="2098"/>
      <c r="BT15" s="2098"/>
      <c r="BU15" s="2098"/>
      <c r="BV15" s="2098"/>
      <c r="BW15" s="2098"/>
      <c r="BX15" s="2098"/>
      <c r="BY15" s="2098"/>
      <c r="BZ15" s="1806"/>
      <c r="CA15" s="1806"/>
      <c r="CB15" s="1806"/>
      <c r="CC15" s="1886"/>
      <c r="CD15" s="1806"/>
      <c r="CE15" s="1977"/>
      <c r="CF15" s="1806"/>
    </row>
    <row r="16" spans="1:84" x14ac:dyDescent="0.2">
      <c r="A16" s="1814"/>
      <c r="B16" s="1803" t="s">
        <v>30</v>
      </c>
      <c r="C16" s="1804"/>
      <c r="D16" s="1804"/>
      <c r="E16" s="1804"/>
      <c r="F16" s="1804"/>
      <c r="G16" s="1804"/>
      <c r="H16" s="1804"/>
      <c r="I16" s="1804"/>
      <c r="J16" s="1804"/>
      <c r="K16" s="1804"/>
      <c r="L16" s="1804"/>
      <c r="M16" s="1804"/>
      <c r="N16" s="1804"/>
      <c r="O16" s="1804"/>
      <c r="P16" s="1804"/>
      <c r="Q16" s="1804"/>
      <c r="R16" s="1804"/>
      <c r="S16" s="1804"/>
      <c r="T16" s="1804"/>
      <c r="U16" s="1804"/>
      <c r="V16" s="1804"/>
      <c r="W16" s="1804"/>
      <c r="X16" s="1804"/>
      <c r="Y16" s="1804"/>
      <c r="Z16" s="1804"/>
      <c r="AA16" s="1804"/>
      <c r="AB16" s="1804"/>
      <c r="AC16" s="1804"/>
      <c r="AD16" s="1804"/>
      <c r="AE16" s="1804"/>
      <c r="AF16" s="1804"/>
      <c r="AG16" s="1804"/>
      <c r="AH16" s="1804"/>
      <c r="AI16" s="1804"/>
      <c r="AJ16" s="1804"/>
      <c r="AK16" s="1804"/>
      <c r="AL16" s="1804"/>
      <c r="AM16" s="1804"/>
      <c r="AN16" s="1804"/>
      <c r="AO16" s="1804"/>
      <c r="AP16" s="1804"/>
      <c r="AQ16" s="1804"/>
      <c r="AR16" s="1804"/>
      <c r="AS16" s="1804"/>
      <c r="AT16" s="1804"/>
      <c r="AU16" s="1804"/>
      <c r="AV16" s="1804"/>
      <c r="AW16" s="1804"/>
      <c r="AX16" s="1804"/>
      <c r="AY16" s="1804"/>
      <c r="AZ16" s="1804"/>
      <c r="BA16" s="1805"/>
      <c r="BB16" s="2263"/>
      <c r="BC16" s="2263"/>
      <c r="BD16" s="2263"/>
      <c r="BE16" s="2263"/>
      <c r="BF16" s="2263"/>
      <c r="BG16" s="2263"/>
      <c r="BH16" s="2263"/>
      <c r="BI16" s="2263"/>
      <c r="BJ16" s="2263"/>
      <c r="BK16" s="2263"/>
      <c r="BL16" s="2263"/>
      <c r="BM16" s="2263"/>
      <c r="BN16" s="2098"/>
      <c r="BO16" s="2098"/>
      <c r="BP16" s="2098"/>
      <c r="BQ16" s="2098"/>
      <c r="BR16" s="2098"/>
      <c r="BS16" s="2098"/>
      <c r="BT16" s="2098"/>
      <c r="BU16" s="2098"/>
      <c r="BV16" s="2098"/>
      <c r="BW16" s="2098"/>
      <c r="BX16" s="2098"/>
      <c r="BY16" s="2098"/>
      <c r="BZ16" s="1806"/>
      <c r="CA16" s="1806"/>
      <c r="CB16" s="1806"/>
      <c r="CC16" s="2267"/>
      <c r="CD16" s="1806"/>
      <c r="CE16" s="1977"/>
      <c r="CF16" s="1806"/>
    </row>
    <row r="17" spans="1:84" x14ac:dyDescent="0.2">
      <c r="A17" s="1818" t="s">
        <v>18</v>
      </c>
      <c r="B17" s="2257" t="s">
        <v>2</v>
      </c>
      <c r="C17" s="2258"/>
      <c r="D17" s="2258"/>
      <c r="E17" s="2258"/>
      <c r="F17" s="2258"/>
      <c r="G17" s="2258"/>
      <c r="H17" s="2258"/>
      <c r="I17" s="2258"/>
      <c r="J17" s="2258"/>
      <c r="K17" s="2258"/>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c r="AS17" s="2258"/>
      <c r="AT17" s="2258"/>
      <c r="AU17" s="2258"/>
      <c r="AV17" s="2258"/>
      <c r="AW17" s="2258"/>
      <c r="AX17" s="2258"/>
      <c r="AY17" s="2258"/>
      <c r="AZ17" s="2258"/>
      <c r="BA17" s="2259"/>
      <c r="BB17" s="2260" t="e">
        <f>BB10</f>
        <v>#REF!</v>
      </c>
      <c r="BC17" s="2260"/>
      <c r="BD17" s="2260"/>
      <c r="BE17" s="2260"/>
      <c r="BF17" s="2260"/>
      <c r="BG17" s="2260"/>
      <c r="BH17" s="2260"/>
      <c r="BI17" s="2260"/>
      <c r="BJ17" s="2260"/>
      <c r="BK17" s="2260"/>
      <c r="BL17" s="2260"/>
      <c r="BM17" s="2260"/>
      <c r="BN17" s="2261">
        <f>CB17+BZ17+CA17</f>
        <v>230986.83</v>
      </c>
      <c r="BO17" s="2098"/>
      <c r="BP17" s="2098"/>
      <c r="BQ17" s="2098"/>
      <c r="BR17" s="2098"/>
      <c r="BS17" s="2098"/>
      <c r="BT17" s="2098"/>
      <c r="BU17" s="2098"/>
      <c r="BV17" s="2098"/>
      <c r="BW17" s="2098"/>
      <c r="BX17" s="2098"/>
      <c r="BY17" s="2098"/>
      <c r="BZ17" s="2262">
        <v>186602.58</v>
      </c>
      <c r="CA17" s="2263">
        <v>24642.87</v>
      </c>
      <c r="CB17" s="2263">
        <v>19741.38</v>
      </c>
      <c r="CC17" s="1886"/>
      <c r="CD17" s="1806"/>
      <c r="CE17" s="1977"/>
      <c r="CF17" s="1806"/>
    </row>
    <row r="18" spans="1:84" x14ac:dyDescent="0.2">
      <c r="A18" s="1807"/>
      <c r="B18" s="2272" t="s">
        <v>17</v>
      </c>
      <c r="C18" s="2273"/>
      <c r="D18" s="2273"/>
      <c r="E18" s="2273"/>
      <c r="F18" s="2273"/>
      <c r="G18" s="2273"/>
      <c r="H18" s="2273"/>
      <c r="I18" s="2273"/>
      <c r="J18" s="2273"/>
      <c r="K18" s="2273"/>
      <c r="L18" s="2273"/>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c r="AS18" s="2273"/>
      <c r="AT18" s="2273"/>
      <c r="AU18" s="2273"/>
      <c r="AV18" s="2273"/>
      <c r="AW18" s="2273"/>
      <c r="AX18" s="2273"/>
      <c r="AY18" s="2273"/>
      <c r="AZ18" s="2273"/>
      <c r="BA18" s="2274"/>
      <c r="BB18" s="2260"/>
      <c r="BC18" s="2260"/>
      <c r="BD18" s="2260"/>
      <c r="BE18" s="2260"/>
      <c r="BF18" s="2260"/>
      <c r="BG18" s="2260"/>
      <c r="BH18" s="2260"/>
      <c r="BI18" s="2260"/>
      <c r="BJ18" s="2260"/>
      <c r="BK18" s="2260"/>
      <c r="BL18" s="2260"/>
      <c r="BM18" s="2260"/>
      <c r="BN18" s="2098"/>
      <c r="BO18" s="2098"/>
      <c r="BP18" s="2098"/>
      <c r="BQ18" s="2098"/>
      <c r="BR18" s="2098"/>
      <c r="BS18" s="2098"/>
      <c r="BT18" s="2098"/>
      <c r="BU18" s="2098"/>
      <c r="BV18" s="2098"/>
      <c r="BW18" s="2098"/>
      <c r="BX18" s="2098"/>
      <c r="BY18" s="2098"/>
      <c r="BZ18" s="2262"/>
      <c r="CA18" s="2263"/>
      <c r="CB18" s="2263"/>
      <c r="CC18" s="2271"/>
      <c r="CD18" s="1806"/>
      <c r="CE18" s="1977"/>
      <c r="CF18" s="1806"/>
    </row>
    <row r="19" spans="1:84" x14ac:dyDescent="0.2">
      <c r="A19" s="1814"/>
      <c r="B19" s="2254" t="s">
        <v>31</v>
      </c>
      <c r="C19" s="2255"/>
      <c r="D19" s="2255"/>
      <c r="E19" s="2255"/>
      <c r="F19" s="2255"/>
      <c r="G19" s="2255"/>
      <c r="H19" s="2255"/>
      <c r="I19" s="2255"/>
      <c r="J19" s="2255"/>
      <c r="K19" s="2255"/>
      <c r="L19" s="2255"/>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c r="AS19" s="2255"/>
      <c r="AT19" s="2255"/>
      <c r="AU19" s="2255"/>
      <c r="AV19" s="2255"/>
      <c r="AW19" s="2255"/>
      <c r="AX19" s="2255"/>
      <c r="AY19" s="2255"/>
      <c r="AZ19" s="2255"/>
      <c r="BA19" s="2256"/>
      <c r="BB19" s="2260"/>
      <c r="BC19" s="2260"/>
      <c r="BD19" s="2260"/>
      <c r="BE19" s="2260"/>
      <c r="BF19" s="2260"/>
      <c r="BG19" s="2260"/>
      <c r="BH19" s="2260"/>
      <c r="BI19" s="2260"/>
      <c r="BJ19" s="2260"/>
      <c r="BK19" s="2260"/>
      <c r="BL19" s="2260"/>
      <c r="BM19" s="2260"/>
      <c r="BN19" s="2098"/>
      <c r="BO19" s="2098"/>
      <c r="BP19" s="2098"/>
      <c r="BQ19" s="2098"/>
      <c r="BR19" s="2098"/>
      <c r="BS19" s="2098"/>
      <c r="BT19" s="2098"/>
      <c r="BU19" s="2098"/>
      <c r="BV19" s="2098"/>
      <c r="BW19" s="2098"/>
      <c r="BX19" s="2098"/>
      <c r="BY19" s="2098"/>
      <c r="BZ19" s="2262"/>
      <c r="CA19" s="2263"/>
      <c r="CB19" s="2263"/>
      <c r="CC19" s="2267"/>
      <c r="CD19" s="1806"/>
      <c r="CE19" s="1977"/>
      <c r="CF19" s="1806"/>
    </row>
    <row r="20" spans="1:84" x14ac:dyDescent="0.2">
      <c r="A20" s="1818" t="s">
        <v>21</v>
      </c>
      <c r="B20" s="2257" t="s">
        <v>19</v>
      </c>
      <c r="C20" s="2258"/>
      <c r="D20" s="2258"/>
      <c r="E20" s="2258"/>
      <c r="F20" s="2258"/>
      <c r="G20" s="2258"/>
      <c r="H20" s="2258"/>
      <c r="I20" s="2258"/>
      <c r="J20" s="2258"/>
      <c r="K20" s="2258"/>
      <c r="L20" s="2258"/>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c r="AS20" s="2258"/>
      <c r="AT20" s="2258"/>
      <c r="AU20" s="2258"/>
      <c r="AV20" s="2258"/>
      <c r="AW20" s="2258"/>
      <c r="AX20" s="2258"/>
      <c r="AY20" s="2258"/>
      <c r="AZ20" s="2258"/>
      <c r="BA20" s="2259"/>
      <c r="BB20" s="2260"/>
      <c r="BC20" s="2260"/>
      <c r="BD20" s="2260"/>
      <c r="BE20" s="2260"/>
      <c r="BF20" s="2260"/>
      <c r="BG20" s="2260"/>
      <c r="BH20" s="2260"/>
      <c r="BI20" s="2260"/>
      <c r="BJ20" s="2260"/>
      <c r="BK20" s="2260"/>
      <c r="BL20" s="2260"/>
      <c r="BM20" s="2260"/>
      <c r="BN20" s="2098"/>
      <c r="BO20" s="2098"/>
      <c r="BP20" s="2098"/>
      <c r="BQ20" s="2098"/>
      <c r="BR20" s="2098"/>
      <c r="BS20" s="2098"/>
      <c r="BT20" s="2098"/>
      <c r="BU20" s="2098"/>
      <c r="BV20" s="2098"/>
      <c r="BW20" s="2098"/>
      <c r="BX20" s="2098"/>
      <c r="BY20" s="2098"/>
      <c r="BZ20" s="1806"/>
      <c r="CA20" s="1806"/>
      <c r="CB20" s="1806"/>
      <c r="CC20" s="1886"/>
      <c r="CD20" s="1806"/>
      <c r="CE20" s="1977"/>
      <c r="CF20" s="1806"/>
    </row>
    <row r="21" spans="1:84" x14ac:dyDescent="0.2">
      <c r="A21" s="1814"/>
      <c r="B21" s="2254" t="s">
        <v>20</v>
      </c>
      <c r="C21" s="2255"/>
      <c r="D21" s="2255"/>
      <c r="E21" s="2255"/>
      <c r="F21" s="2255"/>
      <c r="G21" s="2255"/>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c r="AS21" s="2255"/>
      <c r="AT21" s="2255"/>
      <c r="AU21" s="2255"/>
      <c r="AV21" s="2255"/>
      <c r="AW21" s="2255"/>
      <c r="AX21" s="2255"/>
      <c r="AY21" s="2255"/>
      <c r="AZ21" s="2255"/>
      <c r="BA21" s="2256"/>
      <c r="BB21" s="2260"/>
      <c r="BC21" s="2260"/>
      <c r="BD21" s="2260"/>
      <c r="BE21" s="2260"/>
      <c r="BF21" s="2260"/>
      <c r="BG21" s="2260"/>
      <c r="BH21" s="2260"/>
      <c r="BI21" s="2260"/>
      <c r="BJ21" s="2260"/>
      <c r="BK21" s="2260"/>
      <c r="BL21" s="2260"/>
      <c r="BM21" s="2260"/>
      <c r="BN21" s="2098"/>
      <c r="BO21" s="2098"/>
      <c r="BP21" s="2098"/>
      <c r="BQ21" s="2098"/>
      <c r="BR21" s="2098"/>
      <c r="BS21" s="2098"/>
      <c r="BT21" s="2098"/>
      <c r="BU21" s="2098"/>
      <c r="BV21" s="2098"/>
      <c r="BW21" s="2098"/>
      <c r="BX21" s="2098"/>
      <c r="BY21" s="2098"/>
      <c r="BZ21" s="1806"/>
      <c r="CA21" s="1806"/>
      <c r="CB21" s="1806"/>
      <c r="CC21" s="2267"/>
      <c r="CD21" s="1806"/>
      <c r="CE21" s="1977"/>
      <c r="CF21" s="1806"/>
    </row>
    <row r="22" spans="1:84" x14ac:dyDescent="0.2">
      <c r="A22" s="1818" t="s">
        <v>24</v>
      </c>
      <c r="B22" s="2257" t="s">
        <v>22</v>
      </c>
      <c r="C22" s="2258"/>
      <c r="D22" s="2258"/>
      <c r="E22" s="2258"/>
      <c r="F22" s="2258"/>
      <c r="G22" s="2258"/>
      <c r="H22" s="2258"/>
      <c r="I22" s="2258"/>
      <c r="J22" s="2258"/>
      <c r="K22" s="2258"/>
      <c r="L22" s="2258"/>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c r="AS22" s="2258"/>
      <c r="AT22" s="2258"/>
      <c r="AU22" s="2258"/>
      <c r="AV22" s="2258"/>
      <c r="AW22" s="2258"/>
      <c r="AX22" s="2258"/>
      <c r="AY22" s="2258"/>
      <c r="AZ22" s="2258"/>
      <c r="BA22" s="2259"/>
      <c r="BB22" s="2260" t="e">
        <f>BB17</f>
        <v>#REF!</v>
      </c>
      <c r="BC22" s="2260"/>
      <c r="BD22" s="2260"/>
      <c r="BE22" s="2260"/>
      <c r="BF22" s="2260"/>
      <c r="BG22" s="2260"/>
      <c r="BH22" s="2260"/>
      <c r="BI22" s="2260"/>
      <c r="BJ22" s="2260"/>
      <c r="BK22" s="2260"/>
      <c r="BL22" s="2260"/>
      <c r="BM22" s="2260"/>
      <c r="BN22" s="2261">
        <f>CB22+BZ22+CA22</f>
        <v>15930.119999999999</v>
      </c>
      <c r="BO22" s="2098"/>
      <c r="BP22" s="2098"/>
      <c r="BQ22" s="2098"/>
      <c r="BR22" s="2098"/>
      <c r="BS22" s="2098"/>
      <c r="BT22" s="2098"/>
      <c r="BU22" s="2098"/>
      <c r="BV22" s="2098"/>
      <c r="BW22" s="2098"/>
      <c r="BX22" s="2098"/>
      <c r="BY22" s="2098"/>
      <c r="BZ22" s="2262">
        <v>12869.14</v>
      </c>
      <c r="CA22" s="2263">
        <v>1699.51</v>
      </c>
      <c r="CB22" s="2263">
        <v>1361.47</v>
      </c>
      <c r="CC22" s="1886"/>
      <c r="CD22" s="1806"/>
      <c r="CE22" s="1977"/>
      <c r="CF22" s="1806"/>
    </row>
    <row r="23" spans="1:84" x14ac:dyDescent="0.2">
      <c r="A23" s="1814"/>
      <c r="B23" s="2254" t="s">
        <v>23</v>
      </c>
      <c r="C23" s="2255"/>
      <c r="D23" s="2255"/>
      <c r="E23" s="2255"/>
      <c r="F23" s="2255"/>
      <c r="G23" s="2255"/>
      <c r="H23" s="2255"/>
      <c r="I23" s="2255"/>
      <c r="J23" s="2255"/>
      <c r="K23" s="2255"/>
      <c r="L23" s="2255"/>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c r="AS23" s="2255"/>
      <c r="AT23" s="2255"/>
      <c r="AU23" s="2255"/>
      <c r="AV23" s="2255"/>
      <c r="AW23" s="2255"/>
      <c r="AX23" s="2255"/>
      <c r="AY23" s="2255"/>
      <c r="AZ23" s="2255"/>
      <c r="BA23" s="2256"/>
      <c r="BB23" s="2260"/>
      <c r="BC23" s="2260"/>
      <c r="BD23" s="2260"/>
      <c r="BE23" s="2260"/>
      <c r="BF23" s="2260"/>
      <c r="BG23" s="2260"/>
      <c r="BH23" s="2260"/>
      <c r="BI23" s="2260"/>
      <c r="BJ23" s="2260"/>
      <c r="BK23" s="2260"/>
      <c r="BL23" s="2260"/>
      <c r="BM23" s="2260"/>
      <c r="BN23" s="2098"/>
      <c r="BO23" s="2098"/>
      <c r="BP23" s="2098"/>
      <c r="BQ23" s="2098"/>
      <c r="BR23" s="2098"/>
      <c r="BS23" s="2098"/>
      <c r="BT23" s="2098"/>
      <c r="BU23" s="2098"/>
      <c r="BV23" s="2098"/>
      <c r="BW23" s="2098"/>
      <c r="BX23" s="2098"/>
      <c r="BY23" s="2098"/>
      <c r="BZ23" s="2262"/>
      <c r="CA23" s="2263"/>
      <c r="CB23" s="2263"/>
      <c r="CC23" s="2267"/>
      <c r="CD23" s="1806"/>
      <c r="CE23" s="1977"/>
      <c r="CF23" s="1806"/>
    </row>
    <row r="24" spans="1:84" x14ac:dyDescent="0.2">
      <c r="A24" s="1818" t="s">
        <v>25</v>
      </c>
      <c r="B24" s="2257" t="s">
        <v>22</v>
      </c>
      <c r="C24" s="2258"/>
      <c r="D24" s="2258"/>
      <c r="E24" s="2258"/>
      <c r="F24" s="2258"/>
      <c r="G24" s="2258"/>
      <c r="H24" s="2258"/>
      <c r="I24" s="2258"/>
      <c r="J24" s="2258"/>
      <c r="K24" s="2258"/>
      <c r="L24" s="2258"/>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c r="AS24" s="2258"/>
      <c r="AT24" s="2258"/>
      <c r="AU24" s="2258"/>
      <c r="AV24" s="2258"/>
      <c r="AW24" s="2258"/>
      <c r="AX24" s="2258"/>
      <c r="AY24" s="2258"/>
      <c r="AZ24" s="2258"/>
      <c r="BA24" s="2259"/>
      <c r="BB24" s="2260"/>
      <c r="BC24" s="2260"/>
      <c r="BD24" s="2260"/>
      <c r="BE24" s="2260"/>
      <c r="BF24" s="2260"/>
      <c r="BG24" s="2260"/>
      <c r="BH24" s="2260"/>
      <c r="BI24" s="2260"/>
      <c r="BJ24" s="2260"/>
      <c r="BK24" s="2260"/>
      <c r="BL24" s="2260"/>
      <c r="BM24" s="2260"/>
      <c r="BN24" s="2098"/>
      <c r="BO24" s="2098"/>
      <c r="BP24" s="2098"/>
      <c r="BQ24" s="2098"/>
      <c r="BR24" s="2098"/>
      <c r="BS24" s="2098"/>
      <c r="BT24" s="2098"/>
      <c r="BU24" s="2098"/>
      <c r="BV24" s="2098"/>
      <c r="BW24" s="2098"/>
      <c r="BX24" s="2098"/>
      <c r="BY24" s="2098"/>
      <c r="BZ24" s="1806"/>
      <c r="CA24" s="1806"/>
      <c r="CB24" s="1806"/>
      <c r="CC24" s="1886"/>
      <c r="CD24" s="1806"/>
      <c r="CE24" s="1977"/>
      <c r="CF24" s="1806"/>
    </row>
    <row r="25" spans="1:84" ht="12.75" customHeight="1" x14ac:dyDescent="0.2">
      <c r="A25" s="1814"/>
      <c r="B25" s="2254" t="s">
        <v>27</v>
      </c>
      <c r="C25" s="2255"/>
      <c r="D25" s="2255"/>
      <c r="E25" s="2255"/>
      <c r="F25" s="2255"/>
      <c r="G25" s="2255"/>
      <c r="H25" s="2255"/>
      <c r="I25" s="2255"/>
      <c r="J25" s="2255"/>
      <c r="K25" s="2255"/>
      <c r="L25" s="2255"/>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c r="AS25" s="2255"/>
      <c r="AT25" s="2255"/>
      <c r="AU25" s="2255"/>
      <c r="AV25" s="2255"/>
      <c r="AW25" s="2255"/>
      <c r="AX25" s="2255"/>
      <c r="AY25" s="2255"/>
      <c r="AZ25" s="2255"/>
      <c r="BA25" s="2256"/>
      <c r="BB25" s="2260"/>
      <c r="BC25" s="2260"/>
      <c r="BD25" s="2260"/>
      <c r="BE25" s="2260"/>
      <c r="BF25" s="2260"/>
      <c r="BG25" s="2260"/>
      <c r="BH25" s="2260"/>
      <c r="BI25" s="2260"/>
      <c r="BJ25" s="2260"/>
      <c r="BK25" s="2260"/>
      <c r="BL25" s="2260"/>
      <c r="BM25" s="2260"/>
      <c r="BN25" s="2098"/>
      <c r="BO25" s="2098"/>
      <c r="BP25" s="2098"/>
      <c r="BQ25" s="2098"/>
      <c r="BR25" s="2098"/>
      <c r="BS25" s="2098"/>
      <c r="BT25" s="2098"/>
      <c r="BU25" s="2098"/>
      <c r="BV25" s="2098"/>
      <c r="BW25" s="2098"/>
      <c r="BX25" s="2098"/>
      <c r="BY25" s="2098"/>
      <c r="BZ25" s="1806"/>
      <c r="CA25" s="1806"/>
      <c r="CB25" s="1806"/>
      <c r="CC25" s="2267"/>
      <c r="CD25" s="1806"/>
      <c r="CE25" s="1977"/>
      <c r="CF25" s="1806"/>
    </row>
    <row r="26" spans="1:84" x14ac:dyDescent="0.2">
      <c r="A26" s="1818" t="s">
        <v>26</v>
      </c>
      <c r="B26" s="2257" t="s">
        <v>22</v>
      </c>
      <c r="C26" s="2258"/>
      <c r="D26" s="2258"/>
      <c r="E26" s="2258"/>
      <c r="F26" s="2258"/>
      <c r="G26" s="2258"/>
      <c r="H26" s="2258"/>
      <c r="I26" s="2258"/>
      <c r="J26" s="2258"/>
      <c r="K26" s="2258"/>
      <c r="L26" s="2258"/>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c r="AS26" s="2258"/>
      <c r="AT26" s="2258"/>
      <c r="AU26" s="2258"/>
      <c r="AV26" s="2258"/>
      <c r="AW26" s="2258"/>
      <c r="AX26" s="2258"/>
      <c r="AY26" s="2258"/>
      <c r="AZ26" s="2258"/>
      <c r="BA26" s="2259"/>
      <c r="BB26" s="2260"/>
      <c r="BC26" s="2260"/>
      <c r="BD26" s="2260"/>
      <c r="BE26" s="2260"/>
      <c r="BF26" s="2260"/>
      <c r="BG26" s="2260"/>
      <c r="BH26" s="2260"/>
      <c r="BI26" s="2260"/>
      <c r="BJ26" s="2260"/>
      <c r="BK26" s="2260"/>
      <c r="BL26" s="2260"/>
      <c r="BM26" s="2260"/>
      <c r="BN26" s="2098"/>
      <c r="BO26" s="2098"/>
      <c r="BP26" s="2098"/>
      <c r="BQ26" s="2098"/>
      <c r="BR26" s="2098"/>
      <c r="BS26" s="2098"/>
      <c r="BT26" s="2098"/>
      <c r="BU26" s="2098"/>
      <c r="BV26" s="2098"/>
      <c r="BW26" s="2098"/>
      <c r="BX26" s="2098"/>
      <c r="BY26" s="2098"/>
      <c r="BZ26" s="1806"/>
      <c r="CA26" s="1806"/>
      <c r="CB26" s="1806"/>
      <c r="CC26" s="1886"/>
      <c r="CD26" s="1806"/>
      <c r="CE26" s="1977"/>
      <c r="CF26" s="1806"/>
    </row>
    <row r="27" spans="1:84" ht="12.75" customHeight="1" x14ac:dyDescent="0.2">
      <c r="A27" s="1814"/>
      <c r="B27" s="2254" t="s">
        <v>27</v>
      </c>
      <c r="C27" s="2255"/>
      <c r="D27" s="2255"/>
      <c r="E27" s="2255"/>
      <c r="F27" s="2255"/>
      <c r="G27" s="2255"/>
      <c r="H27" s="2255"/>
      <c r="I27" s="2255"/>
      <c r="J27" s="2255"/>
      <c r="K27" s="2255"/>
      <c r="L27" s="2255"/>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55"/>
      <c r="AT27" s="2255"/>
      <c r="AU27" s="2255"/>
      <c r="AV27" s="2255"/>
      <c r="AW27" s="2255"/>
      <c r="AX27" s="2255"/>
      <c r="AY27" s="2255"/>
      <c r="AZ27" s="2255"/>
      <c r="BA27" s="2256"/>
      <c r="BB27" s="2260"/>
      <c r="BC27" s="2260"/>
      <c r="BD27" s="2260"/>
      <c r="BE27" s="2260"/>
      <c r="BF27" s="2260"/>
      <c r="BG27" s="2260"/>
      <c r="BH27" s="2260"/>
      <c r="BI27" s="2260"/>
      <c r="BJ27" s="2260"/>
      <c r="BK27" s="2260"/>
      <c r="BL27" s="2260"/>
      <c r="BM27" s="2260"/>
      <c r="BN27" s="2098"/>
      <c r="BO27" s="2098"/>
      <c r="BP27" s="2098"/>
      <c r="BQ27" s="2098"/>
      <c r="BR27" s="2098"/>
      <c r="BS27" s="2098"/>
      <c r="BT27" s="2098"/>
      <c r="BU27" s="2098"/>
      <c r="BV27" s="2098"/>
      <c r="BW27" s="2098"/>
      <c r="BX27" s="2098"/>
      <c r="BY27" s="2098"/>
      <c r="BZ27" s="1806"/>
      <c r="CA27" s="1806"/>
      <c r="CB27" s="1806"/>
      <c r="CC27" s="2267"/>
      <c r="CD27" s="1806"/>
      <c r="CE27" s="1977"/>
      <c r="CF27" s="1806"/>
    </row>
    <row r="28" spans="1:84" x14ac:dyDescent="0.2">
      <c r="A28" s="1818">
        <v>3</v>
      </c>
      <c r="B28" s="2268" t="s">
        <v>28</v>
      </c>
      <c r="C28" s="2269"/>
      <c r="D28" s="2269"/>
      <c r="E28" s="2269"/>
      <c r="F28" s="2269"/>
      <c r="G28" s="2269"/>
      <c r="H28" s="2269"/>
      <c r="I28" s="2269"/>
      <c r="J28" s="2269"/>
      <c r="K28" s="2269"/>
      <c r="L28" s="2269"/>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69"/>
      <c r="AO28" s="2269"/>
      <c r="AP28" s="2269"/>
      <c r="AQ28" s="2269"/>
      <c r="AR28" s="2269"/>
      <c r="AS28" s="2269"/>
      <c r="AT28" s="2269"/>
      <c r="AU28" s="2269"/>
      <c r="AV28" s="2269"/>
      <c r="AW28" s="2269"/>
      <c r="AX28" s="2269"/>
      <c r="AY28" s="2269"/>
      <c r="AZ28" s="2269"/>
      <c r="BA28" s="2270"/>
      <c r="BB28" s="2260" t="e">
        <f>BB22</f>
        <v>#REF!</v>
      </c>
      <c r="BC28" s="2260"/>
      <c r="BD28" s="2260"/>
      <c r="BE28" s="2260"/>
      <c r="BF28" s="2260"/>
      <c r="BG28" s="2260"/>
      <c r="BH28" s="2260"/>
      <c r="BI28" s="2260"/>
      <c r="BJ28" s="2260"/>
      <c r="BK28" s="2260"/>
      <c r="BL28" s="2260"/>
      <c r="BM28" s="2260"/>
      <c r="BN28" s="2261">
        <f>CB28+BZ28+CA28</f>
        <v>406218.22</v>
      </c>
      <c r="BO28" s="2098"/>
      <c r="BP28" s="2098"/>
      <c r="BQ28" s="2098"/>
      <c r="BR28" s="2098"/>
      <c r="BS28" s="2098"/>
      <c r="BT28" s="2098"/>
      <c r="BU28" s="2098"/>
      <c r="BV28" s="2098"/>
      <c r="BW28" s="2098"/>
      <c r="BX28" s="2098"/>
      <c r="BY28" s="2098"/>
      <c r="BZ28" s="2262">
        <v>328163.15000000002</v>
      </c>
      <c r="CA28" s="2263">
        <v>43337.47</v>
      </c>
      <c r="CB28" s="2263">
        <v>34717.599999999999</v>
      </c>
      <c r="CC28" s="1886"/>
      <c r="CD28" s="1806"/>
      <c r="CE28" s="1977"/>
      <c r="CF28" s="1806"/>
    </row>
    <row r="29" spans="1:84" x14ac:dyDescent="0.2">
      <c r="A29" s="1814"/>
      <c r="B29" s="1803" t="s">
        <v>29</v>
      </c>
      <c r="C29" s="1804"/>
      <c r="D29" s="1804"/>
      <c r="E29" s="1804"/>
      <c r="F29" s="1804"/>
      <c r="G29" s="1804"/>
      <c r="H29" s="1804"/>
      <c r="I29" s="1804"/>
      <c r="J29" s="1804"/>
      <c r="K29" s="1804"/>
      <c r="L29" s="1804"/>
      <c r="M29" s="1804"/>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c r="AL29" s="1804"/>
      <c r="AM29" s="1804"/>
      <c r="AN29" s="1804"/>
      <c r="AO29" s="1804"/>
      <c r="AP29" s="1804"/>
      <c r="AQ29" s="1804"/>
      <c r="AR29" s="1804"/>
      <c r="AS29" s="1804"/>
      <c r="AT29" s="1804"/>
      <c r="AU29" s="1804"/>
      <c r="AV29" s="1804"/>
      <c r="AW29" s="1804"/>
      <c r="AX29" s="1804"/>
      <c r="AY29" s="1804"/>
      <c r="AZ29" s="1804"/>
      <c r="BA29" s="1805"/>
      <c r="BB29" s="2260"/>
      <c r="BC29" s="2260"/>
      <c r="BD29" s="2260"/>
      <c r="BE29" s="2260"/>
      <c r="BF29" s="2260"/>
      <c r="BG29" s="2260"/>
      <c r="BH29" s="2260"/>
      <c r="BI29" s="2260"/>
      <c r="BJ29" s="2260"/>
      <c r="BK29" s="2260"/>
      <c r="BL29" s="2260"/>
      <c r="BM29" s="2260"/>
      <c r="BN29" s="2098"/>
      <c r="BO29" s="2098"/>
      <c r="BP29" s="2098"/>
      <c r="BQ29" s="2098"/>
      <c r="BR29" s="2098"/>
      <c r="BS29" s="2098"/>
      <c r="BT29" s="2098"/>
      <c r="BU29" s="2098"/>
      <c r="BV29" s="2098"/>
      <c r="BW29" s="2098"/>
      <c r="BX29" s="2098"/>
      <c r="BY29" s="2098"/>
      <c r="BZ29" s="2262"/>
      <c r="CA29" s="2263"/>
      <c r="CB29" s="2263"/>
      <c r="CC29" s="2267"/>
      <c r="CD29" s="1806"/>
      <c r="CE29" s="1977"/>
      <c r="CF29" s="1806"/>
    </row>
    <row r="30" spans="1:84" s="29" customFormat="1" x14ac:dyDescent="0.2">
      <c r="A30" s="31"/>
      <c r="B30" s="1831" t="s">
        <v>61</v>
      </c>
      <c r="C30" s="1832"/>
      <c r="D30" s="1832"/>
      <c r="E30" s="1832"/>
      <c r="F30" s="1832"/>
      <c r="G30" s="1832"/>
      <c r="H30" s="1832"/>
      <c r="I30" s="1832"/>
      <c r="J30" s="1832"/>
      <c r="K30" s="1832"/>
      <c r="L30" s="1832"/>
      <c r="M30" s="1832"/>
      <c r="N30" s="1832"/>
      <c r="O30" s="1832"/>
      <c r="P30" s="1832"/>
      <c r="Q30" s="1832"/>
      <c r="R30" s="1832"/>
      <c r="S30" s="1832"/>
      <c r="T30" s="1832"/>
      <c r="U30" s="1832"/>
      <c r="V30" s="1832"/>
      <c r="W30" s="1832"/>
      <c r="X30" s="1832"/>
      <c r="Y30" s="1832"/>
      <c r="Z30" s="1832"/>
      <c r="AA30" s="1832"/>
      <c r="AB30" s="1832"/>
      <c r="AC30" s="1832"/>
      <c r="AD30" s="1832"/>
      <c r="AE30" s="1832"/>
      <c r="AF30" s="1832"/>
      <c r="AG30" s="1832"/>
      <c r="AH30" s="1832"/>
      <c r="AI30" s="1832"/>
      <c r="AJ30" s="1832"/>
      <c r="AK30" s="1832"/>
      <c r="AL30" s="1832"/>
      <c r="AM30" s="1832"/>
      <c r="AN30" s="1832"/>
      <c r="AO30" s="1832"/>
      <c r="AP30" s="1832"/>
      <c r="AQ30" s="1832"/>
      <c r="AR30" s="1832"/>
      <c r="AS30" s="1832"/>
      <c r="AT30" s="1832"/>
      <c r="AU30" s="1832"/>
      <c r="AV30" s="1832"/>
      <c r="AW30" s="1832"/>
      <c r="AX30" s="1832"/>
      <c r="AY30" s="1832"/>
      <c r="AZ30" s="1832"/>
      <c r="BA30" s="1833"/>
      <c r="BB30" s="1913" t="s">
        <v>3</v>
      </c>
      <c r="BC30" s="1913"/>
      <c r="BD30" s="1913"/>
      <c r="BE30" s="1913"/>
      <c r="BF30" s="1913"/>
      <c r="BG30" s="1913"/>
      <c r="BH30" s="1913"/>
      <c r="BI30" s="1913"/>
      <c r="BJ30" s="1913"/>
      <c r="BK30" s="1913"/>
      <c r="BL30" s="1913"/>
      <c r="BM30" s="1913"/>
      <c r="BN30" s="2275">
        <f>SUM(BN10:BY29)</f>
        <v>2784823.88</v>
      </c>
      <c r="BO30" s="2199"/>
      <c r="BP30" s="2199"/>
      <c r="BQ30" s="2199"/>
      <c r="BR30" s="2199"/>
      <c r="BS30" s="2199"/>
      <c r="BT30" s="2199"/>
      <c r="BU30" s="2199"/>
      <c r="BV30" s="2199"/>
      <c r="BW30" s="2199"/>
      <c r="BX30" s="2199"/>
      <c r="BY30" s="2199"/>
      <c r="BZ30" s="352">
        <f>BZ28+BZ22+BZ17+BZ10</f>
        <v>2322608.1</v>
      </c>
      <c r="CA30" s="135">
        <f>SUM(CA10:CA29)</f>
        <v>256625.78</v>
      </c>
      <c r="CB30" s="135">
        <f>SUM(CB10:CB29)</f>
        <v>205590</v>
      </c>
      <c r="CC30" s="27"/>
      <c r="CD30" s="27"/>
      <c r="CE30" s="32"/>
      <c r="CF30" s="27"/>
    </row>
    <row r="31" spans="1:84" x14ac:dyDescent="0.2">
      <c r="A31" s="9"/>
      <c r="B31" s="9"/>
      <c r="C31" s="9"/>
      <c r="D31" s="9"/>
      <c r="E31" s="9"/>
      <c r="F31" s="9"/>
      <c r="G31" s="9"/>
      <c r="H31" s="9"/>
      <c r="I31" s="9"/>
      <c r="J31" s="9"/>
      <c r="K31" s="9"/>
      <c r="L31" s="9"/>
      <c r="M31" s="9"/>
      <c r="N31" s="9"/>
      <c r="O31" s="9"/>
    </row>
    <row r="32" spans="1:84" s="11" customFormat="1" ht="11.25" x14ac:dyDescent="0.2">
      <c r="A32" s="2276" t="s">
        <v>32</v>
      </c>
      <c r="B32" s="2276"/>
      <c r="C32" s="2276"/>
      <c r="D32" s="2276"/>
      <c r="E32" s="2276"/>
      <c r="F32" s="2276"/>
      <c r="G32" s="2276"/>
      <c r="H32" s="2276"/>
      <c r="I32" s="2276"/>
      <c r="J32" s="2276"/>
      <c r="K32" s="2276"/>
      <c r="L32" s="2276"/>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76"/>
      <c r="AT32" s="2276"/>
      <c r="AU32" s="2276"/>
      <c r="AV32" s="2276"/>
      <c r="AW32" s="2276"/>
      <c r="AX32" s="2276"/>
      <c r="AY32" s="2276"/>
      <c r="AZ32" s="2276"/>
      <c r="BA32" s="2276"/>
      <c r="BB32" s="2276"/>
      <c r="BC32" s="2276"/>
      <c r="BD32" s="2276"/>
      <c r="BE32" s="2276"/>
      <c r="BF32" s="2276"/>
      <c r="BG32" s="2276"/>
      <c r="BH32" s="2276"/>
      <c r="BI32" s="2276"/>
      <c r="BJ32" s="2276"/>
      <c r="BK32" s="2276"/>
      <c r="BL32" s="2276"/>
      <c r="BM32" s="2276"/>
      <c r="BN32" s="2276"/>
      <c r="BO32" s="2276"/>
      <c r="BP32" s="2276"/>
      <c r="BQ32" s="2276"/>
      <c r="BR32" s="2276"/>
      <c r="BS32" s="2276"/>
      <c r="BT32" s="2276"/>
      <c r="BU32" s="2276"/>
      <c r="BV32" s="2276"/>
      <c r="BW32" s="2276"/>
      <c r="BX32" s="2276"/>
      <c r="BY32" s="2276"/>
    </row>
    <row r="33" spans="1:80" s="11" customFormat="1" ht="11.25" x14ac:dyDescent="0.2">
      <c r="A33" s="2276"/>
      <c r="B33" s="2276"/>
      <c r="C33" s="2276"/>
      <c r="D33" s="2276"/>
      <c r="E33" s="2276"/>
      <c r="F33" s="2276"/>
      <c r="G33" s="2276"/>
      <c r="H33" s="2276"/>
      <c r="I33" s="2276"/>
      <c r="J33" s="2276"/>
      <c r="K33" s="2276"/>
      <c r="L33" s="2276"/>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76"/>
      <c r="AT33" s="2276"/>
      <c r="AU33" s="2276"/>
      <c r="AV33" s="2276"/>
      <c r="AW33" s="2276"/>
      <c r="AX33" s="2276"/>
      <c r="AY33" s="2276"/>
      <c r="AZ33" s="2276"/>
      <c r="BA33" s="2276"/>
      <c r="BB33" s="2276"/>
      <c r="BC33" s="2276"/>
      <c r="BD33" s="2276"/>
      <c r="BE33" s="2276"/>
      <c r="BF33" s="2276"/>
      <c r="BG33" s="2276"/>
      <c r="BH33" s="2276"/>
      <c r="BI33" s="2276"/>
      <c r="BJ33" s="2276"/>
      <c r="BK33" s="2276"/>
      <c r="BL33" s="2276"/>
      <c r="BM33" s="2276"/>
      <c r="BN33" s="2276"/>
      <c r="BO33" s="2276"/>
      <c r="BP33" s="2276"/>
      <c r="BQ33" s="2276"/>
      <c r="BR33" s="2276"/>
      <c r="BS33" s="2276"/>
      <c r="BT33" s="2276"/>
      <c r="BU33" s="2276"/>
      <c r="BV33" s="2276"/>
      <c r="BW33" s="2276"/>
      <c r="BX33" s="2276"/>
      <c r="BY33" s="2276"/>
    </row>
    <row r="34" spans="1:80" s="11" customFormat="1" ht="27.75" customHeight="1" x14ac:dyDescent="0.2">
      <c r="A34" s="2276"/>
      <c r="B34" s="2276"/>
      <c r="C34" s="2276"/>
      <c r="D34" s="2276"/>
      <c r="E34" s="2276"/>
      <c r="F34" s="2276"/>
      <c r="G34" s="2276"/>
      <c r="H34" s="2276"/>
      <c r="I34" s="2276"/>
      <c r="J34" s="2276"/>
      <c r="K34" s="2276"/>
      <c r="L34" s="2276"/>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76"/>
      <c r="AT34" s="2276"/>
      <c r="AU34" s="2276"/>
      <c r="AV34" s="2276"/>
      <c r="AW34" s="2276"/>
      <c r="AX34" s="2276"/>
      <c r="AY34" s="2276"/>
      <c r="AZ34" s="2276"/>
      <c r="BA34" s="2276"/>
      <c r="BB34" s="2276"/>
      <c r="BC34" s="2276"/>
      <c r="BD34" s="2276"/>
      <c r="BE34" s="2276"/>
      <c r="BF34" s="2276"/>
      <c r="BG34" s="2276"/>
      <c r="BH34" s="2276"/>
      <c r="BI34" s="2276"/>
      <c r="BJ34" s="2276"/>
      <c r="BK34" s="2276"/>
      <c r="BL34" s="2276"/>
      <c r="BM34" s="2276"/>
      <c r="BN34" s="2276"/>
      <c r="BO34" s="2276"/>
      <c r="BP34" s="2276"/>
      <c r="BQ34" s="2276"/>
      <c r="BR34" s="2276"/>
      <c r="BS34" s="2276"/>
      <c r="BT34" s="2276"/>
      <c r="BU34" s="2276"/>
      <c r="BV34" s="2276"/>
      <c r="BW34" s="2276"/>
      <c r="BX34" s="2276"/>
      <c r="BY34" s="2276"/>
      <c r="BZ34" s="141" t="e">
        <f>#REF!</f>
        <v>#REF!</v>
      </c>
      <c r="CA34" s="141" t="e">
        <f>#REF!</f>
        <v>#REF!</v>
      </c>
      <c r="CB34" s="141" t="e">
        <f>#REF!</f>
        <v>#REF!</v>
      </c>
    </row>
    <row r="35" spans="1:80" x14ac:dyDescent="0.2">
      <c r="BZ35" s="142" t="e">
        <f>'0702 211,266'!I72+'0702 211,266'!G113+BZ30+'0702 225,226,227,310,346'!CC115+'0702 225,226,227,310,346'!CC91</f>
        <v>#VALUE!</v>
      </c>
      <c r="CA35" s="52" t="e">
        <f>CA30+#REF!</f>
        <v>#REF!</v>
      </c>
      <c r="CB35" s="52" t="e">
        <f>#REF!+'0702 213 (24,25)'!CB30</f>
        <v>#REF!</v>
      </c>
    </row>
    <row r="36" spans="1:80" x14ac:dyDescent="0.2">
      <c r="BZ36" s="142" t="e">
        <f>BZ34-BZ35</f>
        <v>#REF!</v>
      </c>
      <c r="CA36" s="52" t="e">
        <f>CA34-CA35</f>
        <v>#REF!</v>
      </c>
      <c r="CB36" s="52" t="e">
        <f>CB34-CB35</f>
        <v>#REF!</v>
      </c>
    </row>
  </sheetData>
  <mergeCells count="138">
    <mergeCell ref="B30:BA30"/>
    <mergeCell ref="BB30:BM30"/>
    <mergeCell ref="BN30:BY30"/>
    <mergeCell ref="A32:BY34"/>
    <mergeCell ref="CB28:CB29"/>
    <mergeCell ref="CC28:CC29"/>
    <mergeCell ref="CD28:CD29"/>
    <mergeCell ref="CE28:CE29"/>
    <mergeCell ref="CF28:CF29"/>
    <mergeCell ref="B29:BA29"/>
    <mergeCell ref="A28:A29"/>
    <mergeCell ref="B28:BA28"/>
    <mergeCell ref="BB28:BM29"/>
    <mergeCell ref="BN28:BY29"/>
    <mergeCell ref="BZ28:BZ29"/>
    <mergeCell ref="CA28:CA29"/>
    <mergeCell ref="CB26:CB27"/>
    <mergeCell ref="CC26:CC27"/>
    <mergeCell ref="CD26:CD27"/>
    <mergeCell ref="CE26:CE27"/>
    <mergeCell ref="CF26:CF27"/>
    <mergeCell ref="B27:BA27"/>
    <mergeCell ref="A26:A27"/>
    <mergeCell ref="B26:BA26"/>
    <mergeCell ref="BB26:BM27"/>
    <mergeCell ref="BN26:BY27"/>
    <mergeCell ref="BZ26:BZ27"/>
    <mergeCell ref="CA26:CA27"/>
    <mergeCell ref="CB24:CB25"/>
    <mergeCell ref="CC24:CC25"/>
    <mergeCell ref="CD24:CD25"/>
    <mergeCell ref="CE24:CE25"/>
    <mergeCell ref="CF24:CF25"/>
    <mergeCell ref="B25:BA25"/>
    <mergeCell ref="A24:A25"/>
    <mergeCell ref="B24:BA24"/>
    <mergeCell ref="BB24:BM25"/>
    <mergeCell ref="BN24:BY25"/>
    <mergeCell ref="BZ24:BZ25"/>
    <mergeCell ref="CA24:CA25"/>
    <mergeCell ref="CB22:CB23"/>
    <mergeCell ref="CC22:CC23"/>
    <mergeCell ref="CD22:CD23"/>
    <mergeCell ref="CE22:CE23"/>
    <mergeCell ref="CF22:CF23"/>
    <mergeCell ref="B23:BA23"/>
    <mergeCell ref="A22:A23"/>
    <mergeCell ref="B22:BA22"/>
    <mergeCell ref="BB22:BM23"/>
    <mergeCell ref="BN22:BY23"/>
    <mergeCell ref="BZ22:BZ23"/>
    <mergeCell ref="CA22:CA23"/>
    <mergeCell ref="CB20:CB21"/>
    <mergeCell ref="CC20:CC21"/>
    <mergeCell ref="CD20:CD21"/>
    <mergeCell ref="CE20:CE21"/>
    <mergeCell ref="CF20:CF21"/>
    <mergeCell ref="B21:BA21"/>
    <mergeCell ref="A20:A21"/>
    <mergeCell ref="B20:BA20"/>
    <mergeCell ref="BB20:BM21"/>
    <mergeCell ref="BN20:BY21"/>
    <mergeCell ref="BZ20:BZ21"/>
    <mergeCell ref="CA20:CA21"/>
    <mergeCell ref="CD17:CD19"/>
    <mergeCell ref="CE17:CE19"/>
    <mergeCell ref="CF17:CF19"/>
    <mergeCell ref="B18:BA18"/>
    <mergeCell ref="B19:BA19"/>
    <mergeCell ref="CD15:CD16"/>
    <mergeCell ref="CE15:CE16"/>
    <mergeCell ref="CF15:CF16"/>
    <mergeCell ref="B16:BA16"/>
    <mergeCell ref="A17:A19"/>
    <mergeCell ref="B17:BA17"/>
    <mergeCell ref="BB17:BM19"/>
    <mergeCell ref="BN17:BY19"/>
    <mergeCell ref="BZ17:BZ19"/>
    <mergeCell ref="CA17:CA19"/>
    <mergeCell ref="CF13:CF14"/>
    <mergeCell ref="B14:BA14"/>
    <mergeCell ref="A15:A16"/>
    <mergeCell ref="B15:BA15"/>
    <mergeCell ref="BB15:BM16"/>
    <mergeCell ref="BN15:BY16"/>
    <mergeCell ref="BZ15:BZ16"/>
    <mergeCell ref="CA15:CA16"/>
    <mergeCell ref="CB15:CB16"/>
    <mergeCell ref="CC15:CC16"/>
    <mergeCell ref="BZ13:BZ14"/>
    <mergeCell ref="CA13:CA14"/>
    <mergeCell ref="CB13:CB14"/>
    <mergeCell ref="CC13:CC14"/>
    <mergeCell ref="CD13:CD14"/>
    <mergeCell ref="CE13:CE14"/>
    <mergeCell ref="CB17:CB19"/>
    <mergeCell ref="CC17:CC19"/>
    <mergeCell ref="B12:BA12"/>
    <mergeCell ref="BB12:BM12"/>
    <mergeCell ref="BN12:BY12"/>
    <mergeCell ref="A13:A14"/>
    <mergeCell ref="B13:BA13"/>
    <mergeCell ref="BB13:BM14"/>
    <mergeCell ref="BN13:BY14"/>
    <mergeCell ref="CB10:CB11"/>
    <mergeCell ref="CC10:CC11"/>
    <mergeCell ref="CD10:CD11"/>
    <mergeCell ref="CE10:CE11"/>
    <mergeCell ref="CF10:CF11"/>
    <mergeCell ref="B11:BA11"/>
    <mergeCell ref="A10:A11"/>
    <mergeCell ref="B10:BA10"/>
    <mergeCell ref="BB10:BM11"/>
    <mergeCell ref="BN10:BY11"/>
    <mergeCell ref="BZ10:BZ11"/>
    <mergeCell ref="CA10:CA11"/>
    <mergeCell ref="B8:BA8"/>
    <mergeCell ref="BB8:BM8"/>
    <mergeCell ref="BN8:BY8"/>
    <mergeCell ref="B9:BA9"/>
    <mergeCell ref="BB9:BM9"/>
    <mergeCell ref="BN9:BY9"/>
    <mergeCell ref="BZ6:BZ7"/>
    <mergeCell ref="CA6:CA7"/>
    <mergeCell ref="CB6:CB7"/>
    <mergeCell ref="CC6:CC7"/>
    <mergeCell ref="CD6:CD7"/>
    <mergeCell ref="CE6:CE7"/>
    <mergeCell ref="A1:CF1"/>
    <mergeCell ref="A2:CF2"/>
    <mergeCell ref="A4:A7"/>
    <mergeCell ref="B4:BA7"/>
    <mergeCell ref="BB4:BM7"/>
    <mergeCell ref="BN4:BY7"/>
    <mergeCell ref="BZ4:CF4"/>
    <mergeCell ref="BZ5:CB5"/>
    <mergeCell ref="CC5:CE5"/>
    <mergeCell ref="CF5:CF7"/>
  </mergeCells>
  <pageMargins left="0.25" right="0.25" top="0.75" bottom="0.75" header="0.3" footer="0.3"/>
  <pageSetup paperSize="9" scale="81"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pageSetUpPr fitToPage="1"/>
  </sheetPr>
  <dimension ref="A1:R174"/>
  <sheetViews>
    <sheetView zoomScaleNormal="100" workbookViewId="0">
      <selection sqref="A1:O18"/>
    </sheetView>
  </sheetViews>
  <sheetFormatPr defaultColWidth="1.140625" defaultRowHeight="15.75" x14ac:dyDescent="0.2"/>
  <cols>
    <col min="1" max="1" width="4" style="128" customWidth="1"/>
    <col min="2" max="2" width="27.42578125" style="128" customWidth="1"/>
    <col min="3" max="3" width="12.85546875" style="128" customWidth="1"/>
    <col min="4" max="4" width="13.140625" style="128" customWidth="1"/>
    <col min="5" max="5" width="12.85546875" style="128" customWidth="1"/>
    <col min="6" max="6" width="16.28515625" style="128" customWidth="1"/>
    <col min="7" max="7" width="15" style="128" customWidth="1"/>
    <col min="8" max="8" width="16" style="128" customWidth="1"/>
    <col min="9" max="9" width="15.140625" style="128" customWidth="1"/>
    <col min="10" max="10" width="12.28515625" style="128" customWidth="1"/>
    <col min="11" max="11" width="13" style="128" customWidth="1"/>
    <col min="12" max="12" width="9.7109375" style="128" customWidth="1"/>
    <col min="13" max="13" width="12.85546875" style="128" customWidth="1"/>
    <col min="14" max="14" width="11.42578125" style="128" customWidth="1"/>
    <col min="15" max="15" width="20.42578125" style="128" customWidth="1"/>
    <col min="16" max="16" width="13.5703125" style="128" hidden="1" customWidth="1"/>
    <col min="17" max="17" width="12.42578125" style="128" hidden="1" customWidth="1"/>
    <col min="18" max="18" width="4.5703125" style="128" hidden="1" customWidth="1"/>
    <col min="19" max="16384" width="1.140625" style="128"/>
  </cols>
  <sheetData>
    <row r="1" spans="1:15" s="34" customFormat="1" x14ac:dyDescent="0.2">
      <c r="O1" s="124" t="s">
        <v>33</v>
      </c>
    </row>
    <row r="2" spans="1:15" s="34" customFormat="1" ht="17.25" customHeight="1" x14ac:dyDescent="0.2">
      <c r="O2" s="124" t="s">
        <v>59</v>
      </c>
    </row>
    <row r="3" spans="1:15" s="34" customFormat="1" ht="11.25" x14ac:dyDescent="0.2">
      <c r="O3" s="35"/>
    </row>
    <row r="4" spans="1:15" s="37" customFormat="1" x14ac:dyDescent="0.2">
      <c r="A4" s="1634" t="s">
        <v>1224</v>
      </c>
      <c r="B4" s="1634"/>
      <c r="C4" s="1634"/>
      <c r="D4" s="1634"/>
      <c r="E4" s="1634"/>
      <c r="F4" s="1634"/>
      <c r="G4" s="1634"/>
      <c r="H4" s="1634"/>
      <c r="I4" s="1634"/>
      <c r="J4" s="1634"/>
      <c r="K4" s="1634"/>
      <c r="L4" s="1634"/>
      <c r="M4" s="1634"/>
      <c r="N4" s="1634"/>
      <c r="O4" s="1634"/>
    </row>
    <row r="5" spans="1:15" s="39" customFormat="1" ht="9.75" x14ac:dyDescent="0.2">
      <c r="A5" s="38"/>
      <c r="B5" s="38"/>
      <c r="C5" s="38"/>
      <c r="D5" s="38"/>
      <c r="E5" s="38"/>
      <c r="F5" s="38"/>
      <c r="G5" s="38"/>
      <c r="H5" s="38"/>
    </row>
    <row r="6" spans="1:15" s="39" customFormat="1" ht="17.25" customHeight="1" x14ac:dyDescent="0.2">
      <c r="A6" s="37" t="s">
        <v>58</v>
      </c>
      <c r="B6" s="38"/>
      <c r="C6" s="38"/>
      <c r="D6" s="38"/>
      <c r="E6" s="38"/>
      <c r="F6" s="340" t="s">
        <v>881</v>
      </c>
      <c r="G6" s="125"/>
      <c r="H6" s="125"/>
      <c r="I6" s="125"/>
      <c r="J6" s="125"/>
      <c r="K6" s="125"/>
      <c r="L6" s="125"/>
      <c r="M6" s="125"/>
      <c r="N6" s="125"/>
      <c r="O6" s="125"/>
    </row>
    <row r="7" spans="1:15" s="37" customFormat="1" x14ac:dyDescent="0.2">
      <c r="A7" s="126" t="s">
        <v>34</v>
      </c>
      <c r="B7" s="126"/>
      <c r="C7" s="126"/>
      <c r="D7" s="126"/>
      <c r="E7" s="126"/>
      <c r="F7" s="126"/>
      <c r="G7" s="126"/>
      <c r="H7" s="126"/>
    </row>
    <row r="8" spans="1:15" x14ac:dyDescent="0.2">
      <c r="A8" s="126" t="s">
        <v>48</v>
      </c>
      <c r="B8" s="126"/>
      <c r="C8" s="126"/>
      <c r="D8" s="126"/>
      <c r="E8" s="126"/>
      <c r="F8" s="126"/>
      <c r="G8" s="126"/>
      <c r="H8" s="126"/>
      <c r="I8" s="126"/>
      <c r="J8" s="126"/>
      <c r="K8" s="126"/>
      <c r="L8" s="126"/>
      <c r="M8" s="126"/>
      <c r="N8" s="126"/>
      <c r="O8" s="126"/>
    </row>
    <row r="9" spans="1:15" x14ac:dyDescent="0.2">
      <c r="A9" s="126"/>
      <c r="B9" s="126"/>
      <c r="C9" s="126"/>
      <c r="D9" s="126"/>
      <c r="E9" s="126"/>
      <c r="F9" s="126"/>
      <c r="G9" s="126"/>
      <c r="H9" s="126"/>
      <c r="I9" s="126"/>
      <c r="J9" s="126"/>
      <c r="K9" s="126"/>
      <c r="L9" s="126"/>
      <c r="M9" s="126"/>
      <c r="N9" s="126"/>
      <c r="O9" s="126"/>
    </row>
    <row r="10" spans="1:15" s="132" customFormat="1" ht="33.75" customHeight="1" x14ac:dyDescent="0.2">
      <c r="A10" s="2058"/>
      <c r="B10" s="2058"/>
      <c r="D10" s="133"/>
      <c r="E10" s="133"/>
      <c r="F10" s="133"/>
      <c r="G10" s="133"/>
      <c r="H10" s="133"/>
      <c r="I10" s="133"/>
      <c r="J10" s="133"/>
      <c r="K10" s="133"/>
      <c r="L10" s="133"/>
      <c r="M10" s="133"/>
      <c r="N10" s="133"/>
      <c r="O10" s="133"/>
    </row>
    <row r="11" spans="1:15" s="127" customFormat="1" ht="12.75" x14ac:dyDescent="0.2">
      <c r="A11" s="2018" t="s">
        <v>38</v>
      </c>
      <c r="B11" s="2024" t="s">
        <v>36</v>
      </c>
      <c r="C11" s="2018" t="s">
        <v>37</v>
      </c>
      <c r="D11" s="2018" t="s">
        <v>0</v>
      </c>
      <c r="E11" s="2018"/>
      <c r="F11" s="2018"/>
      <c r="G11" s="2018"/>
      <c r="H11" s="2018" t="s">
        <v>882</v>
      </c>
      <c r="I11" s="2018" t="s">
        <v>52</v>
      </c>
      <c r="J11" s="2018"/>
      <c r="K11" s="2018"/>
      <c r="L11" s="2018"/>
      <c r="M11" s="2018"/>
      <c r="N11" s="2018"/>
      <c r="O11" s="2018"/>
    </row>
    <row r="12" spans="1:15" s="127" customFormat="1" ht="12.75" x14ac:dyDescent="0.2">
      <c r="A12" s="2018"/>
      <c r="B12" s="2024"/>
      <c r="C12" s="2018"/>
      <c r="D12" s="2018" t="s">
        <v>1</v>
      </c>
      <c r="E12" s="2018" t="s">
        <v>39</v>
      </c>
      <c r="F12" s="2018" t="s">
        <v>40</v>
      </c>
      <c r="G12" s="2018" t="s">
        <v>41</v>
      </c>
      <c r="H12" s="2018"/>
      <c r="I12" s="2018" t="s">
        <v>35</v>
      </c>
      <c r="J12" s="2018"/>
      <c r="K12" s="2018"/>
      <c r="L12" s="2019" t="s">
        <v>45</v>
      </c>
      <c r="M12" s="2020"/>
      <c r="N12" s="2021"/>
      <c r="O12" s="2018" t="s">
        <v>46</v>
      </c>
    </row>
    <row r="13" spans="1:15" s="127" customFormat="1" ht="25.5" x14ac:dyDescent="0.2">
      <c r="A13" s="2018"/>
      <c r="B13" s="2024"/>
      <c r="C13" s="2018"/>
      <c r="D13" s="2018"/>
      <c r="E13" s="2018"/>
      <c r="F13" s="2018"/>
      <c r="G13" s="2018"/>
      <c r="H13" s="2018"/>
      <c r="I13" s="42" t="s">
        <v>43</v>
      </c>
      <c r="J13" s="42" t="s">
        <v>592</v>
      </c>
      <c r="K13" s="42" t="s">
        <v>44</v>
      </c>
      <c r="L13" s="42" t="s">
        <v>55</v>
      </c>
      <c r="M13" s="42" t="s">
        <v>43</v>
      </c>
      <c r="N13" s="42" t="s">
        <v>44</v>
      </c>
      <c r="O13" s="2018"/>
    </row>
    <row r="14" spans="1:15" s="127" customFormat="1" ht="12.75" x14ac:dyDescent="0.2">
      <c r="A14" s="43">
        <v>1</v>
      </c>
      <c r="B14" s="43">
        <v>2</v>
      </c>
      <c r="C14" s="43">
        <v>3</v>
      </c>
      <c r="D14" s="43" t="s">
        <v>47</v>
      </c>
      <c r="E14" s="43">
        <v>5</v>
      </c>
      <c r="F14" s="43">
        <v>6</v>
      </c>
      <c r="G14" s="43">
        <v>7</v>
      </c>
      <c r="H14" s="43" t="s">
        <v>63</v>
      </c>
      <c r="I14" s="43">
        <v>9</v>
      </c>
      <c r="J14" s="43"/>
      <c r="K14" s="43">
        <v>10</v>
      </c>
      <c r="L14" s="43">
        <v>11</v>
      </c>
      <c r="M14" s="43">
        <v>12</v>
      </c>
      <c r="N14" s="43">
        <v>13</v>
      </c>
      <c r="O14" s="43">
        <v>14</v>
      </c>
    </row>
    <row r="15" spans="1:15" s="127" customFormat="1" ht="51" x14ac:dyDescent="0.2">
      <c r="A15" s="43">
        <v>1</v>
      </c>
      <c r="B15" s="130" t="s">
        <v>858</v>
      </c>
      <c r="C15" s="303">
        <v>0.5</v>
      </c>
      <c r="D15" s="341">
        <f>E15+G15+F15</f>
        <v>17590.23</v>
      </c>
      <c r="E15" s="341">
        <v>12265</v>
      </c>
      <c r="F15" s="341"/>
      <c r="G15" s="341">
        <v>5325.23</v>
      </c>
      <c r="H15" s="341">
        <f>I15+J15+K15</f>
        <v>211082.77</v>
      </c>
      <c r="I15" s="341">
        <v>69657.399999999994</v>
      </c>
      <c r="J15" s="341">
        <v>141425.37</v>
      </c>
      <c r="K15" s="341"/>
      <c r="L15" s="341"/>
      <c r="M15" s="341"/>
      <c r="N15" s="341"/>
      <c r="O15" s="341"/>
    </row>
    <row r="16" spans="1:15" s="127" customFormat="1" ht="12.75" x14ac:dyDescent="0.2">
      <c r="A16" s="2016" t="s">
        <v>54</v>
      </c>
      <c r="B16" s="2016"/>
      <c r="C16" s="131" t="s">
        <v>3</v>
      </c>
      <c r="D16" s="343">
        <f>D15</f>
        <v>17590.23</v>
      </c>
      <c r="E16" s="343" t="s">
        <v>3</v>
      </c>
      <c r="F16" s="343" t="s">
        <v>3</v>
      </c>
      <c r="G16" s="343" t="s">
        <v>3</v>
      </c>
      <c r="H16" s="343">
        <f>H15</f>
        <v>211082.77</v>
      </c>
      <c r="I16" s="343">
        <f>I15</f>
        <v>69657.399999999994</v>
      </c>
      <c r="J16" s="345">
        <f>J15</f>
        <v>141425.37</v>
      </c>
      <c r="K16" s="343"/>
      <c r="L16" s="343"/>
      <c r="M16" s="343"/>
      <c r="N16" s="343"/>
      <c r="O16" s="343"/>
    </row>
    <row r="17" spans="1:15" s="127" customFormat="1" ht="12.75" x14ac:dyDescent="0.2">
      <c r="A17" s="132"/>
      <c r="B17" s="132"/>
      <c r="C17" s="132"/>
      <c r="D17" s="344"/>
      <c r="E17" s="344"/>
      <c r="F17" s="344"/>
      <c r="G17" s="344"/>
      <c r="H17" s="344"/>
      <c r="I17" s="344"/>
      <c r="J17" s="344"/>
      <c r="K17" s="344"/>
      <c r="L17" s="344"/>
      <c r="M17" s="344"/>
      <c r="N17" s="344"/>
      <c r="O17" s="344"/>
    </row>
    <row r="18" spans="1:15" s="127" customFormat="1" ht="12.75" x14ac:dyDescent="0.2"/>
    <row r="19" spans="1:15" s="127" customFormat="1" ht="12.75" x14ac:dyDescent="0.2"/>
    <row r="20" spans="1:15" s="127" customFormat="1" ht="12.75" x14ac:dyDescent="0.2"/>
    <row r="21" spans="1:15" s="127" customFormat="1" ht="12.75" x14ac:dyDescent="0.2"/>
    <row r="22" spans="1:15" s="127" customFormat="1" ht="12.75" x14ac:dyDescent="0.2"/>
    <row r="23" spans="1:15" s="127" customFormat="1" ht="12.75" x14ac:dyDescent="0.2"/>
    <row r="24" spans="1:15" s="127" customFormat="1" ht="12.75" x14ac:dyDescent="0.2"/>
    <row r="25" spans="1:15" s="127" customFormat="1" ht="12.75" x14ac:dyDescent="0.2"/>
    <row r="26" spans="1:15" s="127" customFormat="1" ht="12.75" x14ac:dyDescent="0.2"/>
    <row r="27" spans="1:15" s="127" customFormat="1" ht="12.75" x14ac:dyDescent="0.2"/>
    <row r="28" spans="1:15" s="127" customFormat="1" ht="12.75" x14ac:dyDescent="0.2"/>
    <row r="29" spans="1:15" s="127" customFormat="1" ht="12.75" x14ac:dyDescent="0.2"/>
    <row r="30" spans="1:15" s="127" customFormat="1" ht="12.75" x14ac:dyDescent="0.2"/>
    <row r="31" spans="1:15" s="127" customFormat="1" ht="12.75" x14ac:dyDescent="0.2"/>
    <row r="32" spans="1:15" s="127" customFormat="1" ht="12.75" x14ac:dyDescent="0.2"/>
    <row r="33" s="127" customFormat="1" ht="12.75" x14ac:dyDescent="0.2"/>
    <row r="34" s="127" customFormat="1" ht="12.75" x14ac:dyDescent="0.2"/>
    <row r="35" s="127" customFormat="1" ht="12.75" x14ac:dyDescent="0.2"/>
    <row r="36" s="127" customFormat="1" ht="12.75" x14ac:dyDescent="0.2"/>
    <row r="37" s="127" customFormat="1" ht="12.75" x14ac:dyDescent="0.2"/>
    <row r="38" s="127" customFormat="1" ht="12.75" x14ac:dyDescent="0.2"/>
    <row r="39" s="127" customFormat="1" ht="12.75" x14ac:dyDescent="0.2"/>
    <row r="40" s="127" customFormat="1" ht="12.75" x14ac:dyDescent="0.2"/>
    <row r="41" s="127" customFormat="1" ht="12.75" x14ac:dyDescent="0.2"/>
    <row r="42" s="127" customFormat="1" ht="12.75" x14ac:dyDescent="0.2"/>
    <row r="43" s="127" customFormat="1" ht="12.75" x14ac:dyDescent="0.2"/>
    <row r="44" s="127" customFormat="1" ht="12.75" x14ac:dyDescent="0.2"/>
    <row r="45" s="127" customFormat="1" ht="12.75" x14ac:dyDescent="0.2"/>
    <row r="46" s="127" customFormat="1" ht="12.75" x14ac:dyDescent="0.2"/>
    <row r="47" s="127" customFormat="1" ht="12.75" x14ac:dyDescent="0.2"/>
    <row r="48" s="127" customFormat="1" ht="12.75" x14ac:dyDescent="0.2"/>
    <row r="49" s="127" customFormat="1" ht="12.75" x14ac:dyDescent="0.2"/>
    <row r="50" s="127" customFormat="1" ht="12.75" x14ac:dyDescent="0.2"/>
    <row r="51" s="127" customFormat="1" ht="12.75" x14ac:dyDescent="0.2"/>
    <row r="52" s="127" customFormat="1" ht="12.75" x14ac:dyDescent="0.2"/>
    <row r="53" s="127" customFormat="1" ht="12.75" x14ac:dyDescent="0.2"/>
    <row r="54" s="127" customFormat="1" ht="12.75" x14ac:dyDescent="0.2"/>
    <row r="55" s="127" customFormat="1" ht="12.75" x14ac:dyDescent="0.2"/>
    <row r="56" s="127" customFormat="1" ht="12.75" x14ac:dyDescent="0.2"/>
    <row r="57" s="127" customFormat="1" ht="12.75" x14ac:dyDescent="0.2"/>
    <row r="58" s="127" customFormat="1" ht="12.75" x14ac:dyDescent="0.2"/>
    <row r="59" s="127" customFormat="1" ht="12.75" x14ac:dyDescent="0.2"/>
    <row r="60" s="127" customFormat="1" ht="12.75" x14ac:dyDescent="0.2"/>
    <row r="61" s="127" customFormat="1" ht="12.75" x14ac:dyDescent="0.2"/>
    <row r="62" s="127" customFormat="1" ht="12.75" x14ac:dyDescent="0.2"/>
    <row r="63" s="127" customFormat="1" ht="12.75" x14ac:dyDescent="0.2"/>
    <row r="64" s="127" customFormat="1" ht="12.75" x14ac:dyDescent="0.2"/>
    <row r="65" s="127" customFormat="1" ht="12.75" x14ac:dyDescent="0.2"/>
    <row r="66" s="127" customFormat="1" ht="12.75" x14ac:dyDescent="0.2"/>
    <row r="67" s="127" customFormat="1" ht="12.75" x14ac:dyDescent="0.2"/>
    <row r="68" s="127" customFormat="1" ht="12.75" x14ac:dyDescent="0.2"/>
    <row r="69" s="127" customFormat="1" ht="12.75" x14ac:dyDescent="0.2"/>
    <row r="70" s="127" customFormat="1" ht="12.75" x14ac:dyDescent="0.2"/>
    <row r="71" s="127" customFormat="1" ht="12.75" x14ac:dyDescent="0.2"/>
    <row r="72" s="127" customFormat="1" ht="12.75" x14ac:dyDescent="0.2"/>
    <row r="73" s="127" customFormat="1" ht="12.75" x14ac:dyDescent="0.2"/>
    <row r="74" s="127" customFormat="1" ht="12.75" x14ac:dyDescent="0.2"/>
    <row r="75" s="127" customFormat="1" ht="12.75" x14ac:dyDescent="0.2"/>
    <row r="76" s="127" customFormat="1" ht="12.75" x14ac:dyDescent="0.2"/>
    <row r="77" s="127" customFormat="1" ht="12.75" x14ac:dyDescent="0.2"/>
    <row r="78" s="127" customFormat="1" ht="12.75" x14ac:dyDescent="0.2"/>
    <row r="79" s="127" customFormat="1" ht="12.75" x14ac:dyDescent="0.2"/>
    <row r="80" s="127" customFormat="1" ht="12.75" x14ac:dyDescent="0.2"/>
    <row r="81" s="127" customFormat="1" ht="12.75" x14ac:dyDescent="0.2"/>
    <row r="82" s="127" customFormat="1" ht="12.75" x14ac:dyDescent="0.2"/>
    <row r="83" s="127" customFormat="1" ht="12.75" x14ac:dyDescent="0.2"/>
    <row r="84" s="127" customFormat="1" ht="12.75" x14ac:dyDescent="0.2"/>
    <row r="85" s="127" customFormat="1" ht="12.75" x14ac:dyDescent="0.2"/>
    <row r="86" s="127" customFormat="1" ht="12.75" x14ac:dyDescent="0.2"/>
    <row r="87" s="127" customFormat="1" ht="12.75" x14ac:dyDescent="0.2"/>
    <row r="88" s="127" customFormat="1" ht="12.75" x14ac:dyDescent="0.2"/>
    <row r="89" s="127" customFormat="1" ht="12.75" x14ac:dyDescent="0.2"/>
    <row r="90" s="127" customFormat="1" ht="12.75" x14ac:dyDescent="0.2"/>
    <row r="91" s="127" customFormat="1" ht="12.75" x14ac:dyDescent="0.2"/>
    <row r="92" s="127" customFormat="1" ht="12.75" x14ac:dyDescent="0.2"/>
    <row r="93" s="127" customFormat="1" ht="12.75" x14ac:dyDescent="0.2"/>
    <row r="94" s="127" customFormat="1" ht="12.75" x14ac:dyDescent="0.2"/>
    <row r="95" s="127" customFormat="1" ht="12.75" x14ac:dyDescent="0.2"/>
    <row r="96" s="127" customFormat="1" ht="12.75" x14ac:dyDescent="0.2"/>
    <row r="97" s="127" customFormat="1" ht="12.75" x14ac:dyDescent="0.2"/>
    <row r="98" s="127" customFormat="1" ht="12.75" x14ac:dyDescent="0.2"/>
    <row r="99" s="127" customFormat="1" ht="12.75" x14ac:dyDescent="0.2"/>
    <row r="100" s="127" customFormat="1" ht="12.75" x14ac:dyDescent="0.2"/>
    <row r="101" s="127" customFormat="1" ht="12.75" x14ac:dyDescent="0.2"/>
    <row r="102" s="127" customFormat="1" ht="12.75" x14ac:dyDescent="0.2"/>
    <row r="103" s="127" customFormat="1" ht="12.75" x14ac:dyDescent="0.2"/>
    <row r="104" s="127" customFormat="1" ht="12.75" x14ac:dyDescent="0.2"/>
    <row r="105" s="127" customFormat="1" ht="12.75" x14ac:dyDescent="0.2"/>
    <row r="106" s="127" customFormat="1" ht="12.75" x14ac:dyDescent="0.2"/>
    <row r="107" s="127" customFormat="1" ht="12.75" x14ac:dyDescent="0.2"/>
    <row r="108" s="127" customFormat="1" ht="12.75" x14ac:dyDescent="0.2"/>
    <row r="109" s="127" customFormat="1" ht="12.75" x14ac:dyDescent="0.2"/>
    <row r="110" s="127" customFormat="1" ht="12.75" x14ac:dyDescent="0.2"/>
    <row r="111" s="127" customFormat="1" ht="12.75" x14ac:dyDescent="0.2"/>
    <row r="112" s="127" customFormat="1" ht="12.75" x14ac:dyDescent="0.2"/>
    <row r="113" s="127" customFormat="1" ht="12.75" x14ac:dyDescent="0.2"/>
    <row r="114" s="127" customFormat="1" ht="12.75" x14ac:dyDescent="0.2"/>
    <row r="115" s="127" customFormat="1" ht="12.75" x14ac:dyDescent="0.2"/>
    <row r="116" s="127" customFormat="1" ht="12.75" x14ac:dyDescent="0.2"/>
    <row r="117" s="127" customFormat="1" ht="12.75" x14ac:dyDescent="0.2"/>
    <row r="118" s="127" customFormat="1" ht="12.75" x14ac:dyDescent="0.2"/>
    <row r="119" s="127" customFormat="1" ht="12.75" x14ac:dyDescent="0.2"/>
    <row r="120" s="127" customFormat="1" ht="12.75" x14ac:dyDescent="0.2"/>
    <row r="121" s="127" customFormat="1" ht="12.75" x14ac:dyDescent="0.2"/>
    <row r="122" s="127" customFormat="1" ht="12.75" x14ac:dyDescent="0.2"/>
    <row r="123" s="127" customFormat="1" ht="12.75" x14ac:dyDescent="0.2"/>
    <row r="124" s="127" customFormat="1" ht="12.75" x14ac:dyDescent="0.2"/>
    <row r="125" s="127" customFormat="1" ht="12.75" x14ac:dyDescent="0.2"/>
    <row r="126" s="127" customFormat="1" ht="12.75" x14ac:dyDescent="0.2"/>
    <row r="127" s="127" customFormat="1" ht="12.75" x14ac:dyDescent="0.2"/>
    <row r="128" s="127" customFormat="1" ht="12.75" x14ac:dyDescent="0.2"/>
    <row r="129" s="127" customFormat="1" ht="12.75" x14ac:dyDescent="0.2"/>
    <row r="130" s="127" customFormat="1" ht="12.75" x14ac:dyDescent="0.2"/>
    <row r="131" s="127" customFormat="1" ht="12.75" x14ac:dyDescent="0.2"/>
    <row r="132" s="127" customFormat="1" ht="12.75" x14ac:dyDescent="0.2"/>
    <row r="133" s="127" customFormat="1" ht="12.75" x14ac:dyDescent="0.2"/>
    <row r="134" s="127" customFormat="1" ht="12.75" x14ac:dyDescent="0.2"/>
    <row r="135" s="127" customFormat="1" ht="12.75" x14ac:dyDescent="0.2"/>
    <row r="136" s="127" customFormat="1" ht="12.75" x14ac:dyDescent="0.2"/>
    <row r="137" s="127" customFormat="1" ht="12.75" x14ac:dyDescent="0.2"/>
    <row r="138" s="127" customFormat="1" ht="12.75" x14ac:dyDescent="0.2"/>
    <row r="139" s="127" customFormat="1" ht="12.75" x14ac:dyDescent="0.2"/>
    <row r="140" s="127" customFormat="1" ht="12.75" x14ac:dyDescent="0.2"/>
    <row r="141" s="127" customFormat="1" ht="12.75" x14ac:dyDescent="0.2"/>
    <row r="142" s="127" customFormat="1" ht="12.75" x14ac:dyDescent="0.2"/>
    <row r="143" s="127" customFormat="1" ht="12.75" x14ac:dyDescent="0.2"/>
    <row r="144" s="127" customFormat="1" ht="12.75" x14ac:dyDescent="0.2"/>
    <row r="145" spans="1:15" s="127" customFormat="1" ht="12.75" x14ac:dyDescent="0.2"/>
    <row r="146" spans="1:15" x14ac:dyDescent="0.2">
      <c r="A146" s="127"/>
      <c r="B146" s="127"/>
      <c r="C146" s="127"/>
      <c r="D146" s="127"/>
      <c r="E146" s="127"/>
      <c r="F146" s="127"/>
      <c r="G146" s="127"/>
      <c r="H146" s="127"/>
      <c r="I146" s="127"/>
      <c r="J146" s="127"/>
      <c r="K146" s="127"/>
      <c r="L146" s="127"/>
      <c r="M146" s="127"/>
      <c r="N146" s="127"/>
      <c r="O146" s="127"/>
    </row>
    <row r="147" spans="1:15" x14ac:dyDescent="0.2">
      <c r="A147" s="127"/>
      <c r="B147" s="127"/>
      <c r="C147" s="127"/>
      <c r="D147" s="127"/>
      <c r="E147" s="127"/>
      <c r="F147" s="127"/>
      <c r="G147" s="127"/>
      <c r="H147" s="127"/>
      <c r="I147" s="127"/>
      <c r="J147" s="127"/>
      <c r="K147" s="127"/>
      <c r="L147" s="127"/>
      <c r="M147" s="127"/>
      <c r="N147" s="127"/>
      <c r="O147" s="127"/>
    </row>
    <row r="148" spans="1:15" x14ac:dyDescent="0.2">
      <c r="A148" s="127"/>
      <c r="B148" s="127"/>
      <c r="C148" s="127"/>
      <c r="D148" s="127"/>
      <c r="E148" s="127"/>
      <c r="F148" s="127"/>
      <c r="G148" s="127"/>
      <c r="H148" s="127"/>
      <c r="I148" s="127"/>
      <c r="J148" s="127"/>
      <c r="K148" s="127"/>
      <c r="L148" s="127"/>
      <c r="M148" s="127"/>
      <c r="N148" s="127"/>
      <c r="O148" s="127"/>
    </row>
    <row r="149" spans="1:15" x14ac:dyDescent="0.2">
      <c r="A149" s="127"/>
      <c r="B149" s="127"/>
      <c r="C149" s="127"/>
      <c r="D149" s="127"/>
      <c r="E149" s="127"/>
      <c r="F149" s="127"/>
      <c r="G149" s="127"/>
      <c r="H149" s="127"/>
      <c r="I149" s="127"/>
      <c r="J149" s="127"/>
      <c r="K149" s="127"/>
      <c r="L149" s="127"/>
      <c r="M149" s="127"/>
      <c r="N149" s="127"/>
      <c r="O149" s="127"/>
    </row>
    <row r="150" spans="1:15" x14ac:dyDescent="0.2">
      <c r="A150" s="127"/>
      <c r="B150" s="127"/>
      <c r="C150" s="127"/>
      <c r="D150" s="127"/>
      <c r="E150" s="127"/>
      <c r="F150" s="127"/>
      <c r="G150" s="127"/>
      <c r="H150" s="127"/>
      <c r="I150" s="127"/>
      <c r="J150" s="127"/>
      <c r="K150" s="127"/>
      <c r="L150" s="127"/>
      <c r="M150" s="127"/>
      <c r="N150" s="127"/>
      <c r="O150" s="127"/>
    </row>
    <row r="151" spans="1:15" x14ac:dyDescent="0.2">
      <c r="A151" s="127"/>
      <c r="B151" s="127"/>
      <c r="C151" s="127"/>
      <c r="D151" s="127"/>
      <c r="E151" s="127"/>
      <c r="F151" s="127"/>
      <c r="G151" s="127"/>
      <c r="H151" s="127"/>
      <c r="I151" s="127"/>
      <c r="J151" s="127"/>
      <c r="K151" s="127"/>
      <c r="L151" s="127"/>
      <c r="M151" s="127"/>
      <c r="N151" s="127"/>
      <c r="O151" s="127"/>
    </row>
    <row r="152" spans="1:15" x14ac:dyDescent="0.2">
      <c r="A152" s="127"/>
      <c r="B152" s="127"/>
      <c r="C152" s="127"/>
      <c r="D152" s="127"/>
      <c r="E152" s="127"/>
      <c r="F152" s="127"/>
      <c r="G152" s="127"/>
      <c r="H152" s="127"/>
      <c r="I152" s="127"/>
      <c r="J152" s="127"/>
      <c r="K152" s="127"/>
      <c r="L152" s="127"/>
      <c r="M152" s="127"/>
      <c r="N152" s="127"/>
      <c r="O152" s="127"/>
    </row>
    <row r="153" spans="1:15" x14ac:dyDescent="0.2">
      <c r="A153" s="127"/>
      <c r="B153" s="127"/>
      <c r="C153" s="127"/>
      <c r="D153" s="127"/>
      <c r="E153" s="127"/>
      <c r="F153" s="127"/>
      <c r="G153" s="127"/>
      <c r="H153" s="127"/>
      <c r="I153" s="127"/>
      <c r="J153" s="127"/>
      <c r="K153" s="127"/>
      <c r="L153" s="127"/>
      <c r="M153" s="127"/>
      <c r="N153" s="127"/>
      <c r="O153" s="127"/>
    </row>
    <row r="154" spans="1:15" x14ac:dyDescent="0.2">
      <c r="A154" s="127"/>
      <c r="B154" s="127"/>
      <c r="C154" s="127"/>
      <c r="D154" s="127"/>
      <c r="E154" s="127"/>
      <c r="F154" s="127"/>
      <c r="G154" s="127"/>
      <c r="H154" s="127"/>
      <c r="I154" s="127"/>
      <c r="J154" s="127"/>
      <c r="K154" s="127"/>
      <c r="L154" s="127"/>
      <c r="M154" s="127"/>
      <c r="N154" s="127"/>
      <c r="O154" s="127"/>
    </row>
    <row r="155" spans="1:15" x14ac:dyDescent="0.2">
      <c r="A155" s="127"/>
      <c r="B155" s="127"/>
      <c r="C155" s="127"/>
      <c r="D155" s="127"/>
      <c r="E155" s="127"/>
      <c r="F155" s="127"/>
      <c r="G155" s="127"/>
      <c r="H155" s="127"/>
      <c r="I155" s="127"/>
      <c r="J155" s="127"/>
      <c r="K155" s="127"/>
      <c r="L155" s="127"/>
      <c r="M155" s="127"/>
      <c r="N155" s="127"/>
      <c r="O155" s="127"/>
    </row>
    <row r="156" spans="1:15" x14ac:dyDescent="0.2">
      <c r="A156" s="127"/>
      <c r="B156" s="127"/>
      <c r="C156" s="127"/>
      <c r="D156" s="127"/>
      <c r="E156" s="127"/>
      <c r="F156" s="127"/>
      <c r="G156" s="127"/>
      <c r="H156" s="127"/>
      <c r="I156" s="127"/>
      <c r="J156" s="127"/>
      <c r="K156" s="127"/>
      <c r="L156" s="127"/>
      <c r="M156" s="127"/>
      <c r="N156" s="127"/>
      <c r="O156" s="127"/>
    </row>
    <row r="157" spans="1:15" x14ac:dyDescent="0.2">
      <c r="A157" s="127"/>
      <c r="B157" s="127"/>
      <c r="C157" s="127"/>
      <c r="D157" s="127"/>
      <c r="E157" s="127"/>
      <c r="F157" s="127"/>
      <c r="G157" s="127"/>
      <c r="H157" s="127"/>
      <c r="I157" s="127"/>
      <c r="J157" s="127"/>
      <c r="K157" s="127"/>
      <c r="L157" s="127"/>
      <c r="M157" s="127"/>
      <c r="N157" s="127"/>
      <c r="O157" s="127"/>
    </row>
    <row r="158" spans="1:15" x14ac:dyDescent="0.2">
      <c r="A158" s="127"/>
      <c r="B158" s="127"/>
      <c r="C158" s="127"/>
      <c r="D158" s="127"/>
      <c r="E158" s="127"/>
      <c r="F158" s="127"/>
      <c r="G158" s="127"/>
      <c r="H158" s="127"/>
      <c r="I158" s="127"/>
      <c r="J158" s="127"/>
      <c r="K158" s="127"/>
      <c r="L158" s="127"/>
      <c r="M158" s="127"/>
      <c r="N158" s="127"/>
      <c r="O158" s="127"/>
    </row>
    <row r="159" spans="1:15" x14ac:dyDescent="0.2">
      <c r="A159" s="127"/>
      <c r="B159" s="127"/>
      <c r="C159" s="127"/>
      <c r="D159" s="127"/>
      <c r="E159" s="127"/>
      <c r="F159" s="127"/>
      <c r="G159" s="127"/>
      <c r="H159" s="127"/>
      <c r="I159" s="127"/>
      <c r="J159" s="127"/>
      <c r="K159" s="127"/>
      <c r="L159" s="127"/>
      <c r="M159" s="127"/>
      <c r="N159" s="127"/>
      <c r="O159" s="127"/>
    </row>
    <row r="160" spans="1:15" x14ac:dyDescent="0.2">
      <c r="A160" s="127"/>
      <c r="B160" s="127"/>
      <c r="C160" s="127"/>
      <c r="D160" s="127"/>
      <c r="E160" s="127"/>
      <c r="F160" s="127"/>
      <c r="G160" s="127"/>
      <c r="H160" s="127"/>
      <c r="I160" s="127"/>
      <c r="J160" s="127"/>
      <c r="K160" s="127"/>
      <c r="L160" s="127"/>
      <c r="M160" s="127"/>
      <c r="N160" s="127"/>
      <c r="O160" s="127"/>
    </row>
    <row r="161" spans="1:15" x14ac:dyDescent="0.2">
      <c r="A161" s="127"/>
      <c r="B161" s="127"/>
      <c r="C161" s="127"/>
      <c r="D161" s="127"/>
      <c r="E161" s="127"/>
      <c r="F161" s="127"/>
      <c r="G161" s="127"/>
      <c r="H161" s="127"/>
      <c r="I161" s="127"/>
      <c r="J161" s="127"/>
      <c r="K161" s="127"/>
      <c r="L161" s="127"/>
      <c r="M161" s="127"/>
      <c r="N161" s="127"/>
      <c r="O161" s="127"/>
    </row>
    <row r="162" spans="1:15" x14ac:dyDescent="0.2">
      <c r="A162" s="127"/>
      <c r="B162" s="127"/>
      <c r="C162" s="127"/>
      <c r="D162" s="127"/>
      <c r="E162" s="127"/>
      <c r="F162" s="127"/>
      <c r="G162" s="127"/>
      <c r="H162" s="127"/>
      <c r="I162" s="127"/>
      <c r="J162" s="127"/>
      <c r="K162" s="127"/>
      <c r="L162" s="127"/>
      <c r="M162" s="127"/>
      <c r="N162" s="127"/>
      <c r="O162" s="127"/>
    </row>
    <row r="163" spans="1:15" x14ac:dyDescent="0.2">
      <c r="A163" s="127"/>
      <c r="B163" s="127"/>
      <c r="C163" s="127"/>
      <c r="D163" s="127"/>
      <c r="E163" s="127"/>
      <c r="F163" s="127"/>
      <c r="G163" s="127"/>
      <c r="H163" s="127"/>
      <c r="I163" s="127"/>
      <c r="J163" s="127"/>
      <c r="K163" s="127"/>
      <c r="L163" s="127"/>
      <c r="M163" s="127"/>
      <c r="N163" s="127"/>
      <c r="O163" s="127"/>
    </row>
    <row r="164" spans="1:15" x14ac:dyDescent="0.2">
      <c r="A164" s="127"/>
      <c r="B164" s="127"/>
      <c r="C164" s="127"/>
      <c r="D164" s="127"/>
      <c r="E164" s="127"/>
      <c r="F164" s="127"/>
      <c r="G164" s="127"/>
      <c r="H164" s="127"/>
      <c r="I164" s="127"/>
      <c r="J164" s="127"/>
      <c r="K164" s="127"/>
      <c r="L164" s="127"/>
      <c r="M164" s="127"/>
      <c r="N164" s="127"/>
      <c r="O164" s="127"/>
    </row>
    <row r="165" spans="1:15" x14ac:dyDescent="0.2">
      <c r="A165" s="127"/>
      <c r="B165" s="127"/>
      <c r="C165" s="127"/>
      <c r="D165" s="127"/>
      <c r="E165" s="127"/>
      <c r="F165" s="127"/>
      <c r="G165" s="127"/>
      <c r="H165" s="127"/>
      <c r="I165" s="127"/>
      <c r="J165" s="127"/>
      <c r="K165" s="127"/>
      <c r="L165" s="127"/>
      <c r="M165" s="127"/>
      <c r="N165" s="127"/>
      <c r="O165" s="127"/>
    </row>
    <row r="166" spans="1:15" x14ac:dyDescent="0.2">
      <c r="A166" s="127"/>
      <c r="B166" s="127"/>
      <c r="C166" s="127"/>
      <c r="D166" s="127"/>
      <c r="E166" s="127"/>
      <c r="F166" s="127"/>
      <c r="G166" s="127"/>
      <c r="H166" s="127"/>
      <c r="I166" s="127"/>
      <c r="J166" s="127"/>
      <c r="K166" s="127"/>
      <c r="L166" s="127"/>
      <c r="M166" s="127"/>
      <c r="N166" s="127"/>
      <c r="O166" s="127"/>
    </row>
    <row r="167" spans="1:15" x14ac:dyDescent="0.2">
      <c r="A167" s="127"/>
      <c r="B167" s="127"/>
      <c r="C167" s="127"/>
      <c r="D167" s="127"/>
      <c r="E167" s="127"/>
      <c r="F167" s="127"/>
      <c r="G167" s="127"/>
      <c r="H167" s="127"/>
      <c r="I167" s="127"/>
      <c r="J167" s="127"/>
      <c r="K167" s="127"/>
      <c r="L167" s="127"/>
      <c r="M167" s="127"/>
      <c r="N167" s="127"/>
      <c r="O167" s="127"/>
    </row>
    <row r="168" spans="1:15" x14ac:dyDescent="0.2">
      <c r="A168" s="127"/>
      <c r="B168" s="127"/>
      <c r="C168" s="127"/>
      <c r="D168" s="127"/>
      <c r="E168" s="127"/>
      <c r="F168" s="127"/>
      <c r="G168" s="127"/>
      <c r="H168" s="127"/>
      <c r="I168" s="127"/>
      <c r="J168" s="127"/>
      <c r="K168" s="127"/>
      <c r="L168" s="127"/>
      <c r="M168" s="127"/>
      <c r="N168" s="127"/>
      <c r="O168" s="127"/>
    </row>
    <row r="169" spans="1:15" x14ac:dyDescent="0.2">
      <c r="A169" s="127"/>
      <c r="B169" s="127"/>
      <c r="C169" s="127"/>
      <c r="D169" s="127"/>
      <c r="E169" s="127"/>
      <c r="F169" s="127"/>
      <c r="G169" s="127"/>
      <c r="H169" s="127"/>
      <c r="I169" s="127"/>
      <c r="J169" s="127"/>
      <c r="K169" s="127"/>
      <c r="L169" s="127"/>
      <c r="M169" s="127"/>
      <c r="N169" s="127"/>
      <c r="O169" s="127"/>
    </row>
    <row r="170" spans="1:15" x14ac:dyDescent="0.2">
      <c r="A170" s="127"/>
      <c r="B170" s="127"/>
      <c r="C170" s="127"/>
      <c r="D170" s="127"/>
      <c r="E170" s="127"/>
      <c r="F170" s="127"/>
      <c r="G170" s="127"/>
      <c r="H170" s="127"/>
      <c r="I170" s="127"/>
      <c r="J170" s="127"/>
      <c r="K170" s="127"/>
      <c r="L170" s="127"/>
      <c r="M170" s="127"/>
      <c r="N170" s="127"/>
      <c r="O170" s="127"/>
    </row>
    <row r="171" spans="1:15" x14ac:dyDescent="0.2">
      <c r="A171" s="127"/>
      <c r="B171" s="127"/>
      <c r="C171" s="127"/>
      <c r="D171" s="127"/>
      <c r="E171" s="127"/>
      <c r="F171" s="127"/>
      <c r="G171" s="127"/>
      <c r="H171" s="127"/>
      <c r="I171" s="127"/>
      <c r="J171" s="127"/>
      <c r="K171" s="127"/>
      <c r="L171" s="127"/>
      <c r="M171" s="127"/>
      <c r="N171" s="127"/>
      <c r="O171" s="127"/>
    </row>
    <row r="172" spans="1:15" x14ac:dyDescent="0.2">
      <c r="A172" s="127"/>
      <c r="B172" s="127"/>
      <c r="C172" s="127"/>
      <c r="D172" s="127"/>
      <c r="E172" s="127"/>
      <c r="F172" s="127"/>
      <c r="G172" s="127"/>
      <c r="H172" s="127"/>
      <c r="I172" s="127"/>
      <c r="J172" s="127"/>
      <c r="K172" s="127"/>
      <c r="L172" s="127"/>
      <c r="M172" s="127"/>
      <c r="N172" s="127"/>
      <c r="O172" s="127"/>
    </row>
    <row r="173" spans="1:15" x14ac:dyDescent="0.2">
      <c r="A173" s="127"/>
      <c r="B173" s="127"/>
      <c r="C173" s="127"/>
      <c r="D173" s="127"/>
      <c r="E173" s="127"/>
      <c r="F173" s="127"/>
      <c r="G173" s="127"/>
      <c r="H173" s="127"/>
      <c r="I173" s="127"/>
      <c r="J173" s="127"/>
      <c r="K173" s="127"/>
      <c r="L173" s="127"/>
      <c r="M173" s="127"/>
      <c r="N173" s="127"/>
      <c r="O173" s="127"/>
    </row>
    <row r="174" spans="1:15" x14ac:dyDescent="0.2">
      <c r="A174" s="127"/>
      <c r="B174" s="127"/>
      <c r="C174" s="127"/>
      <c r="D174" s="127"/>
      <c r="E174" s="127"/>
      <c r="F174" s="127"/>
      <c r="G174" s="127"/>
      <c r="H174" s="127"/>
      <c r="I174" s="127"/>
      <c r="J174" s="127"/>
      <c r="K174" s="127"/>
      <c r="L174" s="127"/>
      <c r="M174" s="127"/>
      <c r="N174" s="127"/>
      <c r="O174" s="127"/>
    </row>
  </sheetData>
  <mergeCells count="16">
    <mergeCell ref="A16:B16"/>
    <mergeCell ref="A4:O4"/>
    <mergeCell ref="A10:B10"/>
    <mergeCell ref="A11:A13"/>
    <mergeCell ref="B11:B13"/>
    <mergeCell ref="C11:C13"/>
    <mergeCell ref="D11:G11"/>
    <mergeCell ref="H11:H13"/>
    <mergeCell ref="I11:O11"/>
    <mergeCell ref="D12:D13"/>
    <mergeCell ref="E12:E13"/>
    <mergeCell ref="F12:F13"/>
    <mergeCell ref="G12:G13"/>
    <mergeCell ref="I12:K12"/>
    <mergeCell ref="L12:N12"/>
    <mergeCell ref="O12:O13"/>
  </mergeCells>
  <pageMargins left="0.19685039370078741" right="0.19685039370078741" top="0.59055118110236227" bottom="0.19685039370078741" header="0.27559055118110237" footer="0.27559055118110237"/>
  <pageSetup paperSize="9" scale="69" fitToHeight="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pageSetUpPr fitToPage="1"/>
  </sheetPr>
  <dimension ref="A1:K30"/>
  <sheetViews>
    <sheetView workbookViewId="0">
      <selection activeCell="A27" sqref="A1:K27"/>
    </sheetView>
  </sheetViews>
  <sheetFormatPr defaultColWidth="9.140625" defaultRowHeight="15" x14ac:dyDescent="0.25"/>
  <cols>
    <col min="1" max="1" width="8.28515625" style="359" customWidth="1"/>
    <col min="2" max="2" width="56" style="360" customWidth="1"/>
    <col min="3" max="3" width="16.5703125" style="360" customWidth="1"/>
    <col min="4" max="4" width="17" style="360" customWidth="1"/>
    <col min="5" max="6" width="15.140625" style="360" customWidth="1"/>
    <col min="7" max="7" width="12.7109375" style="360" customWidth="1"/>
    <col min="8" max="10" width="9.140625" style="360"/>
    <col min="11" max="11" width="16.42578125" style="360" customWidth="1"/>
    <col min="12" max="16384" width="9.140625" style="360"/>
  </cols>
  <sheetData>
    <row r="1" spans="1:11" s="361" customFormat="1" ht="12.75" customHeight="1" x14ac:dyDescent="0.25">
      <c r="A1" s="1750" t="s">
        <v>974</v>
      </c>
      <c r="B1" s="1750"/>
      <c r="C1" s="1750"/>
      <c r="D1" s="1750"/>
      <c r="E1" s="1750"/>
      <c r="F1" s="1750"/>
      <c r="G1" s="1750"/>
      <c r="H1" s="1750"/>
      <c r="I1" s="1750"/>
      <c r="J1" s="1750"/>
      <c r="K1" s="1750"/>
    </row>
    <row r="2" spans="1:11" s="363" customFormat="1" ht="12.75" customHeight="1" x14ac:dyDescent="0.15">
      <c r="A2" s="362"/>
    </row>
    <row r="3" spans="1:11" s="365" customFormat="1" ht="33.75" customHeight="1" x14ac:dyDescent="0.2">
      <c r="A3" s="1751" t="s">
        <v>38</v>
      </c>
      <c r="B3" s="1754" t="s">
        <v>7</v>
      </c>
      <c r="C3" s="1757" t="s">
        <v>56</v>
      </c>
      <c r="D3" s="1757" t="s">
        <v>57</v>
      </c>
      <c r="E3" s="1760" t="s">
        <v>52</v>
      </c>
      <c r="F3" s="1761"/>
      <c r="G3" s="1761"/>
      <c r="H3" s="1761"/>
      <c r="I3" s="1761"/>
      <c r="J3" s="1761"/>
      <c r="K3" s="1762"/>
    </row>
    <row r="4" spans="1:11" s="365" customFormat="1" ht="87.75" customHeight="1" x14ac:dyDescent="0.2">
      <c r="A4" s="1752"/>
      <c r="B4" s="1755"/>
      <c r="C4" s="1758"/>
      <c r="D4" s="1758"/>
      <c r="E4" s="1763" t="s">
        <v>35</v>
      </c>
      <c r="F4" s="1765"/>
      <c r="G4" s="1764"/>
      <c r="H4" s="1763" t="s">
        <v>45</v>
      </c>
      <c r="I4" s="1765"/>
      <c r="J4" s="1764"/>
      <c r="K4" s="1766" t="s">
        <v>46</v>
      </c>
    </row>
    <row r="5" spans="1:11" s="365" customFormat="1" ht="12.75" customHeight="1" x14ac:dyDescent="0.2">
      <c r="A5" s="1752"/>
      <c r="B5" s="1755"/>
      <c r="C5" s="1758"/>
      <c r="D5" s="1758"/>
      <c r="E5" s="1766" t="s">
        <v>43</v>
      </c>
      <c r="F5" s="1766" t="s">
        <v>592</v>
      </c>
      <c r="G5" s="1766" t="s">
        <v>44</v>
      </c>
      <c r="H5" s="1766" t="s">
        <v>55</v>
      </c>
      <c r="I5" s="1766" t="s">
        <v>43</v>
      </c>
      <c r="J5" s="1766" t="s">
        <v>44</v>
      </c>
      <c r="K5" s="1767"/>
    </row>
    <row r="6" spans="1:11" s="365" customFormat="1" ht="30.75" customHeight="1" x14ac:dyDescent="0.2">
      <c r="A6" s="1753"/>
      <c r="B6" s="1756"/>
      <c r="C6" s="1759"/>
      <c r="D6" s="1759"/>
      <c r="E6" s="1768"/>
      <c r="F6" s="1768"/>
      <c r="G6" s="1768"/>
      <c r="H6" s="1768"/>
      <c r="I6" s="1768"/>
      <c r="J6" s="1768"/>
      <c r="K6" s="1768"/>
    </row>
    <row r="7" spans="1:11" s="365" customFormat="1" ht="12.75" x14ac:dyDescent="0.2">
      <c r="A7" s="366">
        <v>1</v>
      </c>
      <c r="B7" s="364">
        <v>2</v>
      </c>
      <c r="C7" s="367">
        <v>3</v>
      </c>
      <c r="D7" s="364">
        <v>4</v>
      </c>
      <c r="E7" s="368">
        <v>5</v>
      </c>
      <c r="F7" s="368">
        <v>6</v>
      </c>
      <c r="G7" s="368">
        <v>7</v>
      </c>
      <c r="H7" s="368">
        <v>8</v>
      </c>
      <c r="I7" s="368">
        <v>9</v>
      </c>
      <c r="J7" s="368">
        <v>10</v>
      </c>
      <c r="K7" s="368">
        <v>11</v>
      </c>
    </row>
    <row r="8" spans="1:11" s="365" customFormat="1" ht="51" x14ac:dyDescent="0.2">
      <c r="A8" s="366">
        <v>1</v>
      </c>
      <c r="B8" s="369" t="s">
        <v>954</v>
      </c>
      <c r="C8" s="366" t="s">
        <v>3</v>
      </c>
      <c r="D8" s="377">
        <f>D9</f>
        <v>63324.829999999994</v>
      </c>
      <c r="E8" s="377">
        <f t="shared" ref="E8:F8" si="0">E9</f>
        <v>20897.219999999998</v>
      </c>
      <c r="F8" s="377">
        <f t="shared" si="0"/>
        <v>42427.61</v>
      </c>
      <c r="G8" s="377"/>
      <c r="H8" s="371"/>
      <c r="I8" s="371"/>
      <c r="J8" s="371"/>
      <c r="K8" s="371"/>
    </row>
    <row r="9" spans="1:11" s="365" customFormat="1" ht="51" x14ac:dyDescent="0.2">
      <c r="A9" s="366" t="s">
        <v>8</v>
      </c>
      <c r="B9" s="369" t="s">
        <v>955</v>
      </c>
      <c r="C9" s="375">
        <v>211082.77</v>
      </c>
      <c r="D9" s="377">
        <f>D23-D17</f>
        <v>63324.829999999994</v>
      </c>
      <c r="E9" s="377">
        <f>E23-E17</f>
        <v>20897.219999999998</v>
      </c>
      <c r="F9" s="377">
        <f>F23-F17</f>
        <v>42427.61</v>
      </c>
      <c r="G9" s="377"/>
      <c r="H9" s="366"/>
      <c r="I9" s="366"/>
      <c r="J9" s="366"/>
      <c r="K9" s="366"/>
    </row>
    <row r="10" spans="1:11" s="365" customFormat="1" ht="25.5" x14ac:dyDescent="0.2">
      <c r="A10" s="366" t="s">
        <v>12</v>
      </c>
      <c r="B10" s="369" t="s">
        <v>956</v>
      </c>
      <c r="C10" s="370"/>
      <c r="D10" s="370"/>
      <c r="E10" s="371"/>
      <c r="F10" s="371"/>
      <c r="G10" s="371"/>
      <c r="H10" s="371"/>
      <c r="I10" s="371"/>
      <c r="J10" s="371"/>
      <c r="K10" s="371"/>
    </row>
    <row r="11" spans="1:11" s="365" customFormat="1" ht="25.5" x14ac:dyDescent="0.2">
      <c r="A11" s="366" t="s">
        <v>13</v>
      </c>
      <c r="B11" s="369" t="s">
        <v>957</v>
      </c>
      <c r="C11" s="370"/>
      <c r="D11" s="370"/>
      <c r="E11" s="366"/>
      <c r="F11" s="366"/>
      <c r="G11" s="366"/>
      <c r="H11" s="366"/>
      <c r="I11" s="366"/>
      <c r="J11" s="366"/>
      <c r="K11" s="366"/>
    </row>
    <row r="12" spans="1:11" s="365" customFormat="1" ht="38.25" x14ac:dyDescent="0.2">
      <c r="A12" s="372" t="s">
        <v>502</v>
      </c>
      <c r="B12" s="369" t="s">
        <v>958</v>
      </c>
      <c r="C12" s="366" t="s">
        <v>3</v>
      </c>
      <c r="D12" s="366"/>
      <c r="E12" s="366"/>
      <c r="F12" s="366"/>
      <c r="G12" s="366"/>
      <c r="H12" s="366"/>
      <c r="I12" s="366"/>
      <c r="J12" s="366"/>
      <c r="K12" s="366"/>
    </row>
    <row r="13" spans="1:11" s="365" customFormat="1" ht="12.75" x14ac:dyDescent="0.2">
      <c r="A13" s="366"/>
      <c r="B13" s="371"/>
      <c r="C13" s="366"/>
      <c r="D13" s="366"/>
      <c r="E13" s="366"/>
      <c r="F13" s="366"/>
      <c r="G13" s="366"/>
      <c r="H13" s="366"/>
      <c r="I13" s="366"/>
      <c r="J13" s="366"/>
      <c r="K13" s="366"/>
    </row>
    <row r="14" spans="1:11" s="365" customFormat="1" ht="25.5" x14ac:dyDescent="0.2">
      <c r="A14" s="372" t="s">
        <v>512</v>
      </c>
      <c r="B14" s="369" t="s">
        <v>959</v>
      </c>
      <c r="C14" s="373"/>
      <c r="D14" s="373"/>
      <c r="E14" s="373"/>
      <c r="F14" s="373"/>
      <c r="G14" s="373"/>
      <c r="H14" s="373"/>
      <c r="I14" s="373"/>
      <c r="J14" s="373"/>
      <c r="K14" s="373"/>
    </row>
    <row r="15" spans="1:11" s="365" customFormat="1" ht="38.25" x14ac:dyDescent="0.2">
      <c r="A15" s="372" t="s">
        <v>515</v>
      </c>
      <c r="B15" s="369" t="s">
        <v>958</v>
      </c>
      <c r="C15" s="373"/>
      <c r="D15" s="373"/>
      <c r="E15" s="373"/>
      <c r="F15" s="373"/>
      <c r="G15" s="373"/>
      <c r="H15" s="373"/>
      <c r="I15" s="373"/>
      <c r="J15" s="373"/>
      <c r="K15" s="373"/>
    </row>
    <row r="16" spans="1:11" s="365" customFormat="1" ht="12.75" x14ac:dyDescent="0.2">
      <c r="A16" s="366"/>
      <c r="B16" s="371"/>
      <c r="C16" s="373"/>
      <c r="D16" s="373"/>
      <c r="E16" s="373"/>
      <c r="F16" s="373"/>
      <c r="G16" s="373"/>
      <c r="H16" s="373"/>
      <c r="I16" s="373"/>
      <c r="J16" s="373"/>
      <c r="K16" s="373"/>
    </row>
    <row r="17" spans="1:11" s="365" customFormat="1" ht="38.25" x14ac:dyDescent="0.2">
      <c r="A17" s="366" t="s">
        <v>960</v>
      </c>
      <c r="B17" s="369" t="s">
        <v>961</v>
      </c>
      <c r="C17" s="376">
        <f>C18</f>
        <v>211082.77</v>
      </c>
      <c r="D17" s="376">
        <f t="shared" ref="D17:E17" si="1">D18</f>
        <v>422.16</v>
      </c>
      <c r="E17" s="376">
        <f t="shared" si="1"/>
        <v>139.31</v>
      </c>
      <c r="F17" s="376">
        <f>F18</f>
        <v>282.85000000000002</v>
      </c>
      <c r="G17" s="376"/>
      <c r="H17" s="366"/>
      <c r="I17" s="366"/>
      <c r="J17" s="366"/>
      <c r="K17" s="366"/>
    </row>
    <row r="18" spans="1:11" s="365" customFormat="1" ht="51" x14ac:dyDescent="0.2">
      <c r="A18" s="372" t="s">
        <v>962</v>
      </c>
      <c r="B18" s="369" t="s">
        <v>963</v>
      </c>
      <c r="C18" s="375">
        <f>C9</f>
        <v>211082.77</v>
      </c>
      <c r="D18" s="375">
        <f>SUM(E18:G18)</f>
        <v>422.16</v>
      </c>
      <c r="E18" s="358">
        <v>139.31</v>
      </c>
      <c r="F18" s="358">
        <v>282.85000000000002</v>
      </c>
      <c r="G18" s="358"/>
      <c r="H18" s="366"/>
      <c r="I18" s="366"/>
      <c r="J18" s="366"/>
      <c r="K18" s="366"/>
    </row>
    <row r="19" spans="1:11" s="365" customFormat="1" ht="25.5" x14ac:dyDescent="0.2">
      <c r="A19" s="372" t="s">
        <v>964</v>
      </c>
      <c r="B19" s="369" t="s">
        <v>965</v>
      </c>
      <c r="C19" s="370"/>
      <c r="D19" s="370"/>
      <c r="E19" s="366"/>
      <c r="F19" s="366"/>
      <c r="G19" s="366"/>
      <c r="H19" s="366"/>
      <c r="I19" s="366"/>
      <c r="J19" s="366"/>
      <c r="K19" s="366"/>
    </row>
    <row r="20" spans="1:11" s="365" customFormat="1" ht="25.5" x14ac:dyDescent="0.2">
      <c r="A20" s="372" t="s">
        <v>966</v>
      </c>
      <c r="B20" s="369" t="s">
        <v>967</v>
      </c>
      <c r="C20" s="370"/>
      <c r="D20" s="370"/>
      <c r="E20" s="366"/>
      <c r="F20" s="366"/>
      <c r="G20" s="366"/>
      <c r="H20" s="366"/>
      <c r="I20" s="366"/>
      <c r="J20" s="366"/>
      <c r="K20" s="366"/>
    </row>
    <row r="21" spans="1:11" s="365" customFormat="1" ht="38.25" x14ac:dyDescent="0.2">
      <c r="A21" s="372" t="s">
        <v>968</v>
      </c>
      <c r="B21" s="369" t="s">
        <v>969</v>
      </c>
      <c r="C21" s="370"/>
      <c r="D21" s="370"/>
      <c r="E21" s="366"/>
      <c r="F21" s="366"/>
      <c r="G21" s="366"/>
      <c r="H21" s="366"/>
      <c r="I21" s="366"/>
      <c r="J21" s="366"/>
      <c r="K21" s="366"/>
    </row>
    <row r="22" spans="1:11" s="365" customFormat="1" ht="25.5" customHeight="1" x14ac:dyDescent="0.2">
      <c r="A22" s="372" t="s">
        <v>970</v>
      </c>
      <c r="B22" s="369" t="s">
        <v>971</v>
      </c>
      <c r="C22" s="370"/>
      <c r="D22" s="370"/>
      <c r="E22" s="366"/>
      <c r="F22" s="366"/>
      <c r="G22" s="366"/>
      <c r="H22" s="366"/>
      <c r="I22" s="366"/>
      <c r="J22" s="366"/>
      <c r="K22" s="366"/>
    </row>
    <row r="23" spans="1:11" s="383" customFormat="1" ht="24" customHeight="1" x14ac:dyDescent="0.2">
      <c r="A23" s="378"/>
      <c r="B23" s="379" t="s">
        <v>61</v>
      </c>
      <c r="C23" s="380" t="s">
        <v>3</v>
      </c>
      <c r="D23" s="381">
        <f>E23+F23</f>
        <v>63746.99</v>
      </c>
      <c r="E23" s="337">
        <v>21036.53</v>
      </c>
      <c r="F23" s="337">
        <v>42710.46</v>
      </c>
      <c r="G23" s="337"/>
      <c r="H23" s="380" t="s">
        <v>3</v>
      </c>
      <c r="I23" s="382"/>
      <c r="J23" s="382"/>
      <c r="K23" s="382"/>
    </row>
    <row r="24" spans="1:11" s="365" customFormat="1" ht="12.75" x14ac:dyDescent="0.2">
      <c r="A24" s="374"/>
    </row>
    <row r="26" spans="1:11" ht="56.25" customHeight="1" x14ac:dyDescent="0.25">
      <c r="A26" s="1769" t="s">
        <v>972</v>
      </c>
      <c r="B26" s="1769"/>
      <c r="C26" s="1769"/>
      <c r="D26" s="1769"/>
      <c r="E26" s="1769"/>
      <c r="F26" s="1769"/>
      <c r="G26" s="1769"/>
      <c r="H26" s="1769"/>
      <c r="I26" s="1769"/>
      <c r="J26" s="1769"/>
      <c r="K26" s="1769"/>
    </row>
    <row r="27" spans="1:11" ht="55.5" customHeight="1" x14ac:dyDescent="0.25">
      <c r="A27" s="1749" t="s">
        <v>973</v>
      </c>
      <c r="B27" s="1749"/>
      <c r="C27" s="1749"/>
      <c r="D27" s="1749"/>
      <c r="E27" s="1749"/>
      <c r="F27" s="1749"/>
      <c r="G27" s="1749"/>
      <c r="H27" s="1749"/>
      <c r="I27" s="1749"/>
      <c r="J27" s="1749"/>
      <c r="K27" s="1749"/>
    </row>
    <row r="28" spans="1:11" x14ac:dyDescent="0.25">
      <c r="D28" s="609">
        <f>D23+советник!H16</f>
        <v>335829.27</v>
      </c>
      <c r="E28" s="609">
        <f>E23+советник!I16</f>
        <v>110823.81</v>
      </c>
      <c r="F28" s="609">
        <f>F23+советник!J16</f>
        <v>225005.46</v>
      </c>
    </row>
    <row r="29" spans="1:11" x14ac:dyDescent="0.25">
      <c r="D29" s="360">
        <v>274829.76</v>
      </c>
      <c r="E29" s="360">
        <v>90693.93</v>
      </c>
      <c r="F29" s="360">
        <v>184135.83</v>
      </c>
    </row>
    <row r="30" spans="1:11" x14ac:dyDescent="0.25">
      <c r="D30" s="609">
        <f>D28-D29</f>
        <v>60999.510000000009</v>
      </c>
    </row>
  </sheetData>
  <mergeCells count="17">
    <mergeCell ref="A1:K1"/>
    <mergeCell ref="A3:A6"/>
    <mergeCell ref="B3:B6"/>
    <mergeCell ref="C3:C6"/>
    <mergeCell ref="D3:D6"/>
    <mergeCell ref="E3:K3"/>
    <mergeCell ref="E4:G4"/>
    <mergeCell ref="H4:J4"/>
    <mergeCell ref="K4:K6"/>
    <mergeCell ref="E5:E6"/>
    <mergeCell ref="A27:K27"/>
    <mergeCell ref="F5:F6"/>
    <mergeCell ref="G5:G6"/>
    <mergeCell ref="H5:H6"/>
    <mergeCell ref="I5:I6"/>
    <mergeCell ref="J5:J6"/>
    <mergeCell ref="A26:K26"/>
  </mergeCells>
  <pageMargins left="0.70866141732283472" right="0.70866141732283472" top="0.27" bottom="0.19" header="0.31496062992125984" footer="0.31496062992125984"/>
  <pageSetup paperSize="9" scale="63" orientation="landscape"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49"/>
  <sheetViews>
    <sheetView topLeftCell="A4" workbookViewId="0">
      <selection activeCell="J34" sqref="J34"/>
    </sheetView>
  </sheetViews>
  <sheetFormatPr defaultColWidth="22.5703125" defaultRowHeight="12.75" x14ac:dyDescent="0.2"/>
  <cols>
    <col min="1" max="1" width="35.85546875" style="144" customWidth="1"/>
    <col min="2" max="2" width="11.140625" style="144" customWidth="1"/>
    <col min="3" max="3" width="10" style="144" customWidth="1"/>
    <col min="4" max="4" width="15.5703125" style="144" customWidth="1"/>
    <col min="5" max="5" width="14.7109375" style="144" customWidth="1"/>
    <col min="6" max="6" width="16.28515625" style="144" customWidth="1"/>
    <col min="7" max="7" width="18.140625" style="144" customWidth="1"/>
    <col min="8" max="8" width="22.5703125" style="144"/>
    <col min="9" max="9" width="10.85546875" style="144" customWidth="1"/>
    <col min="10" max="10" width="22.5703125" style="144"/>
    <col min="11" max="11" width="12" style="144" customWidth="1"/>
    <col min="12" max="16384" width="22.5703125" style="144"/>
  </cols>
  <sheetData>
    <row r="1" spans="1:6" x14ac:dyDescent="0.2">
      <c r="A1" s="143" t="s">
        <v>650</v>
      </c>
      <c r="C1" s="143" t="s">
        <v>651</v>
      </c>
    </row>
    <row r="2" spans="1:6" x14ac:dyDescent="0.2">
      <c r="A2" s="143" t="s">
        <v>652</v>
      </c>
    </row>
    <row r="3" spans="1:6" x14ac:dyDescent="0.2">
      <c r="A3" s="145" t="s">
        <v>653</v>
      </c>
    </row>
    <row r="4" spans="1:6" ht="13.5" thickBot="1" x14ac:dyDescent="0.25"/>
    <row r="5" spans="1:6" x14ac:dyDescent="0.2">
      <c r="A5" s="146" t="s">
        <v>654</v>
      </c>
      <c r="B5" s="147">
        <v>30</v>
      </c>
      <c r="C5" s="148"/>
      <c r="D5" s="149"/>
    </row>
    <row r="6" spans="1:6" x14ac:dyDescent="0.2">
      <c r="A6" s="150" t="s">
        <v>655</v>
      </c>
      <c r="B6" s="144">
        <v>5</v>
      </c>
      <c r="D6" s="151"/>
    </row>
    <row r="7" spans="1:6" x14ac:dyDescent="0.2">
      <c r="A7" s="150" t="s">
        <v>656</v>
      </c>
      <c r="B7" s="144">
        <v>21</v>
      </c>
      <c r="D7" s="151"/>
    </row>
    <row r="8" spans="1:6" x14ac:dyDescent="0.2">
      <c r="A8" s="150"/>
      <c r="D8" s="151"/>
    </row>
    <row r="9" spans="1:6" x14ac:dyDescent="0.2">
      <c r="A9" s="150" t="s">
        <v>657</v>
      </c>
      <c r="B9" s="152">
        <f>'[6]затрат дн лагеря расчет  '!I18</f>
        <v>13673.1</v>
      </c>
      <c r="D9" s="151"/>
    </row>
    <row r="10" spans="1:6" x14ac:dyDescent="0.2">
      <c r="A10" s="150"/>
      <c r="D10" s="151"/>
    </row>
    <row r="11" spans="1:6" ht="13.5" thickBot="1" x14ac:dyDescent="0.25">
      <c r="A11" s="153" t="s">
        <v>658</v>
      </c>
      <c r="B11" s="154">
        <f>'[6]затрат дн лагеря расчет  '!I20</f>
        <v>2950</v>
      </c>
      <c r="C11" s="155"/>
      <c r="D11" s="156"/>
    </row>
    <row r="12" spans="1:6" ht="13.5" thickBot="1" x14ac:dyDescent="0.25"/>
    <row r="13" spans="1:6" x14ac:dyDescent="0.2">
      <c r="A13" s="157" t="s">
        <v>659</v>
      </c>
      <c r="B13" s="147"/>
      <c r="C13" s="147"/>
      <c r="D13" s="149"/>
    </row>
    <row r="14" spans="1:6" x14ac:dyDescent="0.2">
      <c r="A14" s="150"/>
      <c r="D14" s="151"/>
    </row>
    <row r="15" spans="1:6" x14ac:dyDescent="0.2">
      <c r="A15" s="158" t="s">
        <v>660</v>
      </c>
      <c r="B15" s="159"/>
      <c r="C15" s="159"/>
      <c r="D15" s="160">
        <f>SUM(E15*F15)</f>
        <v>73750</v>
      </c>
      <c r="E15" s="144">
        <v>25</v>
      </c>
      <c r="F15" s="144">
        <v>2950</v>
      </c>
    </row>
    <row r="16" spans="1:6" x14ac:dyDescent="0.2">
      <c r="A16" s="158" t="s">
        <v>661</v>
      </c>
      <c r="B16" s="159"/>
      <c r="C16" s="159"/>
      <c r="D16" s="161">
        <f>D35-D15</f>
        <v>336443</v>
      </c>
    </row>
    <row r="17" spans="1:12" ht="13.5" thickBot="1" x14ac:dyDescent="0.25">
      <c r="A17" s="162" t="s">
        <v>662</v>
      </c>
      <c r="B17" s="163"/>
      <c r="C17" s="164"/>
      <c r="D17" s="165">
        <f>SUM(D15:D16)</f>
        <v>410193</v>
      </c>
    </row>
    <row r="18" spans="1:12" ht="13.5" thickBot="1" x14ac:dyDescent="0.25"/>
    <row r="19" spans="1:12" x14ac:dyDescent="0.2">
      <c r="A19" s="166" t="s">
        <v>663</v>
      </c>
      <c r="B19" s="167" t="s">
        <v>664</v>
      </c>
      <c r="C19" s="168" t="s">
        <v>665</v>
      </c>
      <c r="D19" s="169" t="s">
        <v>186</v>
      </c>
      <c r="E19" s="170" t="s">
        <v>579</v>
      </c>
      <c r="F19" s="168" t="s">
        <v>666</v>
      </c>
      <c r="G19" s="168" t="s">
        <v>667</v>
      </c>
      <c r="H19" s="171">
        <f>D15</f>
        <v>73750</v>
      </c>
    </row>
    <row r="20" spans="1:12" ht="13.5" thickBot="1" x14ac:dyDescent="0.25">
      <c r="A20" s="172"/>
      <c r="B20" s="173"/>
      <c r="C20" s="173"/>
      <c r="D20" s="174"/>
      <c r="E20" s="174"/>
      <c r="F20" s="173"/>
      <c r="G20" s="175"/>
      <c r="H20" s="152">
        <f>D17</f>
        <v>410193</v>
      </c>
    </row>
    <row r="21" spans="1:12" ht="13.5" thickBot="1" x14ac:dyDescent="0.25">
      <c r="A21" s="176"/>
      <c r="B21" s="177"/>
      <c r="C21" s="178"/>
      <c r="D21" s="177"/>
      <c r="E21" s="179"/>
      <c r="F21" s="180"/>
      <c r="G21" s="224"/>
      <c r="H21" s="225" t="s">
        <v>694</v>
      </c>
      <c r="J21" s="226" t="s">
        <v>695</v>
      </c>
    </row>
    <row r="22" spans="1:12" x14ac:dyDescent="0.2">
      <c r="A22" s="181" t="s">
        <v>668</v>
      </c>
      <c r="B22" s="182">
        <v>9</v>
      </c>
      <c r="C22" s="178"/>
      <c r="D22" s="182">
        <f>SUM(B5*B7*B22)</f>
        <v>5670</v>
      </c>
      <c r="E22" s="183">
        <v>340</v>
      </c>
      <c r="F22" s="184">
        <f t="shared" ref="F22:F33" si="0">D22-G22</f>
        <v>4840.6099999999997</v>
      </c>
      <c r="G22" s="182">
        <f>ROUND(D22*G40,2)</f>
        <v>829.39</v>
      </c>
      <c r="H22" s="221">
        <f>F22/F35*H35</f>
        <v>4269.6587822323545</v>
      </c>
      <c r="I22" s="185"/>
      <c r="J22" s="221">
        <f>F22-H22</f>
        <v>570.95121776764518</v>
      </c>
      <c r="K22" s="159">
        <v>211</v>
      </c>
      <c r="L22" s="227">
        <f>H24-L23</f>
        <v>36990.618771068112</v>
      </c>
    </row>
    <row r="23" spans="1:12" x14ac:dyDescent="0.2">
      <c r="A23" s="181" t="s">
        <v>669</v>
      </c>
      <c r="B23" s="182">
        <v>7</v>
      </c>
      <c r="C23" s="178"/>
      <c r="D23" s="182">
        <f>SUM(B5*B7*B23)</f>
        <v>4410</v>
      </c>
      <c r="E23" s="183">
        <v>340</v>
      </c>
      <c r="F23" s="184">
        <f t="shared" si="0"/>
        <v>3764.92</v>
      </c>
      <c r="G23" s="182">
        <f>ROUND(D23*G40,2)</f>
        <v>645.08000000000004</v>
      </c>
      <c r="H23" s="221">
        <f>F23/F35*H35</f>
        <v>3320.8466995693179</v>
      </c>
      <c r="I23" s="185"/>
      <c r="J23" s="221">
        <f t="shared" ref="J23:J33" si="1">F23-H23</f>
        <v>444.07330043068214</v>
      </c>
      <c r="K23" s="159">
        <v>213</v>
      </c>
      <c r="L23" s="227">
        <f>H24/130.2*30.2</f>
        <v>11171.166868862572</v>
      </c>
    </row>
    <row r="24" spans="1:12" x14ac:dyDescent="0.2">
      <c r="A24" s="181" t="s">
        <v>670</v>
      </c>
      <c r="B24" s="182">
        <v>101.52</v>
      </c>
      <c r="C24" s="178"/>
      <c r="D24" s="182">
        <f>SUM(B5*B7*B24)</f>
        <v>63957.599999999999</v>
      </c>
      <c r="E24" s="183">
        <v>211.21299999999999</v>
      </c>
      <c r="F24" s="184">
        <f t="shared" si="0"/>
        <v>54602.119999999995</v>
      </c>
      <c r="G24" s="182">
        <f>ROUND(D24*G40,2)</f>
        <v>9355.48</v>
      </c>
      <c r="H24" s="221">
        <f>F24/F35*H35</f>
        <v>48161.785639930684</v>
      </c>
      <c r="I24" s="185"/>
      <c r="J24" s="221">
        <f t="shared" si="1"/>
        <v>6440.3343600693115</v>
      </c>
      <c r="K24" s="159"/>
      <c r="L24" s="228">
        <f>SUM(L22:L23)</f>
        <v>48161.785639930684</v>
      </c>
    </row>
    <row r="25" spans="1:12" x14ac:dyDescent="0.2">
      <c r="A25" s="181" t="s">
        <v>671</v>
      </c>
      <c r="B25" s="182">
        <v>290</v>
      </c>
      <c r="C25" s="178"/>
      <c r="D25" s="182">
        <f>SUM(B25*B5*B7)</f>
        <v>182700</v>
      </c>
      <c r="E25" s="183">
        <v>226</v>
      </c>
      <c r="F25" s="184">
        <f t="shared" si="0"/>
        <v>137268.04</v>
      </c>
      <c r="G25" s="182">
        <f>ROUND(I25*G40,2)</f>
        <v>45431.96</v>
      </c>
      <c r="H25" s="221">
        <f>F25/F35*H35</f>
        <v>121077.23871698446</v>
      </c>
      <c r="I25" s="185">
        <f>SUM(B25*51)*21</f>
        <v>310590</v>
      </c>
      <c r="J25" s="221">
        <f t="shared" si="1"/>
        <v>16190.801283015549</v>
      </c>
      <c r="K25" s="159"/>
      <c r="L25" s="159"/>
    </row>
    <row r="26" spans="1:12" x14ac:dyDescent="0.2">
      <c r="A26" s="181" t="s">
        <v>672</v>
      </c>
      <c r="B26" s="182">
        <v>113.8</v>
      </c>
      <c r="C26" s="178"/>
      <c r="D26" s="182">
        <f>SUM(B26*B5*B7)</f>
        <v>71694</v>
      </c>
      <c r="E26" s="183">
        <v>226</v>
      </c>
      <c r="F26" s="184">
        <f t="shared" si="0"/>
        <v>61206.87</v>
      </c>
      <c r="G26" s="182">
        <f>ROUND(D26*G40,2)</f>
        <v>10487.13</v>
      </c>
      <c r="H26" s="221">
        <f>F26/F35*H35</f>
        <v>53987.503646948222</v>
      </c>
      <c r="I26" s="185"/>
      <c r="J26" s="221">
        <f t="shared" si="1"/>
        <v>7219.3663530517806</v>
      </c>
      <c r="K26" s="159">
        <v>211</v>
      </c>
      <c r="L26" s="227">
        <f>J24-L27</f>
        <v>4946.4933641085336</v>
      </c>
    </row>
    <row r="27" spans="1:12" x14ac:dyDescent="0.2">
      <c r="A27" s="186" t="s">
        <v>673</v>
      </c>
      <c r="B27" s="182">
        <v>53.81</v>
      </c>
      <c r="C27" s="178">
        <v>4.5</v>
      </c>
      <c r="D27" s="182">
        <f>SUM(B5*B7*B27)</f>
        <v>33900.300000000003</v>
      </c>
      <c r="E27" s="183">
        <v>226</v>
      </c>
      <c r="F27" s="184">
        <f t="shared" si="0"/>
        <v>33900.300000000003</v>
      </c>
      <c r="G27" s="184"/>
      <c r="H27" s="221">
        <f>F27/F35*H35</f>
        <v>29901.750732926532</v>
      </c>
      <c r="I27" s="185"/>
      <c r="J27" s="221">
        <f t="shared" si="1"/>
        <v>3998.5492670734711</v>
      </c>
      <c r="K27" s="159">
        <v>213</v>
      </c>
      <c r="L27" s="227">
        <f>J24/130.2*30.2</f>
        <v>1493.8409959607775</v>
      </c>
    </row>
    <row r="28" spans="1:12" x14ac:dyDescent="0.2">
      <c r="A28" s="187" t="s">
        <v>674</v>
      </c>
      <c r="B28" s="182">
        <v>4.1900000000000004</v>
      </c>
      <c r="C28" s="178"/>
      <c r="D28" s="182">
        <f>SUM(B5*B7*B28)</f>
        <v>2639.7000000000003</v>
      </c>
      <c r="E28" s="183">
        <v>222</v>
      </c>
      <c r="F28" s="184">
        <f t="shared" si="0"/>
        <v>2253.5700000000002</v>
      </c>
      <c r="G28" s="182">
        <f>ROUND(D28*G40,2)</f>
        <v>386.13</v>
      </c>
      <c r="H28" s="221">
        <f>F28/F35*H35</f>
        <v>1987.7608280517059</v>
      </c>
      <c r="I28" s="185"/>
      <c r="J28" s="221">
        <f t="shared" si="1"/>
        <v>265.80917194829431</v>
      </c>
      <c r="K28" s="159"/>
      <c r="L28" s="228">
        <f>SUM(L26:L27)</f>
        <v>6440.3343600693115</v>
      </c>
    </row>
    <row r="29" spans="1:12" x14ac:dyDescent="0.2">
      <c r="A29" s="181" t="s">
        <v>675</v>
      </c>
      <c r="B29" s="182">
        <v>14.29</v>
      </c>
      <c r="C29" s="178">
        <v>5</v>
      </c>
      <c r="D29" s="182">
        <f>SUM(B5*B7*B29)</f>
        <v>9002.6999999999989</v>
      </c>
      <c r="E29" s="183">
        <v>226</v>
      </c>
      <c r="F29" s="184">
        <f t="shared" si="0"/>
        <v>7685.8199999999988</v>
      </c>
      <c r="G29" s="182">
        <f>ROUND(D29*G40,2)</f>
        <v>1316.88</v>
      </c>
      <c r="H29" s="221">
        <f>F29/F35*H35</f>
        <v>6779.2755172709776</v>
      </c>
      <c r="I29" s="185"/>
      <c r="J29" s="221">
        <f t="shared" si="1"/>
        <v>906.54448272902118</v>
      </c>
      <c r="K29" s="159"/>
      <c r="L29" s="159"/>
    </row>
    <row r="30" spans="1:12" x14ac:dyDescent="0.2">
      <c r="A30" s="186" t="s">
        <v>676</v>
      </c>
      <c r="B30" s="182">
        <v>1.4</v>
      </c>
      <c r="C30" s="178"/>
      <c r="D30" s="182">
        <f>SUM(B30*B7*B5)</f>
        <v>882</v>
      </c>
      <c r="E30" s="183">
        <v>226</v>
      </c>
      <c r="F30" s="184">
        <f t="shared" si="0"/>
        <v>752.98</v>
      </c>
      <c r="G30" s="182">
        <f>ROUND(D30*G40,2)</f>
        <v>129.02000000000001</v>
      </c>
      <c r="H30" s="221">
        <f>F30/F35*H35</f>
        <v>664.16581171491168</v>
      </c>
      <c r="I30" s="188"/>
      <c r="J30" s="221">
        <f t="shared" si="1"/>
        <v>88.814188285088335</v>
      </c>
    </row>
    <row r="31" spans="1:12" x14ac:dyDescent="0.2">
      <c r="A31" s="189" t="s">
        <v>677</v>
      </c>
      <c r="B31" s="182">
        <v>24.14</v>
      </c>
      <c r="C31" s="190"/>
      <c r="D31" s="182">
        <f>SUM(B31*B7*B5)</f>
        <v>15208.2</v>
      </c>
      <c r="E31" s="191">
        <v>225</v>
      </c>
      <c r="F31" s="184">
        <f t="shared" si="0"/>
        <v>12983.6</v>
      </c>
      <c r="G31" s="182">
        <f>ROUND(D31*G40,2)</f>
        <v>2224.6</v>
      </c>
      <c r="H31" s="221">
        <f>F31/F35*H35</f>
        <v>11452.180978222166</v>
      </c>
      <c r="I31" s="188"/>
      <c r="J31" s="221">
        <f t="shared" si="1"/>
        <v>1531.4190217778341</v>
      </c>
    </row>
    <row r="32" spans="1:12" x14ac:dyDescent="0.2">
      <c r="A32" s="192" t="s">
        <v>678</v>
      </c>
      <c r="B32" s="182">
        <v>2.9</v>
      </c>
      <c r="C32" s="190"/>
      <c r="D32" s="182">
        <f>SUM(B5*B7*B32)</f>
        <v>1827</v>
      </c>
      <c r="E32" s="191">
        <v>226</v>
      </c>
      <c r="F32" s="184">
        <f t="shared" si="0"/>
        <v>1559.75</v>
      </c>
      <c r="G32" s="182">
        <f>ROUND(D32*G40,2)</f>
        <v>267.25</v>
      </c>
      <c r="H32" s="221">
        <f>F32/F35*H35</f>
        <v>1375.777078836534</v>
      </c>
      <c r="I32" s="188"/>
      <c r="J32" s="221">
        <f t="shared" si="1"/>
        <v>183.97292116346603</v>
      </c>
    </row>
    <row r="33" spans="1:10" x14ac:dyDescent="0.2">
      <c r="A33" s="193" t="s">
        <v>679</v>
      </c>
      <c r="B33" s="194">
        <v>29.05</v>
      </c>
      <c r="C33" s="190"/>
      <c r="D33" s="182">
        <f>SUM(B5*B7*B33)</f>
        <v>18301.5</v>
      </c>
      <c r="E33" s="191"/>
      <c r="F33" s="184">
        <f t="shared" si="0"/>
        <v>15624.42</v>
      </c>
      <c r="G33" s="182">
        <f>ROUND(D33*G40,2)</f>
        <v>2677.08</v>
      </c>
      <c r="H33" s="221">
        <f>F33/F35*H35</f>
        <v>13781.515567312146</v>
      </c>
      <c r="I33" s="185"/>
      <c r="J33" s="221">
        <f t="shared" si="1"/>
        <v>1842.9044326878538</v>
      </c>
    </row>
    <row r="34" spans="1:10" x14ac:dyDescent="0.2">
      <c r="A34" s="195"/>
      <c r="B34" s="190"/>
      <c r="C34" s="190"/>
      <c r="D34" s="196"/>
      <c r="E34" s="197"/>
      <c r="F34" s="198"/>
      <c r="G34" s="198"/>
      <c r="H34" s="229">
        <f>SUM(H22:H33)</f>
        <v>296759.45999999996</v>
      </c>
      <c r="I34" s="185"/>
      <c r="J34" s="230">
        <f>SUM(J22:J33)</f>
        <v>39683.539999999994</v>
      </c>
    </row>
    <row r="35" spans="1:10" ht="14.25" x14ac:dyDescent="0.2">
      <c r="A35" s="199" t="s">
        <v>680</v>
      </c>
      <c r="B35" s="200">
        <f>SUM(B22:B34)</f>
        <v>651.0999999999998</v>
      </c>
      <c r="C35" s="201"/>
      <c r="D35" s="202">
        <f>SUM(D21:D34)</f>
        <v>410193</v>
      </c>
      <c r="E35" s="203"/>
      <c r="F35" s="202">
        <f>SUM(F21:F34)</f>
        <v>336442.99999999994</v>
      </c>
      <c r="G35" s="202">
        <f>SUM(G21:G34)</f>
        <v>73750.000000000015</v>
      </c>
      <c r="H35" s="229">
        <f>F35-G47</f>
        <v>296759.45999999996</v>
      </c>
      <c r="I35" s="188"/>
      <c r="J35" s="231">
        <f>G47</f>
        <v>39683.54</v>
      </c>
    </row>
    <row r="36" spans="1:10" ht="12" customHeight="1" x14ac:dyDescent="0.2">
      <c r="B36" s="152"/>
      <c r="H36" s="221"/>
    </row>
    <row r="37" spans="1:10" ht="15.75" x14ac:dyDescent="0.25">
      <c r="A37" s="204"/>
      <c r="D37" s="171">
        <f>SUM(D35-D30-D27-D31)-12*21*B25+217060.2</f>
        <v>504182.7</v>
      </c>
      <c r="G37" s="205">
        <f>D15</f>
        <v>73750</v>
      </c>
    </row>
    <row r="38" spans="1:10" ht="15.75" x14ac:dyDescent="0.25">
      <c r="A38" s="204"/>
      <c r="D38" s="152"/>
      <c r="F38" s="206"/>
      <c r="G38" s="206"/>
    </row>
    <row r="39" spans="1:10" ht="13.5" thickBot="1" x14ac:dyDescent="0.25">
      <c r="A39" s="207"/>
    </row>
    <row r="40" spans="1:10" ht="13.5" thickBot="1" x14ac:dyDescent="0.25">
      <c r="G40" s="208">
        <f>ROUND(G37/D37,7)</f>
        <v>0.1462763</v>
      </c>
    </row>
    <row r="43" spans="1:10" ht="14.25" x14ac:dyDescent="0.2">
      <c r="A43" s="209" t="s">
        <v>681</v>
      </c>
      <c r="B43" s="209"/>
      <c r="C43" s="209"/>
      <c r="D43" s="209"/>
      <c r="E43" s="209"/>
      <c r="F43" s="209"/>
      <c r="G43" s="209"/>
      <c r="H43" s="209"/>
      <c r="I43" s="209"/>
    </row>
    <row r="44" spans="1:10" ht="15" x14ac:dyDescent="0.25">
      <c r="A44" s="210"/>
      <c r="B44" s="210"/>
      <c r="C44" s="210"/>
      <c r="D44" s="210"/>
      <c r="E44" s="210"/>
      <c r="F44" s="211"/>
      <c r="G44" s="212">
        <v>0.89</v>
      </c>
      <c r="H44" s="212">
        <v>0.11</v>
      </c>
      <c r="I44" s="210"/>
    </row>
    <row r="45" spans="1:10" ht="14.25" x14ac:dyDescent="0.2">
      <c r="A45" s="2280"/>
      <c r="B45" s="2281" t="s">
        <v>682</v>
      </c>
      <c r="C45" s="2281" t="s">
        <v>683</v>
      </c>
      <c r="D45" s="2281" t="s">
        <v>684</v>
      </c>
      <c r="E45" s="2282" t="s">
        <v>685</v>
      </c>
      <c r="F45" s="2284" t="s">
        <v>686</v>
      </c>
      <c r="G45" s="2277" t="s">
        <v>687</v>
      </c>
      <c r="H45" s="2278"/>
      <c r="I45" s="2279"/>
    </row>
    <row r="46" spans="1:10" ht="15" x14ac:dyDescent="0.2">
      <c r="A46" s="2280"/>
      <c r="B46" s="2281"/>
      <c r="C46" s="2281"/>
      <c r="D46" s="2281"/>
      <c r="E46" s="2283"/>
      <c r="F46" s="2285"/>
      <c r="G46" s="213" t="s">
        <v>688</v>
      </c>
      <c r="H46" s="213" t="s">
        <v>689</v>
      </c>
      <c r="I46" s="213" t="s">
        <v>690</v>
      </c>
    </row>
    <row r="47" spans="1:10" ht="15.75" x14ac:dyDescent="0.25">
      <c r="A47" s="214" t="s">
        <v>651</v>
      </c>
      <c r="B47" s="215">
        <v>5</v>
      </c>
      <c r="C47" s="216">
        <f>B9</f>
        <v>13673.1</v>
      </c>
      <c r="D47" s="217">
        <f>B47*C47</f>
        <v>68365.5</v>
      </c>
      <c r="E47" s="218">
        <v>8917.65</v>
      </c>
      <c r="F47" s="219">
        <f>ROUND(E47*B47,2)</f>
        <v>44588.25</v>
      </c>
      <c r="G47" s="220">
        <f>ROUND(F47/100*89,2)</f>
        <v>39683.54</v>
      </c>
      <c r="H47" s="220">
        <f>F47-G47</f>
        <v>4904.7099999999991</v>
      </c>
      <c r="I47" s="220">
        <f>D47-G47-H47</f>
        <v>23777.25</v>
      </c>
    </row>
    <row r="48" spans="1:10" ht="15" x14ac:dyDescent="0.25">
      <c r="A48" s="210"/>
      <c r="B48" s="210"/>
      <c r="C48" s="210"/>
      <c r="D48" s="210"/>
      <c r="E48" s="210"/>
      <c r="F48" s="211"/>
      <c r="G48" s="210"/>
      <c r="H48" s="210"/>
      <c r="I48" s="210"/>
    </row>
    <row r="49" spans="6:7" x14ac:dyDescent="0.2">
      <c r="F49" s="221">
        <f>F35-D47</f>
        <v>268077.49999999994</v>
      </c>
      <c r="G49" s="221">
        <f>F49+H47+I47</f>
        <v>296759.45999999996</v>
      </c>
    </row>
  </sheetData>
  <mergeCells count="7">
    <mergeCell ref="G45:I45"/>
    <mergeCell ref="A45:A46"/>
    <mergeCell ref="B45:B46"/>
    <mergeCell ref="C45:C46"/>
    <mergeCell ref="D45:D46"/>
    <mergeCell ref="E45:E46"/>
    <mergeCell ref="F45:F46"/>
  </mergeCells>
  <pageMargins left="0.25" right="0.25" top="0.75" bottom="0.75" header="0.3" footer="0.3"/>
  <pageSetup paperSize="9" scale="68" orientation="landscape"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K49"/>
  <sheetViews>
    <sheetView workbookViewId="0">
      <selection activeCell="L48" sqref="L48"/>
    </sheetView>
  </sheetViews>
  <sheetFormatPr defaultColWidth="22.5703125" defaultRowHeight="12.75" x14ac:dyDescent="0.2"/>
  <cols>
    <col min="1" max="1" width="22.5703125" style="144"/>
    <col min="2" max="2" width="41.28515625" style="144" customWidth="1"/>
    <col min="3" max="3" width="11.140625" style="144" customWidth="1"/>
    <col min="4" max="4" width="10" style="144" customWidth="1"/>
    <col min="5" max="5" width="15.5703125" style="144" customWidth="1"/>
    <col min="6" max="6" width="14.7109375" style="144" customWidth="1"/>
    <col min="7" max="7" width="16.28515625" style="144" customWidth="1"/>
    <col min="8" max="8" width="18.140625" style="144" customWidth="1"/>
    <col min="9" max="9" width="22.5703125" style="144"/>
    <col min="10" max="10" width="14" style="144" customWidth="1"/>
    <col min="11" max="16384" width="22.5703125" style="144"/>
  </cols>
  <sheetData>
    <row r="1" spans="2:7" x14ac:dyDescent="0.2">
      <c r="B1" s="143" t="s">
        <v>650</v>
      </c>
      <c r="D1" s="143" t="s">
        <v>651</v>
      </c>
    </row>
    <row r="2" spans="2:7" x14ac:dyDescent="0.2">
      <c r="B2" s="143" t="s">
        <v>652</v>
      </c>
    </row>
    <row r="3" spans="2:7" x14ac:dyDescent="0.2">
      <c r="B3" s="145" t="s">
        <v>653</v>
      </c>
    </row>
    <row r="4" spans="2:7" ht="13.5" thickBot="1" x14ac:dyDescent="0.25"/>
    <row r="5" spans="2:7" x14ac:dyDescent="0.2">
      <c r="B5" s="146" t="s">
        <v>654</v>
      </c>
      <c r="C5" s="147">
        <v>30</v>
      </c>
      <c r="D5" s="148"/>
      <c r="E5" s="149"/>
    </row>
    <row r="6" spans="2:7" x14ac:dyDescent="0.2">
      <c r="B6" s="150" t="s">
        <v>655</v>
      </c>
      <c r="C6" s="144">
        <v>5</v>
      </c>
      <c r="E6" s="151"/>
    </row>
    <row r="7" spans="2:7" x14ac:dyDescent="0.2">
      <c r="B7" s="150" t="s">
        <v>656</v>
      </c>
      <c r="C7" s="144">
        <v>21</v>
      </c>
      <c r="E7" s="151"/>
    </row>
    <row r="8" spans="2:7" x14ac:dyDescent="0.2">
      <c r="B8" s="150"/>
      <c r="E8" s="151"/>
    </row>
    <row r="9" spans="2:7" x14ac:dyDescent="0.2">
      <c r="B9" s="150" t="s">
        <v>657</v>
      </c>
      <c r="C9" s="152">
        <f>'[6]затрат дн лагеря расчет  '!I18</f>
        <v>13673.1</v>
      </c>
      <c r="E9" s="151"/>
    </row>
    <row r="10" spans="2:7" x14ac:dyDescent="0.2">
      <c r="B10" s="150"/>
      <c r="E10" s="151"/>
    </row>
    <row r="11" spans="2:7" ht="13.5" thickBot="1" x14ac:dyDescent="0.25">
      <c r="B11" s="153" t="s">
        <v>658</v>
      </c>
      <c r="C11" s="154">
        <f>'[6]затрат дн лагеря расчет  '!I20</f>
        <v>2950</v>
      </c>
      <c r="D11" s="155"/>
      <c r="E11" s="156"/>
    </row>
    <row r="12" spans="2:7" ht="13.5" thickBot="1" x14ac:dyDescent="0.25"/>
    <row r="13" spans="2:7" x14ac:dyDescent="0.2">
      <c r="B13" s="157" t="s">
        <v>659</v>
      </c>
      <c r="C13" s="147"/>
      <c r="D13" s="147"/>
      <c r="E13" s="149"/>
    </row>
    <row r="14" spans="2:7" x14ac:dyDescent="0.2">
      <c r="B14" s="150"/>
      <c r="E14" s="151"/>
    </row>
    <row r="15" spans="2:7" x14ac:dyDescent="0.2">
      <c r="B15" s="158" t="s">
        <v>660</v>
      </c>
      <c r="C15" s="159"/>
      <c r="D15" s="159"/>
      <c r="E15" s="160">
        <f>SUM(F15*G15)</f>
        <v>73750</v>
      </c>
      <c r="F15" s="144">
        <v>25</v>
      </c>
      <c r="G15" s="144">
        <v>2950</v>
      </c>
    </row>
    <row r="16" spans="2:7" x14ac:dyDescent="0.2">
      <c r="B16" s="158" t="s">
        <v>661</v>
      </c>
      <c r="C16" s="159"/>
      <c r="D16" s="159"/>
      <c r="E16" s="161">
        <f>E35-E15</f>
        <v>336443</v>
      </c>
    </row>
    <row r="17" spans="2:10" ht="13.5" thickBot="1" x14ac:dyDescent="0.25">
      <c r="B17" s="162" t="s">
        <v>662</v>
      </c>
      <c r="C17" s="163"/>
      <c r="D17" s="164"/>
      <c r="E17" s="165">
        <f>SUM(E15:E16)</f>
        <v>410193</v>
      </c>
    </row>
    <row r="18" spans="2:10" ht="13.5" thickBot="1" x14ac:dyDescent="0.25"/>
    <row r="19" spans="2:10" x14ac:dyDescent="0.2">
      <c r="B19" s="166" t="s">
        <v>663</v>
      </c>
      <c r="C19" s="167" t="s">
        <v>664</v>
      </c>
      <c r="D19" s="168" t="s">
        <v>665</v>
      </c>
      <c r="E19" s="169" t="s">
        <v>186</v>
      </c>
      <c r="F19" s="170" t="s">
        <v>579</v>
      </c>
      <c r="G19" s="168" t="s">
        <v>666</v>
      </c>
      <c r="H19" s="168" t="s">
        <v>667</v>
      </c>
      <c r="I19" s="171">
        <f>E15</f>
        <v>73750</v>
      </c>
    </row>
    <row r="20" spans="2:10" ht="13.5" thickBot="1" x14ac:dyDescent="0.25">
      <c r="B20" s="172"/>
      <c r="C20" s="173"/>
      <c r="D20" s="173"/>
      <c r="E20" s="174"/>
      <c r="F20" s="174"/>
      <c r="G20" s="173"/>
      <c r="H20" s="175"/>
      <c r="I20" s="152">
        <f>E17</f>
        <v>410193</v>
      </c>
    </row>
    <row r="21" spans="2:10" x14ac:dyDescent="0.2">
      <c r="B21" s="176"/>
      <c r="C21" s="177"/>
      <c r="D21" s="178"/>
      <c r="E21" s="177"/>
      <c r="F21" s="179"/>
      <c r="G21" s="180"/>
      <c r="H21" s="180"/>
    </row>
    <row r="22" spans="2:10" x14ac:dyDescent="0.2">
      <c r="B22" s="181" t="s">
        <v>668</v>
      </c>
      <c r="C22" s="182">
        <v>9</v>
      </c>
      <c r="D22" s="178"/>
      <c r="E22" s="182">
        <f>SUM(C5*C7*C22)</f>
        <v>5670</v>
      </c>
      <c r="F22" s="183">
        <v>340</v>
      </c>
      <c r="G22" s="184">
        <f t="shared" ref="G22:G33" si="0">E22-H22</f>
        <v>4840.6099999999997</v>
      </c>
      <c r="H22" s="182">
        <f>ROUND(E22*H40,2)</f>
        <v>829.39</v>
      </c>
      <c r="J22" s="185"/>
    </row>
    <row r="23" spans="2:10" x14ac:dyDescent="0.2">
      <c r="B23" s="181" t="s">
        <v>669</v>
      </c>
      <c r="C23" s="182">
        <v>7</v>
      </c>
      <c r="D23" s="178"/>
      <c r="E23" s="182">
        <f>SUM(C5*C7*C23)</f>
        <v>4410</v>
      </c>
      <c r="F23" s="183">
        <v>340</v>
      </c>
      <c r="G23" s="184">
        <f t="shared" si="0"/>
        <v>3764.92</v>
      </c>
      <c r="H23" s="182">
        <f>ROUND(E23*H40,2)</f>
        <v>645.08000000000004</v>
      </c>
      <c r="J23" s="185"/>
    </row>
    <row r="24" spans="2:10" x14ac:dyDescent="0.2">
      <c r="B24" s="181" t="s">
        <v>670</v>
      </c>
      <c r="C24" s="182">
        <v>101.52</v>
      </c>
      <c r="D24" s="178"/>
      <c r="E24" s="182">
        <f>SUM(C5*C7*C24)</f>
        <v>63957.599999999999</v>
      </c>
      <c r="F24" s="183">
        <v>211.21299999999999</v>
      </c>
      <c r="G24" s="184">
        <f t="shared" si="0"/>
        <v>54602.119999999995</v>
      </c>
      <c r="H24" s="182">
        <f>ROUND(E24*H40,2)</f>
        <v>9355.48</v>
      </c>
      <c r="J24" s="185"/>
    </row>
    <row r="25" spans="2:10" x14ac:dyDescent="0.2">
      <c r="B25" s="181" t="s">
        <v>671</v>
      </c>
      <c r="C25" s="182">
        <v>290</v>
      </c>
      <c r="D25" s="178"/>
      <c r="E25" s="182">
        <f>SUM(C25*C5*C7)</f>
        <v>182700</v>
      </c>
      <c r="F25" s="183">
        <v>226</v>
      </c>
      <c r="G25" s="184">
        <f>E25-H25</f>
        <v>137268.04</v>
      </c>
      <c r="H25" s="182">
        <f>ROUND(J25*H40,2)</f>
        <v>45431.96</v>
      </c>
      <c r="J25" s="185">
        <f>SUM(C25*51)*21</f>
        <v>310590</v>
      </c>
    </row>
    <row r="26" spans="2:10" x14ac:dyDescent="0.2">
      <c r="B26" s="181" t="s">
        <v>672</v>
      </c>
      <c r="C26" s="182">
        <v>113.8</v>
      </c>
      <c r="D26" s="178"/>
      <c r="E26" s="182">
        <f>SUM(C26*C5*C7)</f>
        <v>71694</v>
      </c>
      <c r="F26" s="183">
        <v>226</v>
      </c>
      <c r="G26" s="184">
        <f t="shared" si="0"/>
        <v>61206.87</v>
      </c>
      <c r="H26" s="182">
        <f>ROUND(E26*H40,2)</f>
        <v>10487.13</v>
      </c>
      <c r="J26" s="185"/>
    </row>
    <row r="27" spans="2:10" x14ac:dyDescent="0.2">
      <c r="B27" s="186" t="s">
        <v>673</v>
      </c>
      <c r="C27" s="182">
        <v>53.81</v>
      </c>
      <c r="D27" s="178">
        <v>4.5</v>
      </c>
      <c r="E27" s="182">
        <f>SUM(C5*C7*C27)</f>
        <v>33900.300000000003</v>
      </c>
      <c r="F27" s="183">
        <v>226</v>
      </c>
      <c r="G27" s="184">
        <f t="shared" si="0"/>
        <v>33900.300000000003</v>
      </c>
      <c r="H27" s="184"/>
      <c r="J27" s="185"/>
    </row>
    <row r="28" spans="2:10" x14ac:dyDescent="0.2">
      <c r="B28" s="187" t="s">
        <v>674</v>
      </c>
      <c r="C28" s="182">
        <v>4.1900000000000004</v>
      </c>
      <c r="D28" s="178"/>
      <c r="E28" s="182">
        <f>SUM(C5*C7*C28)</f>
        <v>2639.7000000000003</v>
      </c>
      <c r="F28" s="183">
        <v>222</v>
      </c>
      <c r="G28" s="184">
        <f t="shared" si="0"/>
        <v>2253.5700000000002</v>
      </c>
      <c r="H28" s="182">
        <f>ROUND(E28*H40,2)</f>
        <v>386.13</v>
      </c>
      <c r="J28" s="185"/>
    </row>
    <row r="29" spans="2:10" x14ac:dyDescent="0.2">
      <c r="B29" s="181" t="s">
        <v>675</v>
      </c>
      <c r="C29" s="182">
        <v>14.29</v>
      </c>
      <c r="D29" s="178">
        <v>5</v>
      </c>
      <c r="E29" s="182">
        <f>SUM(C5*C7*C29)</f>
        <v>9002.6999999999989</v>
      </c>
      <c r="F29" s="183">
        <v>226</v>
      </c>
      <c r="G29" s="184">
        <f t="shared" si="0"/>
        <v>7685.8199999999988</v>
      </c>
      <c r="H29" s="182">
        <f>ROUND(E29*H40,2)</f>
        <v>1316.88</v>
      </c>
      <c r="J29" s="185"/>
    </row>
    <row r="30" spans="2:10" x14ac:dyDescent="0.2">
      <c r="B30" s="186" t="s">
        <v>676</v>
      </c>
      <c r="C30" s="182">
        <v>1.4</v>
      </c>
      <c r="D30" s="178"/>
      <c r="E30" s="182">
        <f>SUM(C30*C7*C5)</f>
        <v>882</v>
      </c>
      <c r="F30" s="183">
        <v>226</v>
      </c>
      <c r="G30" s="184">
        <f t="shared" si="0"/>
        <v>752.98</v>
      </c>
      <c r="H30" s="182">
        <f>ROUND(E30*H40,2)</f>
        <v>129.02000000000001</v>
      </c>
      <c r="J30" s="188"/>
    </row>
    <row r="31" spans="2:10" x14ac:dyDescent="0.2">
      <c r="B31" s="189" t="s">
        <v>677</v>
      </c>
      <c r="C31" s="182">
        <v>24.14</v>
      </c>
      <c r="D31" s="190"/>
      <c r="E31" s="182">
        <f>SUM(C31*C7*C5)</f>
        <v>15208.2</v>
      </c>
      <c r="F31" s="191">
        <v>225</v>
      </c>
      <c r="G31" s="184">
        <f t="shared" si="0"/>
        <v>12983.6</v>
      </c>
      <c r="H31" s="182">
        <f>ROUND(E31*H40,2)</f>
        <v>2224.6</v>
      </c>
      <c r="J31" s="188"/>
    </row>
    <row r="32" spans="2:10" x14ac:dyDescent="0.2">
      <c r="B32" s="192" t="s">
        <v>678</v>
      </c>
      <c r="C32" s="182">
        <v>2.9</v>
      </c>
      <c r="D32" s="190"/>
      <c r="E32" s="182">
        <f>SUM(C5*C7*C32)</f>
        <v>1827</v>
      </c>
      <c r="F32" s="191">
        <v>226</v>
      </c>
      <c r="G32" s="184">
        <f t="shared" si="0"/>
        <v>1559.75</v>
      </c>
      <c r="H32" s="182">
        <f>ROUND(E32*H40,2)</f>
        <v>267.25</v>
      </c>
      <c r="J32" s="188"/>
    </row>
    <row r="33" spans="2:11" x14ac:dyDescent="0.2">
      <c r="B33" s="193" t="s">
        <v>679</v>
      </c>
      <c r="C33" s="194">
        <v>29.05</v>
      </c>
      <c r="D33" s="190"/>
      <c r="E33" s="182">
        <f>SUM(C5*C7*C33)</f>
        <v>18301.5</v>
      </c>
      <c r="F33" s="191"/>
      <c r="G33" s="184">
        <f t="shared" si="0"/>
        <v>15624.42</v>
      </c>
      <c r="H33" s="182">
        <f>ROUND(E33*H40,2)</f>
        <v>2677.08</v>
      </c>
      <c r="J33" s="185"/>
    </row>
    <row r="34" spans="2:11" x14ac:dyDescent="0.2">
      <c r="B34" s="195"/>
      <c r="C34" s="190"/>
      <c r="D34" s="190"/>
      <c r="E34" s="196"/>
      <c r="F34" s="197"/>
      <c r="G34" s="198"/>
      <c r="H34" s="198"/>
      <c r="J34" s="185"/>
    </row>
    <row r="35" spans="2:11" ht="14.25" x14ac:dyDescent="0.2">
      <c r="B35" s="199" t="s">
        <v>680</v>
      </c>
      <c r="C35" s="200">
        <f>SUM(C22:C34)</f>
        <v>651.0999999999998</v>
      </c>
      <c r="D35" s="201"/>
      <c r="E35" s="202">
        <f>SUM(E21:E34)</f>
        <v>410193</v>
      </c>
      <c r="F35" s="203"/>
      <c r="G35" s="202">
        <f>SUM(G21:G34)</f>
        <v>336442.99999999994</v>
      </c>
      <c r="H35" s="202">
        <f>SUM(H21:H34)</f>
        <v>73750.000000000015</v>
      </c>
      <c r="J35" s="188"/>
      <c r="K35" s="152"/>
    </row>
    <row r="36" spans="2:11" ht="12" customHeight="1" x14ac:dyDescent="0.2">
      <c r="C36" s="152"/>
    </row>
    <row r="37" spans="2:11" ht="15.75" x14ac:dyDescent="0.25">
      <c r="B37" s="204"/>
      <c r="E37" s="171">
        <f>SUM(E35-E30-E27-E31)-12*21*C25+217060.2</f>
        <v>504182.7</v>
      </c>
      <c r="H37" s="205">
        <f>E15</f>
        <v>73750</v>
      </c>
    </row>
    <row r="38" spans="2:11" ht="15.75" x14ac:dyDescent="0.25">
      <c r="B38" s="204"/>
      <c r="E38" s="152"/>
      <c r="G38" s="206"/>
      <c r="H38" s="206"/>
    </row>
    <row r="39" spans="2:11" ht="13.5" thickBot="1" x14ac:dyDescent="0.25">
      <c r="B39" s="207"/>
    </row>
    <row r="40" spans="2:11" ht="13.5" thickBot="1" x14ac:dyDescent="0.25">
      <c r="H40" s="208">
        <f>ROUND(H37/E37,7)</f>
        <v>0.1462763</v>
      </c>
    </row>
    <row r="43" spans="2:11" ht="14.25" x14ac:dyDescent="0.2">
      <c r="B43" s="209" t="s">
        <v>681</v>
      </c>
      <c r="C43" s="209"/>
      <c r="D43" s="209"/>
      <c r="E43" s="209"/>
      <c r="F43" s="209"/>
      <c r="G43" s="209"/>
      <c r="H43" s="209"/>
      <c r="I43" s="209"/>
      <c r="J43" s="209"/>
    </row>
    <row r="44" spans="2:11" ht="15" x14ac:dyDescent="0.25">
      <c r="B44" s="210"/>
      <c r="C44" s="210"/>
      <c r="D44" s="210"/>
      <c r="E44" s="210"/>
      <c r="F44" s="210"/>
      <c r="G44" s="211"/>
      <c r="H44" s="212">
        <v>0.89</v>
      </c>
      <c r="I44" s="212">
        <v>0.11</v>
      </c>
      <c r="J44" s="210"/>
    </row>
    <row r="45" spans="2:11" ht="14.25" x14ac:dyDescent="0.2">
      <c r="B45" s="2280"/>
      <c r="C45" s="2281" t="s">
        <v>682</v>
      </c>
      <c r="D45" s="2281" t="s">
        <v>683</v>
      </c>
      <c r="E45" s="2281" t="s">
        <v>684</v>
      </c>
      <c r="F45" s="2282" t="s">
        <v>685</v>
      </c>
      <c r="G45" s="2284" t="s">
        <v>686</v>
      </c>
      <c r="H45" s="2277" t="s">
        <v>687</v>
      </c>
      <c r="I45" s="2278"/>
      <c r="J45" s="2279"/>
    </row>
    <row r="46" spans="2:11" ht="15" x14ac:dyDescent="0.2">
      <c r="B46" s="2280"/>
      <c r="C46" s="2281"/>
      <c r="D46" s="2281"/>
      <c r="E46" s="2281"/>
      <c r="F46" s="2283"/>
      <c r="G46" s="2285"/>
      <c r="H46" s="213" t="s">
        <v>688</v>
      </c>
      <c r="I46" s="213" t="s">
        <v>689</v>
      </c>
      <c r="J46" s="213" t="s">
        <v>690</v>
      </c>
    </row>
    <row r="47" spans="2:11" ht="15.75" x14ac:dyDescent="0.25">
      <c r="B47" s="214" t="s">
        <v>651</v>
      </c>
      <c r="C47" s="215">
        <v>5</v>
      </c>
      <c r="D47" s="216">
        <f>C9</f>
        <v>13673.1</v>
      </c>
      <c r="E47" s="217">
        <f>C47*D47</f>
        <v>68365.5</v>
      </c>
      <c r="F47" s="218">
        <v>8917.65</v>
      </c>
      <c r="G47" s="219">
        <f>ROUND(F47*C47,2)</f>
        <v>44588.25</v>
      </c>
      <c r="H47" s="220">
        <f>ROUND(G47/100*89,2)</f>
        <v>39683.54</v>
      </c>
      <c r="I47" s="220">
        <f>G47-H47</f>
        <v>4904.7099999999991</v>
      </c>
      <c r="J47" s="220">
        <f>E47-H47-I47</f>
        <v>23777.25</v>
      </c>
    </row>
    <row r="48" spans="2:11" ht="15" x14ac:dyDescent="0.25">
      <c r="B48" s="210"/>
      <c r="C48" s="210"/>
      <c r="D48" s="210"/>
      <c r="E48" s="210"/>
      <c r="F48" s="210"/>
      <c r="G48" s="211"/>
      <c r="H48" s="210"/>
      <c r="I48" s="210"/>
      <c r="J48" s="210"/>
    </row>
    <row r="49" spans="7:8" x14ac:dyDescent="0.2">
      <c r="G49" s="221">
        <f>G35-E47</f>
        <v>268077.49999999994</v>
      </c>
      <c r="H49" s="221">
        <f>G49+I47+J47</f>
        <v>296759.45999999996</v>
      </c>
    </row>
  </sheetData>
  <mergeCells count="7">
    <mergeCell ref="H45:J45"/>
    <mergeCell ref="B45:B46"/>
    <mergeCell ref="C45:C46"/>
    <mergeCell ref="D45:D46"/>
    <mergeCell ref="E45:E46"/>
    <mergeCell ref="F45:F46"/>
    <mergeCell ref="G45:G4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pageSetUpPr fitToPage="1"/>
  </sheetPr>
  <dimension ref="A1:CH149"/>
  <sheetViews>
    <sheetView view="pageBreakPreview" topLeftCell="A107" zoomScale="60" zoomScaleNormal="100" workbookViewId="0">
      <selection activeCell="CH152" sqref="CH152"/>
    </sheetView>
  </sheetViews>
  <sheetFormatPr defaultColWidth="1.140625" defaultRowHeight="12.75" x14ac:dyDescent="0.2"/>
  <cols>
    <col min="1" max="38" width="1.140625" style="8"/>
    <col min="39" max="39" width="1.5703125" style="8" customWidth="1"/>
    <col min="40" max="74" width="1.140625" style="8"/>
    <col min="75" max="75" width="13.140625" style="8" bestFit="1" customWidth="1"/>
    <col min="76" max="76" width="1.140625" style="8"/>
    <col min="77" max="77" width="3.5703125" style="8" bestFit="1" customWidth="1"/>
    <col min="78" max="80" width="1.140625" style="8"/>
    <col min="81" max="81" width="13.140625" style="8" customWidth="1"/>
    <col min="82" max="82" width="13.85546875" style="8" customWidth="1"/>
    <col min="83" max="83" width="11.5703125" style="8" customWidth="1"/>
    <col min="84" max="84" width="9.140625" style="8" customWidth="1"/>
    <col min="85" max="85" width="11.42578125" style="8" customWidth="1"/>
    <col min="86" max="86" width="16.140625" style="8" customWidth="1"/>
    <col min="87" max="16384" width="1.140625" style="8"/>
  </cols>
  <sheetData>
    <row r="1" spans="1:86" ht="15.75" x14ac:dyDescent="0.25">
      <c r="A1" s="19" t="s">
        <v>700</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7"/>
      <c r="CD2" s="7"/>
      <c r="CE2" s="7"/>
      <c r="CF2" s="7"/>
      <c r="CG2" s="7"/>
      <c r="CH2" s="7"/>
    </row>
    <row r="3" spans="1:86" x14ac:dyDescent="0.2">
      <c r="A3" s="1781" t="s">
        <v>38</v>
      </c>
      <c r="B3" s="1925"/>
      <c r="C3" s="1925"/>
      <c r="D3" s="1782"/>
      <c r="E3" s="1818" t="s">
        <v>4</v>
      </c>
      <c r="F3" s="1819"/>
      <c r="G3" s="1819"/>
      <c r="H3" s="1819"/>
      <c r="I3" s="1819"/>
      <c r="J3" s="1819"/>
      <c r="K3" s="1819"/>
      <c r="L3" s="1819"/>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20"/>
      <c r="AN3" s="1781" t="s">
        <v>139</v>
      </c>
      <c r="AO3" s="1925"/>
      <c r="AP3" s="1925"/>
      <c r="AQ3" s="1925"/>
      <c r="AR3" s="1925"/>
      <c r="AS3" s="1925"/>
      <c r="AT3" s="1925"/>
      <c r="AU3" s="1925"/>
      <c r="AV3" s="1925"/>
      <c r="AW3" s="1925"/>
      <c r="AX3" s="1925"/>
      <c r="AY3" s="1925"/>
      <c r="AZ3" s="1925"/>
      <c r="BA3" s="1925"/>
      <c r="BB3" s="1925"/>
      <c r="BC3" s="1782"/>
      <c r="BD3" s="1781" t="s">
        <v>140</v>
      </c>
      <c r="BE3" s="1925"/>
      <c r="BF3" s="1925"/>
      <c r="BG3" s="1925"/>
      <c r="BH3" s="1925"/>
      <c r="BI3" s="1925"/>
      <c r="BJ3" s="1925"/>
      <c r="BK3" s="1925"/>
      <c r="BL3" s="1925"/>
      <c r="BM3" s="1782"/>
      <c r="BN3" s="1781" t="s">
        <v>624</v>
      </c>
      <c r="BO3" s="1925"/>
      <c r="BP3" s="1925"/>
      <c r="BQ3" s="1925"/>
      <c r="BR3" s="1925"/>
      <c r="BS3" s="1925"/>
      <c r="BT3" s="1925"/>
      <c r="BU3" s="1925"/>
      <c r="BV3" s="1925"/>
      <c r="BW3" s="1925"/>
      <c r="BX3" s="1925"/>
      <c r="BY3" s="1925"/>
      <c r="BZ3" s="1925"/>
      <c r="CA3" s="1925"/>
      <c r="CB3" s="1782"/>
      <c r="CC3" s="1806" t="s">
        <v>52</v>
      </c>
      <c r="CD3" s="1806"/>
      <c r="CE3" s="1806"/>
      <c r="CF3" s="1806"/>
      <c r="CG3" s="1806"/>
      <c r="CH3" s="1806"/>
    </row>
    <row r="4" spans="1:86" x14ac:dyDescent="0.2">
      <c r="A4" s="1783"/>
      <c r="B4" s="1926"/>
      <c r="C4" s="1926"/>
      <c r="D4" s="1784"/>
      <c r="E4" s="1807"/>
      <c r="F4" s="1808"/>
      <c r="G4" s="1808"/>
      <c r="H4" s="1808"/>
      <c r="I4" s="1808"/>
      <c r="J4" s="1808"/>
      <c r="K4" s="1808"/>
      <c r="L4" s="1808"/>
      <c r="M4" s="1808"/>
      <c r="N4" s="1808"/>
      <c r="O4" s="1808"/>
      <c r="P4" s="1808"/>
      <c r="Q4" s="1808"/>
      <c r="R4" s="1808"/>
      <c r="S4" s="1808"/>
      <c r="T4" s="1808"/>
      <c r="U4" s="1808"/>
      <c r="V4" s="1808"/>
      <c r="W4" s="1808"/>
      <c r="X4" s="1808"/>
      <c r="Y4" s="1808"/>
      <c r="Z4" s="1808"/>
      <c r="AA4" s="1808"/>
      <c r="AB4" s="1808"/>
      <c r="AC4" s="1808"/>
      <c r="AD4" s="1808"/>
      <c r="AE4" s="1808"/>
      <c r="AF4" s="1808"/>
      <c r="AG4" s="1808"/>
      <c r="AH4" s="1808"/>
      <c r="AI4" s="1808"/>
      <c r="AJ4" s="1808"/>
      <c r="AK4" s="1808"/>
      <c r="AL4" s="1808"/>
      <c r="AM4" s="1809"/>
      <c r="AN4" s="1783"/>
      <c r="AO4" s="1926"/>
      <c r="AP4" s="1926"/>
      <c r="AQ4" s="1926"/>
      <c r="AR4" s="1926"/>
      <c r="AS4" s="1926"/>
      <c r="AT4" s="1926"/>
      <c r="AU4" s="1926"/>
      <c r="AV4" s="1926"/>
      <c r="AW4" s="1926"/>
      <c r="AX4" s="1926"/>
      <c r="AY4" s="1926"/>
      <c r="AZ4" s="1926"/>
      <c r="BA4" s="1926"/>
      <c r="BB4" s="1926"/>
      <c r="BC4" s="1784"/>
      <c r="BD4" s="1783"/>
      <c r="BE4" s="1926"/>
      <c r="BF4" s="1926"/>
      <c r="BG4" s="1926"/>
      <c r="BH4" s="1926"/>
      <c r="BI4" s="1926"/>
      <c r="BJ4" s="1926"/>
      <c r="BK4" s="1926"/>
      <c r="BL4" s="1926"/>
      <c r="BM4" s="1784"/>
      <c r="BN4" s="1783"/>
      <c r="BO4" s="1926"/>
      <c r="BP4" s="1926"/>
      <c r="BQ4" s="1926"/>
      <c r="BR4" s="1926"/>
      <c r="BS4" s="1926"/>
      <c r="BT4" s="1926"/>
      <c r="BU4" s="1926"/>
      <c r="BV4" s="1926"/>
      <c r="BW4" s="1926"/>
      <c r="BX4" s="1926"/>
      <c r="BY4" s="1926"/>
      <c r="BZ4" s="1926"/>
      <c r="CA4" s="1926"/>
      <c r="CB4" s="1784"/>
      <c r="CC4" s="1810" t="s">
        <v>35</v>
      </c>
      <c r="CD4" s="1810"/>
      <c r="CE4" s="1788" t="s">
        <v>45</v>
      </c>
      <c r="CF4" s="1790"/>
      <c r="CG4" s="1789"/>
      <c r="CH4" s="1778" t="s">
        <v>46</v>
      </c>
    </row>
    <row r="5" spans="1:86" x14ac:dyDescent="0.2">
      <c r="A5" s="1783"/>
      <c r="B5" s="1926"/>
      <c r="C5" s="1926"/>
      <c r="D5" s="1784"/>
      <c r="E5" s="1807"/>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8"/>
      <c r="AJ5" s="1808"/>
      <c r="AK5" s="1808"/>
      <c r="AL5" s="1808"/>
      <c r="AM5" s="1809"/>
      <c r="AN5" s="1783"/>
      <c r="AO5" s="1926"/>
      <c r="AP5" s="1926"/>
      <c r="AQ5" s="1926"/>
      <c r="AR5" s="1926"/>
      <c r="AS5" s="1926"/>
      <c r="AT5" s="1926"/>
      <c r="AU5" s="1926"/>
      <c r="AV5" s="1926"/>
      <c r="AW5" s="1926"/>
      <c r="AX5" s="1926"/>
      <c r="AY5" s="1926"/>
      <c r="AZ5" s="1926"/>
      <c r="BA5" s="1926"/>
      <c r="BB5" s="1926"/>
      <c r="BC5" s="1784"/>
      <c r="BD5" s="1783"/>
      <c r="BE5" s="1926"/>
      <c r="BF5" s="1926"/>
      <c r="BG5" s="1926"/>
      <c r="BH5" s="1926"/>
      <c r="BI5" s="1926"/>
      <c r="BJ5" s="1926"/>
      <c r="BK5" s="1926"/>
      <c r="BL5" s="1926"/>
      <c r="BM5" s="1784"/>
      <c r="BN5" s="1783"/>
      <c r="BO5" s="1926"/>
      <c r="BP5" s="1926"/>
      <c r="BQ5" s="1926"/>
      <c r="BR5" s="1926"/>
      <c r="BS5" s="1926"/>
      <c r="BT5" s="1926"/>
      <c r="BU5" s="1926"/>
      <c r="BV5" s="1926"/>
      <c r="BW5" s="1926"/>
      <c r="BX5" s="1926"/>
      <c r="BY5" s="1926"/>
      <c r="BZ5" s="1926"/>
      <c r="CA5" s="1926"/>
      <c r="CB5" s="1784"/>
      <c r="CC5" s="1811" t="s">
        <v>43</v>
      </c>
      <c r="CD5" s="1811" t="s">
        <v>44</v>
      </c>
      <c r="CE5" s="1812" t="s">
        <v>55</v>
      </c>
      <c r="CF5" s="1811" t="s">
        <v>43</v>
      </c>
      <c r="CG5" s="1811" t="s">
        <v>44</v>
      </c>
      <c r="CH5" s="1779"/>
    </row>
    <row r="6" spans="1:86" x14ac:dyDescent="0.2">
      <c r="A6" s="1785"/>
      <c r="B6" s="1927"/>
      <c r="C6" s="1927"/>
      <c r="D6" s="1786"/>
      <c r="E6" s="1814"/>
      <c r="F6" s="1815"/>
      <c r="G6" s="1815"/>
      <c r="H6" s="1815"/>
      <c r="I6" s="1815"/>
      <c r="J6" s="1815"/>
      <c r="K6" s="1815"/>
      <c r="L6" s="1815"/>
      <c r="M6" s="1815"/>
      <c r="N6" s="1815"/>
      <c r="O6" s="1815"/>
      <c r="P6" s="1815"/>
      <c r="Q6" s="1815"/>
      <c r="R6" s="1815"/>
      <c r="S6" s="1815"/>
      <c r="T6" s="1815"/>
      <c r="U6" s="1815"/>
      <c r="V6" s="1815"/>
      <c r="W6" s="1815"/>
      <c r="X6" s="1815"/>
      <c r="Y6" s="1815"/>
      <c r="Z6" s="1815"/>
      <c r="AA6" s="1815"/>
      <c r="AB6" s="1815"/>
      <c r="AC6" s="1815"/>
      <c r="AD6" s="1815"/>
      <c r="AE6" s="1815"/>
      <c r="AF6" s="1815"/>
      <c r="AG6" s="1815"/>
      <c r="AH6" s="1815"/>
      <c r="AI6" s="1815"/>
      <c r="AJ6" s="1815"/>
      <c r="AK6" s="1815"/>
      <c r="AL6" s="1815"/>
      <c r="AM6" s="1816"/>
      <c r="AN6" s="1785"/>
      <c r="AO6" s="1927"/>
      <c r="AP6" s="1927"/>
      <c r="AQ6" s="1927"/>
      <c r="AR6" s="1927"/>
      <c r="AS6" s="1927"/>
      <c r="AT6" s="1927"/>
      <c r="AU6" s="1927"/>
      <c r="AV6" s="1927"/>
      <c r="AW6" s="1927"/>
      <c r="AX6" s="1927"/>
      <c r="AY6" s="1927"/>
      <c r="AZ6" s="1927"/>
      <c r="BA6" s="1927"/>
      <c r="BB6" s="1927"/>
      <c r="BC6" s="1786"/>
      <c r="BD6" s="1785"/>
      <c r="BE6" s="1927"/>
      <c r="BF6" s="1927"/>
      <c r="BG6" s="1927"/>
      <c r="BH6" s="1927"/>
      <c r="BI6" s="1927"/>
      <c r="BJ6" s="1927"/>
      <c r="BK6" s="1927"/>
      <c r="BL6" s="1927"/>
      <c r="BM6" s="1786"/>
      <c r="BN6" s="1785"/>
      <c r="BO6" s="1927"/>
      <c r="BP6" s="1927"/>
      <c r="BQ6" s="1927"/>
      <c r="BR6" s="1927"/>
      <c r="BS6" s="1927"/>
      <c r="BT6" s="1927"/>
      <c r="BU6" s="1927"/>
      <c r="BV6" s="1927"/>
      <c r="BW6" s="1927"/>
      <c r="BX6" s="1927"/>
      <c r="BY6" s="1927"/>
      <c r="BZ6" s="1927"/>
      <c r="CA6" s="1927"/>
      <c r="CB6" s="1786"/>
      <c r="CC6" s="1811"/>
      <c r="CD6" s="1811"/>
      <c r="CE6" s="1813"/>
      <c r="CF6" s="1811"/>
      <c r="CG6" s="1811"/>
      <c r="CH6" s="1780"/>
    </row>
    <row r="7" spans="1:86" x14ac:dyDescent="0.2">
      <c r="A7" s="1830">
        <v>1</v>
      </c>
      <c r="B7" s="1830"/>
      <c r="C7" s="1830"/>
      <c r="D7" s="1830"/>
      <c r="E7" s="1830">
        <v>2</v>
      </c>
      <c r="F7" s="1830"/>
      <c r="G7" s="1830"/>
      <c r="H7" s="1830"/>
      <c r="I7" s="1830"/>
      <c r="J7" s="1830"/>
      <c r="K7" s="1830"/>
      <c r="L7" s="1830"/>
      <c r="M7" s="1830"/>
      <c r="N7" s="1830"/>
      <c r="O7" s="1830"/>
      <c r="P7" s="1830"/>
      <c r="Q7" s="1830"/>
      <c r="R7" s="1830"/>
      <c r="S7" s="1830"/>
      <c r="T7" s="1830"/>
      <c r="U7" s="1830"/>
      <c r="V7" s="1830"/>
      <c r="W7" s="1830"/>
      <c r="X7" s="1830"/>
      <c r="Y7" s="1830"/>
      <c r="Z7" s="1830"/>
      <c r="AA7" s="1830"/>
      <c r="AB7" s="1830"/>
      <c r="AC7" s="1830"/>
      <c r="AD7" s="1830"/>
      <c r="AE7" s="1830"/>
      <c r="AF7" s="1830"/>
      <c r="AG7" s="1830"/>
      <c r="AH7" s="1830"/>
      <c r="AI7" s="1830"/>
      <c r="AJ7" s="1830"/>
      <c r="AK7" s="1830"/>
      <c r="AL7" s="1830"/>
      <c r="AM7" s="1830"/>
      <c r="AN7" s="1830">
        <v>3</v>
      </c>
      <c r="AO7" s="1830"/>
      <c r="AP7" s="1830"/>
      <c r="AQ7" s="1830"/>
      <c r="AR7" s="1830"/>
      <c r="AS7" s="1830"/>
      <c r="AT7" s="1830"/>
      <c r="AU7" s="1830"/>
      <c r="AV7" s="1830"/>
      <c r="AW7" s="1830"/>
      <c r="AX7" s="1830"/>
      <c r="AY7" s="1830"/>
      <c r="AZ7" s="1830"/>
      <c r="BA7" s="1830"/>
      <c r="BB7" s="1830"/>
      <c r="BC7" s="1830"/>
      <c r="BD7" s="1830">
        <v>4</v>
      </c>
      <c r="BE7" s="1830"/>
      <c r="BF7" s="1830"/>
      <c r="BG7" s="1830"/>
      <c r="BH7" s="1830"/>
      <c r="BI7" s="1830"/>
      <c r="BJ7" s="1830"/>
      <c r="BK7" s="1830"/>
      <c r="BL7" s="1830"/>
      <c r="BM7" s="1830"/>
      <c r="BN7" s="1830" t="s">
        <v>49</v>
      </c>
      <c r="BO7" s="1830"/>
      <c r="BP7" s="1830"/>
      <c r="BQ7" s="1830"/>
      <c r="BR7" s="1830"/>
      <c r="BS7" s="1830"/>
      <c r="BT7" s="1830"/>
      <c r="BU7" s="1830"/>
      <c r="BV7" s="1830"/>
      <c r="BW7" s="1830"/>
      <c r="BX7" s="1830"/>
      <c r="BY7" s="1830"/>
      <c r="BZ7" s="1830"/>
      <c r="CA7" s="1830"/>
      <c r="CB7" s="1830"/>
      <c r="CC7" s="15">
        <v>6</v>
      </c>
      <c r="CD7" s="15">
        <v>7</v>
      </c>
      <c r="CE7" s="15">
        <v>8</v>
      </c>
      <c r="CF7" s="15">
        <v>9</v>
      </c>
      <c r="CG7" s="15">
        <v>10</v>
      </c>
      <c r="CH7" s="15">
        <v>11</v>
      </c>
    </row>
    <row r="8" spans="1:86" s="234" customFormat="1" ht="39.75" customHeight="1" x14ac:dyDescent="0.2">
      <c r="A8" s="1810">
        <v>1</v>
      </c>
      <c r="B8" s="1810"/>
      <c r="C8" s="1810"/>
      <c r="D8" s="1810"/>
      <c r="E8" s="2082" t="s">
        <v>702</v>
      </c>
      <c r="F8" s="2082"/>
      <c r="G8" s="2082"/>
      <c r="H8" s="2082"/>
      <c r="I8" s="2082"/>
      <c r="J8" s="2082"/>
      <c r="K8" s="2082"/>
      <c r="L8" s="2082"/>
      <c r="M8" s="2082"/>
      <c r="N8" s="2082"/>
      <c r="O8" s="2082"/>
      <c r="P8" s="2082"/>
      <c r="Q8" s="2082"/>
      <c r="R8" s="2082"/>
      <c r="S8" s="2082"/>
      <c r="T8" s="2082"/>
      <c r="U8" s="2082"/>
      <c r="V8" s="2082"/>
      <c r="W8" s="2082"/>
      <c r="X8" s="2082"/>
      <c r="Y8" s="2082"/>
      <c r="Z8" s="2082"/>
      <c r="AA8" s="2082"/>
      <c r="AB8" s="2082"/>
      <c r="AC8" s="2082"/>
      <c r="AD8" s="2082"/>
      <c r="AE8" s="2082"/>
      <c r="AF8" s="2082"/>
      <c r="AG8" s="2082"/>
      <c r="AH8" s="2082"/>
      <c r="AI8" s="2082"/>
      <c r="AJ8" s="2082"/>
      <c r="AK8" s="2082"/>
      <c r="AL8" s="2082"/>
      <c r="AM8" s="2082"/>
      <c r="AN8" s="2091">
        <f>BN8</f>
        <v>2373.89</v>
      </c>
      <c r="AO8" s="2091"/>
      <c r="AP8" s="2091"/>
      <c r="AQ8" s="2091"/>
      <c r="AR8" s="2091"/>
      <c r="AS8" s="2091"/>
      <c r="AT8" s="2091"/>
      <c r="AU8" s="2091"/>
      <c r="AV8" s="2091"/>
      <c r="AW8" s="2091"/>
      <c r="AX8" s="2091"/>
      <c r="AY8" s="2091"/>
      <c r="AZ8" s="2091"/>
      <c r="BA8" s="2091"/>
      <c r="BB8" s="2091"/>
      <c r="BC8" s="2091"/>
      <c r="BD8" s="1810">
        <v>1</v>
      </c>
      <c r="BE8" s="1810"/>
      <c r="BF8" s="1810"/>
      <c r="BG8" s="1810"/>
      <c r="BH8" s="1810"/>
      <c r="BI8" s="1810"/>
      <c r="BJ8" s="1810"/>
      <c r="BK8" s="1810"/>
      <c r="BL8" s="1810"/>
      <c r="BM8" s="1810"/>
      <c r="BN8" s="2091">
        <f>CD8+CH8+CC8</f>
        <v>2373.89</v>
      </c>
      <c r="BO8" s="2091"/>
      <c r="BP8" s="2091"/>
      <c r="BQ8" s="2091"/>
      <c r="BR8" s="2091"/>
      <c r="BS8" s="2091"/>
      <c r="BT8" s="2091"/>
      <c r="BU8" s="2091"/>
      <c r="BV8" s="2091"/>
      <c r="BW8" s="2091"/>
      <c r="BX8" s="2091"/>
      <c r="BY8" s="2091"/>
      <c r="BZ8" s="2091"/>
      <c r="CA8" s="2091"/>
      <c r="CB8" s="2091"/>
      <c r="CC8" s="233"/>
      <c r="CD8" s="233">
        <v>1987.76</v>
      </c>
      <c r="CE8" s="233"/>
      <c r="CF8" s="233"/>
      <c r="CG8" s="233"/>
      <c r="CH8" s="233">
        <v>386.13</v>
      </c>
    </row>
    <row r="9" spans="1:86" s="234" customFormat="1" hidden="1" x14ac:dyDescent="0.2">
      <c r="A9" s="1810">
        <v>19</v>
      </c>
      <c r="B9" s="1810"/>
      <c r="C9" s="1810"/>
      <c r="D9" s="1810"/>
      <c r="E9" s="2082"/>
      <c r="F9" s="2082"/>
      <c r="G9" s="2082"/>
      <c r="H9" s="2082"/>
      <c r="I9" s="2082"/>
      <c r="J9" s="2082"/>
      <c r="K9" s="2082"/>
      <c r="L9" s="2082"/>
      <c r="M9" s="2082"/>
      <c r="N9" s="2082"/>
      <c r="O9" s="2082"/>
      <c r="P9" s="2082"/>
      <c r="Q9" s="2082"/>
      <c r="R9" s="2082"/>
      <c r="S9" s="2082"/>
      <c r="T9" s="2082"/>
      <c r="U9" s="2082"/>
      <c r="V9" s="2082"/>
      <c r="W9" s="2082"/>
      <c r="X9" s="2082"/>
      <c r="Y9" s="2082"/>
      <c r="Z9" s="2082"/>
      <c r="AA9" s="2082"/>
      <c r="AB9" s="2082"/>
      <c r="AC9" s="2082"/>
      <c r="AD9" s="2082"/>
      <c r="AE9" s="2082"/>
      <c r="AF9" s="2082"/>
      <c r="AG9" s="2082"/>
      <c r="AH9" s="2082"/>
      <c r="AI9" s="2082"/>
      <c r="AJ9" s="2082"/>
      <c r="AK9" s="2082"/>
      <c r="AL9" s="2082"/>
      <c r="AM9" s="2082"/>
      <c r="AN9" s="2091"/>
      <c r="AO9" s="2091"/>
      <c r="AP9" s="2091"/>
      <c r="AQ9" s="2091"/>
      <c r="AR9" s="2091"/>
      <c r="AS9" s="2091"/>
      <c r="AT9" s="2091"/>
      <c r="AU9" s="2091"/>
      <c r="AV9" s="2091"/>
      <c r="AW9" s="2091"/>
      <c r="AX9" s="2091"/>
      <c r="AY9" s="2091"/>
      <c r="AZ9" s="2091"/>
      <c r="BA9" s="2091"/>
      <c r="BB9" s="2091"/>
      <c r="BC9" s="2091"/>
      <c r="BD9" s="1810"/>
      <c r="BE9" s="1810"/>
      <c r="BF9" s="1810"/>
      <c r="BG9" s="1810"/>
      <c r="BH9" s="1810"/>
      <c r="BI9" s="1810"/>
      <c r="BJ9" s="1810"/>
      <c r="BK9" s="1810"/>
      <c r="BL9" s="1810"/>
      <c r="BM9" s="1810"/>
      <c r="BN9" s="2091">
        <f t="shared" ref="BN9:BN22" si="0">ROUND(AN9*BD9,2)</f>
        <v>0</v>
      </c>
      <c r="BO9" s="2091"/>
      <c r="BP9" s="2091"/>
      <c r="BQ9" s="2091"/>
      <c r="BR9" s="2091"/>
      <c r="BS9" s="2091"/>
      <c r="BT9" s="2091"/>
      <c r="BU9" s="2091"/>
      <c r="BV9" s="2091"/>
      <c r="BW9" s="2091"/>
      <c r="BX9" s="2091"/>
      <c r="BY9" s="2091"/>
      <c r="BZ9" s="2091"/>
      <c r="CA9" s="2091"/>
      <c r="CB9" s="2091"/>
      <c r="CC9" s="233"/>
      <c r="CD9" s="233">
        <f t="shared" ref="CD9:CD22" si="1">BN9</f>
        <v>0</v>
      </c>
      <c r="CE9" s="233"/>
      <c r="CF9" s="233"/>
      <c r="CG9" s="233"/>
      <c r="CH9" s="233"/>
    </row>
    <row r="10" spans="1:86" s="234" customFormat="1" hidden="1" x14ac:dyDescent="0.2">
      <c r="A10" s="1810">
        <v>20</v>
      </c>
      <c r="B10" s="1810"/>
      <c r="C10" s="1810"/>
      <c r="D10" s="1810"/>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c r="AM10" s="2082"/>
      <c r="AN10" s="2091"/>
      <c r="AO10" s="2091"/>
      <c r="AP10" s="2091"/>
      <c r="AQ10" s="2091"/>
      <c r="AR10" s="2091"/>
      <c r="AS10" s="2091"/>
      <c r="AT10" s="2091"/>
      <c r="AU10" s="2091"/>
      <c r="AV10" s="2091"/>
      <c r="AW10" s="2091"/>
      <c r="AX10" s="2091"/>
      <c r="AY10" s="2091"/>
      <c r="AZ10" s="2091"/>
      <c r="BA10" s="2091"/>
      <c r="BB10" s="2091"/>
      <c r="BC10" s="2091"/>
      <c r="BD10" s="1810"/>
      <c r="BE10" s="1810"/>
      <c r="BF10" s="1810"/>
      <c r="BG10" s="1810"/>
      <c r="BH10" s="1810"/>
      <c r="BI10" s="1810"/>
      <c r="BJ10" s="1810"/>
      <c r="BK10" s="1810"/>
      <c r="BL10" s="1810"/>
      <c r="BM10" s="1810"/>
      <c r="BN10" s="2091">
        <f t="shared" si="0"/>
        <v>0</v>
      </c>
      <c r="BO10" s="2091"/>
      <c r="BP10" s="2091"/>
      <c r="BQ10" s="2091"/>
      <c r="BR10" s="2091"/>
      <c r="BS10" s="2091"/>
      <c r="BT10" s="2091"/>
      <c r="BU10" s="2091"/>
      <c r="BV10" s="2091"/>
      <c r="BW10" s="2091"/>
      <c r="BX10" s="2091"/>
      <c r="BY10" s="2091"/>
      <c r="BZ10" s="2091"/>
      <c r="CA10" s="2091"/>
      <c r="CB10" s="2091"/>
      <c r="CC10" s="233"/>
      <c r="CD10" s="233">
        <f t="shared" si="1"/>
        <v>0</v>
      </c>
      <c r="CE10" s="233"/>
      <c r="CF10" s="233"/>
      <c r="CG10" s="233"/>
      <c r="CH10" s="233"/>
    </row>
    <row r="11" spans="1:86" s="234" customFormat="1" hidden="1" x14ac:dyDescent="0.2">
      <c r="A11" s="1810">
        <v>21</v>
      </c>
      <c r="B11" s="1810"/>
      <c r="C11" s="1810"/>
      <c r="D11" s="1810"/>
      <c r="E11" s="2082"/>
      <c r="F11" s="2082"/>
      <c r="G11" s="2082"/>
      <c r="H11" s="2082"/>
      <c r="I11" s="2082"/>
      <c r="J11" s="2082"/>
      <c r="K11" s="2082"/>
      <c r="L11" s="2082"/>
      <c r="M11" s="2082"/>
      <c r="N11" s="2082"/>
      <c r="O11" s="2082"/>
      <c r="P11" s="2082"/>
      <c r="Q11" s="2082"/>
      <c r="R11" s="2082"/>
      <c r="S11" s="2082"/>
      <c r="T11" s="2082"/>
      <c r="U11" s="2082"/>
      <c r="V11" s="2082"/>
      <c r="W11" s="2082"/>
      <c r="X11" s="2082"/>
      <c r="Y11" s="2082"/>
      <c r="Z11" s="2082"/>
      <c r="AA11" s="2082"/>
      <c r="AB11" s="2082"/>
      <c r="AC11" s="2082"/>
      <c r="AD11" s="2082"/>
      <c r="AE11" s="2082"/>
      <c r="AF11" s="2082"/>
      <c r="AG11" s="2082"/>
      <c r="AH11" s="2082"/>
      <c r="AI11" s="2082"/>
      <c r="AJ11" s="2082"/>
      <c r="AK11" s="2082"/>
      <c r="AL11" s="2082"/>
      <c r="AM11" s="2082"/>
      <c r="AN11" s="2091"/>
      <c r="AO11" s="2091"/>
      <c r="AP11" s="2091"/>
      <c r="AQ11" s="2091"/>
      <c r="AR11" s="2091"/>
      <c r="AS11" s="2091"/>
      <c r="AT11" s="2091"/>
      <c r="AU11" s="2091"/>
      <c r="AV11" s="2091"/>
      <c r="AW11" s="2091"/>
      <c r="AX11" s="2091"/>
      <c r="AY11" s="2091"/>
      <c r="AZ11" s="2091"/>
      <c r="BA11" s="2091"/>
      <c r="BB11" s="2091"/>
      <c r="BC11" s="2091"/>
      <c r="BD11" s="1810"/>
      <c r="BE11" s="1810"/>
      <c r="BF11" s="1810"/>
      <c r="BG11" s="1810"/>
      <c r="BH11" s="1810"/>
      <c r="BI11" s="1810"/>
      <c r="BJ11" s="1810"/>
      <c r="BK11" s="1810"/>
      <c r="BL11" s="1810"/>
      <c r="BM11" s="1810"/>
      <c r="BN11" s="2091">
        <f t="shared" si="0"/>
        <v>0</v>
      </c>
      <c r="BO11" s="2091"/>
      <c r="BP11" s="2091"/>
      <c r="BQ11" s="2091"/>
      <c r="BR11" s="2091"/>
      <c r="BS11" s="2091"/>
      <c r="BT11" s="2091"/>
      <c r="BU11" s="2091"/>
      <c r="BV11" s="2091"/>
      <c r="BW11" s="2091"/>
      <c r="BX11" s="2091"/>
      <c r="BY11" s="2091"/>
      <c r="BZ11" s="2091"/>
      <c r="CA11" s="2091"/>
      <c r="CB11" s="2091"/>
      <c r="CC11" s="233"/>
      <c r="CD11" s="233">
        <f t="shared" si="1"/>
        <v>0</v>
      </c>
      <c r="CE11" s="233"/>
      <c r="CF11" s="233"/>
      <c r="CG11" s="233"/>
      <c r="CH11" s="233"/>
    </row>
    <row r="12" spans="1:86" s="234" customFormat="1" hidden="1" x14ac:dyDescent="0.2">
      <c r="A12" s="1810">
        <v>22</v>
      </c>
      <c r="B12" s="1810"/>
      <c r="C12" s="1810"/>
      <c r="D12" s="1810"/>
      <c r="E12" s="2082"/>
      <c r="F12" s="2082"/>
      <c r="G12" s="2082"/>
      <c r="H12" s="2082"/>
      <c r="I12" s="2082"/>
      <c r="J12" s="2082"/>
      <c r="K12" s="2082"/>
      <c r="L12" s="2082"/>
      <c r="M12" s="2082"/>
      <c r="N12" s="2082"/>
      <c r="O12" s="2082"/>
      <c r="P12" s="2082"/>
      <c r="Q12" s="2082"/>
      <c r="R12" s="2082"/>
      <c r="S12" s="2082"/>
      <c r="T12" s="2082"/>
      <c r="U12" s="2082"/>
      <c r="V12" s="2082"/>
      <c r="W12" s="2082"/>
      <c r="X12" s="2082"/>
      <c r="Y12" s="2082"/>
      <c r="Z12" s="2082"/>
      <c r="AA12" s="2082"/>
      <c r="AB12" s="2082"/>
      <c r="AC12" s="2082"/>
      <c r="AD12" s="2082"/>
      <c r="AE12" s="2082"/>
      <c r="AF12" s="2082"/>
      <c r="AG12" s="2082"/>
      <c r="AH12" s="2082"/>
      <c r="AI12" s="2082"/>
      <c r="AJ12" s="2082"/>
      <c r="AK12" s="2082"/>
      <c r="AL12" s="2082"/>
      <c r="AM12" s="2082"/>
      <c r="AN12" s="2091"/>
      <c r="AO12" s="2091"/>
      <c r="AP12" s="2091"/>
      <c r="AQ12" s="2091"/>
      <c r="AR12" s="2091"/>
      <c r="AS12" s="2091"/>
      <c r="AT12" s="2091"/>
      <c r="AU12" s="2091"/>
      <c r="AV12" s="2091"/>
      <c r="AW12" s="2091"/>
      <c r="AX12" s="2091"/>
      <c r="AY12" s="2091"/>
      <c r="AZ12" s="2091"/>
      <c r="BA12" s="2091"/>
      <c r="BB12" s="2091"/>
      <c r="BC12" s="2091"/>
      <c r="BD12" s="1810"/>
      <c r="BE12" s="1810"/>
      <c r="BF12" s="1810"/>
      <c r="BG12" s="1810"/>
      <c r="BH12" s="1810"/>
      <c r="BI12" s="1810"/>
      <c r="BJ12" s="1810"/>
      <c r="BK12" s="1810"/>
      <c r="BL12" s="1810"/>
      <c r="BM12" s="1810"/>
      <c r="BN12" s="2091">
        <f t="shared" si="0"/>
        <v>0</v>
      </c>
      <c r="BO12" s="2091"/>
      <c r="BP12" s="2091"/>
      <c r="BQ12" s="2091"/>
      <c r="BR12" s="2091"/>
      <c r="BS12" s="2091"/>
      <c r="BT12" s="2091"/>
      <c r="BU12" s="2091"/>
      <c r="BV12" s="2091"/>
      <c r="BW12" s="2091"/>
      <c r="BX12" s="2091"/>
      <c r="BY12" s="2091"/>
      <c r="BZ12" s="2091"/>
      <c r="CA12" s="2091"/>
      <c r="CB12" s="2091"/>
      <c r="CC12" s="233"/>
      <c r="CD12" s="233">
        <f t="shared" si="1"/>
        <v>0</v>
      </c>
      <c r="CE12" s="233"/>
      <c r="CF12" s="233"/>
      <c r="CG12" s="233"/>
      <c r="CH12" s="233"/>
    </row>
    <row r="13" spans="1:86" s="234" customFormat="1" hidden="1" x14ac:dyDescent="0.2">
      <c r="A13" s="1810">
        <v>23</v>
      </c>
      <c r="B13" s="1810"/>
      <c r="C13" s="1810"/>
      <c r="D13" s="1810"/>
      <c r="E13" s="2082"/>
      <c r="F13" s="2082"/>
      <c r="G13" s="2082"/>
      <c r="H13" s="2082"/>
      <c r="I13" s="2082"/>
      <c r="J13" s="2082"/>
      <c r="K13" s="2082"/>
      <c r="L13" s="2082"/>
      <c r="M13" s="2082"/>
      <c r="N13" s="2082"/>
      <c r="O13" s="2082"/>
      <c r="P13" s="2082"/>
      <c r="Q13" s="2082"/>
      <c r="R13" s="2082"/>
      <c r="S13" s="2082"/>
      <c r="T13" s="2082"/>
      <c r="U13" s="2082"/>
      <c r="V13" s="2082"/>
      <c r="W13" s="2082"/>
      <c r="X13" s="2082"/>
      <c r="Y13" s="2082"/>
      <c r="Z13" s="2082"/>
      <c r="AA13" s="2082"/>
      <c r="AB13" s="2082"/>
      <c r="AC13" s="2082"/>
      <c r="AD13" s="2082"/>
      <c r="AE13" s="2082"/>
      <c r="AF13" s="2082"/>
      <c r="AG13" s="2082"/>
      <c r="AH13" s="2082"/>
      <c r="AI13" s="2082"/>
      <c r="AJ13" s="2082"/>
      <c r="AK13" s="2082"/>
      <c r="AL13" s="2082"/>
      <c r="AM13" s="2082"/>
      <c r="AN13" s="2091"/>
      <c r="AO13" s="2091"/>
      <c r="AP13" s="2091"/>
      <c r="AQ13" s="2091"/>
      <c r="AR13" s="2091"/>
      <c r="AS13" s="2091"/>
      <c r="AT13" s="2091"/>
      <c r="AU13" s="2091"/>
      <c r="AV13" s="2091"/>
      <c r="AW13" s="2091"/>
      <c r="AX13" s="2091"/>
      <c r="AY13" s="2091"/>
      <c r="AZ13" s="2091"/>
      <c r="BA13" s="2091"/>
      <c r="BB13" s="2091"/>
      <c r="BC13" s="2091"/>
      <c r="BD13" s="1810"/>
      <c r="BE13" s="1810"/>
      <c r="BF13" s="1810"/>
      <c r="BG13" s="1810"/>
      <c r="BH13" s="1810"/>
      <c r="BI13" s="1810"/>
      <c r="BJ13" s="1810"/>
      <c r="BK13" s="1810"/>
      <c r="BL13" s="1810"/>
      <c r="BM13" s="1810"/>
      <c r="BN13" s="2091">
        <f t="shared" si="0"/>
        <v>0</v>
      </c>
      <c r="BO13" s="2091"/>
      <c r="BP13" s="2091"/>
      <c r="BQ13" s="2091"/>
      <c r="BR13" s="2091"/>
      <c r="BS13" s="2091"/>
      <c r="BT13" s="2091"/>
      <c r="BU13" s="2091"/>
      <c r="BV13" s="2091"/>
      <c r="BW13" s="2091"/>
      <c r="BX13" s="2091"/>
      <c r="BY13" s="2091"/>
      <c r="BZ13" s="2091"/>
      <c r="CA13" s="2091"/>
      <c r="CB13" s="2091"/>
      <c r="CC13" s="233"/>
      <c r="CD13" s="233">
        <f t="shared" si="1"/>
        <v>0</v>
      </c>
      <c r="CE13" s="233"/>
      <c r="CF13" s="233"/>
      <c r="CG13" s="233"/>
      <c r="CH13" s="233"/>
    </row>
    <row r="14" spans="1:86" s="234" customFormat="1" hidden="1" x14ac:dyDescent="0.2">
      <c r="A14" s="1810">
        <v>24</v>
      </c>
      <c r="B14" s="1810"/>
      <c r="C14" s="1810"/>
      <c r="D14" s="1810"/>
      <c r="E14" s="2082"/>
      <c r="F14" s="2082"/>
      <c r="G14" s="2082"/>
      <c r="H14" s="2082"/>
      <c r="I14" s="2082"/>
      <c r="J14" s="2082"/>
      <c r="K14" s="2082"/>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c r="AH14" s="2082"/>
      <c r="AI14" s="2082"/>
      <c r="AJ14" s="2082"/>
      <c r="AK14" s="2082"/>
      <c r="AL14" s="2082"/>
      <c r="AM14" s="2082"/>
      <c r="AN14" s="2091"/>
      <c r="AO14" s="2091"/>
      <c r="AP14" s="2091"/>
      <c r="AQ14" s="2091"/>
      <c r="AR14" s="2091"/>
      <c r="AS14" s="2091"/>
      <c r="AT14" s="2091"/>
      <c r="AU14" s="2091"/>
      <c r="AV14" s="2091"/>
      <c r="AW14" s="2091"/>
      <c r="AX14" s="2091"/>
      <c r="AY14" s="2091"/>
      <c r="AZ14" s="2091"/>
      <c r="BA14" s="2091"/>
      <c r="BB14" s="2091"/>
      <c r="BC14" s="2091"/>
      <c r="BD14" s="1810"/>
      <c r="BE14" s="1810"/>
      <c r="BF14" s="1810"/>
      <c r="BG14" s="1810"/>
      <c r="BH14" s="1810"/>
      <c r="BI14" s="1810"/>
      <c r="BJ14" s="1810"/>
      <c r="BK14" s="1810"/>
      <c r="BL14" s="1810"/>
      <c r="BM14" s="1810"/>
      <c r="BN14" s="2091">
        <f t="shared" si="0"/>
        <v>0</v>
      </c>
      <c r="BO14" s="2091"/>
      <c r="BP14" s="2091"/>
      <c r="BQ14" s="2091"/>
      <c r="BR14" s="2091"/>
      <c r="BS14" s="2091"/>
      <c r="BT14" s="2091"/>
      <c r="BU14" s="2091"/>
      <c r="BV14" s="2091"/>
      <c r="BW14" s="2091"/>
      <c r="BX14" s="2091"/>
      <c r="BY14" s="2091"/>
      <c r="BZ14" s="2091"/>
      <c r="CA14" s="2091"/>
      <c r="CB14" s="2091"/>
      <c r="CC14" s="233"/>
      <c r="CD14" s="233">
        <f t="shared" si="1"/>
        <v>0</v>
      </c>
      <c r="CE14" s="233"/>
      <c r="CF14" s="233"/>
      <c r="CG14" s="233"/>
      <c r="CH14" s="233"/>
    </row>
    <row r="15" spans="1:86" s="234" customFormat="1" hidden="1" x14ac:dyDescent="0.2">
      <c r="A15" s="1810">
        <v>25</v>
      </c>
      <c r="B15" s="1810"/>
      <c r="C15" s="1810"/>
      <c r="D15" s="1810"/>
      <c r="E15" s="2082"/>
      <c r="F15" s="2082"/>
      <c r="G15" s="2082"/>
      <c r="H15" s="2082"/>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c r="AK15" s="2082"/>
      <c r="AL15" s="2082"/>
      <c r="AM15" s="2082"/>
      <c r="AN15" s="2091"/>
      <c r="AO15" s="2091"/>
      <c r="AP15" s="2091"/>
      <c r="AQ15" s="2091"/>
      <c r="AR15" s="2091"/>
      <c r="AS15" s="2091"/>
      <c r="AT15" s="2091"/>
      <c r="AU15" s="2091"/>
      <c r="AV15" s="2091"/>
      <c r="AW15" s="2091"/>
      <c r="AX15" s="2091"/>
      <c r="AY15" s="2091"/>
      <c r="AZ15" s="2091"/>
      <c r="BA15" s="2091"/>
      <c r="BB15" s="2091"/>
      <c r="BC15" s="2091"/>
      <c r="BD15" s="1810"/>
      <c r="BE15" s="1810"/>
      <c r="BF15" s="1810"/>
      <c r="BG15" s="1810"/>
      <c r="BH15" s="1810"/>
      <c r="BI15" s="1810"/>
      <c r="BJ15" s="1810"/>
      <c r="BK15" s="1810"/>
      <c r="BL15" s="1810"/>
      <c r="BM15" s="1810"/>
      <c r="BN15" s="2091">
        <f t="shared" si="0"/>
        <v>0</v>
      </c>
      <c r="BO15" s="2091"/>
      <c r="BP15" s="2091"/>
      <c r="BQ15" s="2091"/>
      <c r="BR15" s="2091"/>
      <c r="BS15" s="2091"/>
      <c r="BT15" s="2091"/>
      <c r="BU15" s="2091"/>
      <c r="BV15" s="2091"/>
      <c r="BW15" s="2091"/>
      <c r="BX15" s="2091"/>
      <c r="BY15" s="2091"/>
      <c r="BZ15" s="2091"/>
      <c r="CA15" s="2091"/>
      <c r="CB15" s="2091"/>
      <c r="CC15" s="233"/>
      <c r="CD15" s="233">
        <f t="shared" si="1"/>
        <v>0</v>
      </c>
      <c r="CE15" s="233"/>
      <c r="CF15" s="233"/>
      <c r="CG15" s="233"/>
      <c r="CH15" s="233"/>
    </row>
    <row r="16" spans="1:86" s="234" customFormat="1" hidden="1" x14ac:dyDescent="0.2">
      <c r="A16" s="1810">
        <v>26</v>
      </c>
      <c r="B16" s="1810"/>
      <c r="C16" s="1810"/>
      <c r="D16" s="1810"/>
      <c r="E16" s="2082"/>
      <c r="F16" s="2082"/>
      <c r="G16" s="2082"/>
      <c r="H16" s="2082"/>
      <c r="I16" s="2082"/>
      <c r="J16" s="2082"/>
      <c r="K16" s="208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c r="AH16" s="2082"/>
      <c r="AI16" s="2082"/>
      <c r="AJ16" s="2082"/>
      <c r="AK16" s="2082"/>
      <c r="AL16" s="2082"/>
      <c r="AM16" s="2082"/>
      <c r="AN16" s="2091"/>
      <c r="AO16" s="2091"/>
      <c r="AP16" s="2091"/>
      <c r="AQ16" s="2091"/>
      <c r="AR16" s="2091"/>
      <c r="AS16" s="2091"/>
      <c r="AT16" s="2091"/>
      <c r="AU16" s="2091"/>
      <c r="AV16" s="2091"/>
      <c r="AW16" s="2091"/>
      <c r="AX16" s="2091"/>
      <c r="AY16" s="2091"/>
      <c r="AZ16" s="2091"/>
      <c r="BA16" s="2091"/>
      <c r="BB16" s="2091"/>
      <c r="BC16" s="2091"/>
      <c r="BD16" s="1810"/>
      <c r="BE16" s="1810"/>
      <c r="BF16" s="1810"/>
      <c r="BG16" s="1810"/>
      <c r="BH16" s="1810"/>
      <c r="BI16" s="1810"/>
      <c r="BJ16" s="1810"/>
      <c r="BK16" s="1810"/>
      <c r="BL16" s="1810"/>
      <c r="BM16" s="1810"/>
      <c r="BN16" s="2091">
        <f t="shared" si="0"/>
        <v>0</v>
      </c>
      <c r="BO16" s="2091"/>
      <c r="BP16" s="2091"/>
      <c r="BQ16" s="2091"/>
      <c r="BR16" s="2091"/>
      <c r="BS16" s="2091"/>
      <c r="BT16" s="2091"/>
      <c r="BU16" s="2091"/>
      <c r="BV16" s="2091"/>
      <c r="BW16" s="2091"/>
      <c r="BX16" s="2091"/>
      <c r="BY16" s="2091"/>
      <c r="BZ16" s="2091"/>
      <c r="CA16" s="2091"/>
      <c r="CB16" s="2091"/>
      <c r="CC16" s="233"/>
      <c r="CD16" s="233">
        <f t="shared" si="1"/>
        <v>0</v>
      </c>
      <c r="CE16" s="233"/>
      <c r="CF16" s="233"/>
      <c r="CG16" s="233"/>
      <c r="CH16" s="233"/>
    </row>
    <row r="17" spans="1:86" s="234" customFormat="1" hidden="1" x14ac:dyDescent="0.2">
      <c r="A17" s="1810">
        <v>27</v>
      </c>
      <c r="B17" s="1810"/>
      <c r="C17" s="1810"/>
      <c r="D17" s="1810"/>
      <c r="E17" s="2082"/>
      <c r="F17" s="2082"/>
      <c r="G17" s="2082"/>
      <c r="H17" s="2082"/>
      <c r="I17" s="2082"/>
      <c r="J17" s="2082"/>
      <c r="K17" s="208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2082"/>
      <c r="AL17" s="2082"/>
      <c r="AM17" s="2082"/>
      <c r="AN17" s="2091"/>
      <c r="AO17" s="2091"/>
      <c r="AP17" s="2091"/>
      <c r="AQ17" s="2091"/>
      <c r="AR17" s="2091"/>
      <c r="AS17" s="2091"/>
      <c r="AT17" s="2091"/>
      <c r="AU17" s="2091"/>
      <c r="AV17" s="2091"/>
      <c r="AW17" s="2091"/>
      <c r="AX17" s="2091"/>
      <c r="AY17" s="2091"/>
      <c r="AZ17" s="2091"/>
      <c r="BA17" s="2091"/>
      <c r="BB17" s="2091"/>
      <c r="BC17" s="2091"/>
      <c r="BD17" s="1810"/>
      <c r="BE17" s="1810"/>
      <c r="BF17" s="1810"/>
      <c r="BG17" s="1810"/>
      <c r="BH17" s="1810"/>
      <c r="BI17" s="1810"/>
      <c r="BJ17" s="1810"/>
      <c r="BK17" s="1810"/>
      <c r="BL17" s="1810"/>
      <c r="BM17" s="1810"/>
      <c r="BN17" s="2091">
        <f t="shared" si="0"/>
        <v>0</v>
      </c>
      <c r="BO17" s="2091"/>
      <c r="BP17" s="2091"/>
      <c r="BQ17" s="2091"/>
      <c r="BR17" s="2091"/>
      <c r="BS17" s="2091"/>
      <c r="BT17" s="2091"/>
      <c r="BU17" s="2091"/>
      <c r="BV17" s="2091"/>
      <c r="BW17" s="2091"/>
      <c r="BX17" s="2091"/>
      <c r="BY17" s="2091"/>
      <c r="BZ17" s="2091"/>
      <c r="CA17" s="2091"/>
      <c r="CB17" s="2091"/>
      <c r="CC17" s="233"/>
      <c r="CD17" s="233">
        <f t="shared" si="1"/>
        <v>0</v>
      </c>
      <c r="CE17" s="233"/>
      <c r="CF17" s="233"/>
      <c r="CG17" s="233"/>
      <c r="CH17" s="233"/>
    </row>
    <row r="18" spans="1:86" s="234" customFormat="1" hidden="1" x14ac:dyDescent="0.2">
      <c r="A18" s="1810">
        <v>28</v>
      </c>
      <c r="B18" s="1810"/>
      <c r="C18" s="1810"/>
      <c r="D18" s="1810"/>
      <c r="E18" s="2082"/>
      <c r="F18" s="2082"/>
      <c r="G18" s="2082"/>
      <c r="H18" s="2082"/>
      <c r="I18" s="2082"/>
      <c r="J18" s="2082"/>
      <c r="K18" s="2082"/>
      <c r="L18" s="2082"/>
      <c r="M18" s="2082"/>
      <c r="N18" s="2082"/>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2082"/>
      <c r="AL18" s="2082"/>
      <c r="AM18" s="2082"/>
      <c r="AN18" s="2091"/>
      <c r="AO18" s="2091"/>
      <c r="AP18" s="2091"/>
      <c r="AQ18" s="2091"/>
      <c r="AR18" s="2091"/>
      <c r="AS18" s="2091"/>
      <c r="AT18" s="2091"/>
      <c r="AU18" s="2091"/>
      <c r="AV18" s="2091"/>
      <c r="AW18" s="2091"/>
      <c r="AX18" s="2091"/>
      <c r="AY18" s="2091"/>
      <c r="AZ18" s="2091"/>
      <c r="BA18" s="2091"/>
      <c r="BB18" s="2091"/>
      <c r="BC18" s="2091"/>
      <c r="BD18" s="1810"/>
      <c r="BE18" s="1810"/>
      <c r="BF18" s="1810"/>
      <c r="BG18" s="1810"/>
      <c r="BH18" s="1810"/>
      <c r="BI18" s="1810"/>
      <c r="BJ18" s="1810"/>
      <c r="BK18" s="1810"/>
      <c r="BL18" s="1810"/>
      <c r="BM18" s="1810"/>
      <c r="BN18" s="2091">
        <f t="shared" si="0"/>
        <v>0</v>
      </c>
      <c r="BO18" s="2091"/>
      <c r="BP18" s="2091"/>
      <c r="BQ18" s="2091"/>
      <c r="BR18" s="2091"/>
      <c r="BS18" s="2091"/>
      <c r="BT18" s="2091"/>
      <c r="BU18" s="2091"/>
      <c r="BV18" s="2091"/>
      <c r="BW18" s="2091"/>
      <c r="BX18" s="2091"/>
      <c r="BY18" s="2091"/>
      <c r="BZ18" s="2091"/>
      <c r="CA18" s="2091"/>
      <c r="CB18" s="2091"/>
      <c r="CC18" s="233"/>
      <c r="CD18" s="233">
        <f t="shared" si="1"/>
        <v>0</v>
      </c>
      <c r="CE18" s="233"/>
      <c r="CF18" s="233"/>
      <c r="CG18" s="233"/>
      <c r="CH18" s="233"/>
    </row>
    <row r="19" spans="1:86" s="234" customFormat="1" hidden="1" x14ac:dyDescent="0.2">
      <c r="A19" s="1810">
        <v>29</v>
      </c>
      <c r="B19" s="1810"/>
      <c r="C19" s="1810"/>
      <c r="D19" s="1810"/>
      <c r="E19" s="2082"/>
      <c r="F19" s="2082"/>
      <c r="G19" s="2082"/>
      <c r="H19" s="2082"/>
      <c r="I19" s="2082"/>
      <c r="J19" s="2082"/>
      <c r="K19" s="2082"/>
      <c r="L19" s="2082"/>
      <c r="M19" s="2082"/>
      <c r="N19" s="2082"/>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c r="AK19" s="2082"/>
      <c r="AL19" s="2082"/>
      <c r="AM19" s="2082"/>
      <c r="AN19" s="2091"/>
      <c r="AO19" s="2091"/>
      <c r="AP19" s="2091"/>
      <c r="AQ19" s="2091"/>
      <c r="AR19" s="2091"/>
      <c r="AS19" s="2091"/>
      <c r="AT19" s="2091"/>
      <c r="AU19" s="2091"/>
      <c r="AV19" s="2091"/>
      <c r="AW19" s="2091"/>
      <c r="AX19" s="2091"/>
      <c r="AY19" s="2091"/>
      <c r="AZ19" s="2091"/>
      <c r="BA19" s="2091"/>
      <c r="BB19" s="2091"/>
      <c r="BC19" s="2091"/>
      <c r="BD19" s="1810"/>
      <c r="BE19" s="1810"/>
      <c r="BF19" s="1810"/>
      <c r="BG19" s="1810"/>
      <c r="BH19" s="1810"/>
      <c r="BI19" s="1810"/>
      <c r="BJ19" s="1810"/>
      <c r="BK19" s="1810"/>
      <c r="BL19" s="1810"/>
      <c r="BM19" s="1810"/>
      <c r="BN19" s="2091">
        <f t="shared" si="0"/>
        <v>0</v>
      </c>
      <c r="BO19" s="2091"/>
      <c r="BP19" s="2091"/>
      <c r="BQ19" s="2091"/>
      <c r="BR19" s="2091"/>
      <c r="BS19" s="2091"/>
      <c r="BT19" s="2091"/>
      <c r="BU19" s="2091"/>
      <c r="BV19" s="2091"/>
      <c r="BW19" s="2091"/>
      <c r="BX19" s="2091"/>
      <c r="BY19" s="2091"/>
      <c r="BZ19" s="2091"/>
      <c r="CA19" s="2091"/>
      <c r="CB19" s="2091"/>
      <c r="CC19" s="233"/>
      <c r="CD19" s="233">
        <f t="shared" si="1"/>
        <v>0</v>
      </c>
      <c r="CE19" s="233"/>
      <c r="CF19" s="233"/>
      <c r="CG19" s="233"/>
      <c r="CH19" s="233"/>
    </row>
    <row r="20" spans="1:86" s="234" customFormat="1" hidden="1" x14ac:dyDescent="0.2">
      <c r="A20" s="1810">
        <v>30</v>
      </c>
      <c r="B20" s="1810"/>
      <c r="C20" s="1810"/>
      <c r="D20" s="1810"/>
      <c r="E20" s="2082"/>
      <c r="F20" s="2082"/>
      <c r="G20" s="2082"/>
      <c r="H20" s="2082"/>
      <c r="I20" s="2082"/>
      <c r="J20" s="2082"/>
      <c r="K20" s="2082"/>
      <c r="L20" s="2082"/>
      <c r="M20" s="2082"/>
      <c r="N20" s="2082"/>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c r="AK20" s="2082"/>
      <c r="AL20" s="2082"/>
      <c r="AM20" s="2082"/>
      <c r="AN20" s="2091"/>
      <c r="AO20" s="2091"/>
      <c r="AP20" s="2091"/>
      <c r="AQ20" s="2091"/>
      <c r="AR20" s="2091"/>
      <c r="AS20" s="2091"/>
      <c r="AT20" s="2091"/>
      <c r="AU20" s="2091"/>
      <c r="AV20" s="2091"/>
      <c r="AW20" s="2091"/>
      <c r="AX20" s="2091"/>
      <c r="AY20" s="2091"/>
      <c r="AZ20" s="2091"/>
      <c r="BA20" s="2091"/>
      <c r="BB20" s="2091"/>
      <c r="BC20" s="2091"/>
      <c r="BD20" s="1810"/>
      <c r="BE20" s="1810"/>
      <c r="BF20" s="1810"/>
      <c r="BG20" s="1810"/>
      <c r="BH20" s="1810"/>
      <c r="BI20" s="1810"/>
      <c r="BJ20" s="1810"/>
      <c r="BK20" s="1810"/>
      <c r="BL20" s="1810"/>
      <c r="BM20" s="1810"/>
      <c r="BN20" s="2091">
        <f t="shared" si="0"/>
        <v>0</v>
      </c>
      <c r="BO20" s="2091"/>
      <c r="BP20" s="2091"/>
      <c r="BQ20" s="2091"/>
      <c r="BR20" s="2091"/>
      <c r="BS20" s="2091"/>
      <c r="BT20" s="2091"/>
      <c r="BU20" s="2091"/>
      <c r="BV20" s="2091"/>
      <c r="BW20" s="2091"/>
      <c r="BX20" s="2091"/>
      <c r="BY20" s="2091"/>
      <c r="BZ20" s="2091"/>
      <c r="CA20" s="2091"/>
      <c r="CB20" s="2091"/>
      <c r="CC20" s="233"/>
      <c r="CD20" s="233">
        <f t="shared" si="1"/>
        <v>0</v>
      </c>
      <c r="CE20" s="233"/>
      <c r="CF20" s="233"/>
      <c r="CG20" s="233"/>
      <c r="CH20" s="233"/>
    </row>
    <row r="21" spans="1:86" s="234" customFormat="1" hidden="1" x14ac:dyDescent="0.2">
      <c r="A21" s="1810">
        <v>31</v>
      </c>
      <c r="B21" s="1810"/>
      <c r="C21" s="1810"/>
      <c r="D21" s="1810"/>
      <c r="E21" s="2082"/>
      <c r="F21" s="2082"/>
      <c r="G21" s="2082"/>
      <c r="H21" s="2082"/>
      <c r="I21" s="2082"/>
      <c r="J21" s="2082"/>
      <c r="K21" s="2082"/>
      <c r="L21" s="2082"/>
      <c r="M21" s="2082"/>
      <c r="N21" s="2082"/>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c r="AL21" s="2082"/>
      <c r="AM21" s="2082"/>
      <c r="AN21" s="2091"/>
      <c r="AO21" s="2091"/>
      <c r="AP21" s="2091"/>
      <c r="AQ21" s="2091"/>
      <c r="AR21" s="2091"/>
      <c r="AS21" s="2091"/>
      <c r="AT21" s="2091"/>
      <c r="AU21" s="2091"/>
      <c r="AV21" s="2091"/>
      <c r="AW21" s="2091"/>
      <c r="AX21" s="2091"/>
      <c r="AY21" s="2091"/>
      <c r="AZ21" s="2091"/>
      <c r="BA21" s="2091"/>
      <c r="BB21" s="2091"/>
      <c r="BC21" s="2091"/>
      <c r="BD21" s="1810"/>
      <c r="BE21" s="1810"/>
      <c r="BF21" s="1810"/>
      <c r="BG21" s="1810"/>
      <c r="BH21" s="1810"/>
      <c r="BI21" s="1810"/>
      <c r="BJ21" s="1810"/>
      <c r="BK21" s="1810"/>
      <c r="BL21" s="1810"/>
      <c r="BM21" s="1810"/>
      <c r="BN21" s="2091">
        <f t="shared" si="0"/>
        <v>0</v>
      </c>
      <c r="BO21" s="2091"/>
      <c r="BP21" s="2091"/>
      <c r="BQ21" s="2091"/>
      <c r="BR21" s="2091"/>
      <c r="BS21" s="2091"/>
      <c r="BT21" s="2091"/>
      <c r="BU21" s="2091"/>
      <c r="BV21" s="2091"/>
      <c r="BW21" s="2091"/>
      <c r="BX21" s="2091"/>
      <c r="BY21" s="2091"/>
      <c r="BZ21" s="2091"/>
      <c r="CA21" s="2091"/>
      <c r="CB21" s="2091"/>
      <c r="CC21" s="233"/>
      <c r="CD21" s="233">
        <f t="shared" si="1"/>
        <v>0</v>
      </c>
      <c r="CE21" s="233"/>
      <c r="CF21" s="233"/>
      <c r="CG21" s="233"/>
      <c r="CH21" s="233"/>
    </row>
    <row r="22" spans="1:86" s="234" customFormat="1" hidden="1" x14ac:dyDescent="0.2">
      <c r="A22" s="1810">
        <v>32</v>
      </c>
      <c r="B22" s="1810"/>
      <c r="C22" s="1810"/>
      <c r="D22" s="1810"/>
      <c r="E22" s="2082"/>
      <c r="F22" s="2082"/>
      <c r="G22" s="2082"/>
      <c r="H22" s="2082"/>
      <c r="I22" s="2082"/>
      <c r="J22" s="2082"/>
      <c r="K22" s="2082"/>
      <c r="L22" s="2082"/>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c r="AK22" s="2082"/>
      <c r="AL22" s="2082"/>
      <c r="AM22" s="2082"/>
      <c r="AN22" s="2091"/>
      <c r="AO22" s="2091"/>
      <c r="AP22" s="2091"/>
      <c r="AQ22" s="2091"/>
      <c r="AR22" s="2091"/>
      <c r="AS22" s="2091"/>
      <c r="AT22" s="2091"/>
      <c r="AU22" s="2091"/>
      <c r="AV22" s="2091"/>
      <c r="AW22" s="2091"/>
      <c r="AX22" s="2091"/>
      <c r="AY22" s="2091"/>
      <c r="AZ22" s="2091"/>
      <c r="BA22" s="2091"/>
      <c r="BB22" s="2091"/>
      <c r="BC22" s="2091"/>
      <c r="BD22" s="1810"/>
      <c r="BE22" s="1810"/>
      <c r="BF22" s="1810"/>
      <c r="BG22" s="1810"/>
      <c r="BH22" s="1810"/>
      <c r="BI22" s="1810"/>
      <c r="BJ22" s="1810"/>
      <c r="BK22" s="1810"/>
      <c r="BL22" s="1810"/>
      <c r="BM22" s="1810"/>
      <c r="BN22" s="2091">
        <f t="shared" si="0"/>
        <v>0</v>
      </c>
      <c r="BO22" s="2091"/>
      <c r="BP22" s="2091"/>
      <c r="BQ22" s="2091"/>
      <c r="BR22" s="2091"/>
      <c r="BS22" s="2091"/>
      <c r="BT22" s="2091"/>
      <c r="BU22" s="2091"/>
      <c r="BV22" s="2091"/>
      <c r="BW22" s="2091"/>
      <c r="BX22" s="2091"/>
      <c r="BY22" s="2091"/>
      <c r="BZ22" s="2091"/>
      <c r="CA22" s="2091"/>
      <c r="CB22" s="2091"/>
      <c r="CC22" s="233"/>
      <c r="CD22" s="233">
        <f t="shared" si="1"/>
        <v>0</v>
      </c>
      <c r="CE22" s="233"/>
      <c r="CF22" s="233"/>
      <c r="CG22" s="233"/>
      <c r="CH22" s="233"/>
    </row>
    <row r="23" spans="1:86" s="29" customFormat="1" x14ac:dyDescent="0.2">
      <c r="A23" s="1831" t="s">
        <v>701</v>
      </c>
      <c r="B23" s="1832"/>
      <c r="C23" s="1832"/>
      <c r="D23" s="1832"/>
      <c r="E23" s="1832"/>
      <c r="F23" s="1832"/>
      <c r="G23" s="1832"/>
      <c r="H23" s="1832"/>
      <c r="I23" s="1832"/>
      <c r="J23" s="1832"/>
      <c r="K23" s="1832"/>
      <c r="L23" s="1832"/>
      <c r="M23" s="1832"/>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c r="AL23" s="1832"/>
      <c r="AM23" s="1833"/>
      <c r="AN23" s="1913" t="s">
        <v>3</v>
      </c>
      <c r="AO23" s="1913"/>
      <c r="AP23" s="1913"/>
      <c r="AQ23" s="1913"/>
      <c r="AR23" s="1913"/>
      <c r="AS23" s="1913"/>
      <c r="AT23" s="1913"/>
      <c r="AU23" s="1913"/>
      <c r="AV23" s="1913"/>
      <c r="AW23" s="1913"/>
      <c r="AX23" s="1913"/>
      <c r="AY23" s="1913"/>
      <c r="AZ23" s="1913"/>
      <c r="BA23" s="1913"/>
      <c r="BB23" s="1913"/>
      <c r="BC23" s="1913"/>
      <c r="BD23" s="1913" t="s">
        <v>3</v>
      </c>
      <c r="BE23" s="1913"/>
      <c r="BF23" s="1913"/>
      <c r="BG23" s="1913"/>
      <c r="BH23" s="1913"/>
      <c r="BI23" s="1913"/>
      <c r="BJ23" s="1913"/>
      <c r="BK23" s="1913"/>
      <c r="BL23" s="1913"/>
      <c r="BM23" s="1913"/>
      <c r="BN23" s="2203">
        <f>SUM(CC23:CH23)</f>
        <v>2373.89</v>
      </c>
      <c r="BO23" s="2203"/>
      <c r="BP23" s="2203"/>
      <c r="BQ23" s="2203"/>
      <c r="BR23" s="2203"/>
      <c r="BS23" s="2203"/>
      <c r="BT23" s="2203"/>
      <c r="BU23" s="2203"/>
      <c r="BV23" s="2203"/>
      <c r="BW23" s="2203"/>
      <c r="BX23" s="2203"/>
      <c r="BY23" s="2203"/>
      <c r="BZ23" s="2203"/>
      <c r="CA23" s="2203"/>
      <c r="CB23" s="2203"/>
      <c r="CC23" s="236">
        <f>SUM(CC8)</f>
        <v>0</v>
      </c>
      <c r="CD23" s="236">
        <f>SUM(CD8)</f>
        <v>1987.76</v>
      </c>
      <c r="CE23" s="236"/>
      <c r="CF23" s="236"/>
      <c r="CG23" s="236"/>
      <c r="CH23" s="236">
        <f>SUM(CH8:CH8)</f>
        <v>386.13</v>
      </c>
    </row>
    <row r="24" spans="1:86" ht="15.75" x14ac:dyDescent="0.25">
      <c r="A24" s="19" t="s">
        <v>629</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row>
    <row r="25" spans="1:86" x14ac:dyDescent="0.2">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7"/>
      <c r="CD25" s="7"/>
      <c r="CE25" s="7"/>
      <c r="CF25" s="7"/>
      <c r="CG25" s="7"/>
      <c r="CH25" s="7"/>
    </row>
    <row r="26" spans="1:86" x14ac:dyDescent="0.2">
      <c r="A26" s="1781" t="s">
        <v>38</v>
      </c>
      <c r="B26" s="1925"/>
      <c r="C26" s="1925"/>
      <c r="D26" s="1782"/>
      <c r="E26" s="1818" t="s">
        <v>4</v>
      </c>
      <c r="F26" s="1819"/>
      <c r="G26" s="1819"/>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1819"/>
      <c r="AM26" s="1820"/>
      <c r="AN26" s="1781" t="s">
        <v>139</v>
      </c>
      <c r="AO26" s="1925"/>
      <c r="AP26" s="1925"/>
      <c r="AQ26" s="1925"/>
      <c r="AR26" s="1925"/>
      <c r="AS26" s="1925"/>
      <c r="AT26" s="1925"/>
      <c r="AU26" s="1925"/>
      <c r="AV26" s="1925"/>
      <c r="AW26" s="1925"/>
      <c r="AX26" s="1925"/>
      <c r="AY26" s="1925"/>
      <c r="AZ26" s="1925"/>
      <c r="BA26" s="1925"/>
      <c r="BB26" s="1925"/>
      <c r="BC26" s="1782"/>
      <c r="BD26" s="1781" t="s">
        <v>140</v>
      </c>
      <c r="BE26" s="1925"/>
      <c r="BF26" s="1925"/>
      <c r="BG26" s="1925"/>
      <c r="BH26" s="1925"/>
      <c r="BI26" s="1925"/>
      <c r="BJ26" s="1925"/>
      <c r="BK26" s="1925"/>
      <c r="BL26" s="1925"/>
      <c r="BM26" s="1782"/>
      <c r="BN26" s="1781" t="s">
        <v>624</v>
      </c>
      <c r="BO26" s="1925"/>
      <c r="BP26" s="1925"/>
      <c r="BQ26" s="1925"/>
      <c r="BR26" s="1925"/>
      <c r="BS26" s="1925"/>
      <c r="BT26" s="1925"/>
      <c r="BU26" s="1925"/>
      <c r="BV26" s="1925"/>
      <c r="BW26" s="1925"/>
      <c r="BX26" s="1925"/>
      <c r="BY26" s="1925"/>
      <c r="BZ26" s="1925"/>
      <c r="CA26" s="1925"/>
      <c r="CB26" s="1782"/>
      <c r="CC26" s="1806" t="s">
        <v>52</v>
      </c>
      <c r="CD26" s="1806"/>
      <c r="CE26" s="1806"/>
      <c r="CF26" s="1806"/>
      <c r="CG26" s="1806"/>
      <c r="CH26" s="1806"/>
    </row>
    <row r="27" spans="1:86" x14ac:dyDescent="0.2">
      <c r="A27" s="1783"/>
      <c r="B27" s="1926"/>
      <c r="C27" s="1926"/>
      <c r="D27" s="1784"/>
      <c r="E27" s="1807"/>
      <c r="F27" s="1808"/>
      <c r="G27" s="1808"/>
      <c r="H27" s="1808"/>
      <c r="I27" s="1808"/>
      <c r="J27" s="1808"/>
      <c r="K27" s="1808"/>
      <c r="L27" s="1808"/>
      <c r="M27" s="1808"/>
      <c r="N27" s="1808"/>
      <c r="O27" s="1808"/>
      <c r="P27" s="1808"/>
      <c r="Q27" s="1808"/>
      <c r="R27" s="1808"/>
      <c r="S27" s="1808"/>
      <c r="T27" s="1808"/>
      <c r="U27" s="1808"/>
      <c r="V27" s="1808"/>
      <c r="W27" s="1808"/>
      <c r="X27" s="1808"/>
      <c r="Y27" s="1808"/>
      <c r="Z27" s="1808"/>
      <c r="AA27" s="1808"/>
      <c r="AB27" s="1808"/>
      <c r="AC27" s="1808"/>
      <c r="AD27" s="1808"/>
      <c r="AE27" s="1808"/>
      <c r="AF27" s="1808"/>
      <c r="AG27" s="1808"/>
      <c r="AH27" s="1808"/>
      <c r="AI27" s="1808"/>
      <c r="AJ27" s="1808"/>
      <c r="AK27" s="1808"/>
      <c r="AL27" s="1808"/>
      <c r="AM27" s="1809"/>
      <c r="AN27" s="1783"/>
      <c r="AO27" s="1926"/>
      <c r="AP27" s="1926"/>
      <c r="AQ27" s="1926"/>
      <c r="AR27" s="1926"/>
      <c r="AS27" s="1926"/>
      <c r="AT27" s="1926"/>
      <c r="AU27" s="1926"/>
      <c r="AV27" s="1926"/>
      <c r="AW27" s="1926"/>
      <c r="AX27" s="1926"/>
      <c r="AY27" s="1926"/>
      <c r="AZ27" s="1926"/>
      <c r="BA27" s="1926"/>
      <c r="BB27" s="1926"/>
      <c r="BC27" s="1784"/>
      <c r="BD27" s="1783"/>
      <c r="BE27" s="1926"/>
      <c r="BF27" s="1926"/>
      <c r="BG27" s="1926"/>
      <c r="BH27" s="1926"/>
      <c r="BI27" s="1926"/>
      <c r="BJ27" s="1926"/>
      <c r="BK27" s="1926"/>
      <c r="BL27" s="1926"/>
      <c r="BM27" s="1784"/>
      <c r="BN27" s="1783"/>
      <c r="BO27" s="1926"/>
      <c r="BP27" s="1926"/>
      <c r="BQ27" s="1926"/>
      <c r="BR27" s="1926"/>
      <c r="BS27" s="1926"/>
      <c r="BT27" s="1926"/>
      <c r="BU27" s="1926"/>
      <c r="BV27" s="1926"/>
      <c r="BW27" s="1926"/>
      <c r="BX27" s="1926"/>
      <c r="BY27" s="1926"/>
      <c r="BZ27" s="1926"/>
      <c r="CA27" s="1926"/>
      <c r="CB27" s="1784"/>
      <c r="CC27" s="1810" t="s">
        <v>35</v>
      </c>
      <c r="CD27" s="1810"/>
      <c r="CE27" s="1788" t="s">
        <v>45</v>
      </c>
      <c r="CF27" s="1790"/>
      <c r="CG27" s="1789"/>
      <c r="CH27" s="1778" t="s">
        <v>46</v>
      </c>
    </row>
    <row r="28" spans="1:86" x14ac:dyDescent="0.2">
      <c r="A28" s="1783"/>
      <c r="B28" s="1926"/>
      <c r="C28" s="1926"/>
      <c r="D28" s="1784"/>
      <c r="E28" s="1807"/>
      <c r="F28" s="1808"/>
      <c r="G28" s="1808"/>
      <c r="H28" s="1808"/>
      <c r="I28" s="1808"/>
      <c r="J28" s="1808"/>
      <c r="K28" s="1808"/>
      <c r="L28" s="1808"/>
      <c r="M28" s="1808"/>
      <c r="N28" s="1808"/>
      <c r="O28" s="1808"/>
      <c r="P28" s="1808"/>
      <c r="Q28" s="1808"/>
      <c r="R28" s="1808"/>
      <c r="S28" s="1808"/>
      <c r="T28" s="1808"/>
      <c r="U28" s="1808"/>
      <c r="V28" s="1808"/>
      <c r="W28" s="1808"/>
      <c r="X28" s="1808"/>
      <c r="Y28" s="1808"/>
      <c r="Z28" s="1808"/>
      <c r="AA28" s="1808"/>
      <c r="AB28" s="1808"/>
      <c r="AC28" s="1808"/>
      <c r="AD28" s="1808"/>
      <c r="AE28" s="1808"/>
      <c r="AF28" s="1808"/>
      <c r="AG28" s="1808"/>
      <c r="AH28" s="1808"/>
      <c r="AI28" s="1808"/>
      <c r="AJ28" s="1808"/>
      <c r="AK28" s="1808"/>
      <c r="AL28" s="1808"/>
      <c r="AM28" s="1809"/>
      <c r="AN28" s="1783"/>
      <c r="AO28" s="1926"/>
      <c r="AP28" s="1926"/>
      <c r="AQ28" s="1926"/>
      <c r="AR28" s="1926"/>
      <c r="AS28" s="1926"/>
      <c r="AT28" s="1926"/>
      <c r="AU28" s="1926"/>
      <c r="AV28" s="1926"/>
      <c r="AW28" s="1926"/>
      <c r="AX28" s="1926"/>
      <c r="AY28" s="1926"/>
      <c r="AZ28" s="1926"/>
      <c r="BA28" s="1926"/>
      <c r="BB28" s="1926"/>
      <c r="BC28" s="1784"/>
      <c r="BD28" s="1783"/>
      <c r="BE28" s="1926"/>
      <c r="BF28" s="1926"/>
      <c r="BG28" s="1926"/>
      <c r="BH28" s="1926"/>
      <c r="BI28" s="1926"/>
      <c r="BJ28" s="1926"/>
      <c r="BK28" s="1926"/>
      <c r="BL28" s="1926"/>
      <c r="BM28" s="1784"/>
      <c r="BN28" s="1783"/>
      <c r="BO28" s="1926"/>
      <c r="BP28" s="1926"/>
      <c r="BQ28" s="1926"/>
      <c r="BR28" s="1926"/>
      <c r="BS28" s="1926"/>
      <c r="BT28" s="1926"/>
      <c r="BU28" s="1926"/>
      <c r="BV28" s="1926"/>
      <c r="BW28" s="1926"/>
      <c r="BX28" s="1926"/>
      <c r="BY28" s="1926"/>
      <c r="BZ28" s="1926"/>
      <c r="CA28" s="1926"/>
      <c r="CB28" s="1784"/>
      <c r="CC28" s="1811" t="s">
        <v>43</v>
      </c>
      <c r="CD28" s="1811" t="s">
        <v>44</v>
      </c>
      <c r="CE28" s="1812" t="s">
        <v>55</v>
      </c>
      <c r="CF28" s="1811" t="s">
        <v>43</v>
      </c>
      <c r="CG28" s="1811" t="s">
        <v>44</v>
      </c>
      <c r="CH28" s="1779"/>
    </row>
    <row r="29" spans="1:86" x14ac:dyDescent="0.2">
      <c r="A29" s="1785"/>
      <c r="B29" s="1927"/>
      <c r="C29" s="1927"/>
      <c r="D29" s="1786"/>
      <c r="E29" s="1814"/>
      <c r="F29" s="1815"/>
      <c r="G29" s="1815"/>
      <c r="H29" s="1815"/>
      <c r="I29" s="1815"/>
      <c r="J29" s="1815"/>
      <c r="K29" s="1815"/>
      <c r="L29" s="1815"/>
      <c r="M29" s="1815"/>
      <c r="N29" s="1815"/>
      <c r="O29" s="1815"/>
      <c r="P29" s="1815"/>
      <c r="Q29" s="1815"/>
      <c r="R29" s="1815"/>
      <c r="S29" s="1815"/>
      <c r="T29" s="1815"/>
      <c r="U29" s="1815"/>
      <c r="V29" s="1815"/>
      <c r="W29" s="1815"/>
      <c r="X29" s="1815"/>
      <c r="Y29" s="1815"/>
      <c r="Z29" s="1815"/>
      <c r="AA29" s="1815"/>
      <c r="AB29" s="1815"/>
      <c r="AC29" s="1815"/>
      <c r="AD29" s="1815"/>
      <c r="AE29" s="1815"/>
      <c r="AF29" s="1815"/>
      <c r="AG29" s="1815"/>
      <c r="AH29" s="1815"/>
      <c r="AI29" s="1815"/>
      <c r="AJ29" s="1815"/>
      <c r="AK29" s="1815"/>
      <c r="AL29" s="1815"/>
      <c r="AM29" s="1816"/>
      <c r="AN29" s="1785"/>
      <c r="AO29" s="1927"/>
      <c r="AP29" s="1927"/>
      <c r="AQ29" s="1927"/>
      <c r="AR29" s="1927"/>
      <c r="AS29" s="1927"/>
      <c r="AT29" s="1927"/>
      <c r="AU29" s="1927"/>
      <c r="AV29" s="1927"/>
      <c r="AW29" s="1927"/>
      <c r="AX29" s="1927"/>
      <c r="AY29" s="1927"/>
      <c r="AZ29" s="1927"/>
      <c r="BA29" s="1927"/>
      <c r="BB29" s="1927"/>
      <c r="BC29" s="1786"/>
      <c r="BD29" s="1785"/>
      <c r="BE29" s="1927"/>
      <c r="BF29" s="1927"/>
      <c r="BG29" s="1927"/>
      <c r="BH29" s="1927"/>
      <c r="BI29" s="1927"/>
      <c r="BJ29" s="1927"/>
      <c r="BK29" s="1927"/>
      <c r="BL29" s="1927"/>
      <c r="BM29" s="1786"/>
      <c r="BN29" s="1785"/>
      <c r="BO29" s="1927"/>
      <c r="BP29" s="1927"/>
      <c r="BQ29" s="1927"/>
      <c r="BR29" s="1927"/>
      <c r="BS29" s="1927"/>
      <c r="BT29" s="1927"/>
      <c r="BU29" s="1927"/>
      <c r="BV29" s="1927"/>
      <c r="BW29" s="1927"/>
      <c r="BX29" s="1927"/>
      <c r="BY29" s="1927"/>
      <c r="BZ29" s="1927"/>
      <c r="CA29" s="1927"/>
      <c r="CB29" s="1786"/>
      <c r="CC29" s="1811"/>
      <c r="CD29" s="1811"/>
      <c r="CE29" s="1813"/>
      <c r="CF29" s="1811"/>
      <c r="CG29" s="1811"/>
      <c r="CH29" s="1780"/>
    </row>
    <row r="30" spans="1:86" x14ac:dyDescent="0.2">
      <c r="A30" s="1830">
        <v>1</v>
      </c>
      <c r="B30" s="1830"/>
      <c r="C30" s="1830"/>
      <c r="D30" s="1830"/>
      <c r="E30" s="1830">
        <v>2</v>
      </c>
      <c r="F30" s="1830"/>
      <c r="G30" s="1830"/>
      <c r="H30" s="1830"/>
      <c r="I30" s="1830"/>
      <c r="J30" s="1830"/>
      <c r="K30" s="1830"/>
      <c r="L30" s="1830"/>
      <c r="M30" s="1830"/>
      <c r="N30" s="1830"/>
      <c r="O30" s="1830"/>
      <c r="P30" s="1830"/>
      <c r="Q30" s="1830"/>
      <c r="R30" s="1830"/>
      <c r="S30" s="1830"/>
      <c r="T30" s="1830"/>
      <c r="U30" s="1830"/>
      <c r="V30" s="1830"/>
      <c r="W30" s="1830"/>
      <c r="X30" s="1830"/>
      <c r="Y30" s="1830"/>
      <c r="Z30" s="1830"/>
      <c r="AA30" s="1830"/>
      <c r="AB30" s="1830"/>
      <c r="AC30" s="1830"/>
      <c r="AD30" s="1830"/>
      <c r="AE30" s="1830"/>
      <c r="AF30" s="1830"/>
      <c r="AG30" s="1830"/>
      <c r="AH30" s="1830"/>
      <c r="AI30" s="1830"/>
      <c r="AJ30" s="1830"/>
      <c r="AK30" s="1830"/>
      <c r="AL30" s="1830"/>
      <c r="AM30" s="1830"/>
      <c r="AN30" s="1830">
        <v>3</v>
      </c>
      <c r="AO30" s="1830"/>
      <c r="AP30" s="1830"/>
      <c r="AQ30" s="1830"/>
      <c r="AR30" s="1830"/>
      <c r="AS30" s="1830"/>
      <c r="AT30" s="1830"/>
      <c r="AU30" s="1830"/>
      <c r="AV30" s="1830"/>
      <c r="AW30" s="1830"/>
      <c r="AX30" s="1830"/>
      <c r="AY30" s="1830"/>
      <c r="AZ30" s="1830"/>
      <c r="BA30" s="1830"/>
      <c r="BB30" s="1830"/>
      <c r="BC30" s="1830"/>
      <c r="BD30" s="1830">
        <v>4</v>
      </c>
      <c r="BE30" s="1830"/>
      <c r="BF30" s="1830"/>
      <c r="BG30" s="1830"/>
      <c r="BH30" s="1830"/>
      <c r="BI30" s="1830"/>
      <c r="BJ30" s="1830"/>
      <c r="BK30" s="1830"/>
      <c r="BL30" s="1830"/>
      <c r="BM30" s="1830"/>
      <c r="BN30" s="1830" t="s">
        <v>49</v>
      </c>
      <c r="BO30" s="1830"/>
      <c r="BP30" s="1830"/>
      <c r="BQ30" s="1830"/>
      <c r="BR30" s="1830"/>
      <c r="BS30" s="1830"/>
      <c r="BT30" s="1830"/>
      <c r="BU30" s="1830"/>
      <c r="BV30" s="1830"/>
      <c r="BW30" s="1830"/>
      <c r="BX30" s="1830"/>
      <c r="BY30" s="1830"/>
      <c r="BZ30" s="1830"/>
      <c r="CA30" s="1830"/>
      <c r="CB30" s="1830"/>
      <c r="CC30" s="15">
        <v>6</v>
      </c>
      <c r="CD30" s="15">
        <v>7</v>
      </c>
      <c r="CE30" s="15">
        <v>8</v>
      </c>
      <c r="CF30" s="15">
        <v>9</v>
      </c>
      <c r="CG30" s="15">
        <v>10</v>
      </c>
      <c r="CH30" s="15">
        <v>11</v>
      </c>
    </row>
    <row r="31" spans="1:86" s="234" customFormat="1" ht="37.5" customHeight="1" x14ac:dyDescent="0.2">
      <c r="A31" s="1810">
        <v>1</v>
      </c>
      <c r="B31" s="1810"/>
      <c r="C31" s="1810"/>
      <c r="D31" s="1810"/>
      <c r="E31" s="2082" t="s">
        <v>707</v>
      </c>
      <c r="F31" s="2082"/>
      <c r="G31" s="2082"/>
      <c r="H31" s="2082"/>
      <c r="I31" s="2082"/>
      <c r="J31" s="2082"/>
      <c r="K31" s="2082"/>
      <c r="L31" s="2082"/>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2"/>
      <c r="AJ31" s="2082"/>
      <c r="AK31" s="2082"/>
      <c r="AL31" s="2082"/>
      <c r="AM31" s="2082"/>
      <c r="AN31" s="2091">
        <f>BN31</f>
        <v>13676.78</v>
      </c>
      <c r="AO31" s="2091"/>
      <c r="AP31" s="2091"/>
      <c r="AQ31" s="2091"/>
      <c r="AR31" s="2091"/>
      <c r="AS31" s="2091"/>
      <c r="AT31" s="2091"/>
      <c r="AU31" s="2091"/>
      <c r="AV31" s="2091"/>
      <c r="AW31" s="2091"/>
      <c r="AX31" s="2091"/>
      <c r="AY31" s="2091"/>
      <c r="AZ31" s="2091"/>
      <c r="BA31" s="2091"/>
      <c r="BB31" s="2091"/>
      <c r="BC31" s="2091"/>
      <c r="BD31" s="1810">
        <v>1</v>
      </c>
      <c r="BE31" s="1810"/>
      <c r="BF31" s="1810"/>
      <c r="BG31" s="1810"/>
      <c r="BH31" s="1810"/>
      <c r="BI31" s="1810"/>
      <c r="BJ31" s="1810"/>
      <c r="BK31" s="1810"/>
      <c r="BL31" s="1810"/>
      <c r="BM31" s="1810"/>
      <c r="BN31" s="2091">
        <f>CD31+CH31+CC31</f>
        <v>13676.78</v>
      </c>
      <c r="BO31" s="2091"/>
      <c r="BP31" s="2091"/>
      <c r="BQ31" s="2091"/>
      <c r="BR31" s="2091"/>
      <c r="BS31" s="2091"/>
      <c r="BT31" s="2091"/>
      <c r="BU31" s="2091"/>
      <c r="BV31" s="2091"/>
      <c r="BW31" s="2091"/>
      <c r="BX31" s="2091"/>
      <c r="BY31" s="2091"/>
      <c r="BZ31" s="2091"/>
      <c r="CA31" s="2091"/>
      <c r="CB31" s="2091"/>
      <c r="CC31" s="233"/>
      <c r="CD31" s="233">
        <v>11452.18</v>
      </c>
      <c r="CE31" s="233"/>
      <c r="CF31" s="233"/>
      <c r="CG31" s="233"/>
      <c r="CH31" s="233">
        <v>2224.6</v>
      </c>
    </row>
    <row r="32" spans="1:86" s="234" customFormat="1" ht="39.75" hidden="1" customHeight="1" x14ac:dyDescent="0.2">
      <c r="A32" s="1810">
        <v>2</v>
      </c>
      <c r="B32" s="1810"/>
      <c r="C32" s="1810"/>
      <c r="D32" s="1810"/>
      <c r="E32" s="2082" t="s">
        <v>696</v>
      </c>
      <c r="F32" s="2082"/>
      <c r="G32" s="2082"/>
      <c r="H32" s="2082"/>
      <c r="I32" s="2082"/>
      <c r="J32" s="2082"/>
      <c r="K32" s="2082"/>
      <c r="L32" s="2082"/>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c r="AK32" s="2082"/>
      <c r="AL32" s="2082"/>
      <c r="AM32" s="2082"/>
      <c r="AN32" s="2091">
        <f>BN32</f>
        <v>0</v>
      </c>
      <c r="AO32" s="2091"/>
      <c r="AP32" s="2091"/>
      <c r="AQ32" s="2091"/>
      <c r="AR32" s="2091"/>
      <c r="AS32" s="2091"/>
      <c r="AT32" s="2091"/>
      <c r="AU32" s="2091"/>
      <c r="AV32" s="2091"/>
      <c r="AW32" s="2091"/>
      <c r="AX32" s="2091"/>
      <c r="AY32" s="2091"/>
      <c r="AZ32" s="2091"/>
      <c r="BA32" s="2091"/>
      <c r="BB32" s="2091"/>
      <c r="BC32" s="2091"/>
      <c r="BD32" s="1810">
        <v>1</v>
      </c>
      <c r="BE32" s="1810"/>
      <c r="BF32" s="1810"/>
      <c r="BG32" s="1810"/>
      <c r="BH32" s="1810"/>
      <c r="BI32" s="1810"/>
      <c r="BJ32" s="1810"/>
      <c r="BK32" s="1810"/>
      <c r="BL32" s="1810"/>
      <c r="BM32" s="1810"/>
      <c r="BN32" s="2091">
        <f>CG32</f>
        <v>0</v>
      </c>
      <c r="BO32" s="2091"/>
      <c r="BP32" s="2091"/>
      <c r="BQ32" s="2091"/>
      <c r="BR32" s="2091"/>
      <c r="BS32" s="2091"/>
      <c r="BT32" s="2091"/>
      <c r="BU32" s="2091"/>
      <c r="BV32" s="2091"/>
      <c r="BW32" s="2091"/>
      <c r="BX32" s="2091"/>
      <c r="BY32" s="2091"/>
      <c r="BZ32" s="2091"/>
      <c r="CA32" s="2091"/>
      <c r="CB32" s="2091"/>
      <c r="CC32" s="233"/>
      <c r="CD32" s="233"/>
      <c r="CE32" s="235"/>
      <c r="CF32" s="233"/>
      <c r="CG32" s="233"/>
      <c r="CH32" s="233"/>
    </row>
    <row r="33" spans="1:86" s="234" customFormat="1" ht="39.75" hidden="1" customHeight="1" x14ac:dyDescent="0.2">
      <c r="A33" s="1810">
        <v>3</v>
      </c>
      <c r="B33" s="1810"/>
      <c r="C33" s="1810"/>
      <c r="D33" s="1810"/>
      <c r="E33" s="2082" t="s">
        <v>697</v>
      </c>
      <c r="F33" s="2082"/>
      <c r="G33" s="2082"/>
      <c r="H33" s="2082"/>
      <c r="I33" s="2082"/>
      <c r="J33" s="2082"/>
      <c r="K33" s="2082"/>
      <c r="L33" s="2082"/>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2082"/>
      <c r="AL33" s="2082"/>
      <c r="AM33" s="2082"/>
      <c r="AN33" s="2091">
        <f>BN33</f>
        <v>0</v>
      </c>
      <c r="AO33" s="2091"/>
      <c r="AP33" s="2091"/>
      <c r="AQ33" s="2091"/>
      <c r="AR33" s="2091"/>
      <c r="AS33" s="2091"/>
      <c r="AT33" s="2091"/>
      <c r="AU33" s="2091"/>
      <c r="AV33" s="2091"/>
      <c r="AW33" s="2091"/>
      <c r="AX33" s="2091"/>
      <c r="AY33" s="2091"/>
      <c r="AZ33" s="2091"/>
      <c r="BA33" s="2091"/>
      <c r="BB33" s="2091"/>
      <c r="BC33" s="2091"/>
      <c r="BD33" s="1810">
        <v>1</v>
      </c>
      <c r="BE33" s="1810"/>
      <c r="BF33" s="1810"/>
      <c r="BG33" s="1810"/>
      <c r="BH33" s="1810"/>
      <c r="BI33" s="1810"/>
      <c r="BJ33" s="1810"/>
      <c r="BK33" s="1810"/>
      <c r="BL33" s="1810"/>
      <c r="BM33" s="1810"/>
      <c r="BN33" s="2091">
        <f>CD33+CH33+CC33</f>
        <v>0</v>
      </c>
      <c r="BO33" s="2091"/>
      <c r="BP33" s="2091"/>
      <c r="BQ33" s="2091"/>
      <c r="BR33" s="2091"/>
      <c r="BS33" s="2091"/>
      <c r="BT33" s="2091"/>
      <c r="BU33" s="2091"/>
      <c r="BV33" s="2091"/>
      <c r="BW33" s="2091"/>
      <c r="BX33" s="2091"/>
      <c r="BY33" s="2091"/>
      <c r="BZ33" s="2091"/>
      <c r="CA33" s="2091"/>
      <c r="CB33" s="2091"/>
      <c r="CC33" s="233">
        <f>1853.78-1853.78</f>
        <v>0</v>
      </c>
      <c r="CD33" s="233">
        <f>13511.06-13511.06</f>
        <v>0</v>
      </c>
      <c r="CE33" s="233"/>
      <c r="CF33" s="233"/>
      <c r="CG33" s="233"/>
      <c r="CH33" s="233">
        <f>2634.26-2634.26</f>
        <v>0</v>
      </c>
    </row>
    <row r="34" spans="1:86" s="234" customFormat="1" hidden="1" x14ac:dyDescent="0.2">
      <c r="A34" s="1810">
        <v>19</v>
      </c>
      <c r="B34" s="1810"/>
      <c r="C34" s="1810"/>
      <c r="D34" s="1810"/>
      <c r="E34" s="2082"/>
      <c r="F34" s="2082"/>
      <c r="G34" s="2082"/>
      <c r="H34" s="2082"/>
      <c r="I34" s="2082"/>
      <c r="J34" s="2082"/>
      <c r="K34" s="2082"/>
      <c r="L34" s="2082"/>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82"/>
      <c r="AM34" s="2082"/>
      <c r="AN34" s="2091"/>
      <c r="AO34" s="2091"/>
      <c r="AP34" s="2091"/>
      <c r="AQ34" s="2091"/>
      <c r="AR34" s="2091"/>
      <c r="AS34" s="2091"/>
      <c r="AT34" s="2091"/>
      <c r="AU34" s="2091"/>
      <c r="AV34" s="2091"/>
      <c r="AW34" s="2091"/>
      <c r="AX34" s="2091"/>
      <c r="AY34" s="2091"/>
      <c r="AZ34" s="2091"/>
      <c r="BA34" s="2091"/>
      <c r="BB34" s="2091"/>
      <c r="BC34" s="2091"/>
      <c r="BD34" s="1810"/>
      <c r="BE34" s="1810"/>
      <c r="BF34" s="1810"/>
      <c r="BG34" s="1810"/>
      <c r="BH34" s="1810"/>
      <c r="BI34" s="1810"/>
      <c r="BJ34" s="1810"/>
      <c r="BK34" s="1810"/>
      <c r="BL34" s="1810"/>
      <c r="BM34" s="1810"/>
      <c r="BN34" s="2091">
        <f t="shared" ref="BN34:BN47" si="2">ROUND(AN34*BD34,2)</f>
        <v>0</v>
      </c>
      <c r="BO34" s="2091"/>
      <c r="BP34" s="2091"/>
      <c r="BQ34" s="2091"/>
      <c r="BR34" s="2091"/>
      <c r="BS34" s="2091"/>
      <c r="BT34" s="2091"/>
      <c r="BU34" s="2091"/>
      <c r="BV34" s="2091"/>
      <c r="BW34" s="2091"/>
      <c r="BX34" s="2091"/>
      <c r="BY34" s="2091"/>
      <c r="BZ34" s="2091"/>
      <c r="CA34" s="2091"/>
      <c r="CB34" s="2091"/>
      <c r="CC34" s="233"/>
      <c r="CD34" s="233">
        <f t="shared" ref="CD34:CD47" si="3">BN34</f>
        <v>0</v>
      </c>
      <c r="CE34" s="233"/>
      <c r="CF34" s="233"/>
      <c r="CG34" s="233"/>
      <c r="CH34" s="233"/>
    </row>
    <row r="35" spans="1:86" s="234" customFormat="1" hidden="1" x14ac:dyDescent="0.2">
      <c r="A35" s="1810">
        <v>20</v>
      </c>
      <c r="B35" s="1810"/>
      <c r="C35" s="1810"/>
      <c r="D35" s="1810"/>
      <c r="E35" s="2082"/>
      <c r="F35" s="2082"/>
      <c r="G35" s="2082"/>
      <c r="H35" s="2082"/>
      <c r="I35" s="2082"/>
      <c r="J35" s="2082"/>
      <c r="K35" s="2082"/>
      <c r="L35" s="2082"/>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2"/>
      <c r="AK35" s="2082"/>
      <c r="AL35" s="2082"/>
      <c r="AM35" s="2082"/>
      <c r="AN35" s="2091"/>
      <c r="AO35" s="2091"/>
      <c r="AP35" s="2091"/>
      <c r="AQ35" s="2091"/>
      <c r="AR35" s="2091"/>
      <c r="AS35" s="2091"/>
      <c r="AT35" s="2091"/>
      <c r="AU35" s="2091"/>
      <c r="AV35" s="2091"/>
      <c r="AW35" s="2091"/>
      <c r="AX35" s="2091"/>
      <c r="AY35" s="2091"/>
      <c r="AZ35" s="2091"/>
      <c r="BA35" s="2091"/>
      <c r="BB35" s="2091"/>
      <c r="BC35" s="2091"/>
      <c r="BD35" s="1810"/>
      <c r="BE35" s="1810"/>
      <c r="BF35" s="1810"/>
      <c r="BG35" s="1810"/>
      <c r="BH35" s="1810"/>
      <c r="BI35" s="1810"/>
      <c r="BJ35" s="1810"/>
      <c r="BK35" s="1810"/>
      <c r="BL35" s="1810"/>
      <c r="BM35" s="1810"/>
      <c r="BN35" s="2091">
        <f t="shared" si="2"/>
        <v>0</v>
      </c>
      <c r="BO35" s="2091"/>
      <c r="BP35" s="2091"/>
      <c r="BQ35" s="2091"/>
      <c r="BR35" s="2091"/>
      <c r="BS35" s="2091"/>
      <c r="BT35" s="2091"/>
      <c r="BU35" s="2091"/>
      <c r="BV35" s="2091"/>
      <c r="BW35" s="2091"/>
      <c r="BX35" s="2091"/>
      <c r="BY35" s="2091"/>
      <c r="BZ35" s="2091"/>
      <c r="CA35" s="2091"/>
      <c r="CB35" s="2091"/>
      <c r="CC35" s="233"/>
      <c r="CD35" s="233">
        <f t="shared" si="3"/>
        <v>0</v>
      </c>
      <c r="CE35" s="233"/>
      <c r="CF35" s="233"/>
      <c r="CG35" s="233"/>
      <c r="CH35" s="233"/>
    </row>
    <row r="36" spans="1:86" s="234" customFormat="1" hidden="1" x14ac:dyDescent="0.2">
      <c r="A36" s="1810">
        <v>21</v>
      </c>
      <c r="B36" s="1810"/>
      <c r="C36" s="1810"/>
      <c r="D36" s="1810"/>
      <c r="E36" s="2082"/>
      <c r="F36" s="2082"/>
      <c r="G36" s="2082"/>
      <c r="H36" s="2082"/>
      <c r="I36" s="2082"/>
      <c r="J36" s="2082"/>
      <c r="K36" s="2082"/>
      <c r="L36" s="2082"/>
      <c r="M36" s="2082"/>
      <c r="N36" s="2082"/>
      <c r="O36" s="2082"/>
      <c r="P36" s="2082"/>
      <c r="Q36" s="2082"/>
      <c r="R36" s="2082"/>
      <c r="S36" s="2082"/>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91"/>
      <c r="AO36" s="2091"/>
      <c r="AP36" s="2091"/>
      <c r="AQ36" s="2091"/>
      <c r="AR36" s="2091"/>
      <c r="AS36" s="2091"/>
      <c r="AT36" s="2091"/>
      <c r="AU36" s="2091"/>
      <c r="AV36" s="2091"/>
      <c r="AW36" s="2091"/>
      <c r="AX36" s="2091"/>
      <c r="AY36" s="2091"/>
      <c r="AZ36" s="2091"/>
      <c r="BA36" s="2091"/>
      <c r="BB36" s="2091"/>
      <c r="BC36" s="2091"/>
      <c r="BD36" s="1810"/>
      <c r="BE36" s="1810"/>
      <c r="BF36" s="1810"/>
      <c r="BG36" s="1810"/>
      <c r="BH36" s="1810"/>
      <c r="BI36" s="1810"/>
      <c r="BJ36" s="1810"/>
      <c r="BK36" s="1810"/>
      <c r="BL36" s="1810"/>
      <c r="BM36" s="1810"/>
      <c r="BN36" s="2091">
        <f t="shared" si="2"/>
        <v>0</v>
      </c>
      <c r="BO36" s="2091"/>
      <c r="BP36" s="2091"/>
      <c r="BQ36" s="2091"/>
      <c r="BR36" s="2091"/>
      <c r="BS36" s="2091"/>
      <c r="BT36" s="2091"/>
      <c r="BU36" s="2091"/>
      <c r="BV36" s="2091"/>
      <c r="BW36" s="2091"/>
      <c r="BX36" s="2091"/>
      <c r="BY36" s="2091"/>
      <c r="BZ36" s="2091"/>
      <c r="CA36" s="2091"/>
      <c r="CB36" s="2091"/>
      <c r="CC36" s="233"/>
      <c r="CD36" s="233">
        <f t="shared" si="3"/>
        <v>0</v>
      </c>
      <c r="CE36" s="233"/>
      <c r="CF36" s="233"/>
      <c r="CG36" s="233"/>
      <c r="CH36" s="233"/>
    </row>
    <row r="37" spans="1:86" s="234" customFormat="1" hidden="1" x14ac:dyDescent="0.2">
      <c r="A37" s="1810">
        <v>22</v>
      </c>
      <c r="B37" s="1810"/>
      <c r="C37" s="1810"/>
      <c r="D37" s="1810"/>
      <c r="E37" s="2082"/>
      <c r="F37" s="2082"/>
      <c r="G37" s="2082"/>
      <c r="H37" s="2082"/>
      <c r="I37" s="2082"/>
      <c r="J37" s="2082"/>
      <c r="K37" s="2082"/>
      <c r="L37" s="2082"/>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c r="AI37" s="2082"/>
      <c r="AJ37" s="2082"/>
      <c r="AK37" s="2082"/>
      <c r="AL37" s="2082"/>
      <c r="AM37" s="2082"/>
      <c r="AN37" s="2091"/>
      <c r="AO37" s="2091"/>
      <c r="AP37" s="2091"/>
      <c r="AQ37" s="2091"/>
      <c r="AR37" s="2091"/>
      <c r="AS37" s="2091"/>
      <c r="AT37" s="2091"/>
      <c r="AU37" s="2091"/>
      <c r="AV37" s="2091"/>
      <c r="AW37" s="2091"/>
      <c r="AX37" s="2091"/>
      <c r="AY37" s="2091"/>
      <c r="AZ37" s="2091"/>
      <c r="BA37" s="2091"/>
      <c r="BB37" s="2091"/>
      <c r="BC37" s="2091"/>
      <c r="BD37" s="1810"/>
      <c r="BE37" s="1810"/>
      <c r="BF37" s="1810"/>
      <c r="BG37" s="1810"/>
      <c r="BH37" s="1810"/>
      <c r="BI37" s="1810"/>
      <c r="BJ37" s="1810"/>
      <c r="BK37" s="1810"/>
      <c r="BL37" s="1810"/>
      <c r="BM37" s="1810"/>
      <c r="BN37" s="2091">
        <f t="shared" si="2"/>
        <v>0</v>
      </c>
      <c r="BO37" s="2091"/>
      <c r="BP37" s="2091"/>
      <c r="BQ37" s="2091"/>
      <c r="BR37" s="2091"/>
      <c r="BS37" s="2091"/>
      <c r="BT37" s="2091"/>
      <c r="BU37" s="2091"/>
      <c r="BV37" s="2091"/>
      <c r="BW37" s="2091"/>
      <c r="BX37" s="2091"/>
      <c r="BY37" s="2091"/>
      <c r="BZ37" s="2091"/>
      <c r="CA37" s="2091"/>
      <c r="CB37" s="2091"/>
      <c r="CC37" s="233"/>
      <c r="CD37" s="233">
        <f t="shared" si="3"/>
        <v>0</v>
      </c>
      <c r="CE37" s="233"/>
      <c r="CF37" s="233"/>
      <c r="CG37" s="233"/>
      <c r="CH37" s="233"/>
    </row>
    <row r="38" spans="1:86" s="234" customFormat="1" hidden="1" x14ac:dyDescent="0.2">
      <c r="A38" s="1810">
        <v>23</v>
      </c>
      <c r="B38" s="1810"/>
      <c r="C38" s="1810"/>
      <c r="D38" s="1810"/>
      <c r="E38" s="2082"/>
      <c r="F38" s="2082"/>
      <c r="G38" s="2082"/>
      <c r="H38" s="2082"/>
      <c r="I38" s="2082"/>
      <c r="J38" s="2082"/>
      <c r="K38" s="2082"/>
      <c r="L38" s="2082"/>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91"/>
      <c r="AO38" s="2091"/>
      <c r="AP38" s="2091"/>
      <c r="AQ38" s="2091"/>
      <c r="AR38" s="2091"/>
      <c r="AS38" s="2091"/>
      <c r="AT38" s="2091"/>
      <c r="AU38" s="2091"/>
      <c r="AV38" s="2091"/>
      <c r="AW38" s="2091"/>
      <c r="AX38" s="2091"/>
      <c r="AY38" s="2091"/>
      <c r="AZ38" s="2091"/>
      <c r="BA38" s="2091"/>
      <c r="BB38" s="2091"/>
      <c r="BC38" s="2091"/>
      <c r="BD38" s="1810"/>
      <c r="BE38" s="1810"/>
      <c r="BF38" s="1810"/>
      <c r="BG38" s="1810"/>
      <c r="BH38" s="1810"/>
      <c r="BI38" s="1810"/>
      <c r="BJ38" s="1810"/>
      <c r="BK38" s="1810"/>
      <c r="BL38" s="1810"/>
      <c r="BM38" s="1810"/>
      <c r="BN38" s="2091">
        <f t="shared" si="2"/>
        <v>0</v>
      </c>
      <c r="BO38" s="2091"/>
      <c r="BP38" s="2091"/>
      <c r="BQ38" s="2091"/>
      <c r="BR38" s="2091"/>
      <c r="BS38" s="2091"/>
      <c r="BT38" s="2091"/>
      <c r="BU38" s="2091"/>
      <c r="BV38" s="2091"/>
      <c r="BW38" s="2091"/>
      <c r="BX38" s="2091"/>
      <c r="BY38" s="2091"/>
      <c r="BZ38" s="2091"/>
      <c r="CA38" s="2091"/>
      <c r="CB38" s="2091"/>
      <c r="CC38" s="233"/>
      <c r="CD38" s="233">
        <f t="shared" si="3"/>
        <v>0</v>
      </c>
      <c r="CE38" s="233"/>
      <c r="CF38" s="233"/>
      <c r="CG38" s="233"/>
      <c r="CH38" s="233"/>
    </row>
    <row r="39" spans="1:86" s="234" customFormat="1" hidden="1" x14ac:dyDescent="0.2">
      <c r="A39" s="1810">
        <v>24</v>
      </c>
      <c r="B39" s="1810"/>
      <c r="C39" s="1810"/>
      <c r="D39" s="1810"/>
      <c r="E39" s="2082"/>
      <c r="F39" s="2082"/>
      <c r="G39" s="2082"/>
      <c r="H39" s="2082"/>
      <c r="I39" s="2082"/>
      <c r="J39" s="2082"/>
      <c r="K39" s="2082"/>
      <c r="L39" s="2082"/>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c r="AI39" s="2082"/>
      <c r="AJ39" s="2082"/>
      <c r="AK39" s="2082"/>
      <c r="AL39" s="2082"/>
      <c r="AM39" s="2082"/>
      <c r="AN39" s="2091"/>
      <c r="AO39" s="2091"/>
      <c r="AP39" s="2091"/>
      <c r="AQ39" s="2091"/>
      <c r="AR39" s="2091"/>
      <c r="AS39" s="2091"/>
      <c r="AT39" s="2091"/>
      <c r="AU39" s="2091"/>
      <c r="AV39" s="2091"/>
      <c r="AW39" s="2091"/>
      <c r="AX39" s="2091"/>
      <c r="AY39" s="2091"/>
      <c r="AZ39" s="2091"/>
      <c r="BA39" s="2091"/>
      <c r="BB39" s="2091"/>
      <c r="BC39" s="2091"/>
      <c r="BD39" s="1810"/>
      <c r="BE39" s="1810"/>
      <c r="BF39" s="1810"/>
      <c r="BG39" s="1810"/>
      <c r="BH39" s="1810"/>
      <c r="BI39" s="1810"/>
      <c r="BJ39" s="1810"/>
      <c r="BK39" s="1810"/>
      <c r="BL39" s="1810"/>
      <c r="BM39" s="1810"/>
      <c r="BN39" s="2091">
        <f t="shared" si="2"/>
        <v>0</v>
      </c>
      <c r="BO39" s="2091"/>
      <c r="BP39" s="2091"/>
      <c r="BQ39" s="2091"/>
      <c r="BR39" s="2091"/>
      <c r="BS39" s="2091"/>
      <c r="BT39" s="2091"/>
      <c r="BU39" s="2091"/>
      <c r="BV39" s="2091"/>
      <c r="BW39" s="2091"/>
      <c r="BX39" s="2091"/>
      <c r="BY39" s="2091"/>
      <c r="BZ39" s="2091"/>
      <c r="CA39" s="2091"/>
      <c r="CB39" s="2091"/>
      <c r="CC39" s="233"/>
      <c r="CD39" s="233">
        <f t="shared" si="3"/>
        <v>0</v>
      </c>
      <c r="CE39" s="233"/>
      <c r="CF39" s="233"/>
      <c r="CG39" s="233"/>
      <c r="CH39" s="233"/>
    </row>
    <row r="40" spans="1:86" s="234" customFormat="1" hidden="1" x14ac:dyDescent="0.2">
      <c r="A40" s="1810">
        <v>25</v>
      </c>
      <c r="B40" s="1810"/>
      <c r="C40" s="1810"/>
      <c r="D40" s="1810"/>
      <c r="E40" s="2082"/>
      <c r="F40" s="2082"/>
      <c r="G40" s="2082"/>
      <c r="H40" s="2082"/>
      <c r="I40" s="2082"/>
      <c r="J40" s="2082"/>
      <c r="K40" s="2082"/>
      <c r="L40" s="2082"/>
      <c r="M40" s="2082"/>
      <c r="N40" s="2082"/>
      <c r="O40" s="2082"/>
      <c r="P40" s="2082"/>
      <c r="Q40" s="2082"/>
      <c r="R40" s="2082"/>
      <c r="S40" s="2082"/>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91"/>
      <c r="AO40" s="2091"/>
      <c r="AP40" s="2091"/>
      <c r="AQ40" s="2091"/>
      <c r="AR40" s="2091"/>
      <c r="AS40" s="2091"/>
      <c r="AT40" s="2091"/>
      <c r="AU40" s="2091"/>
      <c r="AV40" s="2091"/>
      <c r="AW40" s="2091"/>
      <c r="AX40" s="2091"/>
      <c r="AY40" s="2091"/>
      <c r="AZ40" s="2091"/>
      <c r="BA40" s="2091"/>
      <c r="BB40" s="2091"/>
      <c r="BC40" s="2091"/>
      <c r="BD40" s="1810"/>
      <c r="BE40" s="1810"/>
      <c r="BF40" s="1810"/>
      <c r="BG40" s="1810"/>
      <c r="BH40" s="1810"/>
      <c r="BI40" s="1810"/>
      <c r="BJ40" s="1810"/>
      <c r="BK40" s="1810"/>
      <c r="BL40" s="1810"/>
      <c r="BM40" s="1810"/>
      <c r="BN40" s="2091">
        <f t="shared" si="2"/>
        <v>0</v>
      </c>
      <c r="BO40" s="2091"/>
      <c r="BP40" s="2091"/>
      <c r="BQ40" s="2091"/>
      <c r="BR40" s="2091"/>
      <c r="BS40" s="2091"/>
      <c r="BT40" s="2091"/>
      <c r="BU40" s="2091"/>
      <c r="BV40" s="2091"/>
      <c r="BW40" s="2091"/>
      <c r="BX40" s="2091"/>
      <c r="BY40" s="2091"/>
      <c r="BZ40" s="2091"/>
      <c r="CA40" s="2091"/>
      <c r="CB40" s="2091"/>
      <c r="CC40" s="233"/>
      <c r="CD40" s="233">
        <f t="shared" si="3"/>
        <v>0</v>
      </c>
      <c r="CE40" s="233"/>
      <c r="CF40" s="233"/>
      <c r="CG40" s="233"/>
      <c r="CH40" s="233"/>
    </row>
    <row r="41" spans="1:86" s="234" customFormat="1" hidden="1" x14ac:dyDescent="0.2">
      <c r="A41" s="1810">
        <v>26</v>
      </c>
      <c r="B41" s="1810"/>
      <c r="C41" s="1810"/>
      <c r="D41" s="1810"/>
      <c r="E41" s="2082"/>
      <c r="F41" s="2082"/>
      <c r="G41" s="2082"/>
      <c r="H41" s="2082"/>
      <c r="I41" s="2082"/>
      <c r="J41" s="2082"/>
      <c r="K41" s="2082"/>
      <c r="L41" s="2082"/>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c r="AI41" s="2082"/>
      <c r="AJ41" s="2082"/>
      <c r="AK41" s="2082"/>
      <c r="AL41" s="2082"/>
      <c r="AM41" s="2082"/>
      <c r="AN41" s="2091"/>
      <c r="AO41" s="2091"/>
      <c r="AP41" s="2091"/>
      <c r="AQ41" s="2091"/>
      <c r="AR41" s="2091"/>
      <c r="AS41" s="2091"/>
      <c r="AT41" s="2091"/>
      <c r="AU41" s="2091"/>
      <c r="AV41" s="2091"/>
      <c r="AW41" s="2091"/>
      <c r="AX41" s="2091"/>
      <c r="AY41" s="2091"/>
      <c r="AZ41" s="2091"/>
      <c r="BA41" s="2091"/>
      <c r="BB41" s="2091"/>
      <c r="BC41" s="2091"/>
      <c r="BD41" s="1810"/>
      <c r="BE41" s="1810"/>
      <c r="BF41" s="1810"/>
      <c r="BG41" s="1810"/>
      <c r="BH41" s="1810"/>
      <c r="BI41" s="1810"/>
      <c r="BJ41" s="1810"/>
      <c r="BK41" s="1810"/>
      <c r="BL41" s="1810"/>
      <c r="BM41" s="1810"/>
      <c r="BN41" s="2091">
        <f t="shared" si="2"/>
        <v>0</v>
      </c>
      <c r="BO41" s="2091"/>
      <c r="BP41" s="2091"/>
      <c r="BQ41" s="2091"/>
      <c r="BR41" s="2091"/>
      <c r="BS41" s="2091"/>
      <c r="BT41" s="2091"/>
      <c r="BU41" s="2091"/>
      <c r="BV41" s="2091"/>
      <c r="BW41" s="2091"/>
      <c r="BX41" s="2091"/>
      <c r="BY41" s="2091"/>
      <c r="BZ41" s="2091"/>
      <c r="CA41" s="2091"/>
      <c r="CB41" s="2091"/>
      <c r="CC41" s="233"/>
      <c r="CD41" s="233">
        <f t="shared" si="3"/>
        <v>0</v>
      </c>
      <c r="CE41" s="233"/>
      <c r="CF41" s="233"/>
      <c r="CG41" s="233"/>
      <c r="CH41" s="233"/>
    </row>
    <row r="42" spans="1:86" s="234" customFormat="1" hidden="1" x14ac:dyDescent="0.2">
      <c r="A42" s="1810">
        <v>27</v>
      </c>
      <c r="B42" s="1810"/>
      <c r="C42" s="1810"/>
      <c r="D42" s="1810"/>
      <c r="E42" s="2082"/>
      <c r="F42" s="2082"/>
      <c r="G42" s="2082"/>
      <c r="H42" s="2082"/>
      <c r="I42" s="2082"/>
      <c r="J42" s="2082"/>
      <c r="K42" s="2082"/>
      <c r="L42" s="2082"/>
      <c r="M42" s="2082"/>
      <c r="N42" s="2082"/>
      <c r="O42" s="2082"/>
      <c r="P42" s="2082"/>
      <c r="Q42" s="2082"/>
      <c r="R42" s="2082"/>
      <c r="S42" s="2082"/>
      <c r="T42" s="2082"/>
      <c r="U42" s="2082"/>
      <c r="V42" s="2082"/>
      <c r="W42" s="2082"/>
      <c r="X42" s="2082"/>
      <c r="Y42" s="2082"/>
      <c r="Z42" s="2082"/>
      <c r="AA42" s="2082"/>
      <c r="AB42" s="2082"/>
      <c r="AC42" s="2082"/>
      <c r="AD42" s="2082"/>
      <c r="AE42" s="2082"/>
      <c r="AF42" s="2082"/>
      <c r="AG42" s="2082"/>
      <c r="AH42" s="2082"/>
      <c r="AI42" s="2082"/>
      <c r="AJ42" s="2082"/>
      <c r="AK42" s="2082"/>
      <c r="AL42" s="2082"/>
      <c r="AM42" s="2082"/>
      <c r="AN42" s="2091"/>
      <c r="AO42" s="2091"/>
      <c r="AP42" s="2091"/>
      <c r="AQ42" s="2091"/>
      <c r="AR42" s="2091"/>
      <c r="AS42" s="2091"/>
      <c r="AT42" s="2091"/>
      <c r="AU42" s="2091"/>
      <c r="AV42" s="2091"/>
      <c r="AW42" s="2091"/>
      <c r="AX42" s="2091"/>
      <c r="AY42" s="2091"/>
      <c r="AZ42" s="2091"/>
      <c r="BA42" s="2091"/>
      <c r="BB42" s="2091"/>
      <c r="BC42" s="2091"/>
      <c r="BD42" s="1810"/>
      <c r="BE42" s="1810"/>
      <c r="BF42" s="1810"/>
      <c r="BG42" s="1810"/>
      <c r="BH42" s="1810"/>
      <c r="BI42" s="1810"/>
      <c r="BJ42" s="1810"/>
      <c r="BK42" s="1810"/>
      <c r="BL42" s="1810"/>
      <c r="BM42" s="1810"/>
      <c r="BN42" s="2091">
        <f t="shared" si="2"/>
        <v>0</v>
      </c>
      <c r="BO42" s="2091"/>
      <c r="BP42" s="2091"/>
      <c r="BQ42" s="2091"/>
      <c r="BR42" s="2091"/>
      <c r="BS42" s="2091"/>
      <c r="BT42" s="2091"/>
      <c r="BU42" s="2091"/>
      <c r="BV42" s="2091"/>
      <c r="BW42" s="2091"/>
      <c r="BX42" s="2091"/>
      <c r="BY42" s="2091"/>
      <c r="BZ42" s="2091"/>
      <c r="CA42" s="2091"/>
      <c r="CB42" s="2091"/>
      <c r="CC42" s="233"/>
      <c r="CD42" s="233">
        <f t="shared" si="3"/>
        <v>0</v>
      </c>
      <c r="CE42" s="233"/>
      <c r="CF42" s="233"/>
      <c r="CG42" s="233"/>
      <c r="CH42" s="233"/>
    </row>
    <row r="43" spans="1:86" s="234" customFormat="1" hidden="1" x14ac:dyDescent="0.2">
      <c r="A43" s="1810">
        <v>28</v>
      </c>
      <c r="B43" s="1810"/>
      <c r="C43" s="1810"/>
      <c r="D43" s="1810"/>
      <c r="E43" s="2082"/>
      <c r="F43" s="2082"/>
      <c r="G43" s="2082"/>
      <c r="H43" s="2082"/>
      <c r="I43" s="2082"/>
      <c r="J43" s="2082"/>
      <c r="K43" s="2082"/>
      <c r="L43" s="2082"/>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2091"/>
      <c r="AO43" s="2091"/>
      <c r="AP43" s="2091"/>
      <c r="AQ43" s="2091"/>
      <c r="AR43" s="2091"/>
      <c r="AS43" s="2091"/>
      <c r="AT43" s="2091"/>
      <c r="AU43" s="2091"/>
      <c r="AV43" s="2091"/>
      <c r="AW43" s="2091"/>
      <c r="AX43" s="2091"/>
      <c r="AY43" s="2091"/>
      <c r="AZ43" s="2091"/>
      <c r="BA43" s="2091"/>
      <c r="BB43" s="2091"/>
      <c r="BC43" s="2091"/>
      <c r="BD43" s="1810"/>
      <c r="BE43" s="1810"/>
      <c r="BF43" s="1810"/>
      <c r="BG43" s="1810"/>
      <c r="BH43" s="1810"/>
      <c r="BI43" s="1810"/>
      <c r="BJ43" s="1810"/>
      <c r="BK43" s="1810"/>
      <c r="BL43" s="1810"/>
      <c r="BM43" s="1810"/>
      <c r="BN43" s="2091">
        <f t="shared" si="2"/>
        <v>0</v>
      </c>
      <c r="BO43" s="2091"/>
      <c r="BP43" s="2091"/>
      <c r="BQ43" s="2091"/>
      <c r="BR43" s="2091"/>
      <c r="BS43" s="2091"/>
      <c r="BT43" s="2091"/>
      <c r="BU43" s="2091"/>
      <c r="BV43" s="2091"/>
      <c r="BW43" s="2091"/>
      <c r="BX43" s="2091"/>
      <c r="BY43" s="2091"/>
      <c r="BZ43" s="2091"/>
      <c r="CA43" s="2091"/>
      <c r="CB43" s="2091"/>
      <c r="CC43" s="233"/>
      <c r="CD43" s="233">
        <f t="shared" si="3"/>
        <v>0</v>
      </c>
      <c r="CE43" s="233"/>
      <c r="CF43" s="233"/>
      <c r="CG43" s="233"/>
      <c r="CH43" s="233"/>
    </row>
    <row r="44" spans="1:86" s="234" customFormat="1" hidden="1" x14ac:dyDescent="0.2">
      <c r="A44" s="1810">
        <v>29</v>
      </c>
      <c r="B44" s="1810"/>
      <c r="C44" s="1810"/>
      <c r="D44" s="1810"/>
      <c r="E44" s="2082"/>
      <c r="F44" s="2082"/>
      <c r="G44" s="2082"/>
      <c r="H44" s="2082"/>
      <c r="I44" s="2082"/>
      <c r="J44" s="2082"/>
      <c r="K44" s="2082"/>
      <c r="L44" s="2082"/>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c r="AI44" s="2082"/>
      <c r="AJ44" s="2082"/>
      <c r="AK44" s="2082"/>
      <c r="AL44" s="2082"/>
      <c r="AM44" s="2082"/>
      <c r="AN44" s="2091"/>
      <c r="AO44" s="2091"/>
      <c r="AP44" s="2091"/>
      <c r="AQ44" s="2091"/>
      <c r="AR44" s="2091"/>
      <c r="AS44" s="2091"/>
      <c r="AT44" s="2091"/>
      <c r="AU44" s="2091"/>
      <c r="AV44" s="2091"/>
      <c r="AW44" s="2091"/>
      <c r="AX44" s="2091"/>
      <c r="AY44" s="2091"/>
      <c r="AZ44" s="2091"/>
      <c r="BA44" s="2091"/>
      <c r="BB44" s="2091"/>
      <c r="BC44" s="2091"/>
      <c r="BD44" s="1810"/>
      <c r="BE44" s="1810"/>
      <c r="BF44" s="1810"/>
      <c r="BG44" s="1810"/>
      <c r="BH44" s="1810"/>
      <c r="BI44" s="1810"/>
      <c r="BJ44" s="1810"/>
      <c r="BK44" s="1810"/>
      <c r="BL44" s="1810"/>
      <c r="BM44" s="1810"/>
      <c r="BN44" s="2091">
        <f t="shared" si="2"/>
        <v>0</v>
      </c>
      <c r="BO44" s="2091"/>
      <c r="BP44" s="2091"/>
      <c r="BQ44" s="2091"/>
      <c r="BR44" s="2091"/>
      <c r="BS44" s="2091"/>
      <c r="BT44" s="2091"/>
      <c r="BU44" s="2091"/>
      <c r="BV44" s="2091"/>
      <c r="BW44" s="2091"/>
      <c r="BX44" s="2091"/>
      <c r="BY44" s="2091"/>
      <c r="BZ44" s="2091"/>
      <c r="CA44" s="2091"/>
      <c r="CB44" s="2091"/>
      <c r="CC44" s="233"/>
      <c r="CD44" s="233">
        <f t="shared" si="3"/>
        <v>0</v>
      </c>
      <c r="CE44" s="233"/>
      <c r="CF44" s="233"/>
      <c r="CG44" s="233"/>
      <c r="CH44" s="233"/>
    </row>
    <row r="45" spans="1:86" s="234" customFormat="1" hidden="1" x14ac:dyDescent="0.2">
      <c r="A45" s="1810">
        <v>30</v>
      </c>
      <c r="B45" s="1810"/>
      <c r="C45" s="1810"/>
      <c r="D45" s="1810"/>
      <c r="E45" s="2082"/>
      <c r="F45" s="2082"/>
      <c r="G45" s="2082"/>
      <c r="H45" s="2082"/>
      <c r="I45" s="2082"/>
      <c r="J45" s="2082"/>
      <c r="K45" s="2082"/>
      <c r="L45" s="2082"/>
      <c r="M45" s="2082"/>
      <c r="N45" s="2082"/>
      <c r="O45" s="2082"/>
      <c r="P45" s="2082"/>
      <c r="Q45" s="2082"/>
      <c r="R45" s="2082"/>
      <c r="S45" s="2082"/>
      <c r="T45" s="2082"/>
      <c r="U45" s="2082"/>
      <c r="V45" s="2082"/>
      <c r="W45" s="2082"/>
      <c r="X45" s="2082"/>
      <c r="Y45" s="2082"/>
      <c r="Z45" s="2082"/>
      <c r="AA45" s="2082"/>
      <c r="AB45" s="2082"/>
      <c r="AC45" s="2082"/>
      <c r="AD45" s="2082"/>
      <c r="AE45" s="2082"/>
      <c r="AF45" s="2082"/>
      <c r="AG45" s="2082"/>
      <c r="AH45" s="2082"/>
      <c r="AI45" s="2082"/>
      <c r="AJ45" s="2082"/>
      <c r="AK45" s="2082"/>
      <c r="AL45" s="2082"/>
      <c r="AM45" s="2082"/>
      <c r="AN45" s="2091"/>
      <c r="AO45" s="2091"/>
      <c r="AP45" s="2091"/>
      <c r="AQ45" s="2091"/>
      <c r="AR45" s="2091"/>
      <c r="AS45" s="2091"/>
      <c r="AT45" s="2091"/>
      <c r="AU45" s="2091"/>
      <c r="AV45" s="2091"/>
      <c r="AW45" s="2091"/>
      <c r="AX45" s="2091"/>
      <c r="AY45" s="2091"/>
      <c r="AZ45" s="2091"/>
      <c r="BA45" s="2091"/>
      <c r="BB45" s="2091"/>
      <c r="BC45" s="2091"/>
      <c r="BD45" s="1810"/>
      <c r="BE45" s="1810"/>
      <c r="BF45" s="1810"/>
      <c r="BG45" s="1810"/>
      <c r="BH45" s="1810"/>
      <c r="BI45" s="1810"/>
      <c r="BJ45" s="1810"/>
      <c r="BK45" s="1810"/>
      <c r="BL45" s="1810"/>
      <c r="BM45" s="1810"/>
      <c r="BN45" s="2091">
        <f t="shared" si="2"/>
        <v>0</v>
      </c>
      <c r="BO45" s="2091"/>
      <c r="BP45" s="2091"/>
      <c r="BQ45" s="2091"/>
      <c r="BR45" s="2091"/>
      <c r="BS45" s="2091"/>
      <c r="BT45" s="2091"/>
      <c r="BU45" s="2091"/>
      <c r="BV45" s="2091"/>
      <c r="BW45" s="2091"/>
      <c r="BX45" s="2091"/>
      <c r="BY45" s="2091"/>
      <c r="BZ45" s="2091"/>
      <c r="CA45" s="2091"/>
      <c r="CB45" s="2091"/>
      <c r="CC45" s="233"/>
      <c r="CD45" s="233">
        <f t="shared" si="3"/>
        <v>0</v>
      </c>
      <c r="CE45" s="233"/>
      <c r="CF45" s="233"/>
      <c r="CG45" s="233"/>
      <c r="CH45" s="233"/>
    </row>
    <row r="46" spans="1:86" s="234" customFormat="1" hidden="1" x14ac:dyDescent="0.2">
      <c r="A46" s="1810">
        <v>31</v>
      </c>
      <c r="B46" s="1810"/>
      <c r="C46" s="1810"/>
      <c r="D46" s="1810"/>
      <c r="E46" s="2082"/>
      <c r="F46" s="2082"/>
      <c r="G46" s="2082"/>
      <c r="H46" s="2082"/>
      <c r="I46" s="2082"/>
      <c r="J46" s="2082"/>
      <c r="K46" s="2082"/>
      <c r="L46" s="2082"/>
      <c r="M46" s="2082"/>
      <c r="N46" s="2082"/>
      <c r="O46" s="2082"/>
      <c r="P46" s="2082"/>
      <c r="Q46" s="2082"/>
      <c r="R46" s="2082"/>
      <c r="S46" s="2082"/>
      <c r="T46" s="2082"/>
      <c r="U46" s="2082"/>
      <c r="V46" s="2082"/>
      <c r="W46" s="2082"/>
      <c r="X46" s="2082"/>
      <c r="Y46" s="2082"/>
      <c r="Z46" s="2082"/>
      <c r="AA46" s="2082"/>
      <c r="AB46" s="2082"/>
      <c r="AC46" s="2082"/>
      <c r="AD46" s="2082"/>
      <c r="AE46" s="2082"/>
      <c r="AF46" s="2082"/>
      <c r="AG46" s="2082"/>
      <c r="AH46" s="2082"/>
      <c r="AI46" s="2082"/>
      <c r="AJ46" s="2082"/>
      <c r="AK46" s="2082"/>
      <c r="AL46" s="2082"/>
      <c r="AM46" s="2082"/>
      <c r="AN46" s="2091"/>
      <c r="AO46" s="2091"/>
      <c r="AP46" s="2091"/>
      <c r="AQ46" s="2091"/>
      <c r="AR46" s="2091"/>
      <c r="AS46" s="2091"/>
      <c r="AT46" s="2091"/>
      <c r="AU46" s="2091"/>
      <c r="AV46" s="2091"/>
      <c r="AW46" s="2091"/>
      <c r="AX46" s="2091"/>
      <c r="AY46" s="2091"/>
      <c r="AZ46" s="2091"/>
      <c r="BA46" s="2091"/>
      <c r="BB46" s="2091"/>
      <c r="BC46" s="2091"/>
      <c r="BD46" s="1810"/>
      <c r="BE46" s="1810"/>
      <c r="BF46" s="1810"/>
      <c r="BG46" s="1810"/>
      <c r="BH46" s="1810"/>
      <c r="BI46" s="1810"/>
      <c r="BJ46" s="1810"/>
      <c r="BK46" s="1810"/>
      <c r="BL46" s="1810"/>
      <c r="BM46" s="1810"/>
      <c r="BN46" s="2091">
        <f t="shared" si="2"/>
        <v>0</v>
      </c>
      <c r="BO46" s="2091"/>
      <c r="BP46" s="2091"/>
      <c r="BQ46" s="2091"/>
      <c r="BR46" s="2091"/>
      <c r="BS46" s="2091"/>
      <c r="BT46" s="2091"/>
      <c r="BU46" s="2091"/>
      <c r="BV46" s="2091"/>
      <c r="BW46" s="2091"/>
      <c r="BX46" s="2091"/>
      <c r="BY46" s="2091"/>
      <c r="BZ46" s="2091"/>
      <c r="CA46" s="2091"/>
      <c r="CB46" s="2091"/>
      <c r="CC46" s="233"/>
      <c r="CD46" s="233">
        <f t="shared" si="3"/>
        <v>0</v>
      </c>
      <c r="CE46" s="233"/>
      <c r="CF46" s="233"/>
      <c r="CG46" s="233"/>
      <c r="CH46" s="233"/>
    </row>
    <row r="47" spans="1:86" s="234" customFormat="1" hidden="1" x14ac:dyDescent="0.2">
      <c r="A47" s="1810">
        <v>32</v>
      </c>
      <c r="B47" s="1810"/>
      <c r="C47" s="1810"/>
      <c r="D47" s="1810"/>
      <c r="E47" s="2082"/>
      <c r="F47" s="2082"/>
      <c r="G47" s="2082"/>
      <c r="H47" s="2082"/>
      <c r="I47" s="2082"/>
      <c r="J47" s="2082"/>
      <c r="K47" s="2082"/>
      <c r="L47" s="2082"/>
      <c r="M47" s="2082"/>
      <c r="N47" s="2082"/>
      <c r="O47" s="2082"/>
      <c r="P47" s="2082"/>
      <c r="Q47" s="2082"/>
      <c r="R47" s="2082"/>
      <c r="S47" s="2082"/>
      <c r="T47" s="2082"/>
      <c r="U47" s="2082"/>
      <c r="V47" s="2082"/>
      <c r="W47" s="2082"/>
      <c r="X47" s="2082"/>
      <c r="Y47" s="2082"/>
      <c r="Z47" s="2082"/>
      <c r="AA47" s="2082"/>
      <c r="AB47" s="2082"/>
      <c r="AC47" s="2082"/>
      <c r="AD47" s="2082"/>
      <c r="AE47" s="2082"/>
      <c r="AF47" s="2082"/>
      <c r="AG47" s="2082"/>
      <c r="AH47" s="2082"/>
      <c r="AI47" s="2082"/>
      <c r="AJ47" s="2082"/>
      <c r="AK47" s="2082"/>
      <c r="AL47" s="2082"/>
      <c r="AM47" s="2082"/>
      <c r="AN47" s="2091"/>
      <c r="AO47" s="2091"/>
      <c r="AP47" s="2091"/>
      <c r="AQ47" s="2091"/>
      <c r="AR47" s="2091"/>
      <c r="AS47" s="2091"/>
      <c r="AT47" s="2091"/>
      <c r="AU47" s="2091"/>
      <c r="AV47" s="2091"/>
      <c r="AW47" s="2091"/>
      <c r="AX47" s="2091"/>
      <c r="AY47" s="2091"/>
      <c r="AZ47" s="2091"/>
      <c r="BA47" s="2091"/>
      <c r="BB47" s="2091"/>
      <c r="BC47" s="2091"/>
      <c r="BD47" s="1810"/>
      <c r="BE47" s="1810"/>
      <c r="BF47" s="1810"/>
      <c r="BG47" s="1810"/>
      <c r="BH47" s="1810"/>
      <c r="BI47" s="1810"/>
      <c r="BJ47" s="1810"/>
      <c r="BK47" s="1810"/>
      <c r="BL47" s="1810"/>
      <c r="BM47" s="1810"/>
      <c r="BN47" s="2091">
        <f t="shared" si="2"/>
        <v>0</v>
      </c>
      <c r="BO47" s="2091"/>
      <c r="BP47" s="2091"/>
      <c r="BQ47" s="2091"/>
      <c r="BR47" s="2091"/>
      <c r="BS47" s="2091"/>
      <c r="BT47" s="2091"/>
      <c r="BU47" s="2091"/>
      <c r="BV47" s="2091"/>
      <c r="BW47" s="2091"/>
      <c r="BX47" s="2091"/>
      <c r="BY47" s="2091"/>
      <c r="BZ47" s="2091"/>
      <c r="CA47" s="2091"/>
      <c r="CB47" s="2091"/>
      <c r="CC47" s="233"/>
      <c r="CD47" s="233">
        <f t="shared" si="3"/>
        <v>0</v>
      </c>
      <c r="CE47" s="233"/>
      <c r="CF47" s="233"/>
      <c r="CG47" s="233"/>
      <c r="CH47" s="233"/>
    </row>
    <row r="48" spans="1:86" s="29" customFormat="1" x14ac:dyDescent="0.2">
      <c r="A48" s="1831" t="s">
        <v>151</v>
      </c>
      <c r="B48" s="1832"/>
      <c r="C48" s="1832"/>
      <c r="D48" s="1832"/>
      <c r="E48" s="1832"/>
      <c r="F48" s="1832"/>
      <c r="G48" s="1832"/>
      <c r="H48" s="1832"/>
      <c r="I48" s="1832"/>
      <c r="J48" s="1832"/>
      <c r="K48" s="1832"/>
      <c r="L48" s="1832"/>
      <c r="M48" s="1832"/>
      <c r="N48" s="1832"/>
      <c r="O48" s="1832"/>
      <c r="P48" s="1832"/>
      <c r="Q48" s="1832"/>
      <c r="R48" s="1832"/>
      <c r="S48" s="1832"/>
      <c r="T48" s="1832"/>
      <c r="U48" s="1832"/>
      <c r="V48" s="1832"/>
      <c r="W48" s="1832"/>
      <c r="X48" s="1832"/>
      <c r="Y48" s="1832"/>
      <c r="Z48" s="1832"/>
      <c r="AA48" s="1832"/>
      <c r="AB48" s="1832"/>
      <c r="AC48" s="1832"/>
      <c r="AD48" s="1832"/>
      <c r="AE48" s="1832"/>
      <c r="AF48" s="1832"/>
      <c r="AG48" s="1832"/>
      <c r="AH48" s="1832"/>
      <c r="AI48" s="1832"/>
      <c r="AJ48" s="1832"/>
      <c r="AK48" s="1832"/>
      <c r="AL48" s="1832"/>
      <c r="AM48" s="1833"/>
      <c r="AN48" s="1913" t="s">
        <v>3</v>
      </c>
      <c r="AO48" s="1913"/>
      <c r="AP48" s="1913"/>
      <c r="AQ48" s="1913"/>
      <c r="AR48" s="1913"/>
      <c r="AS48" s="1913"/>
      <c r="AT48" s="1913"/>
      <c r="AU48" s="1913"/>
      <c r="AV48" s="1913"/>
      <c r="AW48" s="1913"/>
      <c r="AX48" s="1913"/>
      <c r="AY48" s="1913"/>
      <c r="AZ48" s="1913"/>
      <c r="BA48" s="1913"/>
      <c r="BB48" s="1913"/>
      <c r="BC48" s="1913"/>
      <c r="BD48" s="1913" t="s">
        <v>3</v>
      </c>
      <c r="BE48" s="1913"/>
      <c r="BF48" s="1913"/>
      <c r="BG48" s="1913"/>
      <c r="BH48" s="1913"/>
      <c r="BI48" s="1913"/>
      <c r="BJ48" s="1913"/>
      <c r="BK48" s="1913"/>
      <c r="BL48" s="1913"/>
      <c r="BM48" s="1913"/>
      <c r="BN48" s="2203">
        <f>SUM(CC48:CH48)</f>
        <v>13676.78</v>
      </c>
      <c r="BO48" s="2203"/>
      <c r="BP48" s="2203"/>
      <c r="BQ48" s="2203"/>
      <c r="BR48" s="2203"/>
      <c r="BS48" s="2203"/>
      <c r="BT48" s="2203"/>
      <c r="BU48" s="2203"/>
      <c r="BV48" s="2203"/>
      <c r="BW48" s="2203"/>
      <c r="BX48" s="2203"/>
      <c r="BY48" s="2203"/>
      <c r="BZ48" s="2203"/>
      <c r="CA48" s="2203"/>
      <c r="CB48" s="2203"/>
      <c r="CC48" s="236">
        <f>CC31+CC33</f>
        <v>0</v>
      </c>
      <c r="CD48" s="236">
        <f>SUM(CD31:CD33)</f>
        <v>11452.18</v>
      </c>
      <c r="CE48" s="236"/>
      <c r="CF48" s="236"/>
      <c r="CG48" s="236">
        <f>CG32</f>
        <v>0</v>
      </c>
      <c r="CH48" s="236">
        <f>SUM(CH31:CH33)</f>
        <v>2224.6</v>
      </c>
    </row>
    <row r="51" spans="1:86" s="4" customFormat="1" ht="14.25" customHeight="1" x14ac:dyDescent="0.25">
      <c r="A51" s="19" t="s">
        <v>625</v>
      </c>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row>
    <row r="52" spans="1:86" s="7" customFormat="1" ht="9.75" x14ac:dyDescent="0.2">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row>
    <row r="53" spans="1:86" ht="12.75" customHeight="1" x14ac:dyDescent="0.2">
      <c r="A53" s="1781" t="s">
        <v>38</v>
      </c>
      <c r="B53" s="1925"/>
      <c r="C53" s="1925"/>
      <c r="D53" s="1782"/>
      <c r="E53" s="1818" t="s">
        <v>4</v>
      </c>
      <c r="F53" s="1819"/>
      <c r="G53" s="1819"/>
      <c r="H53" s="1819"/>
      <c r="I53" s="1819"/>
      <c r="J53" s="1819"/>
      <c r="K53" s="1819"/>
      <c r="L53" s="1819"/>
      <c r="M53" s="1819"/>
      <c r="N53" s="1819"/>
      <c r="O53" s="1819"/>
      <c r="P53" s="1819"/>
      <c r="Q53" s="1819"/>
      <c r="R53" s="1819"/>
      <c r="S53" s="1819"/>
      <c r="T53" s="1819"/>
      <c r="U53" s="1819"/>
      <c r="V53" s="1819"/>
      <c r="W53" s="1819"/>
      <c r="X53" s="1819"/>
      <c r="Y53" s="1819"/>
      <c r="Z53" s="1819"/>
      <c r="AA53" s="1819"/>
      <c r="AB53" s="1819"/>
      <c r="AC53" s="1819"/>
      <c r="AD53" s="1819"/>
      <c r="AE53" s="1819"/>
      <c r="AF53" s="1819"/>
      <c r="AG53" s="1819"/>
      <c r="AH53" s="1819"/>
      <c r="AI53" s="1819"/>
      <c r="AJ53" s="1819"/>
      <c r="AK53" s="1819"/>
      <c r="AL53" s="1819"/>
      <c r="AM53" s="1819"/>
      <c r="AN53" s="1820"/>
      <c r="AO53" s="1781" t="s">
        <v>139</v>
      </c>
      <c r="AP53" s="1925"/>
      <c r="AQ53" s="1925"/>
      <c r="AR53" s="1925"/>
      <c r="AS53" s="1925"/>
      <c r="AT53" s="1925"/>
      <c r="AU53" s="1925"/>
      <c r="AV53" s="1925"/>
      <c r="AW53" s="1925"/>
      <c r="AX53" s="1925"/>
      <c r="AY53" s="1925"/>
      <c r="AZ53" s="1925"/>
      <c r="BA53" s="1925"/>
      <c r="BB53" s="1925"/>
      <c r="BC53" s="1782"/>
      <c r="BD53" s="1781" t="s">
        <v>140</v>
      </c>
      <c r="BE53" s="1925"/>
      <c r="BF53" s="1925"/>
      <c r="BG53" s="1925"/>
      <c r="BH53" s="1925"/>
      <c r="BI53" s="1925"/>
      <c r="BJ53" s="1925"/>
      <c r="BK53" s="1925"/>
      <c r="BL53" s="1925"/>
      <c r="BM53" s="1782"/>
      <c r="BN53" s="1781" t="s">
        <v>624</v>
      </c>
      <c r="BO53" s="1925"/>
      <c r="BP53" s="1925"/>
      <c r="BQ53" s="1925"/>
      <c r="BR53" s="1925"/>
      <c r="BS53" s="1925"/>
      <c r="BT53" s="1925"/>
      <c r="BU53" s="1925"/>
      <c r="BV53" s="1925"/>
      <c r="BW53" s="1925"/>
      <c r="BX53" s="1925"/>
      <c r="BY53" s="1925"/>
      <c r="BZ53" s="1925"/>
      <c r="CA53" s="1925"/>
      <c r="CB53" s="1782"/>
      <c r="CC53" s="1797" t="s">
        <v>52</v>
      </c>
      <c r="CD53" s="1798"/>
      <c r="CE53" s="1798"/>
      <c r="CF53" s="1798"/>
      <c r="CG53" s="1798"/>
      <c r="CH53" s="1799"/>
    </row>
    <row r="54" spans="1:86" ht="64.5" customHeight="1" x14ac:dyDescent="0.2">
      <c r="A54" s="1783"/>
      <c r="B54" s="1926"/>
      <c r="C54" s="1926"/>
      <c r="D54" s="1784"/>
      <c r="E54" s="1807"/>
      <c r="F54" s="1808"/>
      <c r="G54" s="1808"/>
      <c r="H54" s="1808"/>
      <c r="I54" s="1808"/>
      <c r="J54" s="1808"/>
      <c r="K54" s="1808"/>
      <c r="L54" s="1808"/>
      <c r="M54" s="1808"/>
      <c r="N54" s="1808"/>
      <c r="O54" s="1808"/>
      <c r="P54" s="1808"/>
      <c r="Q54" s="1808"/>
      <c r="R54" s="1808"/>
      <c r="S54" s="1808"/>
      <c r="T54" s="1808"/>
      <c r="U54" s="1808"/>
      <c r="V54" s="1808"/>
      <c r="W54" s="1808"/>
      <c r="X54" s="1808"/>
      <c r="Y54" s="1808"/>
      <c r="Z54" s="1808"/>
      <c r="AA54" s="1808"/>
      <c r="AB54" s="1808"/>
      <c r="AC54" s="1808"/>
      <c r="AD54" s="1808"/>
      <c r="AE54" s="1808"/>
      <c r="AF54" s="1808"/>
      <c r="AG54" s="1808"/>
      <c r="AH54" s="1808"/>
      <c r="AI54" s="1808"/>
      <c r="AJ54" s="1808"/>
      <c r="AK54" s="1808"/>
      <c r="AL54" s="1808"/>
      <c r="AM54" s="1808"/>
      <c r="AN54" s="1809"/>
      <c r="AO54" s="1783"/>
      <c r="AP54" s="1926"/>
      <c r="AQ54" s="1926"/>
      <c r="AR54" s="1926"/>
      <c r="AS54" s="1926"/>
      <c r="AT54" s="1926"/>
      <c r="AU54" s="1926"/>
      <c r="AV54" s="1926"/>
      <c r="AW54" s="1926"/>
      <c r="AX54" s="1926"/>
      <c r="AY54" s="1926"/>
      <c r="AZ54" s="1926"/>
      <c r="BA54" s="1926"/>
      <c r="BB54" s="1926"/>
      <c r="BC54" s="1784"/>
      <c r="BD54" s="1783"/>
      <c r="BE54" s="1926"/>
      <c r="BF54" s="1926"/>
      <c r="BG54" s="1926"/>
      <c r="BH54" s="1926"/>
      <c r="BI54" s="1926"/>
      <c r="BJ54" s="1926"/>
      <c r="BK54" s="1926"/>
      <c r="BL54" s="1926"/>
      <c r="BM54" s="1784"/>
      <c r="BN54" s="1783"/>
      <c r="BO54" s="1926"/>
      <c r="BP54" s="1926"/>
      <c r="BQ54" s="1926"/>
      <c r="BR54" s="1926"/>
      <c r="BS54" s="1926"/>
      <c r="BT54" s="1926"/>
      <c r="BU54" s="1926"/>
      <c r="BV54" s="1926"/>
      <c r="BW54" s="1926"/>
      <c r="BX54" s="1926"/>
      <c r="BY54" s="1926"/>
      <c r="BZ54" s="1926"/>
      <c r="CA54" s="1926"/>
      <c r="CB54" s="1784"/>
      <c r="CC54" s="1788" t="s">
        <v>35</v>
      </c>
      <c r="CD54" s="1789"/>
      <c r="CE54" s="1788" t="s">
        <v>45</v>
      </c>
      <c r="CF54" s="1790"/>
      <c r="CG54" s="1789"/>
      <c r="CH54" s="1778" t="s">
        <v>46</v>
      </c>
    </row>
    <row r="55" spans="1:86" ht="12.75" customHeight="1" x14ac:dyDescent="0.2">
      <c r="A55" s="1783"/>
      <c r="B55" s="1926"/>
      <c r="C55" s="1926"/>
      <c r="D55" s="1784"/>
      <c r="E55" s="1807"/>
      <c r="F55" s="1808"/>
      <c r="G55" s="1808"/>
      <c r="H55" s="1808"/>
      <c r="I55" s="1808"/>
      <c r="J55" s="1808"/>
      <c r="K55" s="1808"/>
      <c r="L55" s="1808"/>
      <c r="M55" s="1808"/>
      <c r="N55" s="1808"/>
      <c r="O55" s="1808"/>
      <c r="P55" s="1808"/>
      <c r="Q55" s="1808"/>
      <c r="R55" s="1808"/>
      <c r="S55" s="1808"/>
      <c r="T55" s="1808"/>
      <c r="U55" s="1808"/>
      <c r="V55" s="1808"/>
      <c r="W55" s="1808"/>
      <c r="X55" s="1808"/>
      <c r="Y55" s="1808"/>
      <c r="Z55" s="1808"/>
      <c r="AA55" s="1808"/>
      <c r="AB55" s="1808"/>
      <c r="AC55" s="1808"/>
      <c r="AD55" s="1808"/>
      <c r="AE55" s="1808"/>
      <c r="AF55" s="1808"/>
      <c r="AG55" s="1808"/>
      <c r="AH55" s="1808"/>
      <c r="AI55" s="1808"/>
      <c r="AJ55" s="1808"/>
      <c r="AK55" s="1808"/>
      <c r="AL55" s="1808"/>
      <c r="AM55" s="1808"/>
      <c r="AN55" s="1809"/>
      <c r="AO55" s="1783"/>
      <c r="AP55" s="1926"/>
      <c r="AQ55" s="1926"/>
      <c r="AR55" s="1926"/>
      <c r="AS55" s="1926"/>
      <c r="AT55" s="1926"/>
      <c r="AU55" s="1926"/>
      <c r="AV55" s="1926"/>
      <c r="AW55" s="1926"/>
      <c r="AX55" s="1926"/>
      <c r="AY55" s="1926"/>
      <c r="AZ55" s="1926"/>
      <c r="BA55" s="1926"/>
      <c r="BB55" s="1926"/>
      <c r="BC55" s="1784"/>
      <c r="BD55" s="1783"/>
      <c r="BE55" s="1926"/>
      <c r="BF55" s="1926"/>
      <c r="BG55" s="1926"/>
      <c r="BH55" s="1926"/>
      <c r="BI55" s="1926"/>
      <c r="BJ55" s="1926"/>
      <c r="BK55" s="1926"/>
      <c r="BL55" s="1926"/>
      <c r="BM55" s="1784"/>
      <c r="BN55" s="1783"/>
      <c r="BO55" s="1926"/>
      <c r="BP55" s="1926"/>
      <c r="BQ55" s="1926"/>
      <c r="BR55" s="1926"/>
      <c r="BS55" s="1926"/>
      <c r="BT55" s="1926"/>
      <c r="BU55" s="1926"/>
      <c r="BV55" s="1926"/>
      <c r="BW55" s="1926"/>
      <c r="BX55" s="1926"/>
      <c r="BY55" s="1926"/>
      <c r="BZ55" s="1926"/>
      <c r="CA55" s="1926"/>
      <c r="CB55" s="1784"/>
      <c r="CC55" s="1812" t="s">
        <v>43</v>
      </c>
      <c r="CD55" s="1812" t="s">
        <v>44</v>
      </c>
      <c r="CE55" s="1812" t="s">
        <v>55</v>
      </c>
      <c r="CF55" s="1812" t="s">
        <v>43</v>
      </c>
      <c r="CG55" s="1812" t="s">
        <v>44</v>
      </c>
      <c r="CH55" s="1779"/>
    </row>
    <row r="56" spans="1:86" x14ac:dyDescent="0.2">
      <c r="A56" s="1785"/>
      <c r="B56" s="1927"/>
      <c r="C56" s="1927"/>
      <c r="D56" s="1786"/>
      <c r="E56" s="1814"/>
      <c r="F56" s="1815"/>
      <c r="G56" s="1815"/>
      <c r="H56" s="1815"/>
      <c r="I56" s="1815"/>
      <c r="J56" s="1815"/>
      <c r="K56" s="1815"/>
      <c r="L56" s="1815"/>
      <c r="M56" s="1815"/>
      <c r="N56" s="1815"/>
      <c r="O56" s="1815"/>
      <c r="P56" s="1815"/>
      <c r="Q56" s="1815"/>
      <c r="R56" s="1815"/>
      <c r="S56" s="1815"/>
      <c r="T56" s="1815"/>
      <c r="U56" s="1815"/>
      <c r="V56" s="1815"/>
      <c r="W56" s="1815"/>
      <c r="X56" s="1815"/>
      <c r="Y56" s="1815"/>
      <c r="Z56" s="1815"/>
      <c r="AA56" s="1815"/>
      <c r="AB56" s="1815"/>
      <c r="AC56" s="1815"/>
      <c r="AD56" s="1815"/>
      <c r="AE56" s="1815"/>
      <c r="AF56" s="1815"/>
      <c r="AG56" s="1815"/>
      <c r="AH56" s="1815"/>
      <c r="AI56" s="1815"/>
      <c r="AJ56" s="1815"/>
      <c r="AK56" s="1815"/>
      <c r="AL56" s="1815"/>
      <c r="AM56" s="1815"/>
      <c r="AN56" s="1816"/>
      <c r="AO56" s="1785"/>
      <c r="AP56" s="1927"/>
      <c r="AQ56" s="1927"/>
      <c r="AR56" s="1927"/>
      <c r="AS56" s="1927"/>
      <c r="AT56" s="1927"/>
      <c r="AU56" s="1927"/>
      <c r="AV56" s="1927"/>
      <c r="AW56" s="1927"/>
      <c r="AX56" s="1927"/>
      <c r="AY56" s="1927"/>
      <c r="AZ56" s="1927"/>
      <c r="BA56" s="1927"/>
      <c r="BB56" s="1927"/>
      <c r="BC56" s="1786"/>
      <c r="BD56" s="1785"/>
      <c r="BE56" s="1927"/>
      <c r="BF56" s="1927"/>
      <c r="BG56" s="1927"/>
      <c r="BH56" s="1927"/>
      <c r="BI56" s="1927"/>
      <c r="BJ56" s="1927"/>
      <c r="BK56" s="1927"/>
      <c r="BL56" s="1927"/>
      <c r="BM56" s="1786"/>
      <c r="BN56" s="1785"/>
      <c r="BO56" s="1927"/>
      <c r="BP56" s="1927"/>
      <c r="BQ56" s="1927"/>
      <c r="BR56" s="1927"/>
      <c r="BS56" s="1927"/>
      <c r="BT56" s="1927"/>
      <c r="BU56" s="1927"/>
      <c r="BV56" s="1927"/>
      <c r="BW56" s="1927"/>
      <c r="BX56" s="1927"/>
      <c r="BY56" s="1927"/>
      <c r="BZ56" s="1927"/>
      <c r="CA56" s="1927"/>
      <c r="CB56" s="1786"/>
      <c r="CC56" s="1813"/>
      <c r="CD56" s="1813"/>
      <c r="CE56" s="1813"/>
      <c r="CF56" s="1813"/>
      <c r="CG56" s="1813"/>
      <c r="CH56" s="1780"/>
    </row>
    <row r="57" spans="1:86" x14ac:dyDescent="0.2">
      <c r="A57" s="1770">
        <v>1</v>
      </c>
      <c r="B57" s="1787"/>
      <c r="C57" s="1787"/>
      <c r="D57" s="1771"/>
      <c r="E57" s="1770">
        <v>2</v>
      </c>
      <c r="F57" s="1787"/>
      <c r="G57" s="1787"/>
      <c r="H57" s="1787"/>
      <c r="I57" s="1787"/>
      <c r="J57" s="1787"/>
      <c r="K57" s="1787"/>
      <c r="L57" s="1787"/>
      <c r="M57" s="1787"/>
      <c r="N57" s="1787"/>
      <c r="O57" s="1787"/>
      <c r="P57" s="1787"/>
      <c r="Q57" s="1787"/>
      <c r="R57" s="1787"/>
      <c r="S57" s="1787"/>
      <c r="T57" s="1787"/>
      <c r="U57" s="1787"/>
      <c r="V57" s="1787"/>
      <c r="W57" s="1787"/>
      <c r="X57" s="1787"/>
      <c r="Y57" s="1787"/>
      <c r="Z57" s="1787"/>
      <c r="AA57" s="1787"/>
      <c r="AB57" s="1787"/>
      <c r="AC57" s="1787"/>
      <c r="AD57" s="1787"/>
      <c r="AE57" s="1787"/>
      <c r="AF57" s="1787"/>
      <c r="AG57" s="1787"/>
      <c r="AH57" s="1787"/>
      <c r="AI57" s="1787"/>
      <c r="AJ57" s="1787"/>
      <c r="AK57" s="1787"/>
      <c r="AL57" s="1787"/>
      <c r="AM57" s="1787"/>
      <c r="AN57" s="1771"/>
      <c r="AO57" s="1770">
        <v>3</v>
      </c>
      <c r="AP57" s="1787"/>
      <c r="AQ57" s="1787"/>
      <c r="AR57" s="1787"/>
      <c r="AS57" s="1787"/>
      <c r="AT57" s="1787"/>
      <c r="AU57" s="1787"/>
      <c r="AV57" s="1787"/>
      <c r="AW57" s="1787"/>
      <c r="AX57" s="1787"/>
      <c r="AY57" s="1787"/>
      <c r="AZ57" s="1787"/>
      <c r="BA57" s="1787"/>
      <c r="BB57" s="1787"/>
      <c r="BC57" s="1771"/>
      <c r="BD57" s="1770">
        <v>4</v>
      </c>
      <c r="BE57" s="1787"/>
      <c r="BF57" s="1787"/>
      <c r="BG57" s="1787"/>
      <c r="BH57" s="1787"/>
      <c r="BI57" s="1787"/>
      <c r="BJ57" s="1787"/>
      <c r="BK57" s="1787"/>
      <c r="BL57" s="1787"/>
      <c r="BM57" s="1771"/>
      <c r="BN57" s="1770" t="s">
        <v>49</v>
      </c>
      <c r="BO57" s="1787"/>
      <c r="BP57" s="1787"/>
      <c r="BQ57" s="1787"/>
      <c r="BR57" s="1787"/>
      <c r="BS57" s="1787"/>
      <c r="BT57" s="1787"/>
      <c r="BU57" s="1787"/>
      <c r="BV57" s="1787"/>
      <c r="BW57" s="1787"/>
      <c r="BX57" s="1787"/>
      <c r="BY57" s="1787"/>
      <c r="BZ57" s="1787"/>
      <c r="CA57" s="1787"/>
      <c r="CB57" s="1771"/>
      <c r="CC57" s="15">
        <v>6</v>
      </c>
      <c r="CD57" s="15">
        <v>7</v>
      </c>
      <c r="CE57" s="15">
        <v>8</v>
      </c>
      <c r="CF57" s="15">
        <v>9</v>
      </c>
      <c r="CG57" s="15">
        <v>10</v>
      </c>
      <c r="CH57" s="15">
        <v>11</v>
      </c>
    </row>
    <row r="58" spans="1:86" s="137" customFormat="1" ht="34.5" customHeight="1" x14ac:dyDescent="0.2">
      <c r="A58" s="1770">
        <v>1</v>
      </c>
      <c r="B58" s="1787"/>
      <c r="C58" s="1787"/>
      <c r="D58" s="1771"/>
      <c r="E58" s="1772" t="s">
        <v>703</v>
      </c>
      <c r="F58" s="1882"/>
      <c r="G58" s="1882"/>
      <c r="H58" s="1882"/>
      <c r="I58" s="1882"/>
      <c r="J58" s="1882"/>
      <c r="K58" s="1882"/>
      <c r="L58" s="1882"/>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c r="AN58" s="1773"/>
      <c r="AO58" s="2060">
        <f t="shared" ref="AO58:AO64" si="4">BN58/BD58</f>
        <v>166509.20000000001</v>
      </c>
      <c r="AP58" s="2061"/>
      <c r="AQ58" s="2061"/>
      <c r="AR58" s="2061"/>
      <c r="AS58" s="2061"/>
      <c r="AT58" s="2061"/>
      <c r="AU58" s="2061"/>
      <c r="AV58" s="2061"/>
      <c r="AW58" s="2061"/>
      <c r="AX58" s="2061"/>
      <c r="AY58" s="2061"/>
      <c r="AZ58" s="2061"/>
      <c r="BA58" s="2061"/>
      <c r="BB58" s="2061"/>
      <c r="BC58" s="2062"/>
      <c r="BD58" s="2079">
        <v>1</v>
      </c>
      <c r="BE58" s="2080"/>
      <c r="BF58" s="2080"/>
      <c r="BG58" s="2080"/>
      <c r="BH58" s="2080"/>
      <c r="BI58" s="2080"/>
      <c r="BJ58" s="2080"/>
      <c r="BK58" s="2080"/>
      <c r="BL58" s="2080"/>
      <c r="BM58" s="2081"/>
      <c r="BN58" s="2060">
        <f>CC58+CD58+CH58</f>
        <v>166509.20000000001</v>
      </c>
      <c r="BO58" s="2061"/>
      <c r="BP58" s="2061"/>
      <c r="BQ58" s="2061"/>
      <c r="BR58" s="2061"/>
      <c r="BS58" s="2061"/>
      <c r="BT58" s="2061"/>
      <c r="BU58" s="2061"/>
      <c r="BV58" s="2061"/>
      <c r="BW58" s="2061"/>
      <c r="BX58" s="2061"/>
      <c r="BY58" s="2061"/>
      <c r="BZ58" s="2061"/>
      <c r="CA58" s="2061"/>
      <c r="CB58" s="2062"/>
      <c r="CC58" s="138"/>
      <c r="CD58" s="138">
        <v>121077.24</v>
      </c>
      <c r="CE58" s="138"/>
      <c r="CF58" s="138"/>
      <c r="CG58" s="138"/>
      <c r="CH58" s="138">
        <v>45431.96</v>
      </c>
    </row>
    <row r="59" spans="1:86" s="137" customFormat="1" ht="36" customHeight="1" x14ac:dyDescent="0.2">
      <c r="A59" s="1770">
        <v>2</v>
      </c>
      <c r="B59" s="1787"/>
      <c r="C59" s="1787"/>
      <c r="D59" s="1771"/>
      <c r="E59" s="1772" t="s">
        <v>704</v>
      </c>
      <c r="F59" s="1882"/>
      <c r="G59" s="1882"/>
      <c r="H59" s="1882"/>
      <c r="I59" s="1882"/>
      <c r="J59" s="1882"/>
      <c r="K59" s="1882"/>
      <c r="L59" s="1882"/>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c r="AN59" s="1773"/>
      <c r="AO59" s="2060">
        <f t="shared" si="4"/>
        <v>64474.63</v>
      </c>
      <c r="AP59" s="2061"/>
      <c r="AQ59" s="2061"/>
      <c r="AR59" s="2061"/>
      <c r="AS59" s="2061"/>
      <c r="AT59" s="2061"/>
      <c r="AU59" s="2061"/>
      <c r="AV59" s="2061"/>
      <c r="AW59" s="2061"/>
      <c r="AX59" s="2061"/>
      <c r="AY59" s="2061"/>
      <c r="AZ59" s="2061"/>
      <c r="BA59" s="2061"/>
      <c r="BB59" s="2061"/>
      <c r="BC59" s="2062"/>
      <c r="BD59" s="2079">
        <v>1</v>
      </c>
      <c r="BE59" s="2080"/>
      <c r="BF59" s="2080"/>
      <c r="BG59" s="2080"/>
      <c r="BH59" s="2080"/>
      <c r="BI59" s="2080"/>
      <c r="BJ59" s="2080"/>
      <c r="BK59" s="2080"/>
      <c r="BL59" s="2080"/>
      <c r="BM59" s="2081"/>
      <c r="BN59" s="2060">
        <f>CD59+CH59+CC59</f>
        <v>64474.63</v>
      </c>
      <c r="BO59" s="2061"/>
      <c r="BP59" s="2061"/>
      <c r="BQ59" s="2061"/>
      <c r="BR59" s="2061"/>
      <c r="BS59" s="2061"/>
      <c r="BT59" s="2061"/>
      <c r="BU59" s="2061"/>
      <c r="BV59" s="2061"/>
      <c r="BW59" s="2061"/>
      <c r="BX59" s="2061"/>
      <c r="BY59" s="2061"/>
      <c r="BZ59" s="2061"/>
      <c r="CA59" s="2061"/>
      <c r="CB59" s="2062"/>
      <c r="CC59" s="138"/>
      <c r="CD59" s="138">
        <v>53987.5</v>
      </c>
      <c r="CE59" s="138"/>
      <c r="CF59" s="138"/>
      <c r="CG59" s="138"/>
      <c r="CH59" s="138">
        <v>10487.13</v>
      </c>
    </row>
    <row r="60" spans="1:86" s="137" customFormat="1" ht="39.75" customHeight="1" x14ac:dyDescent="0.2">
      <c r="A60" s="1770">
        <v>3</v>
      </c>
      <c r="B60" s="1787"/>
      <c r="C60" s="1787"/>
      <c r="D60" s="1771"/>
      <c r="E60" s="1772" t="s">
        <v>712</v>
      </c>
      <c r="F60" s="1882"/>
      <c r="G60" s="1882"/>
      <c r="H60" s="1882"/>
      <c r="I60" s="1882"/>
      <c r="J60" s="1882"/>
      <c r="K60" s="1882"/>
      <c r="L60" s="1882"/>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c r="AN60" s="1773"/>
      <c r="AO60" s="2060">
        <f t="shared" si="4"/>
        <v>29901.75</v>
      </c>
      <c r="AP60" s="2061"/>
      <c r="AQ60" s="2061"/>
      <c r="AR60" s="2061"/>
      <c r="AS60" s="2061"/>
      <c r="AT60" s="2061"/>
      <c r="AU60" s="2061"/>
      <c r="AV60" s="2061"/>
      <c r="AW60" s="2061"/>
      <c r="AX60" s="2061"/>
      <c r="AY60" s="2061"/>
      <c r="AZ60" s="2061"/>
      <c r="BA60" s="2061"/>
      <c r="BB60" s="2061"/>
      <c r="BC60" s="2062"/>
      <c r="BD60" s="2079">
        <v>1</v>
      </c>
      <c r="BE60" s="2080"/>
      <c r="BF60" s="2080"/>
      <c r="BG60" s="2080"/>
      <c r="BH60" s="2080"/>
      <c r="BI60" s="2080"/>
      <c r="BJ60" s="2080"/>
      <c r="BK60" s="2080"/>
      <c r="BL60" s="2080"/>
      <c r="BM60" s="2081"/>
      <c r="BN60" s="2060">
        <f>CC60+CD60</f>
        <v>29901.75</v>
      </c>
      <c r="BO60" s="2061"/>
      <c r="BP60" s="2061"/>
      <c r="BQ60" s="2061"/>
      <c r="BR60" s="2061"/>
      <c r="BS60" s="2061"/>
      <c r="BT60" s="2061"/>
      <c r="BU60" s="2061"/>
      <c r="BV60" s="2061"/>
      <c r="BW60" s="2061"/>
      <c r="BX60" s="2061"/>
      <c r="BY60" s="2061"/>
      <c r="BZ60" s="2061"/>
      <c r="CA60" s="2061"/>
      <c r="CB60" s="2062"/>
      <c r="CC60" s="138"/>
      <c r="CD60" s="138">
        <v>29901.75</v>
      </c>
      <c r="CE60" s="138"/>
      <c r="CF60" s="138"/>
      <c r="CG60" s="138"/>
      <c r="CH60" s="138"/>
    </row>
    <row r="61" spans="1:86" s="137" customFormat="1" ht="30" hidden="1" customHeight="1" x14ac:dyDescent="0.2">
      <c r="A61" s="1770">
        <v>4</v>
      </c>
      <c r="B61" s="1787"/>
      <c r="C61" s="1787"/>
      <c r="D61" s="1771"/>
      <c r="E61" s="1772" t="s">
        <v>705</v>
      </c>
      <c r="F61" s="1882"/>
      <c r="G61" s="1882"/>
      <c r="H61" s="1882"/>
      <c r="I61" s="1882"/>
      <c r="J61" s="1882"/>
      <c r="K61" s="1882"/>
      <c r="L61" s="1882"/>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c r="AN61" s="1773"/>
      <c r="AO61" s="2060">
        <f>BN61/BD61</f>
        <v>0</v>
      </c>
      <c r="AP61" s="2061"/>
      <c r="AQ61" s="2061"/>
      <c r="AR61" s="2061"/>
      <c r="AS61" s="2061"/>
      <c r="AT61" s="2061"/>
      <c r="AU61" s="2061"/>
      <c r="AV61" s="2061"/>
      <c r="AW61" s="2061"/>
      <c r="AX61" s="2061"/>
      <c r="AY61" s="2061"/>
      <c r="AZ61" s="2061"/>
      <c r="BA61" s="2061"/>
      <c r="BB61" s="2061"/>
      <c r="BC61" s="2062"/>
      <c r="BD61" s="2079">
        <v>1</v>
      </c>
      <c r="BE61" s="2080"/>
      <c r="BF61" s="2080"/>
      <c r="BG61" s="2080"/>
      <c r="BH61" s="2080"/>
      <c r="BI61" s="2080"/>
      <c r="BJ61" s="2080"/>
      <c r="BK61" s="2080"/>
      <c r="BL61" s="2080"/>
      <c r="BM61" s="2081"/>
      <c r="BN61" s="2060">
        <f>CH61</f>
        <v>0</v>
      </c>
      <c r="BO61" s="2061"/>
      <c r="BP61" s="2061"/>
      <c r="BQ61" s="2061"/>
      <c r="BR61" s="2061"/>
      <c r="BS61" s="2061"/>
      <c r="BT61" s="2061"/>
      <c r="BU61" s="2061"/>
      <c r="BV61" s="2061"/>
      <c r="BW61" s="2061"/>
      <c r="BX61" s="2061"/>
      <c r="BY61" s="2061"/>
      <c r="BZ61" s="2061"/>
      <c r="CA61" s="2061"/>
      <c r="CB61" s="2062"/>
      <c r="CC61" s="138"/>
      <c r="CD61" s="138"/>
      <c r="CE61" s="138"/>
      <c r="CF61" s="138"/>
      <c r="CG61" s="138"/>
      <c r="CH61" s="138"/>
    </row>
    <row r="62" spans="1:86" s="137" customFormat="1" ht="25.5" customHeight="1" x14ac:dyDescent="0.2">
      <c r="A62" s="1770">
        <v>4</v>
      </c>
      <c r="B62" s="1787"/>
      <c r="C62" s="1787"/>
      <c r="D62" s="1771"/>
      <c r="E62" s="1772" t="s">
        <v>698</v>
      </c>
      <c r="F62" s="1882"/>
      <c r="G62" s="1882"/>
      <c r="H62" s="1882"/>
      <c r="I62" s="1882"/>
      <c r="J62" s="1882"/>
      <c r="K62" s="1882"/>
      <c r="L62" s="1882"/>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c r="AN62" s="1773"/>
      <c r="AO62" s="2060">
        <f t="shared" si="4"/>
        <v>8096.16</v>
      </c>
      <c r="AP62" s="2061"/>
      <c r="AQ62" s="2061"/>
      <c r="AR62" s="2061"/>
      <c r="AS62" s="2061"/>
      <c r="AT62" s="2061"/>
      <c r="AU62" s="2061"/>
      <c r="AV62" s="2061"/>
      <c r="AW62" s="2061"/>
      <c r="AX62" s="2061"/>
      <c r="AY62" s="2061"/>
      <c r="AZ62" s="2061"/>
      <c r="BA62" s="2061"/>
      <c r="BB62" s="2061"/>
      <c r="BC62" s="2062"/>
      <c r="BD62" s="2079">
        <v>1</v>
      </c>
      <c r="BE62" s="2080"/>
      <c r="BF62" s="2080"/>
      <c r="BG62" s="2080"/>
      <c r="BH62" s="2080"/>
      <c r="BI62" s="2080"/>
      <c r="BJ62" s="2080"/>
      <c r="BK62" s="2080"/>
      <c r="BL62" s="2080"/>
      <c r="BM62" s="2081"/>
      <c r="BN62" s="2060">
        <f>CD62+CH62+CC62+CG62</f>
        <v>8096.16</v>
      </c>
      <c r="BO62" s="2061"/>
      <c r="BP62" s="2061"/>
      <c r="BQ62" s="2061"/>
      <c r="BR62" s="2061"/>
      <c r="BS62" s="2061"/>
      <c r="BT62" s="2061"/>
      <c r="BU62" s="2061"/>
      <c r="BV62" s="2061"/>
      <c r="BW62" s="2061"/>
      <c r="BX62" s="2061"/>
      <c r="BY62" s="2061"/>
      <c r="BZ62" s="2061"/>
      <c r="CA62" s="2061"/>
      <c r="CB62" s="2062"/>
      <c r="CC62" s="138"/>
      <c r="CD62" s="138">
        <v>6779.28</v>
      </c>
      <c r="CE62" s="138"/>
      <c r="CF62" s="138"/>
      <c r="CG62" s="138"/>
      <c r="CH62" s="138">
        <v>1316.88</v>
      </c>
    </row>
    <row r="63" spans="1:86" s="234" customFormat="1" ht="29.25" customHeight="1" x14ac:dyDescent="0.2">
      <c r="A63" s="1810">
        <v>5</v>
      </c>
      <c r="B63" s="1810"/>
      <c r="C63" s="1810"/>
      <c r="D63" s="1810"/>
      <c r="E63" s="1772" t="s">
        <v>713</v>
      </c>
      <c r="F63" s="1882"/>
      <c r="G63" s="1882"/>
      <c r="H63" s="1882"/>
      <c r="I63" s="1882"/>
      <c r="J63" s="1882"/>
      <c r="K63" s="1882"/>
      <c r="L63" s="1882"/>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c r="AN63" s="1882"/>
      <c r="AO63" s="2091">
        <f>BN63</f>
        <v>16458.599999999999</v>
      </c>
      <c r="AP63" s="2091"/>
      <c r="AQ63" s="2091"/>
      <c r="AR63" s="2091"/>
      <c r="AS63" s="2091"/>
      <c r="AT63" s="2091"/>
      <c r="AU63" s="2091"/>
      <c r="AV63" s="2091"/>
      <c r="AW63" s="2091"/>
      <c r="AX63" s="2091"/>
      <c r="AY63" s="2091"/>
      <c r="AZ63" s="2091"/>
      <c r="BA63" s="2091"/>
      <c r="BB63" s="2091"/>
      <c r="BC63" s="2091"/>
      <c r="BD63" s="1810">
        <v>1</v>
      </c>
      <c r="BE63" s="1810"/>
      <c r="BF63" s="1810"/>
      <c r="BG63" s="1810"/>
      <c r="BH63" s="1810"/>
      <c r="BI63" s="1810"/>
      <c r="BJ63" s="1810"/>
      <c r="BK63" s="1810"/>
      <c r="BL63" s="1810"/>
      <c r="BM63" s="1810"/>
      <c r="BN63" s="2091">
        <f>CD63+CH63+CC63</f>
        <v>16458.599999999999</v>
      </c>
      <c r="BO63" s="2091"/>
      <c r="BP63" s="2091"/>
      <c r="BQ63" s="2091"/>
      <c r="BR63" s="2091"/>
      <c r="BS63" s="2091"/>
      <c r="BT63" s="2091"/>
      <c r="BU63" s="2091"/>
      <c r="BV63" s="2091"/>
      <c r="BW63" s="2091"/>
      <c r="BX63" s="2091"/>
      <c r="BY63" s="2091"/>
      <c r="BZ63" s="2091"/>
      <c r="CA63" s="2091"/>
      <c r="CB63" s="2091"/>
      <c r="CC63" s="233"/>
      <c r="CD63" s="233">
        <v>13781.52</v>
      </c>
      <c r="CE63" s="233"/>
      <c r="CF63" s="233"/>
      <c r="CG63" s="233"/>
      <c r="CH63" s="233">
        <v>2677.08</v>
      </c>
    </row>
    <row r="64" spans="1:86" s="137" customFormat="1" ht="42.75" customHeight="1" x14ac:dyDescent="0.2">
      <c r="A64" s="1770">
        <v>6</v>
      </c>
      <c r="B64" s="1787"/>
      <c r="C64" s="1787"/>
      <c r="D64" s="1771"/>
      <c r="E64" s="1772" t="s">
        <v>706</v>
      </c>
      <c r="F64" s="1882"/>
      <c r="G64" s="1882"/>
      <c r="H64" s="1882"/>
      <c r="I64" s="1882"/>
      <c r="J64" s="1882"/>
      <c r="K64" s="1882"/>
      <c r="L64" s="1882"/>
      <c r="M64" s="1882"/>
      <c r="N64" s="1882"/>
      <c r="O64" s="1882"/>
      <c r="P64" s="1882"/>
      <c r="Q64" s="1882"/>
      <c r="R64" s="1882"/>
      <c r="S64" s="1882"/>
      <c r="T64" s="1882"/>
      <c r="U64" s="1882"/>
      <c r="V64" s="1882"/>
      <c r="W64" s="1882"/>
      <c r="X64" s="1882"/>
      <c r="Y64" s="1882"/>
      <c r="Z64" s="1882"/>
      <c r="AA64" s="1882"/>
      <c r="AB64" s="1882"/>
      <c r="AC64" s="1882"/>
      <c r="AD64" s="1882"/>
      <c r="AE64" s="1882"/>
      <c r="AF64" s="1882"/>
      <c r="AG64" s="1882"/>
      <c r="AH64" s="1882"/>
      <c r="AI64" s="1882"/>
      <c r="AJ64" s="1882"/>
      <c r="AK64" s="1882"/>
      <c r="AL64" s="1882"/>
      <c r="AM64" s="1882"/>
      <c r="AN64" s="1773"/>
      <c r="AO64" s="2060">
        <f t="shared" si="4"/>
        <v>793.18999999999994</v>
      </c>
      <c r="AP64" s="2061"/>
      <c r="AQ64" s="2061"/>
      <c r="AR64" s="2061"/>
      <c r="AS64" s="2061"/>
      <c r="AT64" s="2061"/>
      <c r="AU64" s="2061"/>
      <c r="AV64" s="2061"/>
      <c r="AW64" s="2061"/>
      <c r="AX64" s="2061"/>
      <c r="AY64" s="2061"/>
      <c r="AZ64" s="2061"/>
      <c r="BA64" s="2061"/>
      <c r="BB64" s="2061"/>
      <c r="BC64" s="2062"/>
      <c r="BD64" s="2079">
        <v>1</v>
      </c>
      <c r="BE64" s="2080"/>
      <c r="BF64" s="2080"/>
      <c r="BG64" s="2080"/>
      <c r="BH64" s="2080"/>
      <c r="BI64" s="2080"/>
      <c r="BJ64" s="2080"/>
      <c r="BK64" s="2080"/>
      <c r="BL64" s="2080"/>
      <c r="BM64" s="2081"/>
      <c r="BN64" s="2060">
        <f>CD64+CH64+CC64</f>
        <v>793.18999999999994</v>
      </c>
      <c r="BO64" s="2061"/>
      <c r="BP64" s="2061"/>
      <c r="BQ64" s="2061"/>
      <c r="BR64" s="2061"/>
      <c r="BS64" s="2061"/>
      <c r="BT64" s="2061"/>
      <c r="BU64" s="2061"/>
      <c r="BV64" s="2061"/>
      <c r="BW64" s="2061"/>
      <c r="BX64" s="2061"/>
      <c r="BY64" s="2061"/>
      <c r="BZ64" s="2061"/>
      <c r="CA64" s="2061"/>
      <c r="CB64" s="2062"/>
      <c r="CC64" s="138"/>
      <c r="CD64" s="138">
        <v>664.17</v>
      </c>
      <c r="CE64" s="138"/>
      <c r="CF64" s="138"/>
      <c r="CG64" s="138"/>
      <c r="CH64" s="138">
        <v>129.02000000000001</v>
      </c>
    </row>
    <row r="65" spans="1:86" s="137" customFormat="1" ht="16.5" hidden="1" customHeight="1" x14ac:dyDescent="0.2">
      <c r="A65" s="1770">
        <v>7</v>
      </c>
      <c r="B65" s="1787"/>
      <c r="C65" s="1787"/>
      <c r="D65" s="1771"/>
      <c r="E65" s="1772"/>
      <c r="F65" s="1882"/>
      <c r="G65" s="1882"/>
      <c r="H65" s="1882"/>
      <c r="I65" s="1882"/>
      <c r="J65" s="1882"/>
      <c r="K65" s="1882"/>
      <c r="L65" s="1882"/>
      <c r="M65" s="1882"/>
      <c r="N65" s="1882"/>
      <c r="O65" s="1882"/>
      <c r="P65" s="1882"/>
      <c r="Q65" s="1882"/>
      <c r="R65" s="1882"/>
      <c r="S65" s="1882"/>
      <c r="T65" s="1882"/>
      <c r="U65" s="1882"/>
      <c r="V65" s="1882"/>
      <c r="W65" s="1882"/>
      <c r="X65" s="1882"/>
      <c r="Y65" s="1882"/>
      <c r="Z65" s="1882"/>
      <c r="AA65" s="1882"/>
      <c r="AB65" s="1882"/>
      <c r="AC65" s="1882"/>
      <c r="AD65" s="1882"/>
      <c r="AE65" s="1882"/>
      <c r="AF65" s="1882"/>
      <c r="AG65" s="1882"/>
      <c r="AH65" s="1882"/>
      <c r="AI65" s="1882"/>
      <c r="AJ65" s="1882"/>
      <c r="AK65" s="1882"/>
      <c r="AL65" s="1882"/>
      <c r="AM65" s="1882"/>
      <c r="AN65" s="1773"/>
      <c r="AO65" s="2060"/>
      <c r="AP65" s="2061"/>
      <c r="AQ65" s="2061"/>
      <c r="AR65" s="2061"/>
      <c r="AS65" s="2061"/>
      <c r="AT65" s="2061"/>
      <c r="AU65" s="2061"/>
      <c r="AV65" s="2061"/>
      <c r="AW65" s="2061"/>
      <c r="AX65" s="2061"/>
      <c r="AY65" s="2061"/>
      <c r="AZ65" s="2061"/>
      <c r="BA65" s="2061"/>
      <c r="BB65" s="2061"/>
      <c r="BC65" s="2062"/>
      <c r="BD65" s="2079"/>
      <c r="BE65" s="2080"/>
      <c r="BF65" s="2080"/>
      <c r="BG65" s="2080"/>
      <c r="BH65" s="2080"/>
      <c r="BI65" s="2080"/>
      <c r="BJ65" s="2080"/>
      <c r="BK65" s="2080"/>
      <c r="BL65" s="2080"/>
      <c r="BM65" s="2081"/>
      <c r="BN65" s="2060">
        <f t="shared" ref="BN65:BN94" si="5">ROUND(AO65*BD65,2)</f>
        <v>0</v>
      </c>
      <c r="BO65" s="2061"/>
      <c r="BP65" s="2061"/>
      <c r="BQ65" s="2061"/>
      <c r="BR65" s="2061"/>
      <c r="BS65" s="2061"/>
      <c r="BT65" s="2061"/>
      <c r="BU65" s="2061"/>
      <c r="BV65" s="2061"/>
      <c r="BW65" s="2061"/>
      <c r="BX65" s="2061"/>
      <c r="BY65" s="2061"/>
      <c r="BZ65" s="2061"/>
      <c r="CA65" s="2061"/>
      <c r="CB65" s="2062"/>
      <c r="CC65" s="138"/>
      <c r="CD65" s="138">
        <f t="shared" ref="CD65:CD94" si="6">BN65</f>
        <v>0</v>
      </c>
      <c r="CE65" s="138"/>
      <c r="CF65" s="138"/>
      <c r="CG65" s="138"/>
      <c r="CH65" s="138"/>
    </row>
    <row r="66" spans="1:86" s="137" customFormat="1" ht="13.5" hidden="1" customHeight="1" x14ac:dyDescent="0.2">
      <c r="A66" s="1770">
        <v>8</v>
      </c>
      <c r="B66" s="1787"/>
      <c r="C66" s="1787"/>
      <c r="D66" s="1771"/>
      <c r="E66" s="1772"/>
      <c r="F66" s="1882"/>
      <c r="G66" s="1882"/>
      <c r="H66" s="1882"/>
      <c r="I66" s="1882"/>
      <c r="J66" s="1882"/>
      <c r="K66" s="1882"/>
      <c r="L66" s="1882"/>
      <c r="M66" s="1882"/>
      <c r="N66" s="1882"/>
      <c r="O66" s="1882"/>
      <c r="P66" s="1882"/>
      <c r="Q66" s="1882"/>
      <c r="R66" s="1882"/>
      <c r="S66" s="1882"/>
      <c r="T66" s="1882"/>
      <c r="U66" s="1882"/>
      <c r="V66" s="1882"/>
      <c r="W66" s="1882"/>
      <c r="X66" s="1882"/>
      <c r="Y66" s="1882"/>
      <c r="Z66" s="1882"/>
      <c r="AA66" s="1882"/>
      <c r="AB66" s="1882"/>
      <c r="AC66" s="1882"/>
      <c r="AD66" s="1882"/>
      <c r="AE66" s="1882"/>
      <c r="AF66" s="1882"/>
      <c r="AG66" s="1882"/>
      <c r="AH66" s="1882"/>
      <c r="AI66" s="1882"/>
      <c r="AJ66" s="1882"/>
      <c r="AK66" s="1882"/>
      <c r="AL66" s="1882"/>
      <c r="AM66" s="1882"/>
      <c r="AN66" s="1773"/>
      <c r="AO66" s="2060"/>
      <c r="AP66" s="2061"/>
      <c r="AQ66" s="2061"/>
      <c r="AR66" s="2061"/>
      <c r="AS66" s="2061"/>
      <c r="AT66" s="2061"/>
      <c r="AU66" s="2061"/>
      <c r="AV66" s="2061"/>
      <c r="AW66" s="2061"/>
      <c r="AX66" s="2061"/>
      <c r="AY66" s="2061"/>
      <c r="AZ66" s="2061"/>
      <c r="BA66" s="2061"/>
      <c r="BB66" s="2061"/>
      <c r="BC66" s="2062"/>
      <c r="BD66" s="2079"/>
      <c r="BE66" s="2080"/>
      <c r="BF66" s="2080"/>
      <c r="BG66" s="2080"/>
      <c r="BH66" s="2080"/>
      <c r="BI66" s="2080"/>
      <c r="BJ66" s="2080"/>
      <c r="BK66" s="2080"/>
      <c r="BL66" s="2080"/>
      <c r="BM66" s="2081"/>
      <c r="BN66" s="2060">
        <f t="shared" si="5"/>
        <v>0</v>
      </c>
      <c r="BO66" s="2061"/>
      <c r="BP66" s="2061"/>
      <c r="BQ66" s="2061"/>
      <c r="BR66" s="2061"/>
      <c r="BS66" s="2061"/>
      <c r="BT66" s="2061"/>
      <c r="BU66" s="2061"/>
      <c r="BV66" s="2061"/>
      <c r="BW66" s="2061"/>
      <c r="BX66" s="2061"/>
      <c r="BY66" s="2061"/>
      <c r="BZ66" s="2061"/>
      <c r="CA66" s="2061"/>
      <c r="CB66" s="2062"/>
      <c r="CC66" s="138"/>
      <c r="CD66" s="138">
        <f t="shared" si="6"/>
        <v>0</v>
      </c>
      <c r="CE66" s="138"/>
      <c r="CF66" s="138"/>
      <c r="CG66" s="138"/>
      <c r="CH66" s="138"/>
    </row>
    <row r="67" spans="1:86" s="137" customFormat="1" ht="12.75" hidden="1" customHeight="1" x14ac:dyDescent="0.2">
      <c r="A67" s="1770">
        <v>9</v>
      </c>
      <c r="B67" s="1787"/>
      <c r="C67" s="1787"/>
      <c r="D67" s="1771"/>
      <c r="E67" s="1772"/>
      <c r="F67" s="1882"/>
      <c r="G67" s="1882"/>
      <c r="H67" s="1882"/>
      <c r="I67" s="1882"/>
      <c r="J67" s="1882"/>
      <c r="K67" s="1882"/>
      <c r="L67" s="1882"/>
      <c r="M67" s="1882"/>
      <c r="N67" s="1882"/>
      <c r="O67" s="1882"/>
      <c r="P67" s="1882"/>
      <c r="Q67" s="1882"/>
      <c r="R67" s="1882"/>
      <c r="S67" s="1882"/>
      <c r="T67" s="1882"/>
      <c r="U67" s="1882"/>
      <c r="V67" s="1882"/>
      <c r="W67" s="1882"/>
      <c r="X67" s="1882"/>
      <c r="Y67" s="1882"/>
      <c r="Z67" s="1882"/>
      <c r="AA67" s="1882"/>
      <c r="AB67" s="1882"/>
      <c r="AC67" s="1882"/>
      <c r="AD67" s="1882"/>
      <c r="AE67" s="1882"/>
      <c r="AF67" s="1882"/>
      <c r="AG67" s="1882"/>
      <c r="AH67" s="1882"/>
      <c r="AI67" s="1882"/>
      <c r="AJ67" s="1882"/>
      <c r="AK67" s="1882"/>
      <c r="AL67" s="1882"/>
      <c r="AM67" s="1882"/>
      <c r="AN67" s="1773"/>
      <c r="AO67" s="2060"/>
      <c r="AP67" s="2061"/>
      <c r="AQ67" s="2061"/>
      <c r="AR67" s="2061"/>
      <c r="AS67" s="2061"/>
      <c r="AT67" s="2061"/>
      <c r="AU67" s="2061"/>
      <c r="AV67" s="2061"/>
      <c r="AW67" s="2061"/>
      <c r="AX67" s="2061"/>
      <c r="AY67" s="2061"/>
      <c r="AZ67" s="2061"/>
      <c r="BA67" s="2061"/>
      <c r="BB67" s="2061"/>
      <c r="BC67" s="2062"/>
      <c r="BD67" s="2079"/>
      <c r="BE67" s="2080"/>
      <c r="BF67" s="2080"/>
      <c r="BG67" s="2080"/>
      <c r="BH67" s="2080"/>
      <c r="BI67" s="2080"/>
      <c r="BJ67" s="2080"/>
      <c r="BK67" s="2080"/>
      <c r="BL67" s="2080"/>
      <c r="BM67" s="2081"/>
      <c r="BN67" s="2060">
        <f t="shared" si="5"/>
        <v>0</v>
      </c>
      <c r="BO67" s="2061"/>
      <c r="BP67" s="2061"/>
      <c r="BQ67" s="2061"/>
      <c r="BR67" s="2061"/>
      <c r="BS67" s="2061"/>
      <c r="BT67" s="2061"/>
      <c r="BU67" s="2061"/>
      <c r="BV67" s="2061"/>
      <c r="BW67" s="2061"/>
      <c r="BX67" s="2061"/>
      <c r="BY67" s="2061"/>
      <c r="BZ67" s="2061"/>
      <c r="CA67" s="2061"/>
      <c r="CB67" s="2062"/>
      <c r="CC67" s="138"/>
      <c r="CD67" s="138">
        <f t="shared" si="6"/>
        <v>0</v>
      </c>
      <c r="CE67" s="138"/>
      <c r="CF67" s="138"/>
      <c r="CG67" s="138"/>
      <c r="CH67" s="138"/>
    </row>
    <row r="68" spans="1:86" s="137" customFormat="1" ht="12.75" hidden="1" customHeight="1" x14ac:dyDescent="0.2">
      <c r="A68" s="1770">
        <v>10</v>
      </c>
      <c r="B68" s="1787"/>
      <c r="C68" s="1787"/>
      <c r="D68" s="1771"/>
      <c r="E68" s="1772"/>
      <c r="F68" s="1882"/>
      <c r="G68" s="1882"/>
      <c r="H68" s="1882"/>
      <c r="I68" s="1882"/>
      <c r="J68" s="1882"/>
      <c r="K68" s="1882"/>
      <c r="L68" s="1882"/>
      <c r="M68" s="1882"/>
      <c r="N68" s="1882"/>
      <c r="O68" s="1882"/>
      <c r="P68" s="1882"/>
      <c r="Q68" s="1882"/>
      <c r="R68" s="1882"/>
      <c r="S68" s="1882"/>
      <c r="T68" s="1882"/>
      <c r="U68" s="1882"/>
      <c r="V68" s="1882"/>
      <c r="W68" s="1882"/>
      <c r="X68" s="1882"/>
      <c r="Y68" s="1882"/>
      <c r="Z68" s="1882"/>
      <c r="AA68" s="1882"/>
      <c r="AB68" s="1882"/>
      <c r="AC68" s="1882"/>
      <c r="AD68" s="1882"/>
      <c r="AE68" s="1882"/>
      <c r="AF68" s="1882"/>
      <c r="AG68" s="1882"/>
      <c r="AH68" s="1882"/>
      <c r="AI68" s="1882"/>
      <c r="AJ68" s="1882"/>
      <c r="AK68" s="1882"/>
      <c r="AL68" s="1882"/>
      <c r="AM68" s="1882"/>
      <c r="AN68" s="1773"/>
      <c r="AO68" s="2060"/>
      <c r="AP68" s="2061"/>
      <c r="AQ68" s="2061"/>
      <c r="AR68" s="2061"/>
      <c r="AS68" s="2061"/>
      <c r="AT68" s="2061"/>
      <c r="AU68" s="2061"/>
      <c r="AV68" s="2061"/>
      <c r="AW68" s="2061"/>
      <c r="AX68" s="2061"/>
      <c r="AY68" s="2061"/>
      <c r="AZ68" s="2061"/>
      <c r="BA68" s="2061"/>
      <c r="BB68" s="2061"/>
      <c r="BC68" s="2062"/>
      <c r="BD68" s="2079"/>
      <c r="BE68" s="2080"/>
      <c r="BF68" s="2080"/>
      <c r="BG68" s="2080"/>
      <c r="BH68" s="2080"/>
      <c r="BI68" s="2080"/>
      <c r="BJ68" s="2080"/>
      <c r="BK68" s="2080"/>
      <c r="BL68" s="2080"/>
      <c r="BM68" s="2081"/>
      <c r="BN68" s="2060">
        <f t="shared" si="5"/>
        <v>0</v>
      </c>
      <c r="BO68" s="2061"/>
      <c r="BP68" s="2061"/>
      <c r="BQ68" s="2061"/>
      <c r="BR68" s="2061"/>
      <c r="BS68" s="2061"/>
      <c r="BT68" s="2061"/>
      <c r="BU68" s="2061"/>
      <c r="BV68" s="2061"/>
      <c r="BW68" s="2061"/>
      <c r="BX68" s="2061"/>
      <c r="BY68" s="2061"/>
      <c r="BZ68" s="2061"/>
      <c r="CA68" s="2061"/>
      <c r="CB68" s="2062"/>
      <c r="CC68" s="138"/>
      <c r="CD68" s="138">
        <f t="shared" si="6"/>
        <v>0</v>
      </c>
      <c r="CE68" s="138"/>
      <c r="CF68" s="138"/>
      <c r="CG68" s="138"/>
      <c r="CH68" s="138"/>
    </row>
    <row r="69" spans="1:86" s="137" customFormat="1" ht="12.75" hidden="1" customHeight="1" x14ac:dyDescent="0.2">
      <c r="A69" s="1770">
        <v>11</v>
      </c>
      <c r="B69" s="1787"/>
      <c r="C69" s="1787"/>
      <c r="D69" s="1771"/>
      <c r="E69" s="1772"/>
      <c r="F69" s="1882"/>
      <c r="G69" s="1882"/>
      <c r="H69" s="1882"/>
      <c r="I69" s="1882"/>
      <c r="J69" s="1882"/>
      <c r="K69" s="1882"/>
      <c r="L69" s="1882"/>
      <c r="M69" s="1882"/>
      <c r="N69" s="1882"/>
      <c r="O69" s="1882"/>
      <c r="P69" s="1882"/>
      <c r="Q69" s="1882"/>
      <c r="R69" s="1882"/>
      <c r="S69" s="1882"/>
      <c r="T69" s="1882"/>
      <c r="U69" s="1882"/>
      <c r="V69" s="1882"/>
      <c r="W69" s="1882"/>
      <c r="X69" s="1882"/>
      <c r="Y69" s="1882"/>
      <c r="Z69" s="1882"/>
      <c r="AA69" s="1882"/>
      <c r="AB69" s="1882"/>
      <c r="AC69" s="1882"/>
      <c r="AD69" s="1882"/>
      <c r="AE69" s="1882"/>
      <c r="AF69" s="1882"/>
      <c r="AG69" s="1882"/>
      <c r="AH69" s="1882"/>
      <c r="AI69" s="1882"/>
      <c r="AJ69" s="1882"/>
      <c r="AK69" s="1882"/>
      <c r="AL69" s="1882"/>
      <c r="AM69" s="1882"/>
      <c r="AN69" s="1773"/>
      <c r="AO69" s="2060"/>
      <c r="AP69" s="2061"/>
      <c r="AQ69" s="2061"/>
      <c r="AR69" s="2061"/>
      <c r="AS69" s="2061"/>
      <c r="AT69" s="2061"/>
      <c r="AU69" s="2061"/>
      <c r="AV69" s="2061"/>
      <c r="AW69" s="2061"/>
      <c r="AX69" s="2061"/>
      <c r="AY69" s="2061"/>
      <c r="AZ69" s="2061"/>
      <c r="BA69" s="2061"/>
      <c r="BB69" s="2061"/>
      <c r="BC69" s="2062"/>
      <c r="BD69" s="2079"/>
      <c r="BE69" s="2080"/>
      <c r="BF69" s="2080"/>
      <c r="BG69" s="2080"/>
      <c r="BH69" s="2080"/>
      <c r="BI69" s="2080"/>
      <c r="BJ69" s="2080"/>
      <c r="BK69" s="2080"/>
      <c r="BL69" s="2080"/>
      <c r="BM69" s="2081"/>
      <c r="BN69" s="2060">
        <f t="shared" si="5"/>
        <v>0</v>
      </c>
      <c r="BO69" s="2061"/>
      <c r="BP69" s="2061"/>
      <c r="BQ69" s="2061"/>
      <c r="BR69" s="2061"/>
      <c r="BS69" s="2061"/>
      <c r="BT69" s="2061"/>
      <c r="BU69" s="2061"/>
      <c r="BV69" s="2061"/>
      <c r="BW69" s="2061"/>
      <c r="BX69" s="2061"/>
      <c r="BY69" s="2061"/>
      <c r="BZ69" s="2061"/>
      <c r="CA69" s="2061"/>
      <c r="CB69" s="2062"/>
      <c r="CC69" s="138"/>
      <c r="CD69" s="138">
        <f t="shared" si="6"/>
        <v>0</v>
      </c>
      <c r="CE69" s="138"/>
      <c r="CF69" s="138"/>
      <c r="CG69" s="138"/>
      <c r="CH69" s="138"/>
    </row>
    <row r="70" spans="1:86" s="137" customFormat="1" ht="12.75" hidden="1" customHeight="1" x14ac:dyDescent="0.2">
      <c r="A70" s="1770">
        <v>12</v>
      </c>
      <c r="B70" s="1787"/>
      <c r="C70" s="1787"/>
      <c r="D70" s="1771"/>
      <c r="E70" s="1772"/>
      <c r="F70" s="1882"/>
      <c r="G70" s="1882"/>
      <c r="H70" s="1882"/>
      <c r="I70" s="1882"/>
      <c r="J70" s="1882"/>
      <c r="K70" s="1882"/>
      <c r="L70" s="1882"/>
      <c r="M70" s="1882"/>
      <c r="N70" s="1882"/>
      <c r="O70" s="1882"/>
      <c r="P70" s="1882"/>
      <c r="Q70" s="1882"/>
      <c r="R70" s="1882"/>
      <c r="S70" s="1882"/>
      <c r="T70" s="1882"/>
      <c r="U70" s="1882"/>
      <c r="V70" s="1882"/>
      <c r="W70" s="1882"/>
      <c r="X70" s="1882"/>
      <c r="Y70" s="1882"/>
      <c r="Z70" s="1882"/>
      <c r="AA70" s="1882"/>
      <c r="AB70" s="1882"/>
      <c r="AC70" s="1882"/>
      <c r="AD70" s="1882"/>
      <c r="AE70" s="1882"/>
      <c r="AF70" s="1882"/>
      <c r="AG70" s="1882"/>
      <c r="AH70" s="1882"/>
      <c r="AI70" s="1882"/>
      <c r="AJ70" s="1882"/>
      <c r="AK70" s="1882"/>
      <c r="AL70" s="1882"/>
      <c r="AM70" s="1882"/>
      <c r="AN70" s="1773"/>
      <c r="AO70" s="2060"/>
      <c r="AP70" s="2061"/>
      <c r="AQ70" s="2061"/>
      <c r="AR70" s="2061"/>
      <c r="AS70" s="2061"/>
      <c r="AT70" s="2061"/>
      <c r="AU70" s="2061"/>
      <c r="AV70" s="2061"/>
      <c r="AW70" s="2061"/>
      <c r="AX70" s="2061"/>
      <c r="AY70" s="2061"/>
      <c r="AZ70" s="2061"/>
      <c r="BA70" s="2061"/>
      <c r="BB70" s="2061"/>
      <c r="BC70" s="2062"/>
      <c r="BD70" s="2079"/>
      <c r="BE70" s="2080"/>
      <c r="BF70" s="2080"/>
      <c r="BG70" s="2080"/>
      <c r="BH70" s="2080"/>
      <c r="BI70" s="2080"/>
      <c r="BJ70" s="2080"/>
      <c r="BK70" s="2080"/>
      <c r="BL70" s="2080"/>
      <c r="BM70" s="2081"/>
      <c r="BN70" s="2060">
        <f t="shared" si="5"/>
        <v>0</v>
      </c>
      <c r="BO70" s="2061"/>
      <c r="BP70" s="2061"/>
      <c r="BQ70" s="2061"/>
      <c r="BR70" s="2061"/>
      <c r="BS70" s="2061"/>
      <c r="BT70" s="2061"/>
      <c r="BU70" s="2061"/>
      <c r="BV70" s="2061"/>
      <c r="BW70" s="2061"/>
      <c r="BX70" s="2061"/>
      <c r="BY70" s="2061"/>
      <c r="BZ70" s="2061"/>
      <c r="CA70" s="2061"/>
      <c r="CB70" s="2062"/>
      <c r="CC70" s="138"/>
      <c r="CD70" s="138">
        <f t="shared" si="6"/>
        <v>0</v>
      </c>
      <c r="CE70" s="138"/>
      <c r="CF70" s="138"/>
      <c r="CG70" s="138"/>
      <c r="CH70" s="138"/>
    </row>
    <row r="71" spans="1:86" s="137" customFormat="1" ht="12.75" hidden="1" customHeight="1" x14ac:dyDescent="0.2">
      <c r="A71" s="1770">
        <v>13</v>
      </c>
      <c r="B71" s="1787"/>
      <c r="C71" s="1787"/>
      <c r="D71" s="1771"/>
      <c r="E71" s="1772"/>
      <c r="F71" s="1882"/>
      <c r="G71" s="1882"/>
      <c r="H71" s="1882"/>
      <c r="I71" s="1882"/>
      <c r="J71" s="1882"/>
      <c r="K71" s="1882"/>
      <c r="L71" s="1882"/>
      <c r="M71" s="1882"/>
      <c r="N71" s="1882"/>
      <c r="O71" s="1882"/>
      <c r="P71" s="1882"/>
      <c r="Q71" s="1882"/>
      <c r="R71" s="1882"/>
      <c r="S71" s="1882"/>
      <c r="T71" s="1882"/>
      <c r="U71" s="1882"/>
      <c r="V71" s="1882"/>
      <c r="W71" s="1882"/>
      <c r="X71" s="1882"/>
      <c r="Y71" s="1882"/>
      <c r="Z71" s="1882"/>
      <c r="AA71" s="1882"/>
      <c r="AB71" s="1882"/>
      <c r="AC71" s="1882"/>
      <c r="AD71" s="1882"/>
      <c r="AE71" s="1882"/>
      <c r="AF71" s="1882"/>
      <c r="AG71" s="1882"/>
      <c r="AH71" s="1882"/>
      <c r="AI71" s="1882"/>
      <c r="AJ71" s="1882"/>
      <c r="AK71" s="1882"/>
      <c r="AL71" s="1882"/>
      <c r="AM71" s="1882"/>
      <c r="AN71" s="1773"/>
      <c r="AO71" s="2060"/>
      <c r="AP71" s="2061"/>
      <c r="AQ71" s="2061"/>
      <c r="AR71" s="2061"/>
      <c r="AS71" s="2061"/>
      <c r="AT71" s="2061"/>
      <c r="AU71" s="2061"/>
      <c r="AV71" s="2061"/>
      <c r="AW71" s="2061"/>
      <c r="AX71" s="2061"/>
      <c r="AY71" s="2061"/>
      <c r="AZ71" s="2061"/>
      <c r="BA71" s="2061"/>
      <c r="BB71" s="2061"/>
      <c r="BC71" s="2062"/>
      <c r="BD71" s="2079"/>
      <c r="BE71" s="2080"/>
      <c r="BF71" s="2080"/>
      <c r="BG71" s="2080"/>
      <c r="BH71" s="2080"/>
      <c r="BI71" s="2080"/>
      <c r="BJ71" s="2080"/>
      <c r="BK71" s="2080"/>
      <c r="BL71" s="2080"/>
      <c r="BM71" s="2081"/>
      <c r="BN71" s="2060">
        <f t="shared" si="5"/>
        <v>0</v>
      </c>
      <c r="BO71" s="2061"/>
      <c r="BP71" s="2061"/>
      <c r="BQ71" s="2061"/>
      <c r="BR71" s="2061"/>
      <c r="BS71" s="2061"/>
      <c r="BT71" s="2061"/>
      <c r="BU71" s="2061"/>
      <c r="BV71" s="2061"/>
      <c r="BW71" s="2061"/>
      <c r="BX71" s="2061"/>
      <c r="BY71" s="2061"/>
      <c r="BZ71" s="2061"/>
      <c r="CA71" s="2061"/>
      <c r="CB71" s="2062"/>
      <c r="CC71" s="138"/>
      <c r="CD71" s="138">
        <f t="shared" si="6"/>
        <v>0</v>
      </c>
      <c r="CE71" s="138"/>
      <c r="CF71" s="138"/>
      <c r="CG71" s="138"/>
      <c r="CH71" s="138"/>
    </row>
    <row r="72" spans="1:86" s="137" customFormat="1" ht="12.75" hidden="1" customHeight="1" x14ac:dyDescent="0.2">
      <c r="A72" s="1770">
        <v>14</v>
      </c>
      <c r="B72" s="1787"/>
      <c r="C72" s="1787"/>
      <c r="D72" s="1771"/>
      <c r="E72" s="1772"/>
      <c r="F72" s="1882"/>
      <c r="G72" s="1882"/>
      <c r="H72" s="1882"/>
      <c r="I72" s="1882"/>
      <c r="J72" s="1882"/>
      <c r="K72" s="1882"/>
      <c r="L72" s="1882"/>
      <c r="M72" s="1882"/>
      <c r="N72" s="1882"/>
      <c r="O72" s="1882"/>
      <c r="P72" s="1882"/>
      <c r="Q72" s="1882"/>
      <c r="R72" s="1882"/>
      <c r="S72" s="1882"/>
      <c r="T72" s="1882"/>
      <c r="U72" s="1882"/>
      <c r="V72" s="1882"/>
      <c r="W72" s="1882"/>
      <c r="X72" s="1882"/>
      <c r="Y72" s="1882"/>
      <c r="Z72" s="1882"/>
      <c r="AA72" s="1882"/>
      <c r="AB72" s="1882"/>
      <c r="AC72" s="1882"/>
      <c r="AD72" s="1882"/>
      <c r="AE72" s="1882"/>
      <c r="AF72" s="1882"/>
      <c r="AG72" s="1882"/>
      <c r="AH72" s="1882"/>
      <c r="AI72" s="1882"/>
      <c r="AJ72" s="1882"/>
      <c r="AK72" s="1882"/>
      <c r="AL72" s="1882"/>
      <c r="AM72" s="1882"/>
      <c r="AN72" s="1773"/>
      <c r="AO72" s="2060"/>
      <c r="AP72" s="2061"/>
      <c r="AQ72" s="2061"/>
      <c r="AR72" s="2061"/>
      <c r="AS72" s="2061"/>
      <c r="AT72" s="2061"/>
      <c r="AU72" s="2061"/>
      <c r="AV72" s="2061"/>
      <c r="AW72" s="2061"/>
      <c r="AX72" s="2061"/>
      <c r="AY72" s="2061"/>
      <c r="AZ72" s="2061"/>
      <c r="BA72" s="2061"/>
      <c r="BB72" s="2061"/>
      <c r="BC72" s="2062"/>
      <c r="BD72" s="2079"/>
      <c r="BE72" s="2080"/>
      <c r="BF72" s="2080"/>
      <c r="BG72" s="2080"/>
      <c r="BH72" s="2080"/>
      <c r="BI72" s="2080"/>
      <c r="BJ72" s="2080"/>
      <c r="BK72" s="2080"/>
      <c r="BL72" s="2080"/>
      <c r="BM72" s="2081"/>
      <c r="BN72" s="2060">
        <f t="shared" si="5"/>
        <v>0</v>
      </c>
      <c r="BO72" s="2061"/>
      <c r="BP72" s="2061"/>
      <c r="BQ72" s="2061"/>
      <c r="BR72" s="2061"/>
      <c r="BS72" s="2061"/>
      <c r="BT72" s="2061"/>
      <c r="BU72" s="2061"/>
      <c r="BV72" s="2061"/>
      <c r="BW72" s="2061"/>
      <c r="BX72" s="2061"/>
      <c r="BY72" s="2061"/>
      <c r="BZ72" s="2061"/>
      <c r="CA72" s="2061"/>
      <c r="CB72" s="2062"/>
      <c r="CC72" s="138"/>
      <c r="CD72" s="138">
        <f t="shared" si="6"/>
        <v>0</v>
      </c>
      <c r="CE72" s="138"/>
      <c r="CF72" s="138"/>
      <c r="CG72" s="138"/>
      <c r="CH72" s="138"/>
    </row>
    <row r="73" spans="1:86" s="137" customFormat="1" ht="12.75" hidden="1" customHeight="1" x14ac:dyDescent="0.2">
      <c r="A73" s="1770">
        <v>15</v>
      </c>
      <c r="B73" s="1787"/>
      <c r="C73" s="1787"/>
      <c r="D73" s="1771"/>
      <c r="E73" s="1772"/>
      <c r="F73" s="1882"/>
      <c r="G73" s="1882"/>
      <c r="H73" s="1882"/>
      <c r="I73" s="1882"/>
      <c r="J73" s="1882"/>
      <c r="K73" s="1882"/>
      <c r="L73" s="1882"/>
      <c r="M73" s="1882"/>
      <c r="N73" s="1882"/>
      <c r="O73" s="1882"/>
      <c r="P73" s="1882"/>
      <c r="Q73" s="1882"/>
      <c r="R73" s="1882"/>
      <c r="S73" s="1882"/>
      <c r="T73" s="1882"/>
      <c r="U73" s="1882"/>
      <c r="V73" s="1882"/>
      <c r="W73" s="1882"/>
      <c r="X73" s="1882"/>
      <c r="Y73" s="1882"/>
      <c r="Z73" s="1882"/>
      <c r="AA73" s="1882"/>
      <c r="AB73" s="1882"/>
      <c r="AC73" s="1882"/>
      <c r="AD73" s="1882"/>
      <c r="AE73" s="1882"/>
      <c r="AF73" s="1882"/>
      <c r="AG73" s="1882"/>
      <c r="AH73" s="1882"/>
      <c r="AI73" s="1882"/>
      <c r="AJ73" s="1882"/>
      <c r="AK73" s="1882"/>
      <c r="AL73" s="1882"/>
      <c r="AM73" s="1882"/>
      <c r="AN73" s="1773"/>
      <c r="AO73" s="2060"/>
      <c r="AP73" s="2061"/>
      <c r="AQ73" s="2061"/>
      <c r="AR73" s="2061"/>
      <c r="AS73" s="2061"/>
      <c r="AT73" s="2061"/>
      <c r="AU73" s="2061"/>
      <c r="AV73" s="2061"/>
      <c r="AW73" s="2061"/>
      <c r="AX73" s="2061"/>
      <c r="AY73" s="2061"/>
      <c r="AZ73" s="2061"/>
      <c r="BA73" s="2061"/>
      <c r="BB73" s="2061"/>
      <c r="BC73" s="2062"/>
      <c r="BD73" s="2079"/>
      <c r="BE73" s="2080"/>
      <c r="BF73" s="2080"/>
      <c r="BG73" s="2080"/>
      <c r="BH73" s="2080"/>
      <c r="BI73" s="2080"/>
      <c r="BJ73" s="2080"/>
      <c r="BK73" s="2080"/>
      <c r="BL73" s="2080"/>
      <c r="BM73" s="2081"/>
      <c r="BN73" s="2060">
        <f t="shared" si="5"/>
        <v>0</v>
      </c>
      <c r="BO73" s="2061"/>
      <c r="BP73" s="2061"/>
      <c r="BQ73" s="2061"/>
      <c r="BR73" s="2061"/>
      <c r="BS73" s="2061"/>
      <c r="BT73" s="2061"/>
      <c r="BU73" s="2061"/>
      <c r="BV73" s="2061"/>
      <c r="BW73" s="2061"/>
      <c r="BX73" s="2061"/>
      <c r="BY73" s="2061"/>
      <c r="BZ73" s="2061"/>
      <c r="CA73" s="2061"/>
      <c r="CB73" s="2062"/>
      <c r="CC73" s="138"/>
      <c r="CD73" s="138">
        <f t="shared" si="6"/>
        <v>0</v>
      </c>
      <c r="CE73" s="138"/>
      <c r="CF73" s="138"/>
      <c r="CG73" s="138"/>
      <c r="CH73" s="138"/>
    </row>
    <row r="74" spans="1:86" s="137" customFormat="1" ht="12.75" hidden="1" customHeight="1" x14ac:dyDescent="0.2">
      <c r="A74" s="1770">
        <v>16</v>
      </c>
      <c r="B74" s="1787"/>
      <c r="C74" s="1787"/>
      <c r="D74" s="1771"/>
      <c r="E74" s="1772"/>
      <c r="F74" s="1882"/>
      <c r="G74" s="1882"/>
      <c r="H74" s="1882"/>
      <c r="I74" s="1882"/>
      <c r="J74" s="1882"/>
      <c r="K74" s="1882"/>
      <c r="L74" s="1882"/>
      <c r="M74" s="1882"/>
      <c r="N74" s="1882"/>
      <c r="O74" s="1882"/>
      <c r="P74" s="1882"/>
      <c r="Q74" s="1882"/>
      <c r="R74" s="1882"/>
      <c r="S74" s="1882"/>
      <c r="T74" s="1882"/>
      <c r="U74" s="1882"/>
      <c r="V74" s="1882"/>
      <c r="W74" s="1882"/>
      <c r="X74" s="1882"/>
      <c r="Y74" s="1882"/>
      <c r="Z74" s="1882"/>
      <c r="AA74" s="1882"/>
      <c r="AB74" s="1882"/>
      <c r="AC74" s="1882"/>
      <c r="AD74" s="1882"/>
      <c r="AE74" s="1882"/>
      <c r="AF74" s="1882"/>
      <c r="AG74" s="1882"/>
      <c r="AH74" s="1882"/>
      <c r="AI74" s="1882"/>
      <c r="AJ74" s="1882"/>
      <c r="AK74" s="1882"/>
      <c r="AL74" s="1882"/>
      <c r="AM74" s="1882"/>
      <c r="AN74" s="1773"/>
      <c r="AO74" s="2060"/>
      <c r="AP74" s="2061"/>
      <c r="AQ74" s="2061"/>
      <c r="AR74" s="2061"/>
      <c r="AS74" s="2061"/>
      <c r="AT74" s="2061"/>
      <c r="AU74" s="2061"/>
      <c r="AV74" s="2061"/>
      <c r="AW74" s="2061"/>
      <c r="AX74" s="2061"/>
      <c r="AY74" s="2061"/>
      <c r="AZ74" s="2061"/>
      <c r="BA74" s="2061"/>
      <c r="BB74" s="2061"/>
      <c r="BC74" s="2062"/>
      <c r="BD74" s="2079"/>
      <c r="BE74" s="2080"/>
      <c r="BF74" s="2080"/>
      <c r="BG74" s="2080"/>
      <c r="BH74" s="2080"/>
      <c r="BI74" s="2080"/>
      <c r="BJ74" s="2080"/>
      <c r="BK74" s="2080"/>
      <c r="BL74" s="2080"/>
      <c r="BM74" s="2081"/>
      <c r="BN74" s="2060">
        <f t="shared" si="5"/>
        <v>0</v>
      </c>
      <c r="BO74" s="2061"/>
      <c r="BP74" s="2061"/>
      <c r="BQ74" s="2061"/>
      <c r="BR74" s="2061"/>
      <c r="BS74" s="2061"/>
      <c r="BT74" s="2061"/>
      <c r="BU74" s="2061"/>
      <c r="BV74" s="2061"/>
      <c r="BW74" s="2061"/>
      <c r="BX74" s="2061"/>
      <c r="BY74" s="2061"/>
      <c r="BZ74" s="2061"/>
      <c r="CA74" s="2061"/>
      <c r="CB74" s="2062"/>
      <c r="CC74" s="138"/>
      <c r="CD74" s="138">
        <f t="shared" si="6"/>
        <v>0</v>
      </c>
      <c r="CE74" s="138"/>
      <c r="CF74" s="138"/>
      <c r="CG74" s="138"/>
      <c r="CH74" s="138"/>
    </row>
    <row r="75" spans="1:86" s="137" customFormat="1" ht="12.75" hidden="1" customHeight="1" x14ac:dyDescent="0.2">
      <c r="A75" s="1770">
        <v>17</v>
      </c>
      <c r="B75" s="1787"/>
      <c r="C75" s="1787"/>
      <c r="D75" s="1771"/>
      <c r="E75" s="1772"/>
      <c r="F75" s="1882"/>
      <c r="G75" s="1882"/>
      <c r="H75" s="1882"/>
      <c r="I75" s="1882"/>
      <c r="J75" s="1882"/>
      <c r="K75" s="1882"/>
      <c r="L75" s="1882"/>
      <c r="M75" s="1882"/>
      <c r="N75" s="1882"/>
      <c r="O75" s="1882"/>
      <c r="P75" s="1882"/>
      <c r="Q75" s="1882"/>
      <c r="R75" s="1882"/>
      <c r="S75" s="1882"/>
      <c r="T75" s="1882"/>
      <c r="U75" s="1882"/>
      <c r="V75" s="1882"/>
      <c r="W75" s="1882"/>
      <c r="X75" s="1882"/>
      <c r="Y75" s="1882"/>
      <c r="Z75" s="1882"/>
      <c r="AA75" s="1882"/>
      <c r="AB75" s="1882"/>
      <c r="AC75" s="1882"/>
      <c r="AD75" s="1882"/>
      <c r="AE75" s="1882"/>
      <c r="AF75" s="1882"/>
      <c r="AG75" s="1882"/>
      <c r="AH75" s="1882"/>
      <c r="AI75" s="1882"/>
      <c r="AJ75" s="1882"/>
      <c r="AK75" s="1882"/>
      <c r="AL75" s="1882"/>
      <c r="AM75" s="1882"/>
      <c r="AN75" s="1773"/>
      <c r="AO75" s="2060"/>
      <c r="AP75" s="2061"/>
      <c r="AQ75" s="2061"/>
      <c r="AR75" s="2061"/>
      <c r="AS75" s="2061"/>
      <c r="AT75" s="2061"/>
      <c r="AU75" s="2061"/>
      <c r="AV75" s="2061"/>
      <c r="AW75" s="2061"/>
      <c r="AX75" s="2061"/>
      <c r="AY75" s="2061"/>
      <c r="AZ75" s="2061"/>
      <c r="BA75" s="2061"/>
      <c r="BB75" s="2061"/>
      <c r="BC75" s="2062"/>
      <c r="BD75" s="2079"/>
      <c r="BE75" s="2080"/>
      <c r="BF75" s="2080"/>
      <c r="BG75" s="2080"/>
      <c r="BH75" s="2080"/>
      <c r="BI75" s="2080"/>
      <c r="BJ75" s="2080"/>
      <c r="BK75" s="2080"/>
      <c r="BL75" s="2080"/>
      <c r="BM75" s="2081"/>
      <c r="BN75" s="2060">
        <f t="shared" si="5"/>
        <v>0</v>
      </c>
      <c r="BO75" s="2061"/>
      <c r="BP75" s="2061"/>
      <c r="BQ75" s="2061"/>
      <c r="BR75" s="2061"/>
      <c r="BS75" s="2061"/>
      <c r="BT75" s="2061"/>
      <c r="BU75" s="2061"/>
      <c r="BV75" s="2061"/>
      <c r="BW75" s="2061"/>
      <c r="BX75" s="2061"/>
      <c r="BY75" s="2061"/>
      <c r="BZ75" s="2061"/>
      <c r="CA75" s="2061"/>
      <c r="CB75" s="2062"/>
      <c r="CC75" s="138"/>
      <c r="CD75" s="138">
        <f t="shared" si="6"/>
        <v>0</v>
      </c>
      <c r="CE75" s="138"/>
      <c r="CF75" s="138"/>
      <c r="CG75" s="138"/>
      <c r="CH75" s="138"/>
    </row>
    <row r="76" spans="1:86" s="137" customFormat="1" ht="12.75" hidden="1" customHeight="1" x14ac:dyDescent="0.2">
      <c r="A76" s="1770">
        <v>18</v>
      </c>
      <c r="B76" s="1787"/>
      <c r="C76" s="1787"/>
      <c r="D76" s="1771"/>
      <c r="E76" s="1772"/>
      <c r="F76" s="1882"/>
      <c r="G76" s="1882"/>
      <c r="H76" s="1882"/>
      <c r="I76" s="1882"/>
      <c r="J76" s="1882"/>
      <c r="K76" s="1882"/>
      <c r="L76" s="1882"/>
      <c r="M76" s="1882"/>
      <c r="N76" s="1882"/>
      <c r="O76" s="1882"/>
      <c r="P76" s="1882"/>
      <c r="Q76" s="1882"/>
      <c r="R76" s="1882"/>
      <c r="S76" s="1882"/>
      <c r="T76" s="1882"/>
      <c r="U76" s="1882"/>
      <c r="V76" s="1882"/>
      <c r="W76" s="1882"/>
      <c r="X76" s="1882"/>
      <c r="Y76" s="1882"/>
      <c r="Z76" s="1882"/>
      <c r="AA76" s="1882"/>
      <c r="AB76" s="1882"/>
      <c r="AC76" s="1882"/>
      <c r="AD76" s="1882"/>
      <c r="AE76" s="1882"/>
      <c r="AF76" s="1882"/>
      <c r="AG76" s="1882"/>
      <c r="AH76" s="1882"/>
      <c r="AI76" s="1882"/>
      <c r="AJ76" s="1882"/>
      <c r="AK76" s="1882"/>
      <c r="AL76" s="1882"/>
      <c r="AM76" s="1882"/>
      <c r="AN76" s="1773"/>
      <c r="AO76" s="2060"/>
      <c r="AP76" s="2061"/>
      <c r="AQ76" s="2061"/>
      <c r="AR76" s="2061"/>
      <c r="AS76" s="2061"/>
      <c r="AT76" s="2061"/>
      <c r="AU76" s="2061"/>
      <c r="AV76" s="2061"/>
      <c r="AW76" s="2061"/>
      <c r="AX76" s="2061"/>
      <c r="AY76" s="2061"/>
      <c r="AZ76" s="2061"/>
      <c r="BA76" s="2061"/>
      <c r="BB76" s="2061"/>
      <c r="BC76" s="2062"/>
      <c r="BD76" s="2079"/>
      <c r="BE76" s="2080"/>
      <c r="BF76" s="2080"/>
      <c r="BG76" s="2080"/>
      <c r="BH76" s="2080"/>
      <c r="BI76" s="2080"/>
      <c r="BJ76" s="2080"/>
      <c r="BK76" s="2080"/>
      <c r="BL76" s="2080"/>
      <c r="BM76" s="2081"/>
      <c r="BN76" s="2060">
        <f t="shared" si="5"/>
        <v>0</v>
      </c>
      <c r="BO76" s="2061"/>
      <c r="BP76" s="2061"/>
      <c r="BQ76" s="2061"/>
      <c r="BR76" s="2061"/>
      <c r="BS76" s="2061"/>
      <c r="BT76" s="2061"/>
      <c r="BU76" s="2061"/>
      <c r="BV76" s="2061"/>
      <c r="BW76" s="2061"/>
      <c r="BX76" s="2061"/>
      <c r="BY76" s="2061"/>
      <c r="BZ76" s="2061"/>
      <c r="CA76" s="2061"/>
      <c r="CB76" s="2062"/>
      <c r="CC76" s="138"/>
      <c r="CD76" s="138">
        <f t="shared" si="6"/>
        <v>0</v>
      </c>
      <c r="CE76" s="138"/>
      <c r="CF76" s="138"/>
      <c r="CG76" s="138"/>
      <c r="CH76" s="138"/>
    </row>
    <row r="77" spans="1:86" s="137" customFormat="1" ht="12.75" hidden="1" customHeight="1" x14ac:dyDescent="0.2">
      <c r="A77" s="1770">
        <v>19</v>
      </c>
      <c r="B77" s="1787"/>
      <c r="C77" s="1787"/>
      <c r="D77" s="1771"/>
      <c r="E77" s="1772"/>
      <c r="F77" s="1882"/>
      <c r="G77" s="1882"/>
      <c r="H77" s="1882"/>
      <c r="I77" s="1882"/>
      <c r="J77" s="1882"/>
      <c r="K77" s="1882"/>
      <c r="L77" s="1882"/>
      <c r="M77" s="1882"/>
      <c r="N77" s="1882"/>
      <c r="O77" s="1882"/>
      <c r="P77" s="1882"/>
      <c r="Q77" s="1882"/>
      <c r="R77" s="1882"/>
      <c r="S77" s="1882"/>
      <c r="T77" s="1882"/>
      <c r="U77" s="1882"/>
      <c r="V77" s="1882"/>
      <c r="W77" s="1882"/>
      <c r="X77" s="1882"/>
      <c r="Y77" s="1882"/>
      <c r="Z77" s="1882"/>
      <c r="AA77" s="1882"/>
      <c r="AB77" s="1882"/>
      <c r="AC77" s="1882"/>
      <c r="AD77" s="1882"/>
      <c r="AE77" s="1882"/>
      <c r="AF77" s="1882"/>
      <c r="AG77" s="1882"/>
      <c r="AH77" s="1882"/>
      <c r="AI77" s="1882"/>
      <c r="AJ77" s="1882"/>
      <c r="AK77" s="1882"/>
      <c r="AL77" s="1882"/>
      <c r="AM77" s="1882"/>
      <c r="AN77" s="1773"/>
      <c r="AO77" s="2060"/>
      <c r="AP77" s="2061"/>
      <c r="AQ77" s="2061"/>
      <c r="AR77" s="2061"/>
      <c r="AS77" s="2061"/>
      <c r="AT77" s="2061"/>
      <c r="AU77" s="2061"/>
      <c r="AV77" s="2061"/>
      <c r="AW77" s="2061"/>
      <c r="AX77" s="2061"/>
      <c r="AY77" s="2061"/>
      <c r="AZ77" s="2061"/>
      <c r="BA77" s="2061"/>
      <c r="BB77" s="2061"/>
      <c r="BC77" s="2062"/>
      <c r="BD77" s="2079"/>
      <c r="BE77" s="2080"/>
      <c r="BF77" s="2080"/>
      <c r="BG77" s="2080"/>
      <c r="BH77" s="2080"/>
      <c r="BI77" s="2080"/>
      <c r="BJ77" s="2080"/>
      <c r="BK77" s="2080"/>
      <c r="BL77" s="2080"/>
      <c r="BM77" s="2081"/>
      <c r="BN77" s="2060">
        <f t="shared" si="5"/>
        <v>0</v>
      </c>
      <c r="BO77" s="2061"/>
      <c r="BP77" s="2061"/>
      <c r="BQ77" s="2061"/>
      <c r="BR77" s="2061"/>
      <c r="BS77" s="2061"/>
      <c r="BT77" s="2061"/>
      <c r="BU77" s="2061"/>
      <c r="BV77" s="2061"/>
      <c r="BW77" s="2061"/>
      <c r="BX77" s="2061"/>
      <c r="BY77" s="2061"/>
      <c r="BZ77" s="2061"/>
      <c r="CA77" s="2061"/>
      <c r="CB77" s="2062"/>
      <c r="CC77" s="138"/>
      <c r="CD77" s="138">
        <f t="shared" si="6"/>
        <v>0</v>
      </c>
      <c r="CE77" s="138"/>
      <c r="CF77" s="138"/>
      <c r="CG77" s="138"/>
      <c r="CH77" s="138"/>
    </row>
    <row r="78" spans="1:86" s="137" customFormat="1" ht="12.75" hidden="1" customHeight="1" x14ac:dyDescent="0.2">
      <c r="A78" s="1770">
        <v>20</v>
      </c>
      <c r="B78" s="1787"/>
      <c r="C78" s="1787"/>
      <c r="D78" s="1771"/>
      <c r="E78" s="1772"/>
      <c r="F78" s="1882"/>
      <c r="G78" s="1882"/>
      <c r="H78" s="1882"/>
      <c r="I78" s="1882"/>
      <c r="J78" s="1882"/>
      <c r="K78" s="1882"/>
      <c r="L78" s="1882"/>
      <c r="M78" s="1882"/>
      <c r="N78" s="1882"/>
      <c r="O78" s="1882"/>
      <c r="P78" s="1882"/>
      <c r="Q78" s="1882"/>
      <c r="R78" s="1882"/>
      <c r="S78" s="1882"/>
      <c r="T78" s="1882"/>
      <c r="U78" s="1882"/>
      <c r="V78" s="1882"/>
      <c r="W78" s="1882"/>
      <c r="X78" s="1882"/>
      <c r="Y78" s="1882"/>
      <c r="Z78" s="1882"/>
      <c r="AA78" s="1882"/>
      <c r="AB78" s="1882"/>
      <c r="AC78" s="1882"/>
      <c r="AD78" s="1882"/>
      <c r="AE78" s="1882"/>
      <c r="AF78" s="1882"/>
      <c r="AG78" s="1882"/>
      <c r="AH78" s="1882"/>
      <c r="AI78" s="1882"/>
      <c r="AJ78" s="1882"/>
      <c r="AK78" s="1882"/>
      <c r="AL78" s="1882"/>
      <c r="AM78" s="1882"/>
      <c r="AN78" s="1773"/>
      <c r="AO78" s="2060"/>
      <c r="AP78" s="2061"/>
      <c r="AQ78" s="2061"/>
      <c r="AR78" s="2061"/>
      <c r="AS78" s="2061"/>
      <c r="AT78" s="2061"/>
      <c r="AU78" s="2061"/>
      <c r="AV78" s="2061"/>
      <c r="AW78" s="2061"/>
      <c r="AX78" s="2061"/>
      <c r="AY78" s="2061"/>
      <c r="AZ78" s="2061"/>
      <c r="BA78" s="2061"/>
      <c r="BB78" s="2061"/>
      <c r="BC78" s="2062"/>
      <c r="BD78" s="2079"/>
      <c r="BE78" s="2080"/>
      <c r="BF78" s="2080"/>
      <c r="BG78" s="2080"/>
      <c r="BH78" s="2080"/>
      <c r="BI78" s="2080"/>
      <c r="BJ78" s="2080"/>
      <c r="BK78" s="2080"/>
      <c r="BL78" s="2080"/>
      <c r="BM78" s="2081"/>
      <c r="BN78" s="2060">
        <f t="shared" si="5"/>
        <v>0</v>
      </c>
      <c r="BO78" s="2061"/>
      <c r="BP78" s="2061"/>
      <c r="BQ78" s="2061"/>
      <c r="BR78" s="2061"/>
      <c r="BS78" s="2061"/>
      <c r="BT78" s="2061"/>
      <c r="BU78" s="2061"/>
      <c r="BV78" s="2061"/>
      <c r="BW78" s="2061"/>
      <c r="BX78" s="2061"/>
      <c r="BY78" s="2061"/>
      <c r="BZ78" s="2061"/>
      <c r="CA78" s="2061"/>
      <c r="CB78" s="2062"/>
      <c r="CC78" s="138"/>
      <c r="CD78" s="138">
        <f t="shared" si="6"/>
        <v>0</v>
      </c>
      <c r="CE78" s="138"/>
      <c r="CF78" s="138"/>
      <c r="CG78" s="138"/>
      <c r="CH78" s="138"/>
    </row>
    <row r="79" spans="1:86" s="137" customFormat="1" ht="12.75" hidden="1" customHeight="1" x14ac:dyDescent="0.2">
      <c r="A79" s="1770">
        <v>21</v>
      </c>
      <c r="B79" s="1787"/>
      <c r="C79" s="1787"/>
      <c r="D79" s="1771"/>
      <c r="E79" s="1772"/>
      <c r="F79" s="1882"/>
      <c r="G79" s="1882"/>
      <c r="H79" s="1882"/>
      <c r="I79" s="1882"/>
      <c r="J79" s="1882"/>
      <c r="K79" s="1882"/>
      <c r="L79" s="1882"/>
      <c r="M79" s="1882"/>
      <c r="N79" s="1882"/>
      <c r="O79" s="1882"/>
      <c r="P79" s="1882"/>
      <c r="Q79" s="1882"/>
      <c r="R79" s="1882"/>
      <c r="S79" s="1882"/>
      <c r="T79" s="1882"/>
      <c r="U79" s="1882"/>
      <c r="V79" s="1882"/>
      <c r="W79" s="1882"/>
      <c r="X79" s="1882"/>
      <c r="Y79" s="1882"/>
      <c r="Z79" s="1882"/>
      <c r="AA79" s="1882"/>
      <c r="AB79" s="1882"/>
      <c r="AC79" s="1882"/>
      <c r="AD79" s="1882"/>
      <c r="AE79" s="1882"/>
      <c r="AF79" s="1882"/>
      <c r="AG79" s="1882"/>
      <c r="AH79" s="1882"/>
      <c r="AI79" s="1882"/>
      <c r="AJ79" s="1882"/>
      <c r="AK79" s="1882"/>
      <c r="AL79" s="1882"/>
      <c r="AM79" s="1882"/>
      <c r="AN79" s="1773"/>
      <c r="AO79" s="2060"/>
      <c r="AP79" s="2061"/>
      <c r="AQ79" s="2061"/>
      <c r="AR79" s="2061"/>
      <c r="AS79" s="2061"/>
      <c r="AT79" s="2061"/>
      <c r="AU79" s="2061"/>
      <c r="AV79" s="2061"/>
      <c r="AW79" s="2061"/>
      <c r="AX79" s="2061"/>
      <c r="AY79" s="2061"/>
      <c r="AZ79" s="2061"/>
      <c r="BA79" s="2061"/>
      <c r="BB79" s="2061"/>
      <c r="BC79" s="2062"/>
      <c r="BD79" s="2079"/>
      <c r="BE79" s="2080"/>
      <c r="BF79" s="2080"/>
      <c r="BG79" s="2080"/>
      <c r="BH79" s="2080"/>
      <c r="BI79" s="2080"/>
      <c r="BJ79" s="2080"/>
      <c r="BK79" s="2080"/>
      <c r="BL79" s="2080"/>
      <c r="BM79" s="2081"/>
      <c r="BN79" s="2060">
        <f t="shared" si="5"/>
        <v>0</v>
      </c>
      <c r="BO79" s="2061"/>
      <c r="BP79" s="2061"/>
      <c r="BQ79" s="2061"/>
      <c r="BR79" s="2061"/>
      <c r="BS79" s="2061"/>
      <c r="BT79" s="2061"/>
      <c r="BU79" s="2061"/>
      <c r="BV79" s="2061"/>
      <c r="BW79" s="2061"/>
      <c r="BX79" s="2061"/>
      <c r="BY79" s="2061"/>
      <c r="BZ79" s="2061"/>
      <c r="CA79" s="2061"/>
      <c r="CB79" s="2062"/>
      <c r="CC79" s="138"/>
      <c r="CD79" s="138">
        <f t="shared" si="6"/>
        <v>0</v>
      </c>
      <c r="CE79" s="138"/>
      <c r="CF79" s="138"/>
      <c r="CG79" s="138"/>
      <c r="CH79" s="138"/>
    </row>
    <row r="80" spans="1:86" s="137" customFormat="1" ht="12.75" hidden="1" customHeight="1" x14ac:dyDescent="0.2">
      <c r="A80" s="1770">
        <v>22</v>
      </c>
      <c r="B80" s="1787"/>
      <c r="C80" s="1787"/>
      <c r="D80" s="1771"/>
      <c r="E80" s="1772"/>
      <c r="F80" s="1882"/>
      <c r="G80" s="1882"/>
      <c r="H80" s="1882"/>
      <c r="I80" s="1882"/>
      <c r="J80" s="1882"/>
      <c r="K80" s="1882"/>
      <c r="L80" s="1882"/>
      <c r="M80" s="1882"/>
      <c r="N80" s="1882"/>
      <c r="O80" s="1882"/>
      <c r="P80" s="1882"/>
      <c r="Q80" s="1882"/>
      <c r="R80" s="1882"/>
      <c r="S80" s="1882"/>
      <c r="T80" s="1882"/>
      <c r="U80" s="1882"/>
      <c r="V80" s="1882"/>
      <c r="W80" s="1882"/>
      <c r="X80" s="1882"/>
      <c r="Y80" s="1882"/>
      <c r="Z80" s="1882"/>
      <c r="AA80" s="1882"/>
      <c r="AB80" s="1882"/>
      <c r="AC80" s="1882"/>
      <c r="AD80" s="1882"/>
      <c r="AE80" s="1882"/>
      <c r="AF80" s="1882"/>
      <c r="AG80" s="1882"/>
      <c r="AH80" s="1882"/>
      <c r="AI80" s="1882"/>
      <c r="AJ80" s="1882"/>
      <c r="AK80" s="1882"/>
      <c r="AL80" s="1882"/>
      <c r="AM80" s="1882"/>
      <c r="AN80" s="1773"/>
      <c r="AO80" s="2060"/>
      <c r="AP80" s="2061"/>
      <c r="AQ80" s="2061"/>
      <c r="AR80" s="2061"/>
      <c r="AS80" s="2061"/>
      <c r="AT80" s="2061"/>
      <c r="AU80" s="2061"/>
      <c r="AV80" s="2061"/>
      <c r="AW80" s="2061"/>
      <c r="AX80" s="2061"/>
      <c r="AY80" s="2061"/>
      <c r="AZ80" s="2061"/>
      <c r="BA80" s="2061"/>
      <c r="BB80" s="2061"/>
      <c r="BC80" s="2062"/>
      <c r="BD80" s="2079"/>
      <c r="BE80" s="2080"/>
      <c r="BF80" s="2080"/>
      <c r="BG80" s="2080"/>
      <c r="BH80" s="2080"/>
      <c r="BI80" s="2080"/>
      <c r="BJ80" s="2080"/>
      <c r="BK80" s="2080"/>
      <c r="BL80" s="2080"/>
      <c r="BM80" s="2081"/>
      <c r="BN80" s="2060">
        <f t="shared" si="5"/>
        <v>0</v>
      </c>
      <c r="BO80" s="2061"/>
      <c r="BP80" s="2061"/>
      <c r="BQ80" s="2061"/>
      <c r="BR80" s="2061"/>
      <c r="BS80" s="2061"/>
      <c r="BT80" s="2061"/>
      <c r="BU80" s="2061"/>
      <c r="BV80" s="2061"/>
      <c r="BW80" s="2061"/>
      <c r="BX80" s="2061"/>
      <c r="BY80" s="2061"/>
      <c r="BZ80" s="2061"/>
      <c r="CA80" s="2061"/>
      <c r="CB80" s="2062"/>
      <c r="CC80" s="138"/>
      <c r="CD80" s="138">
        <f t="shared" si="6"/>
        <v>0</v>
      </c>
      <c r="CE80" s="138"/>
      <c r="CF80" s="138"/>
      <c r="CG80" s="138"/>
      <c r="CH80" s="138"/>
    </row>
    <row r="81" spans="1:86" s="137" customFormat="1" ht="12.75" hidden="1" customHeight="1" x14ac:dyDescent="0.2">
      <c r="A81" s="1770">
        <v>23</v>
      </c>
      <c r="B81" s="1787"/>
      <c r="C81" s="1787"/>
      <c r="D81" s="1771"/>
      <c r="E81" s="1772"/>
      <c r="F81" s="1882"/>
      <c r="G81" s="1882"/>
      <c r="H81" s="1882"/>
      <c r="I81" s="1882"/>
      <c r="J81" s="1882"/>
      <c r="K81" s="1882"/>
      <c r="L81" s="1882"/>
      <c r="M81" s="1882"/>
      <c r="N81" s="1882"/>
      <c r="O81" s="1882"/>
      <c r="P81" s="1882"/>
      <c r="Q81" s="1882"/>
      <c r="R81" s="1882"/>
      <c r="S81" s="1882"/>
      <c r="T81" s="1882"/>
      <c r="U81" s="1882"/>
      <c r="V81" s="1882"/>
      <c r="W81" s="1882"/>
      <c r="X81" s="1882"/>
      <c r="Y81" s="1882"/>
      <c r="Z81" s="1882"/>
      <c r="AA81" s="1882"/>
      <c r="AB81" s="1882"/>
      <c r="AC81" s="1882"/>
      <c r="AD81" s="1882"/>
      <c r="AE81" s="1882"/>
      <c r="AF81" s="1882"/>
      <c r="AG81" s="1882"/>
      <c r="AH81" s="1882"/>
      <c r="AI81" s="1882"/>
      <c r="AJ81" s="1882"/>
      <c r="AK81" s="1882"/>
      <c r="AL81" s="1882"/>
      <c r="AM81" s="1882"/>
      <c r="AN81" s="1773"/>
      <c r="AO81" s="2060"/>
      <c r="AP81" s="2061"/>
      <c r="AQ81" s="2061"/>
      <c r="AR81" s="2061"/>
      <c r="AS81" s="2061"/>
      <c r="AT81" s="2061"/>
      <c r="AU81" s="2061"/>
      <c r="AV81" s="2061"/>
      <c r="AW81" s="2061"/>
      <c r="AX81" s="2061"/>
      <c r="AY81" s="2061"/>
      <c r="AZ81" s="2061"/>
      <c r="BA81" s="2061"/>
      <c r="BB81" s="2061"/>
      <c r="BC81" s="2062"/>
      <c r="BD81" s="2079"/>
      <c r="BE81" s="2080"/>
      <c r="BF81" s="2080"/>
      <c r="BG81" s="2080"/>
      <c r="BH81" s="2080"/>
      <c r="BI81" s="2080"/>
      <c r="BJ81" s="2080"/>
      <c r="BK81" s="2080"/>
      <c r="BL81" s="2080"/>
      <c r="BM81" s="2081"/>
      <c r="BN81" s="2060">
        <f t="shared" si="5"/>
        <v>0</v>
      </c>
      <c r="BO81" s="2061"/>
      <c r="BP81" s="2061"/>
      <c r="BQ81" s="2061"/>
      <c r="BR81" s="2061"/>
      <c r="BS81" s="2061"/>
      <c r="BT81" s="2061"/>
      <c r="BU81" s="2061"/>
      <c r="BV81" s="2061"/>
      <c r="BW81" s="2061"/>
      <c r="BX81" s="2061"/>
      <c r="BY81" s="2061"/>
      <c r="BZ81" s="2061"/>
      <c r="CA81" s="2061"/>
      <c r="CB81" s="2062"/>
      <c r="CC81" s="138"/>
      <c r="CD81" s="138">
        <f t="shared" si="6"/>
        <v>0</v>
      </c>
      <c r="CE81" s="138"/>
      <c r="CF81" s="138"/>
      <c r="CG81" s="138"/>
      <c r="CH81" s="138"/>
    </row>
    <row r="82" spans="1:86" s="137" customFormat="1" ht="12.75" hidden="1" customHeight="1" x14ac:dyDescent="0.2">
      <c r="A82" s="1770">
        <v>24</v>
      </c>
      <c r="B82" s="1787"/>
      <c r="C82" s="1787"/>
      <c r="D82" s="1771"/>
      <c r="E82" s="1772"/>
      <c r="F82" s="1882"/>
      <c r="G82" s="1882"/>
      <c r="H82" s="1882"/>
      <c r="I82" s="1882"/>
      <c r="J82" s="1882"/>
      <c r="K82" s="1882"/>
      <c r="L82" s="1882"/>
      <c r="M82" s="1882"/>
      <c r="N82" s="1882"/>
      <c r="O82" s="1882"/>
      <c r="P82" s="1882"/>
      <c r="Q82" s="1882"/>
      <c r="R82" s="1882"/>
      <c r="S82" s="1882"/>
      <c r="T82" s="1882"/>
      <c r="U82" s="1882"/>
      <c r="V82" s="1882"/>
      <c r="W82" s="1882"/>
      <c r="X82" s="1882"/>
      <c r="Y82" s="1882"/>
      <c r="Z82" s="1882"/>
      <c r="AA82" s="1882"/>
      <c r="AB82" s="1882"/>
      <c r="AC82" s="1882"/>
      <c r="AD82" s="1882"/>
      <c r="AE82" s="1882"/>
      <c r="AF82" s="1882"/>
      <c r="AG82" s="1882"/>
      <c r="AH82" s="1882"/>
      <c r="AI82" s="1882"/>
      <c r="AJ82" s="1882"/>
      <c r="AK82" s="1882"/>
      <c r="AL82" s="1882"/>
      <c r="AM82" s="1882"/>
      <c r="AN82" s="1773"/>
      <c r="AO82" s="2060"/>
      <c r="AP82" s="2061"/>
      <c r="AQ82" s="2061"/>
      <c r="AR82" s="2061"/>
      <c r="AS82" s="2061"/>
      <c r="AT82" s="2061"/>
      <c r="AU82" s="2061"/>
      <c r="AV82" s="2061"/>
      <c r="AW82" s="2061"/>
      <c r="AX82" s="2061"/>
      <c r="AY82" s="2061"/>
      <c r="AZ82" s="2061"/>
      <c r="BA82" s="2061"/>
      <c r="BB82" s="2061"/>
      <c r="BC82" s="2062"/>
      <c r="BD82" s="2079"/>
      <c r="BE82" s="2080"/>
      <c r="BF82" s="2080"/>
      <c r="BG82" s="2080"/>
      <c r="BH82" s="2080"/>
      <c r="BI82" s="2080"/>
      <c r="BJ82" s="2080"/>
      <c r="BK82" s="2080"/>
      <c r="BL82" s="2080"/>
      <c r="BM82" s="2081"/>
      <c r="BN82" s="2060">
        <f t="shared" si="5"/>
        <v>0</v>
      </c>
      <c r="BO82" s="2061"/>
      <c r="BP82" s="2061"/>
      <c r="BQ82" s="2061"/>
      <c r="BR82" s="2061"/>
      <c r="BS82" s="2061"/>
      <c r="BT82" s="2061"/>
      <c r="BU82" s="2061"/>
      <c r="BV82" s="2061"/>
      <c r="BW82" s="2061"/>
      <c r="BX82" s="2061"/>
      <c r="BY82" s="2061"/>
      <c r="BZ82" s="2061"/>
      <c r="CA82" s="2061"/>
      <c r="CB82" s="2062"/>
      <c r="CC82" s="138"/>
      <c r="CD82" s="138">
        <f t="shared" si="6"/>
        <v>0</v>
      </c>
      <c r="CE82" s="138"/>
      <c r="CF82" s="138"/>
      <c r="CG82" s="138"/>
      <c r="CH82" s="138"/>
    </row>
    <row r="83" spans="1:86" s="137" customFormat="1" ht="12.75" hidden="1" customHeight="1" x14ac:dyDescent="0.2">
      <c r="A83" s="1770">
        <v>25</v>
      </c>
      <c r="B83" s="1787"/>
      <c r="C83" s="1787"/>
      <c r="D83" s="1771"/>
      <c r="E83" s="1772"/>
      <c r="F83" s="1882"/>
      <c r="G83" s="1882"/>
      <c r="H83" s="1882"/>
      <c r="I83" s="1882"/>
      <c r="J83" s="1882"/>
      <c r="K83" s="1882"/>
      <c r="L83" s="1882"/>
      <c r="M83" s="1882"/>
      <c r="N83" s="1882"/>
      <c r="O83" s="1882"/>
      <c r="P83" s="1882"/>
      <c r="Q83" s="1882"/>
      <c r="R83" s="1882"/>
      <c r="S83" s="1882"/>
      <c r="T83" s="1882"/>
      <c r="U83" s="1882"/>
      <c r="V83" s="1882"/>
      <c r="W83" s="1882"/>
      <c r="X83" s="1882"/>
      <c r="Y83" s="1882"/>
      <c r="Z83" s="1882"/>
      <c r="AA83" s="1882"/>
      <c r="AB83" s="1882"/>
      <c r="AC83" s="1882"/>
      <c r="AD83" s="1882"/>
      <c r="AE83" s="1882"/>
      <c r="AF83" s="1882"/>
      <c r="AG83" s="1882"/>
      <c r="AH83" s="1882"/>
      <c r="AI83" s="1882"/>
      <c r="AJ83" s="1882"/>
      <c r="AK83" s="1882"/>
      <c r="AL83" s="1882"/>
      <c r="AM83" s="1882"/>
      <c r="AN83" s="1773"/>
      <c r="AO83" s="2060"/>
      <c r="AP83" s="2061"/>
      <c r="AQ83" s="2061"/>
      <c r="AR83" s="2061"/>
      <c r="AS83" s="2061"/>
      <c r="AT83" s="2061"/>
      <c r="AU83" s="2061"/>
      <c r="AV83" s="2061"/>
      <c r="AW83" s="2061"/>
      <c r="AX83" s="2061"/>
      <c r="AY83" s="2061"/>
      <c r="AZ83" s="2061"/>
      <c r="BA83" s="2061"/>
      <c r="BB83" s="2061"/>
      <c r="BC83" s="2062"/>
      <c r="BD83" s="2079"/>
      <c r="BE83" s="2080"/>
      <c r="BF83" s="2080"/>
      <c r="BG83" s="2080"/>
      <c r="BH83" s="2080"/>
      <c r="BI83" s="2080"/>
      <c r="BJ83" s="2080"/>
      <c r="BK83" s="2080"/>
      <c r="BL83" s="2080"/>
      <c r="BM83" s="2081"/>
      <c r="BN83" s="2060">
        <f t="shared" si="5"/>
        <v>0</v>
      </c>
      <c r="BO83" s="2061"/>
      <c r="BP83" s="2061"/>
      <c r="BQ83" s="2061"/>
      <c r="BR83" s="2061"/>
      <c r="BS83" s="2061"/>
      <c r="BT83" s="2061"/>
      <c r="BU83" s="2061"/>
      <c r="BV83" s="2061"/>
      <c r="BW83" s="2061"/>
      <c r="BX83" s="2061"/>
      <c r="BY83" s="2061"/>
      <c r="BZ83" s="2061"/>
      <c r="CA83" s="2061"/>
      <c r="CB83" s="2062"/>
      <c r="CC83" s="138"/>
      <c r="CD83" s="138">
        <f t="shared" si="6"/>
        <v>0</v>
      </c>
      <c r="CE83" s="138"/>
      <c r="CF83" s="138"/>
      <c r="CG83" s="138"/>
      <c r="CH83" s="138"/>
    </row>
    <row r="84" spans="1:86" s="137" customFormat="1" ht="12.75" hidden="1" customHeight="1" x14ac:dyDescent="0.2">
      <c r="A84" s="1770">
        <v>26</v>
      </c>
      <c r="B84" s="1787"/>
      <c r="C84" s="1787"/>
      <c r="D84" s="1771"/>
      <c r="E84" s="1772"/>
      <c r="F84" s="1882"/>
      <c r="G84" s="1882"/>
      <c r="H84" s="1882"/>
      <c r="I84" s="1882"/>
      <c r="J84" s="1882"/>
      <c r="K84" s="1882"/>
      <c r="L84" s="1882"/>
      <c r="M84" s="1882"/>
      <c r="N84" s="1882"/>
      <c r="O84" s="1882"/>
      <c r="P84" s="1882"/>
      <c r="Q84" s="1882"/>
      <c r="R84" s="1882"/>
      <c r="S84" s="1882"/>
      <c r="T84" s="1882"/>
      <c r="U84" s="1882"/>
      <c r="V84" s="1882"/>
      <c r="W84" s="1882"/>
      <c r="X84" s="1882"/>
      <c r="Y84" s="1882"/>
      <c r="Z84" s="1882"/>
      <c r="AA84" s="1882"/>
      <c r="AB84" s="1882"/>
      <c r="AC84" s="1882"/>
      <c r="AD84" s="1882"/>
      <c r="AE84" s="1882"/>
      <c r="AF84" s="1882"/>
      <c r="AG84" s="1882"/>
      <c r="AH84" s="1882"/>
      <c r="AI84" s="1882"/>
      <c r="AJ84" s="1882"/>
      <c r="AK84" s="1882"/>
      <c r="AL84" s="1882"/>
      <c r="AM84" s="1882"/>
      <c r="AN84" s="1773"/>
      <c r="AO84" s="2060"/>
      <c r="AP84" s="2061"/>
      <c r="AQ84" s="2061"/>
      <c r="AR84" s="2061"/>
      <c r="AS84" s="2061"/>
      <c r="AT84" s="2061"/>
      <c r="AU84" s="2061"/>
      <c r="AV84" s="2061"/>
      <c r="AW84" s="2061"/>
      <c r="AX84" s="2061"/>
      <c r="AY84" s="2061"/>
      <c r="AZ84" s="2061"/>
      <c r="BA84" s="2061"/>
      <c r="BB84" s="2061"/>
      <c r="BC84" s="2062"/>
      <c r="BD84" s="2079"/>
      <c r="BE84" s="2080"/>
      <c r="BF84" s="2080"/>
      <c r="BG84" s="2080"/>
      <c r="BH84" s="2080"/>
      <c r="BI84" s="2080"/>
      <c r="BJ84" s="2080"/>
      <c r="BK84" s="2080"/>
      <c r="BL84" s="2080"/>
      <c r="BM84" s="2081"/>
      <c r="BN84" s="2060">
        <f t="shared" si="5"/>
        <v>0</v>
      </c>
      <c r="BO84" s="2061"/>
      <c r="BP84" s="2061"/>
      <c r="BQ84" s="2061"/>
      <c r="BR84" s="2061"/>
      <c r="BS84" s="2061"/>
      <c r="BT84" s="2061"/>
      <c r="BU84" s="2061"/>
      <c r="BV84" s="2061"/>
      <c r="BW84" s="2061"/>
      <c r="BX84" s="2061"/>
      <c r="BY84" s="2061"/>
      <c r="BZ84" s="2061"/>
      <c r="CA84" s="2061"/>
      <c r="CB84" s="2062"/>
      <c r="CC84" s="138"/>
      <c r="CD84" s="138">
        <f t="shared" si="6"/>
        <v>0</v>
      </c>
      <c r="CE84" s="138"/>
      <c r="CF84" s="138"/>
      <c r="CG84" s="138"/>
      <c r="CH84" s="138"/>
    </row>
    <row r="85" spans="1:86" s="137" customFormat="1" ht="12.75" hidden="1" customHeight="1" x14ac:dyDescent="0.2">
      <c r="A85" s="1770">
        <v>27</v>
      </c>
      <c r="B85" s="1787"/>
      <c r="C85" s="1787"/>
      <c r="D85" s="1771"/>
      <c r="E85" s="1772"/>
      <c r="F85" s="1882"/>
      <c r="G85" s="1882"/>
      <c r="H85" s="1882"/>
      <c r="I85" s="1882"/>
      <c r="J85" s="1882"/>
      <c r="K85" s="1882"/>
      <c r="L85" s="1882"/>
      <c r="M85" s="1882"/>
      <c r="N85" s="1882"/>
      <c r="O85" s="1882"/>
      <c r="P85" s="1882"/>
      <c r="Q85" s="1882"/>
      <c r="R85" s="1882"/>
      <c r="S85" s="1882"/>
      <c r="T85" s="1882"/>
      <c r="U85" s="1882"/>
      <c r="V85" s="1882"/>
      <c r="W85" s="1882"/>
      <c r="X85" s="1882"/>
      <c r="Y85" s="1882"/>
      <c r="Z85" s="1882"/>
      <c r="AA85" s="1882"/>
      <c r="AB85" s="1882"/>
      <c r="AC85" s="1882"/>
      <c r="AD85" s="1882"/>
      <c r="AE85" s="1882"/>
      <c r="AF85" s="1882"/>
      <c r="AG85" s="1882"/>
      <c r="AH85" s="1882"/>
      <c r="AI85" s="1882"/>
      <c r="AJ85" s="1882"/>
      <c r="AK85" s="1882"/>
      <c r="AL85" s="1882"/>
      <c r="AM85" s="1882"/>
      <c r="AN85" s="1773"/>
      <c r="AO85" s="2060"/>
      <c r="AP85" s="2061"/>
      <c r="AQ85" s="2061"/>
      <c r="AR85" s="2061"/>
      <c r="AS85" s="2061"/>
      <c r="AT85" s="2061"/>
      <c r="AU85" s="2061"/>
      <c r="AV85" s="2061"/>
      <c r="AW85" s="2061"/>
      <c r="AX85" s="2061"/>
      <c r="AY85" s="2061"/>
      <c r="AZ85" s="2061"/>
      <c r="BA85" s="2061"/>
      <c r="BB85" s="2061"/>
      <c r="BC85" s="2062"/>
      <c r="BD85" s="2079"/>
      <c r="BE85" s="2080"/>
      <c r="BF85" s="2080"/>
      <c r="BG85" s="2080"/>
      <c r="BH85" s="2080"/>
      <c r="BI85" s="2080"/>
      <c r="BJ85" s="2080"/>
      <c r="BK85" s="2080"/>
      <c r="BL85" s="2080"/>
      <c r="BM85" s="2081"/>
      <c r="BN85" s="2060">
        <f t="shared" si="5"/>
        <v>0</v>
      </c>
      <c r="BO85" s="2061"/>
      <c r="BP85" s="2061"/>
      <c r="BQ85" s="2061"/>
      <c r="BR85" s="2061"/>
      <c r="BS85" s="2061"/>
      <c r="BT85" s="2061"/>
      <c r="BU85" s="2061"/>
      <c r="BV85" s="2061"/>
      <c r="BW85" s="2061"/>
      <c r="BX85" s="2061"/>
      <c r="BY85" s="2061"/>
      <c r="BZ85" s="2061"/>
      <c r="CA85" s="2061"/>
      <c r="CB85" s="2062"/>
      <c r="CC85" s="138"/>
      <c r="CD85" s="138">
        <f t="shared" si="6"/>
        <v>0</v>
      </c>
      <c r="CE85" s="138"/>
      <c r="CF85" s="138"/>
      <c r="CG85" s="138"/>
      <c r="CH85" s="138"/>
    </row>
    <row r="86" spans="1:86" s="137" customFormat="1" ht="12.75" hidden="1" customHeight="1" x14ac:dyDescent="0.2">
      <c r="A86" s="1770"/>
      <c r="B86" s="1787"/>
      <c r="C86" s="1787"/>
      <c r="D86" s="1771"/>
      <c r="E86" s="1772"/>
      <c r="F86" s="1882"/>
      <c r="G86" s="1882"/>
      <c r="H86" s="1882"/>
      <c r="I86" s="1882"/>
      <c r="J86" s="1882"/>
      <c r="K86" s="1882"/>
      <c r="L86" s="1882"/>
      <c r="M86" s="1882"/>
      <c r="N86" s="1882"/>
      <c r="O86" s="1882"/>
      <c r="P86" s="1882"/>
      <c r="Q86" s="1882"/>
      <c r="R86" s="1882"/>
      <c r="S86" s="1882"/>
      <c r="T86" s="1882"/>
      <c r="U86" s="1882"/>
      <c r="V86" s="1882"/>
      <c r="W86" s="1882"/>
      <c r="X86" s="1882"/>
      <c r="Y86" s="1882"/>
      <c r="Z86" s="1882"/>
      <c r="AA86" s="1882"/>
      <c r="AB86" s="1882"/>
      <c r="AC86" s="1882"/>
      <c r="AD86" s="1882"/>
      <c r="AE86" s="1882"/>
      <c r="AF86" s="1882"/>
      <c r="AG86" s="1882"/>
      <c r="AH86" s="1882"/>
      <c r="AI86" s="1882"/>
      <c r="AJ86" s="1882"/>
      <c r="AK86" s="1882"/>
      <c r="AL86" s="1882"/>
      <c r="AM86" s="1882"/>
      <c r="AN86" s="1773"/>
      <c r="AO86" s="2060"/>
      <c r="AP86" s="2061"/>
      <c r="AQ86" s="2061"/>
      <c r="AR86" s="2061"/>
      <c r="AS86" s="2061"/>
      <c r="AT86" s="2061"/>
      <c r="AU86" s="2061"/>
      <c r="AV86" s="2061"/>
      <c r="AW86" s="2061"/>
      <c r="AX86" s="2061"/>
      <c r="AY86" s="2061"/>
      <c r="AZ86" s="2061"/>
      <c r="BA86" s="2061"/>
      <c r="BB86" s="2061"/>
      <c r="BC86" s="2062"/>
      <c r="BD86" s="2079"/>
      <c r="BE86" s="2080"/>
      <c r="BF86" s="2080"/>
      <c r="BG86" s="2080"/>
      <c r="BH86" s="2080"/>
      <c r="BI86" s="2080"/>
      <c r="BJ86" s="2080"/>
      <c r="BK86" s="2080"/>
      <c r="BL86" s="2080"/>
      <c r="BM86" s="2081"/>
      <c r="BN86" s="2060">
        <f t="shared" si="5"/>
        <v>0</v>
      </c>
      <c r="BO86" s="2061"/>
      <c r="BP86" s="2061"/>
      <c r="BQ86" s="2061"/>
      <c r="BR86" s="2061"/>
      <c r="BS86" s="2061"/>
      <c r="BT86" s="2061"/>
      <c r="BU86" s="2061"/>
      <c r="BV86" s="2061"/>
      <c r="BW86" s="2061"/>
      <c r="BX86" s="2061"/>
      <c r="BY86" s="2061"/>
      <c r="BZ86" s="2061"/>
      <c r="CA86" s="2061"/>
      <c r="CB86" s="2062"/>
      <c r="CC86" s="138"/>
      <c r="CD86" s="138">
        <f t="shared" si="6"/>
        <v>0</v>
      </c>
      <c r="CE86" s="138"/>
      <c r="CF86" s="138"/>
      <c r="CG86" s="138"/>
      <c r="CH86" s="138"/>
    </row>
    <row r="87" spans="1:86" s="137" customFormat="1" ht="12.75" hidden="1" customHeight="1" x14ac:dyDescent="0.2">
      <c r="A87" s="1770"/>
      <c r="B87" s="1787"/>
      <c r="C87" s="1787"/>
      <c r="D87" s="1771"/>
      <c r="E87" s="1772"/>
      <c r="F87" s="1882"/>
      <c r="G87" s="1882"/>
      <c r="H87" s="1882"/>
      <c r="I87" s="1882"/>
      <c r="J87" s="1882"/>
      <c r="K87" s="1882"/>
      <c r="L87" s="1882"/>
      <c r="M87" s="1882"/>
      <c r="N87" s="1882"/>
      <c r="O87" s="1882"/>
      <c r="P87" s="1882"/>
      <c r="Q87" s="1882"/>
      <c r="R87" s="1882"/>
      <c r="S87" s="1882"/>
      <c r="T87" s="1882"/>
      <c r="U87" s="1882"/>
      <c r="V87" s="1882"/>
      <c r="W87" s="1882"/>
      <c r="X87" s="1882"/>
      <c r="Y87" s="1882"/>
      <c r="Z87" s="1882"/>
      <c r="AA87" s="1882"/>
      <c r="AB87" s="1882"/>
      <c r="AC87" s="1882"/>
      <c r="AD87" s="1882"/>
      <c r="AE87" s="1882"/>
      <c r="AF87" s="1882"/>
      <c r="AG87" s="1882"/>
      <c r="AH87" s="1882"/>
      <c r="AI87" s="1882"/>
      <c r="AJ87" s="1882"/>
      <c r="AK87" s="1882"/>
      <c r="AL87" s="1882"/>
      <c r="AM87" s="1882"/>
      <c r="AN87" s="1773"/>
      <c r="AO87" s="2060"/>
      <c r="AP87" s="2061"/>
      <c r="AQ87" s="2061"/>
      <c r="AR87" s="2061"/>
      <c r="AS87" s="2061"/>
      <c r="AT87" s="2061"/>
      <c r="AU87" s="2061"/>
      <c r="AV87" s="2061"/>
      <c r="AW87" s="2061"/>
      <c r="AX87" s="2061"/>
      <c r="AY87" s="2061"/>
      <c r="AZ87" s="2061"/>
      <c r="BA87" s="2061"/>
      <c r="BB87" s="2061"/>
      <c r="BC87" s="2062"/>
      <c r="BD87" s="2079"/>
      <c r="BE87" s="2080"/>
      <c r="BF87" s="2080"/>
      <c r="BG87" s="2080"/>
      <c r="BH87" s="2080"/>
      <c r="BI87" s="2080"/>
      <c r="BJ87" s="2080"/>
      <c r="BK87" s="2080"/>
      <c r="BL87" s="2080"/>
      <c r="BM87" s="2081"/>
      <c r="BN87" s="2060">
        <f t="shared" si="5"/>
        <v>0</v>
      </c>
      <c r="BO87" s="2061"/>
      <c r="BP87" s="2061"/>
      <c r="BQ87" s="2061"/>
      <c r="BR87" s="2061"/>
      <c r="BS87" s="2061"/>
      <c r="BT87" s="2061"/>
      <c r="BU87" s="2061"/>
      <c r="BV87" s="2061"/>
      <c r="BW87" s="2061"/>
      <c r="BX87" s="2061"/>
      <c r="BY87" s="2061"/>
      <c r="BZ87" s="2061"/>
      <c r="CA87" s="2061"/>
      <c r="CB87" s="2062"/>
      <c r="CC87" s="138"/>
      <c r="CD87" s="138">
        <f t="shared" si="6"/>
        <v>0</v>
      </c>
      <c r="CE87" s="138"/>
      <c r="CF87" s="138"/>
      <c r="CG87" s="138"/>
      <c r="CH87" s="138"/>
    </row>
    <row r="88" spans="1:86" s="137" customFormat="1" ht="12.75" hidden="1" customHeight="1" x14ac:dyDescent="0.2">
      <c r="A88" s="1770"/>
      <c r="B88" s="1787"/>
      <c r="C88" s="1787"/>
      <c r="D88" s="1771"/>
      <c r="E88" s="1772"/>
      <c r="F88" s="1882"/>
      <c r="G88" s="1882"/>
      <c r="H88" s="1882"/>
      <c r="I88" s="1882"/>
      <c r="J88" s="1882"/>
      <c r="K88" s="1882"/>
      <c r="L88" s="1882"/>
      <c r="M88" s="1882"/>
      <c r="N88" s="1882"/>
      <c r="O88" s="1882"/>
      <c r="P88" s="1882"/>
      <c r="Q88" s="1882"/>
      <c r="R88" s="1882"/>
      <c r="S88" s="1882"/>
      <c r="T88" s="1882"/>
      <c r="U88" s="1882"/>
      <c r="V88" s="1882"/>
      <c r="W88" s="1882"/>
      <c r="X88" s="1882"/>
      <c r="Y88" s="1882"/>
      <c r="Z88" s="1882"/>
      <c r="AA88" s="1882"/>
      <c r="AB88" s="1882"/>
      <c r="AC88" s="1882"/>
      <c r="AD88" s="1882"/>
      <c r="AE88" s="1882"/>
      <c r="AF88" s="1882"/>
      <c r="AG88" s="1882"/>
      <c r="AH88" s="1882"/>
      <c r="AI88" s="1882"/>
      <c r="AJ88" s="1882"/>
      <c r="AK88" s="1882"/>
      <c r="AL88" s="1882"/>
      <c r="AM88" s="1882"/>
      <c r="AN88" s="1773"/>
      <c r="AO88" s="2060"/>
      <c r="AP88" s="2061"/>
      <c r="AQ88" s="2061"/>
      <c r="AR88" s="2061"/>
      <c r="AS88" s="2061"/>
      <c r="AT88" s="2061"/>
      <c r="AU88" s="2061"/>
      <c r="AV88" s="2061"/>
      <c r="AW88" s="2061"/>
      <c r="AX88" s="2061"/>
      <c r="AY88" s="2061"/>
      <c r="AZ88" s="2061"/>
      <c r="BA88" s="2061"/>
      <c r="BB88" s="2061"/>
      <c r="BC88" s="2062"/>
      <c r="BD88" s="2079"/>
      <c r="BE88" s="2080"/>
      <c r="BF88" s="2080"/>
      <c r="BG88" s="2080"/>
      <c r="BH88" s="2080"/>
      <c r="BI88" s="2080"/>
      <c r="BJ88" s="2080"/>
      <c r="BK88" s="2080"/>
      <c r="BL88" s="2080"/>
      <c r="BM88" s="2081"/>
      <c r="BN88" s="2060">
        <f t="shared" si="5"/>
        <v>0</v>
      </c>
      <c r="BO88" s="2061"/>
      <c r="BP88" s="2061"/>
      <c r="BQ88" s="2061"/>
      <c r="BR88" s="2061"/>
      <c r="BS88" s="2061"/>
      <c r="BT88" s="2061"/>
      <c r="BU88" s="2061"/>
      <c r="BV88" s="2061"/>
      <c r="BW88" s="2061"/>
      <c r="BX88" s="2061"/>
      <c r="BY88" s="2061"/>
      <c r="BZ88" s="2061"/>
      <c r="CA88" s="2061"/>
      <c r="CB88" s="2062"/>
      <c r="CC88" s="138"/>
      <c r="CD88" s="138">
        <f t="shared" si="6"/>
        <v>0</v>
      </c>
      <c r="CE88" s="138"/>
      <c r="CF88" s="138"/>
      <c r="CG88" s="138"/>
      <c r="CH88" s="138"/>
    </row>
    <row r="89" spans="1:86" s="137" customFormat="1" ht="12.75" hidden="1" customHeight="1" x14ac:dyDescent="0.2">
      <c r="A89" s="1770"/>
      <c r="B89" s="1787"/>
      <c r="C89" s="1787"/>
      <c r="D89" s="1771"/>
      <c r="E89" s="1772"/>
      <c r="F89" s="1882"/>
      <c r="G89" s="1882"/>
      <c r="H89" s="1882"/>
      <c r="I89" s="1882"/>
      <c r="J89" s="1882"/>
      <c r="K89" s="1882"/>
      <c r="L89" s="1882"/>
      <c r="M89" s="1882"/>
      <c r="N89" s="1882"/>
      <c r="O89" s="1882"/>
      <c r="P89" s="1882"/>
      <c r="Q89" s="1882"/>
      <c r="R89" s="1882"/>
      <c r="S89" s="1882"/>
      <c r="T89" s="1882"/>
      <c r="U89" s="1882"/>
      <c r="V89" s="1882"/>
      <c r="W89" s="1882"/>
      <c r="X89" s="1882"/>
      <c r="Y89" s="1882"/>
      <c r="Z89" s="1882"/>
      <c r="AA89" s="1882"/>
      <c r="AB89" s="1882"/>
      <c r="AC89" s="1882"/>
      <c r="AD89" s="1882"/>
      <c r="AE89" s="1882"/>
      <c r="AF89" s="1882"/>
      <c r="AG89" s="1882"/>
      <c r="AH89" s="1882"/>
      <c r="AI89" s="1882"/>
      <c r="AJ89" s="1882"/>
      <c r="AK89" s="1882"/>
      <c r="AL89" s="1882"/>
      <c r="AM89" s="1882"/>
      <c r="AN89" s="1773"/>
      <c r="AO89" s="2060"/>
      <c r="AP89" s="2061"/>
      <c r="AQ89" s="2061"/>
      <c r="AR89" s="2061"/>
      <c r="AS89" s="2061"/>
      <c r="AT89" s="2061"/>
      <c r="AU89" s="2061"/>
      <c r="AV89" s="2061"/>
      <c r="AW89" s="2061"/>
      <c r="AX89" s="2061"/>
      <c r="AY89" s="2061"/>
      <c r="AZ89" s="2061"/>
      <c r="BA89" s="2061"/>
      <c r="BB89" s="2061"/>
      <c r="BC89" s="2062"/>
      <c r="BD89" s="2079"/>
      <c r="BE89" s="2080"/>
      <c r="BF89" s="2080"/>
      <c r="BG89" s="2080"/>
      <c r="BH89" s="2080"/>
      <c r="BI89" s="2080"/>
      <c r="BJ89" s="2080"/>
      <c r="BK89" s="2080"/>
      <c r="BL89" s="2080"/>
      <c r="BM89" s="2081"/>
      <c r="BN89" s="2060">
        <f t="shared" si="5"/>
        <v>0</v>
      </c>
      <c r="BO89" s="2061"/>
      <c r="BP89" s="2061"/>
      <c r="BQ89" s="2061"/>
      <c r="BR89" s="2061"/>
      <c r="BS89" s="2061"/>
      <c r="BT89" s="2061"/>
      <c r="BU89" s="2061"/>
      <c r="BV89" s="2061"/>
      <c r="BW89" s="2061"/>
      <c r="BX89" s="2061"/>
      <c r="BY89" s="2061"/>
      <c r="BZ89" s="2061"/>
      <c r="CA89" s="2061"/>
      <c r="CB89" s="2062"/>
      <c r="CC89" s="138"/>
      <c r="CD89" s="138">
        <f t="shared" si="6"/>
        <v>0</v>
      </c>
      <c r="CE89" s="138"/>
      <c r="CF89" s="138"/>
      <c r="CG89" s="138"/>
      <c r="CH89" s="138"/>
    </row>
    <row r="90" spans="1:86" s="137" customFormat="1" ht="12.75" hidden="1" customHeight="1" x14ac:dyDescent="0.2">
      <c r="A90" s="1770"/>
      <c r="B90" s="1787"/>
      <c r="C90" s="1787"/>
      <c r="D90" s="1771"/>
      <c r="E90" s="1772"/>
      <c r="F90" s="1882"/>
      <c r="G90" s="1882"/>
      <c r="H90" s="1882"/>
      <c r="I90" s="1882"/>
      <c r="J90" s="1882"/>
      <c r="K90" s="1882"/>
      <c r="L90" s="1882"/>
      <c r="M90" s="1882"/>
      <c r="N90" s="1882"/>
      <c r="O90" s="1882"/>
      <c r="P90" s="1882"/>
      <c r="Q90" s="1882"/>
      <c r="R90" s="1882"/>
      <c r="S90" s="1882"/>
      <c r="T90" s="1882"/>
      <c r="U90" s="1882"/>
      <c r="V90" s="1882"/>
      <c r="W90" s="1882"/>
      <c r="X90" s="1882"/>
      <c r="Y90" s="1882"/>
      <c r="Z90" s="1882"/>
      <c r="AA90" s="1882"/>
      <c r="AB90" s="1882"/>
      <c r="AC90" s="1882"/>
      <c r="AD90" s="1882"/>
      <c r="AE90" s="1882"/>
      <c r="AF90" s="1882"/>
      <c r="AG90" s="1882"/>
      <c r="AH90" s="1882"/>
      <c r="AI90" s="1882"/>
      <c r="AJ90" s="1882"/>
      <c r="AK90" s="1882"/>
      <c r="AL90" s="1882"/>
      <c r="AM90" s="1882"/>
      <c r="AN90" s="1773"/>
      <c r="AO90" s="2060"/>
      <c r="AP90" s="2061"/>
      <c r="AQ90" s="2061"/>
      <c r="AR90" s="2061"/>
      <c r="AS90" s="2061"/>
      <c r="AT90" s="2061"/>
      <c r="AU90" s="2061"/>
      <c r="AV90" s="2061"/>
      <c r="AW90" s="2061"/>
      <c r="AX90" s="2061"/>
      <c r="AY90" s="2061"/>
      <c r="AZ90" s="2061"/>
      <c r="BA90" s="2061"/>
      <c r="BB90" s="2061"/>
      <c r="BC90" s="2062"/>
      <c r="BD90" s="2079"/>
      <c r="BE90" s="2080"/>
      <c r="BF90" s="2080"/>
      <c r="BG90" s="2080"/>
      <c r="BH90" s="2080"/>
      <c r="BI90" s="2080"/>
      <c r="BJ90" s="2080"/>
      <c r="BK90" s="2080"/>
      <c r="BL90" s="2080"/>
      <c r="BM90" s="2081"/>
      <c r="BN90" s="2060">
        <f t="shared" si="5"/>
        <v>0</v>
      </c>
      <c r="BO90" s="2061"/>
      <c r="BP90" s="2061"/>
      <c r="BQ90" s="2061"/>
      <c r="BR90" s="2061"/>
      <c r="BS90" s="2061"/>
      <c r="BT90" s="2061"/>
      <c r="BU90" s="2061"/>
      <c r="BV90" s="2061"/>
      <c r="BW90" s="2061"/>
      <c r="BX90" s="2061"/>
      <c r="BY90" s="2061"/>
      <c r="BZ90" s="2061"/>
      <c r="CA90" s="2061"/>
      <c r="CB90" s="2062"/>
      <c r="CC90" s="138"/>
      <c r="CD90" s="138">
        <f t="shared" si="6"/>
        <v>0</v>
      </c>
      <c r="CE90" s="138"/>
      <c r="CF90" s="138"/>
      <c r="CG90" s="138"/>
      <c r="CH90" s="138"/>
    </row>
    <row r="91" spans="1:86" s="137" customFormat="1" ht="12.75" hidden="1" customHeight="1" x14ac:dyDescent="0.2">
      <c r="A91" s="1770"/>
      <c r="B91" s="1787"/>
      <c r="C91" s="1787"/>
      <c r="D91" s="1771"/>
      <c r="E91" s="1772"/>
      <c r="F91" s="1882"/>
      <c r="G91" s="1882"/>
      <c r="H91" s="1882"/>
      <c r="I91" s="1882"/>
      <c r="J91" s="1882"/>
      <c r="K91" s="1882"/>
      <c r="L91" s="1882"/>
      <c r="M91" s="1882"/>
      <c r="N91" s="1882"/>
      <c r="O91" s="1882"/>
      <c r="P91" s="1882"/>
      <c r="Q91" s="1882"/>
      <c r="R91" s="1882"/>
      <c r="S91" s="1882"/>
      <c r="T91" s="1882"/>
      <c r="U91" s="1882"/>
      <c r="V91" s="1882"/>
      <c r="W91" s="1882"/>
      <c r="X91" s="1882"/>
      <c r="Y91" s="1882"/>
      <c r="Z91" s="1882"/>
      <c r="AA91" s="1882"/>
      <c r="AB91" s="1882"/>
      <c r="AC91" s="1882"/>
      <c r="AD91" s="1882"/>
      <c r="AE91" s="1882"/>
      <c r="AF91" s="1882"/>
      <c r="AG91" s="1882"/>
      <c r="AH91" s="1882"/>
      <c r="AI91" s="1882"/>
      <c r="AJ91" s="1882"/>
      <c r="AK91" s="1882"/>
      <c r="AL91" s="1882"/>
      <c r="AM91" s="1882"/>
      <c r="AN91" s="1773"/>
      <c r="AO91" s="2060"/>
      <c r="AP91" s="2061"/>
      <c r="AQ91" s="2061"/>
      <c r="AR91" s="2061"/>
      <c r="AS91" s="2061"/>
      <c r="AT91" s="2061"/>
      <c r="AU91" s="2061"/>
      <c r="AV91" s="2061"/>
      <c r="AW91" s="2061"/>
      <c r="AX91" s="2061"/>
      <c r="AY91" s="2061"/>
      <c r="AZ91" s="2061"/>
      <c r="BA91" s="2061"/>
      <c r="BB91" s="2061"/>
      <c r="BC91" s="2062"/>
      <c r="BD91" s="2079"/>
      <c r="BE91" s="2080"/>
      <c r="BF91" s="2080"/>
      <c r="BG91" s="2080"/>
      <c r="BH91" s="2080"/>
      <c r="BI91" s="2080"/>
      <c r="BJ91" s="2080"/>
      <c r="BK91" s="2080"/>
      <c r="BL91" s="2080"/>
      <c r="BM91" s="2081"/>
      <c r="BN91" s="2060">
        <f t="shared" si="5"/>
        <v>0</v>
      </c>
      <c r="BO91" s="2061"/>
      <c r="BP91" s="2061"/>
      <c r="BQ91" s="2061"/>
      <c r="BR91" s="2061"/>
      <c r="BS91" s="2061"/>
      <c r="BT91" s="2061"/>
      <c r="BU91" s="2061"/>
      <c r="BV91" s="2061"/>
      <c r="BW91" s="2061"/>
      <c r="BX91" s="2061"/>
      <c r="BY91" s="2061"/>
      <c r="BZ91" s="2061"/>
      <c r="CA91" s="2061"/>
      <c r="CB91" s="2062"/>
      <c r="CC91" s="138"/>
      <c r="CD91" s="138">
        <f t="shared" si="6"/>
        <v>0</v>
      </c>
      <c r="CE91" s="138"/>
      <c r="CF91" s="138"/>
      <c r="CG91" s="138"/>
      <c r="CH91" s="138"/>
    </row>
    <row r="92" spans="1:86" s="137" customFormat="1" ht="12.75" hidden="1" customHeight="1" x14ac:dyDescent="0.2">
      <c r="A92" s="1770"/>
      <c r="B92" s="1787"/>
      <c r="C92" s="1787"/>
      <c r="D92" s="1771"/>
      <c r="E92" s="1772"/>
      <c r="F92" s="1882"/>
      <c r="G92" s="1882"/>
      <c r="H92" s="1882"/>
      <c r="I92" s="1882"/>
      <c r="J92" s="1882"/>
      <c r="K92" s="1882"/>
      <c r="L92" s="1882"/>
      <c r="M92" s="1882"/>
      <c r="N92" s="1882"/>
      <c r="O92" s="1882"/>
      <c r="P92" s="1882"/>
      <c r="Q92" s="1882"/>
      <c r="R92" s="1882"/>
      <c r="S92" s="1882"/>
      <c r="T92" s="1882"/>
      <c r="U92" s="1882"/>
      <c r="V92" s="1882"/>
      <c r="W92" s="1882"/>
      <c r="X92" s="1882"/>
      <c r="Y92" s="1882"/>
      <c r="Z92" s="1882"/>
      <c r="AA92" s="1882"/>
      <c r="AB92" s="1882"/>
      <c r="AC92" s="1882"/>
      <c r="AD92" s="1882"/>
      <c r="AE92" s="1882"/>
      <c r="AF92" s="1882"/>
      <c r="AG92" s="1882"/>
      <c r="AH92" s="1882"/>
      <c r="AI92" s="1882"/>
      <c r="AJ92" s="1882"/>
      <c r="AK92" s="1882"/>
      <c r="AL92" s="1882"/>
      <c r="AM92" s="1882"/>
      <c r="AN92" s="1773"/>
      <c r="AO92" s="2060"/>
      <c r="AP92" s="2061"/>
      <c r="AQ92" s="2061"/>
      <c r="AR92" s="2061"/>
      <c r="AS92" s="2061"/>
      <c r="AT92" s="2061"/>
      <c r="AU92" s="2061"/>
      <c r="AV92" s="2061"/>
      <c r="AW92" s="2061"/>
      <c r="AX92" s="2061"/>
      <c r="AY92" s="2061"/>
      <c r="AZ92" s="2061"/>
      <c r="BA92" s="2061"/>
      <c r="BB92" s="2061"/>
      <c r="BC92" s="2062"/>
      <c r="BD92" s="2079"/>
      <c r="BE92" s="2080"/>
      <c r="BF92" s="2080"/>
      <c r="BG92" s="2080"/>
      <c r="BH92" s="2080"/>
      <c r="BI92" s="2080"/>
      <c r="BJ92" s="2080"/>
      <c r="BK92" s="2080"/>
      <c r="BL92" s="2080"/>
      <c r="BM92" s="2081"/>
      <c r="BN92" s="2060">
        <f t="shared" si="5"/>
        <v>0</v>
      </c>
      <c r="BO92" s="2061"/>
      <c r="BP92" s="2061"/>
      <c r="BQ92" s="2061"/>
      <c r="BR92" s="2061"/>
      <c r="BS92" s="2061"/>
      <c r="BT92" s="2061"/>
      <c r="BU92" s="2061"/>
      <c r="BV92" s="2061"/>
      <c r="BW92" s="2061"/>
      <c r="BX92" s="2061"/>
      <c r="BY92" s="2061"/>
      <c r="BZ92" s="2061"/>
      <c r="CA92" s="2061"/>
      <c r="CB92" s="2062"/>
      <c r="CC92" s="138"/>
      <c r="CD92" s="138">
        <f t="shared" si="6"/>
        <v>0</v>
      </c>
      <c r="CE92" s="138"/>
      <c r="CF92" s="138"/>
      <c r="CG92" s="138"/>
      <c r="CH92" s="138"/>
    </row>
    <row r="93" spans="1:86" s="137" customFormat="1" ht="12.75" hidden="1" customHeight="1" x14ac:dyDescent="0.2">
      <c r="A93" s="1770"/>
      <c r="B93" s="1787"/>
      <c r="C93" s="1787"/>
      <c r="D93" s="1771"/>
      <c r="E93" s="1772"/>
      <c r="F93" s="1882"/>
      <c r="G93" s="1882"/>
      <c r="H93" s="1882"/>
      <c r="I93" s="1882"/>
      <c r="J93" s="1882"/>
      <c r="K93" s="1882"/>
      <c r="L93" s="1882"/>
      <c r="M93" s="1882"/>
      <c r="N93" s="1882"/>
      <c r="O93" s="1882"/>
      <c r="P93" s="1882"/>
      <c r="Q93" s="1882"/>
      <c r="R93" s="1882"/>
      <c r="S93" s="1882"/>
      <c r="T93" s="1882"/>
      <c r="U93" s="1882"/>
      <c r="V93" s="1882"/>
      <c r="W93" s="1882"/>
      <c r="X93" s="1882"/>
      <c r="Y93" s="1882"/>
      <c r="Z93" s="1882"/>
      <c r="AA93" s="1882"/>
      <c r="AB93" s="1882"/>
      <c r="AC93" s="1882"/>
      <c r="AD93" s="1882"/>
      <c r="AE93" s="1882"/>
      <c r="AF93" s="1882"/>
      <c r="AG93" s="1882"/>
      <c r="AH93" s="1882"/>
      <c r="AI93" s="1882"/>
      <c r="AJ93" s="1882"/>
      <c r="AK93" s="1882"/>
      <c r="AL93" s="1882"/>
      <c r="AM93" s="1882"/>
      <c r="AN93" s="1773"/>
      <c r="AO93" s="2060"/>
      <c r="AP93" s="2061"/>
      <c r="AQ93" s="2061"/>
      <c r="AR93" s="2061"/>
      <c r="AS93" s="2061"/>
      <c r="AT93" s="2061"/>
      <c r="AU93" s="2061"/>
      <c r="AV93" s="2061"/>
      <c r="AW93" s="2061"/>
      <c r="AX93" s="2061"/>
      <c r="AY93" s="2061"/>
      <c r="AZ93" s="2061"/>
      <c r="BA93" s="2061"/>
      <c r="BB93" s="2061"/>
      <c r="BC93" s="2062"/>
      <c r="BD93" s="2079"/>
      <c r="BE93" s="2080"/>
      <c r="BF93" s="2080"/>
      <c r="BG93" s="2080"/>
      <c r="BH93" s="2080"/>
      <c r="BI93" s="2080"/>
      <c r="BJ93" s="2080"/>
      <c r="BK93" s="2080"/>
      <c r="BL93" s="2080"/>
      <c r="BM93" s="2081"/>
      <c r="BN93" s="2060">
        <f t="shared" si="5"/>
        <v>0</v>
      </c>
      <c r="BO93" s="2061"/>
      <c r="BP93" s="2061"/>
      <c r="BQ93" s="2061"/>
      <c r="BR93" s="2061"/>
      <c r="BS93" s="2061"/>
      <c r="BT93" s="2061"/>
      <c r="BU93" s="2061"/>
      <c r="BV93" s="2061"/>
      <c r="BW93" s="2061"/>
      <c r="BX93" s="2061"/>
      <c r="BY93" s="2061"/>
      <c r="BZ93" s="2061"/>
      <c r="CA93" s="2061"/>
      <c r="CB93" s="2062"/>
      <c r="CC93" s="138"/>
      <c r="CD93" s="138">
        <f t="shared" si="6"/>
        <v>0</v>
      </c>
      <c r="CE93" s="138"/>
      <c r="CF93" s="138"/>
      <c r="CG93" s="138"/>
      <c r="CH93" s="138"/>
    </row>
    <row r="94" spans="1:86" s="137" customFormat="1" hidden="1" x14ac:dyDescent="0.2">
      <c r="A94" s="1830"/>
      <c r="B94" s="1830"/>
      <c r="C94" s="1830"/>
      <c r="D94" s="1830"/>
      <c r="E94" s="2082"/>
      <c r="F94" s="2082"/>
      <c r="G94" s="2082"/>
      <c r="H94" s="2082"/>
      <c r="I94" s="2082"/>
      <c r="J94" s="2082"/>
      <c r="K94" s="2082"/>
      <c r="L94" s="2082"/>
      <c r="M94" s="2082"/>
      <c r="N94" s="2082"/>
      <c r="O94" s="2082"/>
      <c r="P94" s="2082"/>
      <c r="Q94" s="2082"/>
      <c r="R94" s="2082"/>
      <c r="S94" s="2082"/>
      <c r="T94" s="2082"/>
      <c r="U94" s="2082"/>
      <c r="V94" s="2082"/>
      <c r="W94" s="2082"/>
      <c r="X94" s="2082"/>
      <c r="Y94" s="2082"/>
      <c r="Z94" s="2082"/>
      <c r="AA94" s="2082"/>
      <c r="AB94" s="2082"/>
      <c r="AC94" s="2082"/>
      <c r="AD94" s="2082"/>
      <c r="AE94" s="2082"/>
      <c r="AF94" s="2082"/>
      <c r="AG94" s="2082"/>
      <c r="AH94" s="2082"/>
      <c r="AI94" s="2082"/>
      <c r="AJ94" s="2082"/>
      <c r="AK94" s="2082"/>
      <c r="AL94" s="2082"/>
      <c r="AM94" s="2082"/>
      <c r="AN94" s="2082"/>
      <c r="AO94" s="2072"/>
      <c r="AP94" s="2072"/>
      <c r="AQ94" s="2072"/>
      <c r="AR94" s="2072"/>
      <c r="AS94" s="2072"/>
      <c r="AT94" s="2072"/>
      <c r="AU94" s="2072"/>
      <c r="AV94" s="2072"/>
      <c r="AW94" s="2072"/>
      <c r="AX94" s="2072"/>
      <c r="AY94" s="2072"/>
      <c r="AZ94" s="2072"/>
      <c r="BA94" s="2072"/>
      <c r="BB94" s="2072"/>
      <c r="BC94" s="2072"/>
      <c r="BD94" s="1838"/>
      <c r="BE94" s="1838"/>
      <c r="BF94" s="1838"/>
      <c r="BG94" s="1838"/>
      <c r="BH94" s="1838"/>
      <c r="BI94" s="1838"/>
      <c r="BJ94" s="1838"/>
      <c r="BK94" s="1838"/>
      <c r="BL94" s="1838"/>
      <c r="BM94" s="1838"/>
      <c r="BN94" s="2072">
        <f t="shared" si="5"/>
        <v>0</v>
      </c>
      <c r="BO94" s="2072"/>
      <c r="BP94" s="2072"/>
      <c r="BQ94" s="2072"/>
      <c r="BR94" s="2072"/>
      <c r="BS94" s="2072"/>
      <c r="BT94" s="2072"/>
      <c r="BU94" s="2072"/>
      <c r="BV94" s="2072"/>
      <c r="BW94" s="2072"/>
      <c r="BX94" s="2072"/>
      <c r="BY94" s="2072"/>
      <c r="BZ94" s="2072"/>
      <c r="CA94" s="2072"/>
      <c r="CB94" s="2072"/>
      <c r="CC94" s="138"/>
      <c r="CD94" s="138">
        <f t="shared" si="6"/>
        <v>0</v>
      </c>
      <c r="CE94" s="138"/>
      <c r="CF94" s="138"/>
      <c r="CG94" s="138"/>
      <c r="CH94" s="138"/>
    </row>
    <row r="95" spans="1:86" s="140" customFormat="1" x14ac:dyDescent="0.2">
      <c r="A95" s="1774" t="s">
        <v>711</v>
      </c>
      <c r="B95" s="1775"/>
      <c r="C95" s="1775"/>
      <c r="D95" s="1775"/>
      <c r="E95" s="1775"/>
      <c r="F95" s="1775"/>
      <c r="G95" s="1775"/>
      <c r="H95" s="1775"/>
      <c r="I95" s="1775"/>
      <c r="J95" s="1775"/>
      <c r="K95" s="1775"/>
      <c r="L95" s="1775"/>
      <c r="M95" s="1775"/>
      <c r="N95" s="1775"/>
      <c r="O95" s="1775"/>
      <c r="P95" s="1775"/>
      <c r="Q95" s="1775"/>
      <c r="R95" s="1775"/>
      <c r="S95" s="1775"/>
      <c r="T95" s="1775"/>
      <c r="U95" s="1775"/>
      <c r="V95" s="1775"/>
      <c r="W95" s="1775"/>
      <c r="X95" s="1775"/>
      <c r="Y95" s="1775"/>
      <c r="Z95" s="1775"/>
      <c r="AA95" s="1775"/>
      <c r="AB95" s="1775"/>
      <c r="AC95" s="1775"/>
      <c r="AD95" s="1775"/>
      <c r="AE95" s="1775"/>
      <c r="AF95" s="1775"/>
      <c r="AG95" s="1775"/>
      <c r="AH95" s="1775"/>
      <c r="AI95" s="1775"/>
      <c r="AJ95" s="1775"/>
      <c r="AK95" s="1775"/>
      <c r="AL95" s="1775"/>
      <c r="AM95" s="1775"/>
      <c r="AN95" s="1776"/>
      <c r="AO95" s="2073"/>
      <c r="AP95" s="2073"/>
      <c r="AQ95" s="2073"/>
      <c r="AR95" s="2073"/>
      <c r="AS95" s="2073"/>
      <c r="AT95" s="2073"/>
      <c r="AU95" s="2073"/>
      <c r="AV95" s="2073"/>
      <c r="AW95" s="2073"/>
      <c r="AX95" s="2073"/>
      <c r="AY95" s="2073"/>
      <c r="AZ95" s="2073"/>
      <c r="BA95" s="2073"/>
      <c r="BB95" s="2073"/>
      <c r="BC95" s="2073"/>
      <c r="BD95" s="2073" t="s">
        <v>3</v>
      </c>
      <c r="BE95" s="2073"/>
      <c r="BF95" s="2073"/>
      <c r="BG95" s="2073"/>
      <c r="BH95" s="2073"/>
      <c r="BI95" s="2073"/>
      <c r="BJ95" s="2073"/>
      <c r="BK95" s="2073"/>
      <c r="BL95" s="2073"/>
      <c r="BM95" s="2073"/>
      <c r="BN95" s="2073">
        <f>CC95+CD95+CG95+CH95</f>
        <v>286233.52999999997</v>
      </c>
      <c r="BO95" s="2073"/>
      <c r="BP95" s="2073"/>
      <c r="BQ95" s="2073"/>
      <c r="BR95" s="2073"/>
      <c r="BS95" s="2073"/>
      <c r="BT95" s="2073"/>
      <c r="BU95" s="2073"/>
      <c r="BV95" s="2073"/>
      <c r="BW95" s="2073"/>
      <c r="BX95" s="2073"/>
      <c r="BY95" s="2073"/>
      <c r="BZ95" s="2073"/>
      <c r="CA95" s="2073"/>
      <c r="CB95" s="2073"/>
      <c r="CC95" s="139">
        <f>SUM(CC58:CC94)</f>
        <v>0</v>
      </c>
      <c r="CD95" s="139">
        <f>CD58+CD59+CD60+CD62+CD64+CD63</f>
        <v>226191.46</v>
      </c>
      <c r="CE95" s="139"/>
      <c r="CF95" s="139"/>
      <c r="CG95" s="139">
        <f>CG62</f>
        <v>0</v>
      </c>
      <c r="CH95" s="139">
        <f>CH58+CH59+CH62+CH64+CH61+CH63</f>
        <v>60042.069999999992</v>
      </c>
    </row>
    <row r="96" spans="1:86" s="140" customFormat="1" x14ac:dyDescent="0.2">
      <c r="A96" s="237"/>
      <c r="B96" s="237"/>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8"/>
      <c r="AP96" s="238"/>
      <c r="AQ96" s="238"/>
      <c r="AR96" s="238"/>
      <c r="AS96" s="238"/>
      <c r="AT96" s="238"/>
      <c r="AU96" s="238"/>
      <c r="AV96" s="238"/>
      <c r="AW96" s="238"/>
      <c r="AX96" s="238"/>
      <c r="AY96" s="238"/>
      <c r="AZ96" s="238"/>
      <c r="BA96" s="238"/>
      <c r="BB96" s="238"/>
      <c r="BC96" s="238"/>
      <c r="BD96" s="238"/>
      <c r="BE96" s="238"/>
      <c r="BF96" s="238"/>
      <c r="BG96" s="238"/>
      <c r="BH96" s="238"/>
      <c r="BI96" s="238"/>
      <c r="BJ96" s="238"/>
      <c r="BK96" s="238"/>
      <c r="BL96" s="238"/>
      <c r="BM96" s="238"/>
      <c r="BN96" s="238"/>
      <c r="BO96" s="238"/>
      <c r="BP96" s="238"/>
      <c r="BQ96" s="238"/>
      <c r="BR96" s="238"/>
      <c r="BS96" s="238"/>
      <c r="BT96" s="238"/>
      <c r="BU96" s="238"/>
      <c r="BV96" s="238"/>
      <c r="BW96" s="238"/>
      <c r="BX96" s="238"/>
      <c r="BY96" s="238"/>
      <c r="BZ96" s="238"/>
      <c r="CA96" s="238"/>
      <c r="CB96" s="238"/>
      <c r="CC96" s="238"/>
      <c r="CD96" s="238"/>
      <c r="CE96" s="238"/>
      <c r="CF96" s="238"/>
      <c r="CG96" s="238"/>
      <c r="CH96" s="238"/>
    </row>
    <row r="97" spans="1:86" s="140" customFormat="1" x14ac:dyDescent="0.2">
      <c r="A97" s="237"/>
      <c r="B97" s="237"/>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8"/>
      <c r="AP97" s="238"/>
      <c r="AQ97" s="238"/>
      <c r="AR97" s="238"/>
      <c r="AS97" s="238"/>
      <c r="AT97" s="238"/>
      <c r="AU97" s="238"/>
      <c r="AV97" s="238"/>
      <c r="AW97" s="238"/>
      <c r="AX97" s="238"/>
      <c r="AY97" s="238"/>
      <c r="AZ97" s="238"/>
      <c r="BA97" s="238"/>
      <c r="BB97" s="238"/>
      <c r="BC97" s="238"/>
      <c r="BD97" s="238"/>
      <c r="BE97" s="238"/>
      <c r="BF97" s="238"/>
      <c r="BG97" s="238"/>
      <c r="BH97" s="238"/>
      <c r="BI97" s="238"/>
      <c r="BJ97" s="238"/>
      <c r="BK97" s="238"/>
      <c r="BL97" s="238"/>
      <c r="BM97" s="238"/>
      <c r="BN97" s="238"/>
      <c r="BO97" s="238"/>
      <c r="BP97" s="238"/>
      <c r="BQ97" s="238"/>
      <c r="BR97" s="238"/>
      <c r="BS97" s="238"/>
      <c r="BT97" s="238"/>
      <c r="BU97" s="238"/>
      <c r="BV97" s="238"/>
      <c r="BW97" s="238"/>
      <c r="BX97" s="238"/>
      <c r="BY97" s="238"/>
      <c r="BZ97" s="238"/>
      <c r="CA97" s="238"/>
      <c r="CB97" s="238"/>
      <c r="CC97" s="238"/>
      <c r="CD97" s="238"/>
      <c r="CE97" s="238"/>
      <c r="CF97" s="238"/>
      <c r="CG97" s="238"/>
      <c r="CH97" s="238"/>
    </row>
    <row r="98" spans="1:86" s="140" customFormat="1" x14ac:dyDescent="0.2">
      <c r="A98" s="237"/>
      <c r="B98" s="237"/>
      <c r="C98" s="237"/>
      <c r="D98" s="237"/>
      <c r="E98" s="237"/>
      <c r="F98" s="237"/>
      <c r="G98" s="237"/>
      <c r="H98" s="237"/>
      <c r="I98" s="237"/>
      <c r="J98" s="237"/>
      <c r="K98" s="237"/>
      <c r="L98" s="237"/>
      <c r="M98" s="237"/>
      <c r="N98" s="237"/>
      <c r="O98" s="237"/>
      <c r="P98" s="237"/>
      <c r="Q98" s="237"/>
      <c r="R98" s="237"/>
      <c r="S98" s="237"/>
      <c r="T98" s="237"/>
      <c r="U98" s="237"/>
      <c r="V98" s="237"/>
      <c r="W98" s="237"/>
      <c r="X98" s="237"/>
      <c r="Y98" s="237"/>
      <c r="Z98" s="237"/>
      <c r="AA98" s="237"/>
      <c r="AB98" s="237"/>
      <c r="AC98" s="237"/>
      <c r="AD98" s="237"/>
      <c r="AE98" s="237"/>
      <c r="AF98" s="237"/>
      <c r="AG98" s="237"/>
      <c r="AH98" s="237"/>
      <c r="AI98" s="237"/>
      <c r="AJ98" s="237"/>
      <c r="AK98" s="237"/>
      <c r="AL98" s="237"/>
      <c r="AM98" s="237"/>
      <c r="AN98" s="237"/>
      <c r="AO98" s="238"/>
      <c r="AP98" s="238"/>
      <c r="AQ98" s="238"/>
      <c r="AR98" s="238"/>
      <c r="AS98" s="238"/>
      <c r="AT98" s="238"/>
      <c r="AU98" s="238"/>
      <c r="AV98" s="238"/>
      <c r="AW98" s="238"/>
      <c r="AX98" s="238"/>
      <c r="AY98" s="238"/>
      <c r="AZ98" s="238"/>
      <c r="BA98" s="238"/>
      <c r="BB98" s="238"/>
      <c r="BC98" s="238"/>
      <c r="BD98" s="238"/>
      <c r="BE98" s="238"/>
      <c r="BF98" s="238"/>
      <c r="BG98" s="238"/>
      <c r="BH98" s="238"/>
      <c r="BI98" s="238"/>
      <c r="BJ98" s="238"/>
      <c r="BK98" s="238"/>
      <c r="BL98" s="238"/>
      <c r="BM98" s="238"/>
      <c r="BN98" s="238"/>
      <c r="BO98" s="238"/>
      <c r="BP98" s="238"/>
      <c r="BQ98" s="238"/>
      <c r="BR98" s="238"/>
      <c r="BS98" s="238"/>
      <c r="BT98" s="238"/>
      <c r="BU98" s="238"/>
      <c r="BV98" s="238"/>
      <c r="BW98" s="238"/>
      <c r="BX98" s="238"/>
      <c r="BY98" s="238"/>
      <c r="BZ98" s="238"/>
      <c r="CA98" s="238"/>
      <c r="CB98" s="238"/>
      <c r="CC98" s="238"/>
      <c r="CD98" s="238"/>
      <c r="CE98" s="238"/>
      <c r="CF98" s="238"/>
      <c r="CG98" s="238"/>
      <c r="CH98" s="238"/>
    </row>
    <row r="99" spans="1:86" s="140" customFormat="1" x14ac:dyDescent="0.2">
      <c r="A99" s="237"/>
      <c r="B99" s="237"/>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c r="BN99" s="238"/>
      <c r="BO99" s="238"/>
      <c r="BP99" s="238"/>
      <c r="BQ99" s="238"/>
      <c r="BR99" s="238"/>
      <c r="BS99" s="238"/>
      <c r="BT99" s="238"/>
      <c r="BU99" s="238"/>
      <c r="BV99" s="238"/>
      <c r="BW99" s="238"/>
      <c r="BX99" s="238"/>
      <c r="BY99" s="238"/>
      <c r="BZ99" s="238"/>
      <c r="CA99" s="238"/>
      <c r="CB99" s="238"/>
      <c r="CC99" s="238"/>
      <c r="CD99" s="238"/>
      <c r="CE99" s="238"/>
      <c r="CF99" s="238"/>
      <c r="CG99" s="238"/>
      <c r="CH99" s="238"/>
    </row>
    <row r="100" spans="1:86" s="140" customFormat="1" x14ac:dyDescent="0.2">
      <c r="A100" s="237"/>
      <c r="B100" s="237"/>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c r="BN100" s="238"/>
      <c r="BO100" s="238"/>
      <c r="BP100" s="238"/>
      <c r="BQ100" s="238"/>
      <c r="BR100" s="238"/>
      <c r="BS100" s="238"/>
      <c r="BT100" s="238"/>
      <c r="BU100" s="238"/>
      <c r="BV100" s="238"/>
      <c r="BW100" s="238"/>
      <c r="BX100" s="238"/>
      <c r="BY100" s="238"/>
      <c r="BZ100" s="238"/>
      <c r="CA100" s="238"/>
      <c r="CB100" s="238"/>
      <c r="CC100" s="238"/>
      <c r="CD100" s="238"/>
      <c r="CE100" s="238"/>
      <c r="CF100" s="238"/>
      <c r="CG100" s="238"/>
      <c r="CH100" s="238"/>
    </row>
    <row r="101" spans="1:86" s="4" customFormat="1" ht="14.25" customHeight="1" x14ac:dyDescent="0.25">
      <c r="A101" s="19" t="s">
        <v>625</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row>
    <row r="102" spans="1:86" ht="12.75" customHeight="1" x14ac:dyDescent="0.2">
      <c r="A102" s="1781" t="s">
        <v>38</v>
      </c>
      <c r="B102" s="1925"/>
      <c r="C102" s="1925"/>
      <c r="D102" s="1782"/>
      <c r="E102" s="1818" t="s">
        <v>4</v>
      </c>
      <c r="F102" s="1819"/>
      <c r="G102" s="1819"/>
      <c r="H102" s="1819"/>
      <c r="I102" s="1819"/>
      <c r="J102" s="1819"/>
      <c r="K102" s="1819"/>
      <c r="L102" s="1819"/>
      <c r="M102" s="1819"/>
      <c r="N102" s="1819"/>
      <c r="O102" s="1819"/>
      <c r="P102" s="1819"/>
      <c r="Q102" s="1819"/>
      <c r="R102" s="1819"/>
      <c r="S102" s="1819"/>
      <c r="T102" s="1819"/>
      <c r="U102" s="1819"/>
      <c r="V102" s="1819"/>
      <c r="W102" s="1819"/>
      <c r="X102" s="1819"/>
      <c r="Y102" s="1819"/>
      <c r="Z102" s="1819"/>
      <c r="AA102" s="1819"/>
      <c r="AB102" s="1819"/>
      <c r="AC102" s="1819"/>
      <c r="AD102" s="1819"/>
      <c r="AE102" s="1819"/>
      <c r="AF102" s="1819"/>
      <c r="AG102" s="1819"/>
      <c r="AH102" s="1819"/>
      <c r="AI102" s="1819"/>
      <c r="AJ102" s="1819"/>
      <c r="AK102" s="1819"/>
      <c r="AL102" s="1819"/>
      <c r="AM102" s="1819"/>
      <c r="AN102" s="1820"/>
      <c r="AO102" s="1781" t="s">
        <v>139</v>
      </c>
      <c r="AP102" s="1925"/>
      <c r="AQ102" s="1925"/>
      <c r="AR102" s="1925"/>
      <c r="AS102" s="1925"/>
      <c r="AT102" s="1925"/>
      <c r="AU102" s="1925"/>
      <c r="AV102" s="1925"/>
      <c r="AW102" s="1925"/>
      <c r="AX102" s="1925"/>
      <c r="AY102" s="1925"/>
      <c r="AZ102" s="1925"/>
      <c r="BA102" s="1925"/>
      <c r="BB102" s="1925"/>
      <c r="BC102" s="1782"/>
      <c r="BD102" s="1781" t="s">
        <v>140</v>
      </c>
      <c r="BE102" s="1925"/>
      <c r="BF102" s="1925"/>
      <c r="BG102" s="1925"/>
      <c r="BH102" s="1925"/>
      <c r="BI102" s="1925"/>
      <c r="BJ102" s="1925"/>
      <c r="BK102" s="1925"/>
      <c r="BL102" s="1925"/>
      <c r="BM102" s="1782"/>
      <c r="BN102" s="1781" t="s">
        <v>624</v>
      </c>
      <c r="BO102" s="1925"/>
      <c r="BP102" s="1925"/>
      <c r="BQ102" s="1925"/>
      <c r="BR102" s="1925"/>
      <c r="BS102" s="1925"/>
      <c r="BT102" s="1925"/>
      <c r="BU102" s="1925"/>
      <c r="BV102" s="1925"/>
      <c r="BW102" s="1925"/>
      <c r="BX102" s="1925"/>
      <c r="BY102" s="1925"/>
      <c r="BZ102" s="1925"/>
      <c r="CA102" s="1925"/>
      <c r="CB102" s="1782"/>
      <c r="CC102" s="1797" t="s">
        <v>52</v>
      </c>
      <c r="CD102" s="1798"/>
      <c r="CE102" s="1798"/>
      <c r="CF102" s="1798"/>
      <c r="CG102" s="1798"/>
      <c r="CH102" s="1799"/>
    </row>
    <row r="103" spans="1:86" ht="64.5" customHeight="1" x14ac:dyDescent="0.2">
      <c r="A103" s="1783"/>
      <c r="B103" s="1926"/>
      <c r="C103" s="1926"/>
      <c r="D103" s="1784"/>
      <c r="E103" s="1807"/>
      <c r="F103" s="1808"/>
      <c r="G103" s="1808"/>
      <c r="H103" s="1808"/>
      <c r="I103" s="1808"/>
      <c r="J103" s="1808"/>
      <c r="K103" s="1808"/>
      <c r="L103" s="1808"/>
      <c r="M103" s="1808"/>
      <c r="N103" s="1808"/>
      <c r="O103" s="1808"/>
      <c r="P103" s="1808"/>
      <c r="Q103" s="1808"/>
      <c r="R103" s="1808"/>
      <c r="S103" s="1808"/>
      <c r="T103" s="1808"/>
      <c r="U103" s="1808"/>
      <c r="V103" s="1808"/>
      <c r="W103" s="1808"/>
      <c r="X103" s="1808"/>
      <c r="Y103" s="1808"/>
      <c r="Z103" s="1808"/>
      <c r="AA103" s="1808"/>
      <c r="AB103" s="1808"/>
      <c r="AC103" s="1808"/>
      <c r="AD103" s="1808"/>
      <c r="AE103" s="1808"/>
      <c r="AF103" s="1808"/>
      <c r="AG103" s="1808"/>
      <c r="AH103" s="1808"/>
      <c r="AI103" s="1808"/>
      <c r="AJ103" s="1808"/>
      <c r="AK103" s="1808"/>
      <c r="AL103" s="1808"/>
      <c r="AM103" s="1808"/>
      <c r="AN103" s="1809"/>
      <c r="AO103" s="1783"/>
      <c r="AP103" s="1926"/>
      <c r="AQ103" s="1926"/>
      <c r="AR103" s="1926"/>
      <c r="AS103" s="1926"/>
      <c r="AT103" s="1926"/>
      <c r="AU103" s="1926"/>
      <c r="AV103" s="1926"/>
      <c r="AW103" s="1926"/>
      <c r="AX103" s="1926"/>
      <c r="AY103" s="1926"/>
      <c r="AZ103" s="1926"/>
      <c r="BA103" s="1926"/>
      <c r="BB103" s="1926"/>
      <c r="BC103" s="1784"/>
      <c r="BD103" s="1783"/>
      <c r="BE103" s="1926"/>
      <c r="BF103" s="1926"/>
      <c r="BG103" s="1926"/>
      <c r="BH103" s="1926"/>
      <c r="BI103" s="1926"/>
      <c r="BJ103" s="1926"/>
      <c r="BK103" s="1926"/>
      <c r="BL103" s="1926"/>
      <c r="BM103" s="1784"/>
      <c r="BN103" s="1783"/>
      <c r="BO103" s="1926"/>
      <c r="BP103" s="1926"/>
      <c r="BQ103" s="1926"/>
      <c r="BR103" s="1926"/>
      <c r="BS103" s="1926"/>
      <c r="BT103" s="1926"/>
      <c r="BU103" s="1926"/>
      <c r="BV103" s="1926"/>
      <c r="BW103" s="1926"/>
      <c r="BX103" s="1926"/>
      <c r="BY103" s="1926"/>
      <c r="BZ103" s="1926"/>
      <c r="CA103" s="1926"/>
      <c r="CB103" s="1784"/>
      <c r="CC103" s="1788" t="s">
        <v>35</v>
      </c>
      <c r="CD103" s="1789"/>
      <c r="CE103" s="1788" t="s">
        <v>45</v>
      </c>
      <c r="CF103" s="1790"/>
      <c r="CG103" s="1789"/>
      <c r="CH103" s="1778" t="s">
        <v>46</v>
      </c>
    </row>
    <row r="104" spans="1:86" ht="12.75" customHeight="1" x14ac:dyDescent="0.2">
      <c r="A104" s="1783"/>
      <c r="B104" s="1926"/>
      <c r="C104" s="1926"/>
      <c r="D104" s="1784"/>
      <c r="E104" s="1807"/>
      <c r="F104" s="1808"/>
      <c r="G104" s="1808"/>
      <c r="H104" s="1808"/>
      <c r="I104" s="1808"/>
      <c r="J104" s="1808"/>
      <c r="K104" s="1808"/>
      <c r="L104" s="1808"/>
      <c r="M104" s="1808"/>
      <c r="N104" s="1808"/>
      <c r="O104" s="1808"/>
      <c r="P104" s="1808"/>
      <c r="Q104" s="1808"/>
      <c r="R104" s="1808"/>
      <c r="S104" s="1808"/>
      <c r="T104" s="1808"/>
      <c r="U104" s="1808"/>
      <c r="V104" s="1808"/>
      <c r="W104" s="1808"/>
      <c r="X104" s="1808"/>
      <c r="Y104" s="1808"/>
      <c r="Z104" s="1808"/>
      <c r="AA104" s="1808"/>
      <c r="AB104" s="1808"/>
      <c r="AC104" s="1808"/>
      <c r="AD104" s="1808"/>
      <c r="AE104" s="1808"/>
      <c r="AF104" s="1808"/>
      <c r="AG104" s="1808"/>
      <c r="AH104" s="1808"/>
      <c r="AI104" s="1808"/>
      <c r="AJ104" s="1808"/>
      <c r="AK104" s="1808"/>
      <c r="AL104" s="1808"/>
      <c r="AM104" s="1808"/>
      <c r="AN104" s="1809"/>
      <c r="AO104" s="1783"/>
      <c r="AP104" s="1926"/>
      <c r="AQ104" s="1926"/>
      <c r="AR104" s="1926"/>
      <c r="AS104" s="1926"/>
      <c r="AT104" s="1926"/>
      <c r="AU104" s="1926"/>
      <c r="AV104" s="1926"/>
      <c r="AW104" s="1926"/>
      <c r="AX104" s="1926"/>
      <c r="AY104" s="1926"/>
      <c r="AZ104" s="1926"/>
      <c r="BA104" s="1926"/>
      <c r="BB104" s="1926"/>
      <c r="BC104" s="1784"/>
      <c r="BD104" s="1783"/>
      <c r="BE104" s="1926"/>
      <c r="BF104" s="1926"/>
      <c r="BG104" s="1926"/>
      <c r="BH104" s="1926"/>
      <c r="BI104" s="1926"/>
      <c r="BJ104" s="1926"/>
      <c r="BK104" s="1926"/>
      <c r="BL104" s="1926"/>
      <c r="BM104" s="1784"/>
      <c r="BN104" s="1783"/>
      <c r="BO104" s="1926"/>
      <c r="BP104" s="1926"/>
      <c r="BQ104" s="1926"/>
      <c r="BR104" s="1926"/>
      <c r="BS104" s="1926"/>
      <c r="BT104" s="1926"/>
      <c r="BU104" s="1926"/>
      <c r="BV104" s="1926"/>
      <c r="BW104" s="1926"/>
      <c r="BX104" s="1926"/>
      <c r="BY104" s="1926"/>
      <c r="BZ104" s="1926"/>
      <c r="CA104" s="1926"/>
      <c r="CB104" s="1784"/>
      <c r="CC104" s="1812" t="s">
        <v>43</v>
      </c>
      <c r="CD104" s="1812" t="s">
        <v>44</v>
      </c>
      <c r="CE104" s="1812" t="s">
        <v>55</v>
      </c>
      <c r="CF104" s="1812" t="s">
        <v>43</v>
      </c>
      <c r="CG104" s="1812" t="s">
        <v>44</v>
      </c>
      <c r="CH104" s="1779"/>
    </row>
    <row r="105" spans="1:86" x14ac:dyDescent="0.2">
      <c r="A105" s="1785"/>
      <c r="B105" s="1927"/>
      <c r="C105" s="1927"/>
      <c r="D105" s="1786"/>
      <c r="E105" s="1814"/>
      <c r="F105" s="1815"/>
      <c r="G105" s="1815"/>
      <c r="H105" s="1815"/>
      <c r="I105" s="1815"/>
      <c r="J105" s="1815"/>
      <c r="K105" s="1815"/>
      <c r="L105" s="1815"/>
      <c r="M105" s="1815"/>
      <c r="N105" s="1815"/>
      <c r="O105" s="1815"/>
      <c r="P105" s="1815"/>
      <c r="Q105" s="1815"/>
      <c r="R105" s="1815"/>
      <c r="S105" s="1815"/>
      <c r="T105" s="1815"/>
      <c r="U105" s="1815"/>
      <c r="V105" s="1815"/>
      <c r="W105" s="1815"/>
      <c r="X105" s="1815"/>
      <c r="Y105" s="1815"/>
      <c r="Z105" s="1815"/>
      <c r="AA105" s="1815"/>
      <c r="AB105" s="1815"/>
      <c r="AC105" s="1815"/>
      <c r="AD105" s="1815"/>
      <c r="AE105" s="1815"/>
      <c r="AF105" s="1815"/>
      <c r="AG105" s="1815"/>
      <c r="AH105" s="1815"/>
      <c r="AI105" s="1815"/>
      <c r="AJ105" s="1815"/>
      <c r="AK105" s="1815"/>
      <c r="AL105" s="1815"/>
      <c r="AM105" s="1815"/>
      <c r="AN105" s="1816"/>
      <c r="AO105" s="1785"/>
      <c r="AP105" s="1927"/>
      <c r="AQ105" s="1927"/>
      <c r="AR105" s="1927"/>
      <c r="AS105" s="1927"/>
      <c r="AT105" s="1927"/>
      <c r="AU105" s="1927"/>
      <c r="AV105" s="1927"/>
      <c r="AW105" s="1927"/>
      <c r="AX105" s="1927"/>
      <c r="AY105" s="1927"/>
      <c r="AZ105" s="1927"/>
      <c r="BA105" s="1927"/>
      <c r="BB105" s="1927"/>
      <c r="BC105" s="1786"/>
      <c r="BD105" s="1785"/>
      <c r="BE105" s="1927"/>
      <c r="BF105" s="1927"/>
      <c r="BG105" s="1927"/>
      <c r="BH105" s="1927"/>
      <c r="BI105" s="1927"/>
      <c r="BJ105" s="1927"/>
      <c r="BK105" s="1927"/>
      <c r="BL105" s="1927"/>
      <c r="BM105" s="1786"/>
      <c r="BN105" s="1785"/>
      <c r="BO105" s="1927"/>
      <c r="BP105" s="1927"/>
      <c r="BQ105" s="1927"/>
      <c r="BR105" s="1927"/>
      <c r="BS105" s="1927"/>
      <c r="BT105" s="1927"/>
      <c r="BU105" s="1927"/>
      <c r="BV105" s="1927"/>
      <c r="BW105" s="1927"/>
      <c r="BX105" s="1927"/>
      <c r="BY105" s="1927"/>
      <c r="BZ105" s="1927"/>
      <c r="CA105" s="1927"/>
      <c r="CB105" s="1786"/>
      <c r="CC105" s="1813"/>
      <c r="CD105" s="1813"/>
      <c r="CE105" s="1813"/>
      <c r="CF105" s="1813"/>
      <c r="CG105" s="1813"/>
      <c r="CH105" s="1780"/>
    </row>
    <row r="106" spans="1:86" x14ac:dyDescent="0.2">
      <c r="A106" s="1770">
        <v>1</v>
      </c>
      <c r="B106" s="1787"/>
      <c r="C106" s="1787"/>
      <c r="D106" s="1771"/>
      <c r="E106" s="1770">
        <v>2</v>
      </c>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71"/>
      <c r="AO106" s="1770">
        <v>3</v>
      </c>
      <c r="AP106" s="1787"/>
      <c r="AQ106" s="1787"/>
      <c r="AR106" s="1787"/>
      <c r="AS106" s="1787"/>
      <c r="AT106" s="1787"/>
      <c r="AU106" s="1787"/>
      <c r="AV106" s="1787"/>
      <c r="AW106" s="1787"/>
      <c r="AX106" s="1787"/>
      <c r="AY106" s="1787"/>
      <c r="AZ106" s="1787"/>
      <c r="BA106" s="1787"/>
      <c r="BB106" s="1787"/>
      <c r="BC106" s="1771"/>
      <c r="BD106" s="1770">
        <v>4</v>
      </c>
      <c r="BE106" s="1787"/>
      <c r="BF106" s="1787"/>
      <c r="BG106" s="1787"/>
      <c r="BH106" s="1787"/>
      <c r="BI106" s="1787"/>
      <c r="BJ106" s="1787"/>
      <c r="BK106" s="1787"/>
      <c r="BL106" s="1787"/>
      <c r="BM106" s="1771"/>
      <c r="BN106" s="1770" t="s">
        <v>49</v>
      </c>
      <c r="BO106" s="1787"/>
      <c r="BP106" s="1787"/>
      <c r="BQ106" s="1787"/>
      <c r="BR106" s="1787"/>
      <c r="BS106" s="1787"/>
      <c r="BT106" s="1787"/>
      <c r="BU106" s="1787"/>
      <c r="BV106" s="1787"/>
      <c r="BW106" s="1787"/>
      <c r="BX106" s="1787"/>
      <c r="BY106" s="1787"/>
      <c r="BZ106" s="1787"/>
      <c r="CA106" s="1787"/>
      <c r="CB106" s="1771"/>
      <c r="CC106" s="15">
        <v>6</v>
      </c>
      <c r="CD106" s="15">
        <v>7</v>
      </c>
      <c r="CE106" s="15">
        <v>8</v>
      </c>
      <c r="CF106" s="15">
        <v>9</v>
      </c>
      <c r="CG106" s="15">
        <v>10</v>
      </c>
      <c r="CH106" s="15">
        <v>11</v>
      </c>
    </row>
    <row r="107" spans="1:86" s="137" customFormat="1" ht="57" customHeight="1" x14ac:dyDescent="0.2">
      <c r="A107" s="1830">
        <v>1</v>
      </c>
      <c r="B107" s="1830"/>
      <c r="C107" s="1830"/>
      <c r="D107" s="1830"/>
      <c r="E107" s="2082" t="s">
        <v>678</v>
      </c>
      <c r="F107" s="2082"/>
      <c r="G107" s="2082"/>
      <c r="H107" s="2082"/>
      <c r="I107" s="2082"/>
      <c r="J107" s="2082"/>
      <c r="K107" s="2082"/>
      <c r="L107" s="2082"/>
      <c r="M107" s="2082"/>
      <c r="N107" s="2082"/>
      <c r="O107" s="2082"/>
      <c r="P107" s="2082"/>
      <c r="Q107" s="2082"/>
      <c r="R107" s="2082"/>
      <c r="S107" s="2082"/>
      <c r="T107" s="2082"/>
      <c r="U107" s="2082"/>
      <c r="V107" s="2082"/>
      <c r="W107" s="2082"/>
      <c r="X107" s="2082"/>
      <c r="Y107" s="2082"/>
      <c r="Z107" s="2082"/>
      <c r="AA107" s="2082"/>
      <c r="AB107" s="2082"/>
      <c r="AC107" s="2082"/>
      <c r="AD107" s="2082"/>
      <c r="AE107" s="2082"/>
      <c r="AF107" s="2082"/>
      <c r="AG107" s="2082"/>
      <c r="AH107" s="2082"/>
      <c r="AI107" s="2082"/>
      <c r="AJ107" s="2082"/>
      <c r="AK107" s="2082"/>
      <c r="AL107" s="2082"/>
      <c r="AM107" s="2082"/>
      <c r="AN107" s="2082"/>
      <c r="AO107" s="2072">
        <f>BN107/BD107</f>
        <v>78.239523809523803</v>
      </c>
      <c r="AP107" s="2072"/>
      <c r="AQ107" s="2072"/>
      <c r="AR107" s="2072"/>
      <c r="AS107" s="2072"/>
      <c r="AT107" s="2072"/>
      <c r="AU107" s="2072"/>
      <c r="AV107" s="2072"/>
      <c r="AW107" s="2072"/>
      <c r="AX107" s="2072"/>
      <c r="AY107" s="2072"/>
      <c r="AZ107" s="2072"/>
      <c r="BA107" s="2072"/>
      <c r="BB107" s="2072"/>
      <c r="BC107" s="2072"/>
      <c r="BD107" s="1838">
        <v>21</v>
      </c>
      <c r="BE107" s="1838"/>
      <c r="BF107" s="1838"/>
      <c r="BG107" s="1838"/>
      <c r="BH107" s="1838"/>
      <c r="BI107" s="1838"/>
      <c r="BJ107" s="1838"/>
      <c r="BK107" s="1838"/>
      <c r="BL107" s="1838"/>
      <c r="BM107" s="1838"/>
      <c r="BN107" s="2072">
        <f>CC107+CD107+CH107</f>
        <v>1643.03</v>
      </c>
      <c r="BO107" s="2072"/>
      <c r="BP107" s="2072"/>
      <c r="BQ107" s="2072"/>
      <c r="BR107" s="2072"/>
      <c r="BS107" s="2072"/>
      <c r="BT107" s="2072"/>
      <c r="BU107" s="2072"/>
      <c r="BV107" s="2072"/>
      <c r="BW107" s="2072"/>
      <c r="BX107" s="2072"/>
      <c r="BY107" s="2072"/>
      <c r="BZ107" s="2072"/>
      <c r="CA107" s="2072"/>
      <c r="CB107" s="2072"/>
      <c r="CC107" s="138"/>
      <c r="CD107" s="138">
        <v>1375.78</v>
      </c>
      <c r="CE107" s="138"/>
      <c r="CF107" s="138"/>
      <c r="CG107" s="138"/>
      <c r="CH107" s="138">
        <v>267.25</v>
      </c>
    </row>
    <row r="108" spans="1:86" s="140" customFormat="1" ht="11.25" customHeight="1" x14ac:dyDescent="0.2">
      <c r="A108" s="1774" t="s">
        <v>708</v>
      </c>
      <c r="B108" s="1775"/>
      <c r="C108" s="1775"/>
      <c r="D108" s="1775"/>
      <c r="E108" s="1775"/>
      <c r="F108" s="1775"/>
      <c r="G108" s="1775"/>
      <c r="H108" s="1775"/>
      <c r="I108" s="1775"/>
      <c r="J108" s="1775"/>
      <c r="K108" s="1775"/>
      <c r="L108" s="1775"/>
      <c r="M108" s="1775"/>
      <c r="N108" s="1775"/>
      <c r="O108" s="1775"/>
      <c r="P108" s="1775"/>
      <c r="Q108" s="1775"/>
      <c r="R108" s="1775"/>
      <c r="S108" s="1775"/>
      <c r="T108" s="1775"/>
      <c r="U108" s="1775"/>
      <c r="V108" s="1775"/>
      <c r="W108" s="1775"/>
      <c r="X108" s="1775"/>
      <c r="Y108" s="1775"/>
      <c r="Z108" s="1775"/>
      <c r="AA108" s="1775"/>
      <c r="AB108" s="1775"/>
      <c r="AC108" s="1775"/>
      <c r="AD108" s="1775"/>
      <c r="AE108" s="1775"/>
      <c r="AF108" s="1775"/>
      <c r="AG108" s="1775"/>
      <c r="AH108" s="1775"/>
      <c r="AI108" s="1775"/>
      <c r="AJ108" s="1775"/>
      <c r="AK108" s="1775"/>
      <c r="AL108" s="1775"/>
      <c r="AM108" s="1775"/>
      <c r="AN108" s="1776"/>
      <c r="AO108" s="2073"/>
      <c r="AP108" s="2073"/>
      <c r="AQ108" s="2073"/>
      <c r="AR108" s="2073"/>
      <c r="AS108" s="2073"/>
      <c r="AT108" s="2073"/>
      <c r="AU108" s="2073"/>
      <c r="AV108" s="2073"/>
      <c r="AW108" s="2073"/>
      <c r="AX108" s="2073"/>
      <c r="AY108" s="2073"/>
      <c r="AZ108" s="2073"/>
      <c r="BA108" s="2073"/>
      <c r="BB108" s="2073"/>
      <c r="BC108" s="2073"/>
      <c r="BD108" s="2073" t="s">
        <v>3</v>
      </c>
      <c r="BE108" s="2073"/>
      <c r="BF108" s="2073"/>
      <c r="BG108" s="2073"/>
      <c r="BH108" s="2073"/>
      <c r="BI108" s="2073"/>
      <c r="BJ108" s="2073"/>
      <c r="BK108" s="2073"/>
      <c r="BL108" s="2073"/>
      <c r="BM108" s="2073"/>
      <c r="BN108" s="2073">
        <f>CC108+CD108+CH108</f>
        <v>1643.03</v>
      </c>
      <c r="BO108" s="2073"/>
      <c r="BP108" s="2073"/>
      <c r="BQ108" s="2073"/>
      <c r="BR108" s="2073"/>
      <c r="BS108" s="2073"/>
      <c r="BT108" s="2073"/>
      <c r="BU108" s="2073"/>
      <c r="BV108" s="2073"/>
      <c r="BW108" s="2073"/>
      <c r="BX108" s="2073"/>
      <c r="BY108" s="2073"/>
      <c r="BZ108" s="2073"/>
      <c r="CA108" s="2073"/>
      <c r="CB108" s="2073"/>
      <c r="CC108" s="139">
        <f>SUM(CC107)</f>
        <v>0</v>
      </c>
      <c r="CD108" s="139">
        <f>CD107</f>
        <v>1375.78</v>
      </c>
      <c r="CE108" s="139"/>
      <c r="CF108" s="139"/>
      <c r="CG108" s="139"/>
      <c r="CH108" s="139">
        <f>CH107</f>
        <v>267.25</v>
      </c>
    </row>
    <row r="109" spans="1:86" s="1" customFormat="1" ht="15.75" hidden="1" x14ac:dyDescent="0.25">
      <c r="A109" s="19" t="s">
        <v>636</v>
      </c>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row>
    <row r="110" spans="1:86" s="1" customFormat="1" ht="15.75" hidden="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7"/>
      <c r="CD110" s="7"/>
      <c r="CE110" s="7"/>
      <c r="CF110" s="7"/>
      <c r="CG110" s="7"/>
      <c r="CH110" s="7"/>
    </row>
    <row r="111" spans="1:86" s="1" customFormat="1" ht="15.75" hidden="1" x14ac:dyDescent="0.25">
      <c r="A111" s="1810" t="s">
        <v>38</v>
      </c>
      <c r="B111" s="1810"/>
      <c r="C111" s="1810"/>
      <c r="D111" s="1810"/>
      <c r="E111" s="1830" t="s">
        <v>4</v>
      </c>
      <c r="F111" s="1830"/>
      <c r="G111" s="1830"/>
      <c r="H111" s="1830"/>
      <c r="I111" s="1830"/>
      <c r="J111" s="1830"/>
      <c r="K111" s="1830"/>
      <c r="L111" s="1830"/>
      <c r="M111" s="1830"/>
      <c r="N111" s="1830"/>
      <c r="O111" s="1830"/>
      <c r="P111" s="1830"/>
      <c r="Q111" s="1830"/>
      <c r="R111" s="1830"/>
      <c r="S111" s="1830"/>
      <c r="T111" s="1830"/>
      <c r="U111" s="1830"/>
      <c r="V111" s="1830"/>
      <c r="W111" s="1830"/>
      <c r="X111" s="1830"/>
      <c r="Y111" s="1830"/>
      <c r="Z111" s="1830"/>
      <c r="AA111" s="1830"/>
      <c r="AB111" s="1830"/>
      <c r="AC111" s="1830"/>
      <c r="AD111" s="1830"/>
      <c r="AE111" s="1830"/>
      <c r="AF111" s="1830"/>
      <c r="AG111" s="1830"/>
      <c r="AH111" s="1830"/>
      <c r="AI111" s="1830"/>
      <c r="AJ111" s="1830"/>
      <c r="AK111" s="1830"/>
      <c r="AL111" s="1830"/>
      <c r="AM111" s="1830"/>
      <c r="AN111" s="1830"/>
      <c r="AO111" s="1781" t="s">
        <v>139</v>
      </c>
      <c r="AP111" s="1925"/>
      <c r="AQ111" s="1925"/>
      <c r="AR111" s="1925"/>
      <c r="AS111" s="1925"/>
      <c r="AT111" s="1925"/>
      <c r="AU111" s="1925"/>
      <c r="AV111" s="1925"/>
      <c r="AW111" s="1925"/>
      <c r="AX111" s="1925"/>
      <c r="AY111" s="1925"/>
      <c r="AZ111" s="1925"/>
      <c r="BA111" s="1925"/>
      <c r="BB111" s="1925"/>
      <c r="BC111" s="1782"/>
      <c r="BD111" s="1781" t="s">
        <v>140</v>
      </c>
      <c r="BE111" s="1925"/>
      <c r="BF111" s="1925"/>
      <c r="BG111" s="1925"/>
      <c r="BH111" s="1925"/>
      <c r="BI111" s="1925"/>
      <c r="BJ111" s="1925"/>
      <c r="BK111" s="1925"/>
      <c r="BL111" s="1925"/>
      <c r="BM111" s="1782"/>
      <c r="BN111" s="1781" t="s">
        <v>624</v>
      </c>
      <c r="BO111" s="1925"/>
      <c r="BP111" s="1925"/>
      <c r="BQ111" s="1925"/>
      <c r="BR111" s="1925"/>
      <c r="BS111" s="1925"/>
      <c r="BT111" s="1925"/>
      <c r="BU111" s="1925"/>
      <c r="BV111" s="1925"/>
      <c r="BW111" s="1925"/>
      <c r="BX111" s="1925"/>
      <c r="BY111" s="1925"/>
      <c r="BZ111" s="1925"/>
      <c r="CA111" s="1925"/>
      <c r="CB111" s="1782"/>
      <c r="CC111" s="1806" t="s">
        <v>52</v>
      </c>
      <c r="CD111" s="1806"/>
      <c r="CE111" s="1806"/>
      <c r="CF111" s="1806"/>
      <c r="CG111" s="1806"/>
      <c r="CH111" s="1806"/>
    </row>
    <row r="112" spans="1:86" s="1" customFormat="1" ht="80.25" hidden="1" customHeight="1" x14ac:dyDescent="0.25">
      <c r="A112" s="1810"/>
      <c r="B112" s="1810"/>
      <c r="C112" s="1810"/>
      <c r="D112" s="1810"/>
      <c r="E112" s="1830"/>
      <c r="F112" s="1830"/>
      <c r="G112" s="1830"/>
      <c r="H112" s="1830"/>
      <c r="I112" s="1830"/>
      <c r="J112" s="1830"/>
      <c r="K112" s="1830"/>
      <c r="L112" s="1830"/>
      <c r="M112" s="1830"/>
      <c r="N112" s="1830"/>
      <c r="O112" s="1830"/>
      <c r="P112" s="1830"/>
      <c r="Q112" s="1830"/>
      <c r="R112" s="1830"/>
      <c r="S112" s="1830"/>
      <c r="T112" s="1830"/>
      <c r="U112" s="1830"/>
      <c r="V112" s="1830"/>
      <c r="W112" s="1830"/>
      <c r="X112" s="1830"/>
      <c r="Y112" s="1830"/>
      <c r="Z112" s="1830"/>
      <c r="AA112" s="1830"/>
      <c r="AB112" s="1830"/>
      <c r="AC112" s="1830"/>
      <c r="AD112" s="1830"/>
      <c r="AE112" s="1830"/>
      <c r="AF112" s="1830"/>
      <c r="AG112" s="1830"/>
      <c r="AH112" s="1830"/>
      <c r="AI112" s="1830"/>
      <c r="AJ112" s="1830"/>
      <c r="AK112" s="1830"/>
      <c r="AL112" s="1830"/>
      <c r="AM112" s="1830"/>
      <c r="AN112" s="1830"/>
      <c r="AO112" s="1783"/>
      <c r="AP112" s="1926"/>
      <c r="AQ112" s="1926"/>
      <c r="AR112" s="1926"/>
      <c r="AS112" s="1926"/>
      <c r="AT112" s="1926"/>
      <c r="AU112" s="1926"/>
      <c r="AV112" s="1926"/>
      <c r="AW112" s="1926"/>
      <c r="AX112" s="1926"/>
      <c r="AY112" s="1926"/>
      <c r="AZ112" s="1926"/>
      <c r="BA112" s="1926"/>
      <c r="BB112" s="1926"/>
      <c r="BC112" s="1784"/>
      <c r="BD112" s="1783"/>
      <c r="BE112" s="1926"/>
      <c r="BF112" s="1926"/>
      <c r="BG112" s="1926"/>
      <c r="BH112" s="1926"/>
      <c r="BI112" s="1926"/>
      <c r="BJ112" s="1926"/>
      <c r="BK112" s="1926"/>
      <c r="BL112" s="1926"/>
      <c r="BM112" s="1784"/>
      <c r="BN112" s="1783"/>
      <c r="BO112" s="1926"/>
      <c r="BP112" s="1926"/>
      <c r="BQ112" s="1926"/>
      <c r="BR112" s="1926"/>
      <c r="BS112" s="1926"/>
      <c r="BT112" s="1926"/>
      <c r="BU112" s="1926"/>
      <c r="BV112" s="1926"/>
      <c r="BW112" s="1926"/>
      <c r="BX112" s="1926"/>
      <c r="BY112" s="1926"/>
      <c r="BZ112" s="1926"/>
      <c r="CA112" s="1926"/>
      <c r="CB112" s="1784"/>
      <c r="CC112" s="1810" t="s">
        <v>35</v>
      </c>
      <c r="CD112" s="1810"/>
      <c r="CE112" s="1788" t="s">
        <v>45</v>
      </c>
      <c r="CF112" s="1790"/>
      <c r="CG112" s="1789"/>
      <c r="CH112" s="1778" t="s">
        <v>46</v>
      </c>
    </row>
    <row r="113" spans="1:86" s="1" customFormat="1" ht="15.75" hidden="1" x14ac:dyDescent="0.25">
      <c r="A113" s="1810"/>
      <c r="B113" s="1810"/>
      <c r="C113" s="1810"/>
      <c r="D113" s="1810"/>
      <c r="E113" s="1830"/>
      <c r="F113" s="1830"/>
      <c r="G113" s="1830"/>
      <c r="H113" s="1830"/>
      <c r="I113" s="1830"/>
      <c r="J113" s="1830"/>
      <c r="K113" s="1830"/>
      <c r="L113" s="1830"/>
      <c r="M113" s="1830"/>
      <c r="N113" s="1830"/>
      <c r="O113" s="1830"/>
      <c r="P113" s="1830"/>
      <c r="Q113" s="1830"/>
      <c r="R113" s="1830"/>
      <c r="S113" s="1830"/>
      <c r="T113" s="1830"/>
      <c r="U113" s="1830"/>
      <c r="V113" s="1830"/>
      <c r="W113" s="1830"/>
      <c r="X113" s="1830"/>
      <c r="Y113" s="1830"/>
      <c r="Z113" s="1830"/>
      <c r="AA113" s="1830"/>
      <c r="AB113" s="1830"/>
      <c r="AC113" s="1830"/>
      <c r="AD113" s="1830"/>
      <c r="AE113" s="1830"/>
      <c r="AF113" s="1830"/>
      <c r="AG113" s="1830"/>
      <c r="AH113" s="1830"/>
      <c r="AI113" s="1830"/>
      <c r="AJ113" s="1830"/>
      <c r="AK113" s="1830"/>
      <c r="AL113" s="1830"/>
      <c r="AM113" s="1830"/>
      <c r="AN113" s="1830"/>
      <c r="AO113" s="1783"/>
      <c r="AP113" s="1926"/>
      <c r="AQ113" s="1926"/>
      <c r="AR113" s="1926"/>
      <c r="AS113" s="1926"/>
      <c r="AT113" s="1926"/>
      <c r="AU113" s="1926"/>
      <c r="AV113" s="1926"/>
      <c r="AW113" s="1926"/>
      <c r="AX113" s="1926"/>
      <c r="AY113" s="1926"/>
      <c r="AZ113" s="1926"/>
      <c r="BA113" s="1926"/>
      <c r="BB113" s="1926"/>
      <c r="BC113" s="1784"/>
      <c r="BD113" s="1783"/>
      <c r="BE113" s="1926"/>
      <c r="BF113" s="1926"/>
      <c r="BG113" s="1926"/>
      <c r="BH113" s="1926"/>
      <c r="BI113" s="1926"/>
      <c r="BJ113" s="1926"/>
      <c r="BK113" s="1926"/>
      <c r="BL113" s="1926"/>
      <c r="BM113" s="1784"/>
      <c r="BN113" s="1783"/>
      <c r="BO113" s="1926"/>
      <c r="BP113" s="1926"/>
      <c r="BQ113" s="1926"/>
      <c r="BR113" s="1926"/>
      <c r="BS113" s="1926"/>
      <c r="BT113" s="1926"/>
      <c r="BU113" s="1926"/>
      <c r="BV113" s="1926"/>
      <c r="BW113" s="1926"/>
      <c r="BX113" s="1926"/>
      <c r="BY113" s="1926"/>
      <c r="BZ113" s="1926"/>
      <c r="CA113" s="1926"/>
      <c r="CB113" s="1784"/>
      <c r="CC113" s="1811" t="s">
        <v>43</v>
      </c>
      <c r="CD113" s="1811" t="s">
        <v>44</v>
      </c>
      <c r="CE113" s="1812" t="s">
        <v>55</v>
      </c>
      <c r="CF113" s="1811" t="s">
        <v>43</v>
      </c>
      <c r="CG113" s="1811" t="s">
        <v>44</v>
      </c>
      <c r="CH113" s="1779"/>
    </row>
    <row r="114" spans="1:86" s="1" customFormat="1" ht="15.75" hidden="1" x14ac:dyDescent="0.25">
      <c r="A114" s="1810"/>
      <c r="B114" s="1810"/>
      <c r="C114" s="1810"/>
      <c r="D114" s="1810"/>
      <c r="E114" s="1830"/>
      <c r="F114" s="1830"/>
      <c r="G114" s="1830"/>
      <c r="H114" s="1830"/>
      <c r="I114" s="1830"/>
      <c r="J114" s="1830"/>
      <c r="K114" s="1830"/>
      <c r="L114" s="1830"/>
      <c r="M114" s="1830"/>
      <c r="N114" s="1830"/>
      <c r="O114" s="1830"/>
      <c r="P114" s="1830"/>
      <c r="Q114" s="1830"/>
      <c r="R114" s="1830"/>
      <c r="S114" s="1830"/>
      <c r="T114" s="1830"/>
      <c r="U114" s="1830"/>
      <c r="V114" s="1830"/>
      <c r="W114" s="1830"/>
      <c r="X114" s="1830"/>
      <c r="Y114" s="1830"/>
      <c r="Z114" s="1830"/>
      <c r="AA114" s="1830"/>
      <c r="AB114" s="1830"/>
      <c r="AC114" s="1830"/>
      <c r="AD114" s="1830"/>
      <c r="AE114" s="1830"/>
      <c r="AF114" s="1830"/>
      <c r="AG114" s="1830"/>
      <c r="AH114" s="1830"/>
      <c r="AI114" s="1830"/>
      <c r="AJ114" s="1830"/>
      <c r="AK114" s="1830"/>
      <c r="AL114" s="1830"/>
      <c r="AM114" s="1830"/>
      <c r="AN114" s="1830"/>
      <c r="AO114" s="1785"/>
      <c r="AP114" s="1927"/>
      <c r="AQ114" s="1927"/>
      <c r="AR114" s="1927"/>
      <c r="AS114" s="1927"/>
      <c r="AT114" s="1927"/>
      <c r="AU114" s="1927"/>
      <c r="AV114" s="1927"/>
      <c r="AW114" s="1927"/>
      <c r="AX114" s="1927"/>
      <c r="AY114" s="1927"/>
      <c r="AZ114" s="1927"/>
      <c r="BA114" s="1927"/>
      <c r="BB114" s="1927"/>
      <c r="BC114" s="1786"/>
      <c r="BD114" s="1785"/>
      <c r="BE114" s="1927"/>
      <c r="BF114" s="1927"/>
      <c r="BG114" s="1927"/>
      <c r="BH114" s="1927"/>
      <c r="BI114" s="1927"/>
      <c r="BJ114" s="1927"/>
      <c r="BK114" s="1927"/>
      <c r="BL114" s="1927"/>
      <c r="BM114" s="1786"/>
      <c r="BN114" s="1785"/>
      <c r="BO114" s="1927"/>
      <c r="BP114" s="1927"/>
      <c r="BQ114" s="1927"/>
      <c r="BR114" s="1927"/>
      <c r="BS114" s="1927"/>
      <c r="BT114" s="1927"/>
      <c r="BU114" s="1927"/>
      <c r="BV114" s="1927"/>
      <c r="BW114" s="1927"/>
      <c r="BX114" s="1927"/>
      <c r="BY114" s="1927"/>
      <c r="BZ114" s="1927"/>
      <c r="CA114" s="1927"/>
      <c r="CB114" s="1786"/>
      <c r="CC114" s="1811"/>
      <c r="CD114" s="1811"/>
      <c r="CE114" s="1813"/>
      <c r="CF114" s="1811"/>
      <c r="CG114" s="1811"/>
      <c r="CH114" s="1780"/>
    </row>
    <row r="115" spans="1:86" s="1" customFormat="1" ht="15.75" hidden="1" x14ac:dyDescent="0.25">
      <c r="A115" s="1830">
        <v>1</v>
      </c>
      <c r="B115" s="1830"/>
      <c r="C115" s="1830"/>
      <c r="D115" s="1830"/>
      <c r="E115" s="1830">
        <v>2</v>
      </c>
      <c r="F115" s="1830"/>
      <c r="G115" s="1830"/>
      <c r="H115" s="1830"/>
      <c r="I115" s="1830"/>
      <c r="J115" s="1830"/>
      <c r="K115" s="1830"/>
      <c r="L115" s="1830"/>
      <c r="M115" s="1830"/>
      <c r="N115" s="1830"/>
      <c r="O115" s="1830"/>
      <c r="P115" s="1830"/>
      <c r="Q115" s="1830"/>
      <c r="R115" s="1830"/>
      <c r="S115" s="1830"/>
      <c r="T115" s="1830"/>
      <c r="U115" s="1830"/>
      <c r="V115" s="1830"/>
      <c r="W115" s="1830"/>
      <c r="X115" s="1830"/>
      <c r="Y115" s="1830"/>
      <c r="Z115" s="1830"/>
      <c r="AA115" s="1830"/>
      <c r="AB115" s="1830"/>
      <c r="AC115" s="1830"/>
      <c r="AD115" s="1830"/>
      <c r="AE115" s="1830"/>
      <c r="AF115" s="1830"/>
      <c r="AG115" s="1830"/>
      <c r="AH115" s="1830"/>
      <c r="AI115" s="1830"/>
      <c r="AJ115" s="1830"/>
      <c r="AK115" s="1830"/>
      <c r="AL115" s="1830"/>
      <c r="AM115" s="1830"/>
      <c r="AN115" s="1830"/>
      <c r="AO115" s="1830">
        <v>3</v>
      </c>
      <c r="AP115" s="1830"/>
      <c r="AQ115" s="1830"/>
      <c r="AR115" s="1830"/>
      <c r="AS115" s="1830"/>
      <c r="AT115" s="1830"/>
      <c r="AU115" s="1830"/>
      <c r="AV115" s="1830"/>
      <c r="AW115" s="1830"/>
      <c r="AX115" s="1830"/>
      <c r="AY115" s="1830"/>
      <c r="AZ115" s="1830"/>
      <c r="BA115" s="1830"/>
      <c r="BB115" s="1830"/>
      <c r="BC115" s="1830"/>
      <c r="BD115" s="1830">
        <v>4</v>
      </c>
      <c r="BE115" s="1830"/>
      <c r="BF115" s="1830"/>
      <c r="BG115" s="1830"/>
      <c r="BH115" s="1830"/>
      <c r="BI115" s="1830"/>
      <c r="BJ115" s="1830"/>
      <c r="BK115" s="1830"/>
      <c r="BL115" s="1830"/>
      <c r="BM115" s="1830"/>
      <c r="BN115" s="1830" t="s">
        <v>49</v>
      </c>
      <c r="BO115" s="1830"/>
      <c r="BP115" s="1830"/>
      <c r="BQ115" s="1830"/>
      <c r="BR115" s="1830"/>
      <c r="BS115" s="1830"/>
      <c r="BT115" s="1830"/>
      <c r="BU115" s="1830"/>
      <c r="BV115" s="1830"/>
      <c r="BW115" s="1830"/>
      <c r="BX115" s="1830"/>
      <c r="BY115" s="1830"/>
      <c r="BZ115" s="1830"/>
      <c r="CA115" s="1830"/>
      <c r="CB115" s="1830"/>
      <c r="CC115" s="15">
        <v>6</v>
      </c>
      <c r="CD115" s="15">
        <v>7</v>
      </c>
      <c r="CE115" s="15">
        <v>8</v>
      </c>
      <c r="CF115" s="15">
        <v>9</v>
      </c>
      <c r="CG115" s="15">
        <v>10</v>
      </c>
      <c r="CH115" s="15">
        <v>11</v>
      </c>
    </row>
    <row r="117" spans="1:86" ht="15.75" x14ac:dyDescent="0.25">
      <c r="A117" s="19" t="s">
        <v>60</v>
      </c>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row>
    <row r="118" spans="1:86"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7"/>
      <c r="CD118" s="7"/>
      <c r="CE118" s="7"/>
      <c r="CF118" s="7"/>
      <c r="CG118" s="7"/>
      <c r="CH118" s="7"/>
    </row>
    <row r="119" spans="1:86" ht="12.75" customHeight="1" x14ac:dyDescent="0.2">
      <c r="A119" s="1781" t="s">
        <v>38</v>
      </c>
      <c r="B119" s="1925"/>
      <c r="C119" s="1925"/>
      <c r="D119" s="1782"/>
      <c r="E119" s="1818" t="s">
        <v>4</v>
      </c>
      <c r="F119" s="1819"/>
      <c r="G119" s="1819"/>
      <c r="H119" s="1819"/>
      <c r="I119" s="1819"/>
      <c r="J119" s="1819"/>
      <c r="K119" s="1819"/>
      <c r="L119" s="1819"/>
      <c r="M119" s="1819"/>
      <c r="N119" s="1819"/>
      <c r="O119" s="1819"/>
      <c r="P119" s="1819"/>
      <c r="Q119" s="1819"/>
      <c r="R119" s="1819"/>
      <c r="S119" s="1819"/>
      <c r="T119" s="1819"/>
      <c r="U119" s="1819"/>
      <c r="V119" s="1819"/>
      <c r="W119" s="1819"/>
      <c r="X119" s="1819"/>
      <c r="Y119" s="1819"/>
      <c r="Z119" s="1819"/>
      <c r="AA119" s="1819"/>
      <c r="AB119" s="1819"/>
      <c r="AC119" s="1819"/>
      <c r="AD119" s="1819"/>
      <c r="AE119" s="1819"/>
      <c r="AF119" s="1819"/>
      <c r="AG119" s="1819"/>
      <c r="AH119" s="1819"/>
      <c r="AI119" s="1819"/>
      <c r="AJ119" s="1819"/>
      <c r="AK119" s="1819"/>
      <c r="AL119" s="1819"/>
      <c r="AM119" s="1819"/>
      <c r="AN119" s="1819"/>
      <c r="AO119" s="1819"/>
      <c r="AP119" s="1819"/>
      <c r="AQ119" s="1819"/>
      <c r="AR119" s="1820"/>
      <c r="AS119" s="1818" t="s">
        <v>5</v>
      </c>
      <c r="AT119" s="1819"/>
      <c r="AU119" s="1819"/>
      <c r="AV119" s="1819"/>
      <c r="AW119" s="1819"/>
      <c r="AX119" s="1819"/>
      <c r="AY119" s="1819"/>
      <c r="AZ119" s="1819"/>
      <c r="BA119" s="1819"/>
      <c r="BB119" s="1820"/>
      <c r="BC119" s="1781" t="s">
        <v>51</v>
      </c>
      <c r="BD119" s="1925"/>
      <c r="BE119" s="1925"/>
      <c r="BF119" s="1925"/>
      <c r="BG119" s="1925"/>
      <c r="BH119" s="1925"/>
      <c r="BI119" s="1925"/>
      <c r="BJ119" s="1925"/>
      <c r="BK119" s="1925"/>
      <c r="BL119" s="1925"/>
      <c r="BM119" s="1782"/>
      <c r="BN119" s="1818" t="s">
        <v>6</v>
      </c>
      <c r="BO119" s="1819"/>
      <c r="BP119" s="1819"/>
      <c r="BQ119" s="1819"/>
      <c r="BR119" s="1819"/>
      <c r="BS119" s="1819"/>
      <c r="BT119" s="1819"/>
      <c r="BU119" s="1819"/>
      <c r="BV119" s="1819"/>
      <c r="BW119" s="1819"/>
      <c r="BX119" s="1819"/>
      <c r="BY119" s="1819"/>
      <c r="BZ119" s="1819"/>
      <c r="CA119" s="1819"/>
      <c r="CB119" s="1820"/>
      <c r="CC119" s="1797" t="s">
        <v>52</v>
      </c>
      <c r="CD119" s="1798"/>
      <c r="CE119" s="1798"/>
      <c r="CF119" s="1798"/>
      <c r="CG119" s="1798"/>
      <c r="CH119" s="1799"/>
    </row>
    <row r="120" spans="1:86" ht="65.25" customHeight="1" x14ac:dyDescent="0.2">
      <c r="A120" s="1783"/>
      <c r="B120" s="1926"/>
      <c r="C120" s="1926"/>
      <c r="D120" s="1784"/>
      <c r="E120" s="1807"/>
      <c r="F120" s="1808"/>
      <c r="G120" s="1808"/>
      <c r="H120" s="1808"/>
      <c r="I120" s="1808"/>
      <c r="J120" s="1808"/>
      <c r="K120" s="1808"/>
      <c r="L120" s="1808"/>
      <c r="M120" s="1808"/>
      <c r="N120" s="1808"/>
      <c r="O120" s="1808"/>
      <c r="P120" s="1808"/>
      <c r="Q120" s="1808"/>
      <c r="R120" s="1808"/>
      <c r="S120" s="1808"/>
      <c r="T120" s="1808"/>
      <c r="U120" s="1808"/>
      <c r="V120" s="1808"/>
      <c r="W120" s="1808"/>
      <c r="X120" s="1808"/>
      <c r="Y120" s="1808"/>
      <c r="Z120" s="1808"/>
      <c r="AA120" s="1808"/>
      <c r="AB120" s="1808"/>
      <c r="AC120" s="1808"/>
      <c r="AD120" s="1808"/>
      <c r="AE120" s="1808"/>
      <c r="AF120" s="1808"/>
      <c r="AG120" s="1808"/>
      <c r="AH120" s="1808"/>
      <c r="AI120" s="1808"/>
      <c r="AJ120" s="1808"/>
      <c r="AK120" s="1808"/>
      <c r="AL120" s="1808"/>
      <c r="AM120" s="1808"/>
      <c r="AN120" s="1808"/>
      <c r="AO120" s="1808"/>
      <c r="AP120" s="1808"/>
      <c r="AQ120" s="1808"/>
      <c r="AR120" s="1809"/>
      <c r="AS120" s="1807"/>
      <c r="AT120" s="1808"/>
      <c r="AU120" s="1808"/>
      <c r="AV120" s="1808"/>
      <c r="AW120" s="1808"/>
      <c r="AX120" s="1808"/>
      <c r="AY120" s="1808"/>
      <c r="AZ120" s="1808"/>
      <c r="BA120" s="1808"/>
      <c r="BB120" s="1809"/>
      <c r="BC120" s="1783"/>
      <c r="BD120" s="1926"/>
      <c r="BE120" s="1926"/>
      <c r="BF120" s="1926"/>
      <c r="BG120" s="1926"/>
      <c r="BH120" s="1926"/>
      <c r="BI120" s="1926"/>
      <c r="BJ120" s="1926"/>
      <c r="BK120" s="1926"/>
      <c r="BL120" s="1926"/>
      <c r="BM120" s="1784"/>
      <c r="BN120" s="1807"/>
      <c r="BO120" s="1808"/>
      <c r="BP120" s="1808"/>
      <c r="BQ120" s="1808"/>
      <c r="BR120" s="1808"/>
      <c r="BS120" s="1808"/>
      <c r="BT120" s="1808"/>
      <c r="BU120" s="1808"/>
      <c r="BV120" s="1808"/>
      <c r="BW120" s="1808"/>
      <c r="BX120" s="1808"/>
      <c r="BY120" s="1808"/>
      <c r="BZ120" s="1808"/>
      <c r="CA120" s="1808"/>
      <c r="CB120" s="1809"/>
      <c r="CC120" s="1788" t="s">
        <v>35</v>
      </c>
      <c r="CD120" s="1789"/>
      <c r="CE120" s="1788" t="s">
        <v>45</v>
      </c>
      <c r="CF120" s="1790"/>
      <c r="CG120" s="1789"/>
      <c r="CH120" s="1778" t="s">
        <v>46</v>
      </c>
    </row>
    <row r="121" spans="1:86" ht="12.75" customHeight="1" x14ac:dyDescent="0.2">
      <c r="A121" s="1783"/>
      <c r="B121" s="1926"/>
      <c r="C121" s="1926"/>
      <c r="D121" s="1784"/>
      <c r="E121" s="1807"/>
      <c r="F121" s="1808"/>
      <c r="G121" s="1808"/>
      <c r="H121" s="1808"/>
      <c r="I121" s="1808"/>
      <c r="J121" s="1808"/>
      <c r="K121" s="1808"/>
      <c r="L121" s="1808"/>
      <c r="M121" s="1808"/>
      <c r="N121" s="1808"/>
      <c r="O121" s="1808"/>
      <c r="P121" s="1808"/>
      <c r="Q121" s="1808"/>
      <c r="R121" s="1808"/>
      <c r="S121" s="1808"/>
      <c r="T121" s="1808"/>
      <c r="U121" s="1808"/>
      <c r="V121" s="1808"/>
      <c r="W121" s="1808"/>
      <c r="X121" s="1808"/>
      <c r="Y121" s="1808"/>
      <c r="Z121" s="1808"/>
      <c r="AA121" s="1808"/>
      <c r="AB121" s="1808"/>
      <c r="AC121" s="1808"/>
      <c r="AD121" s="1808"/>
      <c r="AE121" s="1808"/>
      <c r="AF121" s="1808"/>
      <c r="AG121" s="1808"/>
      <c r="AH121" s="1808"/>
      <c r="AI121" s="1808"/>
      <c r="AJ121" s="1808"/>
      <c r="AK121" s="1808"/>
      <c r="AL121" s="1808"/>
      <c r="AM121" s="1808"/>
      <c r="AN121" s="1808"/>
      <c r="AO121" s="1808"/>
      <c r="AP121" s="1808"/>
      <c r="AQ121" s="1808"/>
      <c r="AR121" s="1809"/>
      <c r="AS121" s="1807"/>
      <c r="AT121" s="1808"/>
      <c r="AU121" s="1808"/>
      <c r="AV121" s="1808"/>
      <c r="AW121" s="1808"/>
      <c r="AX121" s="1808"/>
      <c r="AY121" s="1808"/>
      <c r="AZ121" s="1808"/>
      <c r="BA121" s="1808"/>
      <c r="BB121" s="1809"/>
      <c r="BC121" s="1783"/>
      <c r="BD121" s="1926"/>
      <c r="BE121" s="1926"/>
      <c r="BF121" s="1926"/>
      <c r="BG121" s="1926"/>
      <c r="BH121" s="1926"/>
      <c r="BI121" s="1926"/>
      <c r="BJ121" s="1926"/>
      <c r="BK121" s="1926"/>
      <c r="BL121" s="1926"/>
      <c r="BM121" s="1784"/>
      <c r="BN121" s="1807"/>
      <c r="BO121" s="1808"/>
      <c r="BP121" s="1808"/>
      <c r="BQ121" s="1808"/>
      <c r="BR121" s="1808"/>
      <c r="BS121" s="1808"/>
      <c r="BT121" s="1808"/>
      <c r="BU121" s="1808"/>
      <c r="BV121" s="1808"/>
      <c r="BW121" s="1808"/>
      <c r="BX121" s="1808"/>
      <c r="BY121" s="1808"/>
      <c r="BZ121" s="1808"/>
      <c r="CA121" s="1808"/>
      <c r="CB121" s="1809"/>
      <c r="CC121" s="1812" t="s">
        <v>43</v>
      </c>
      <c r="CD121" s="1812" t="s">
        <v>44</v>
      </c>
      <c r="CE121" s="1812" t="s">
        <v>55</v>
      </c>
      <c r="CF121" s="1812" t="s">
        <v>43</v>
      </c>
      <c r="CG121" s="1812" t="s">
        <v>44</v>
      </c>
      <c r="CH121" s="1779"/>
    </row>
    <row r="122" spans="1:86" x14ac:dyDescent="0.2">
      <c r="A122" s="1785"/>
      <c r="B122" s="1927"/>
      <c r="C122" s="1927"/>
      <c r="D122" s="1786"/>
      <c r="E122" s="1814"/>
      <c r="F122" s="1815"/>
      <c r="G122" s="1815"/>
      <c r="H122" s="1815"/>
      <c r="I122" s="1815"/>
      <c r="J122" s="1815"/>
      <c r="K122" s="1815"/>
      <c r="L122" s="1815"/>
      <c r="M122" s="1815"/>
      <c r="N122" s="1815"/>
      <c r="O122" s="1815"/>
      <c r="P122" s="1815"/>
      <c r="Q122" s="1815"/>
      <c r="R122" s="1815"/>
      <c r="S122" s="1815"/>
      <c r="T122" s="1815"/>
      <c r="U122" s="1815"/>
      <c r="V122" s="1815"/>
      <c r="W122" s="1815"/>
      <c r="X122" s="1815"/>
      <c r="Y122" s="1815"/>
      <c r="Z122" s="1815"/>
      <c r="AA122" s="1815"/>
      <c r="AB122" s="1815"/>
      <c r="AC122" s="1815"/>
      <c r="AD122" s="1815"/>
      <c r="AE122" s="1815"/>
      <c r="AF122" s="1815"/>
      <c r="AG122" s="1815"/>
      <c r="AH122" s="1815"/>
      <c r="AI122" s="1815"/>
      <c r="AJ122" s="1815"/>
      <c r="AK122" s="1815"/>
      <c r="AL122" s="1815"/>
      <c r="AM122" s="1815"/>
      <c r="AN122" s="1815"/>
      <c r="AO122" s="1815"/>
      <c r="AP122" s="1815"/>
      <c r="AQ122" s="1815"/>
      <c r="AR122" s="1816"/>
      <c r="AS122" s="1814"/>
      <c r="AT122" s="1815"/>
      <c r="AU122" s="1815"/>
      <c r="AV122" s="1815"/>
      <c r="AW122" s="1815"/>
      <c r="AX122" s="1815"/>
      <c r="AY122" s="1815"/>
      <c r="AZ122" s="1815"/>
      <c r="BA122" s="1815"/>
      <c r="BB122" s="1816"/>
      <c r="BC122" s="1785"/>
      <c r="BD122" s="1927"/>
      <c r="BE122" s="1927"/>
      <c r="BF122" s="1927"/>
      <c r="BG122" s="1927"/>
      <c r="BH122" s="1927"/>
      <c r="BI122" s="1927"/>
      <c r="BJ122" s="1927"/>
      <c r="BK122" s="1927"/>
      <c r="BL122" s="1927"/>
      <c r="BM122" s="1786"/>
      <c r="BN122" s="1814"/>
      <c r="BO122" s="1815"/>
      <c r="BP122" s="1815"/>
      <c r="BQ122" s="1815"/>
      <c r="BR122" s="1815"/>
      <c r="BS122" s="1815"/>
      <c r="BT122" s="1815"/>
      <c r="BU122" s="1815"/>
      <c r="BV122" s="1815"/>
      <c r="BW122" s="1815"/>
      <c r="BX122" s="1815"/>
      <c r="BY122" s="1815"/>
      <c r="BZ122" s="1815"/>
      <c r="CA122" s="1815"/>
      <c r="CB122" s="1816"/>
      <c r="CC122" s="1813"/>
      <c r="CD122" s="1813"/>
      <c r="CE122" s="1813"/>
      <c r="CF122" s="1813"/>
      <c r="CG122" s="1813"/>
      <c r="CH122" s="1780"/>
    </row>
    <row r="123" spans="1:86" x14ac:dyDescent="0.2">
      <c r="A123" s="1770">
        <v>1</v>
      </c>
      <c r="B123" s="1787"/>
      <c r="C123" s="1787"/>
      <c r="D123" s="1771"/>
      <c r="E123" s="1770">
        <v>2</v>
      </c>
      <c r="F123" s="1787"/>
      <c r="G123" s="1787"/>
      <c r="H123" s="1787"/>
      <c r="I123" s="1787"/>
      <c r="J123" s="1787"/>
      <c r="K123" s="1787"/>
      <c r="L123" s="1787"/>
      <c r="M123" s="1787"/>
      <c r="N123" s="1787"/>
      <c r="O123" s="1787"/>
      <c r="P123" s="1787"/>
      <c r="Q123" s="1787"/>
      <c r="R123" s="1787"/>
      <c r="S123" s="1787"/>
      <c r="T123" s="1787"/>
      <c r="U123" s="1787"/>
      <c r="V123" s="1787"/>
      <c r="W123" s="1787"/>
      <c r="X123" s="1787"/>
      <c r="Y123" s="1787"/>
      <c r="Z123" s="1787"/>
      <c r="AA123" s="1787"/>
      <c r="AB123" s="1787"/>
      <c r="AC123" s="1787"/>
      <c r="AD123" s="1787"/>
      <c r="AE123" s="1787"/>
      <c r="AF123" s="1787"/>
      <c r="AG123" s="1787"/>
      <c r="AH123" s="1787"/>
      <c r="AI123" s="1787"/>
      <c r="AJ123" s="1787"/>
      <c r="AK123" s="1787"/>
      <c r="AL123" s="1787"/>
      <c r="AM123" s="1787"/>
      <c r="AN123" s="1787"/>
      <c r="AO123" s="1787"/>
      <c r="AP123" s="1787"/>
      <c r="AQ123" s="1787"/>
      <c r="AR123" s="1771"/>
      <c r="AS123" s="1770">
        <v>3</v>
      </c>
      <c r="AT123" s="1787"/>
      <c r="AU123" s="1787"/>
      <c r="AV123" s="1787"/>
      <c r="AW123" s="1787"/>
      <c r="AX123" s="1787"/>
      <c r="AY123" s="1787"/>
      <c r="AZ123" s="1787"/>
      <c r="BA123" s="1787"/>
      <c r="BB123" s="1771"/>
      <c r="BC123" s="1770">
        <v>4</v>
      </c>
      <c r="BD123" s="1787"/>
      <c r="BE123" s="1787"/>
      <c r="BF123" s="1787"/>
      <c r="BG123" s="1787"/>
      <c r="BH123" s="1787"/>
      <c r="BI123" s="1787"/>
      <c r="BJ123" s="1787"/>
      <c r="BK123" s="1787"/>
      <c r="BL123" s="1787"/>
      <c r="BM123" s="1771"/>
      <c r="BN123" s="1770" t="s">
        <v>49</v>
      </c>
      <c r="BO123" s="1787"/>
      <c r="BP123" s="1787"/>
      <c r="BQ123" s="1787"/>
      <c r="BR123" s="1787"/>
      <c r="BS123" s="1787"/>
      <c r="BT123" s="1787"/>
      <c r="BU123" s="1787"/>
      <c r="BV123" s="1787"/>
      <c r="BW123" s="1787"/>
      <c r="BX123" s="1787"/>
      <c r="BY123" s="1787"/>
      <c r="BZ123" s="1787"/>
      <c r="CA123" s="1787"/>
      <c r="CB123" s="1771"/>
      <c r="CC123" s="15">
        <v>6</v>
      </c>
      <c r="CD123" s="15">
        <v>7</v>
      </c>
      <c r="CE123" s="15">
        <v>8</v>
      </c>
      <c r="CF123" s="15">
        <v>9</v>
      </c>
      <c r="CG123" s="15">
        <v>10</v>
      </c>
      <c r="CH123" s="15">
        <v>11</v>
      </c>
    </row>
    <row r="124" spans="1:86" s="234" customFormat="1" ht="27" customHeight="1" x14ac:dyDescent="0.2">
      <c r="A124" s="1810">
        <v>1</v>
      </c>
      <c r="B124" s="1810"/>
      <c r="C124" s="1810"/>
      <c r="D124" s="1810"/>
      <c r="E124" s="2082" t="s">
        <v>710</v>
      </c>
      <c r="F124" s="2082"/>
      <c r="G124" s="2082"/>
      <c r="H124" s="2082"/>
      <c r="I124" s="2082"/>
      <c r="J124" s="2082"/>
      <c r="K124" s="2082"/>
      <c r="L124" s="2082"/>
      <c r="M124" s="2082"/>
      <c r="N124" s="2082"/>
      <c r="O124" s="2082"/>
      <c r="P124" s="2082"/>
      <c r="Q124" s="2082"/>
      <c r="R124" s="2082"/>
      <c r="S124" s="2082"/>
      <c r="T124" s="2082"/>
      <c r="U124" s="2082"/>
      <c r="V124" s="2082"/>
      <c r="W124" s="2082"/>
      <c r="X124" s="2082"/>
      <c r="Y124" s="2082"/>
      <c r="Z124" s="2082"/>
      <c r="AA124" s="2082"/>
      <c r="AB124" s="2082"/>
      <c r="AC124" s="2082"/>
      <c r="AD124" s="2082"/>
      <c r="AE124" s="2082"/>
      <c r="AF124" s="2082"/>
      <c r="AG124" s="2082"/>
      <c r="AH124" s="2082"/>
      <c r="AI124" s="2082"/>
      <c r="AJ124" s="2082"/>
      <c r="AK124" s="2082"/>
      <c r="AL124" s="2082"/>
      <c r="AM124" s="2082"/>
      <c r="AN124" s="2082"/>
      <c r="AO124" s="2082"/>
      <c r="AP124" s="2082"/>
      <c r="AQ124" s="2082"/>
      <c r="AR124" s="2082"/>
      <c r="AS124" s="2090">
        <v>9</v>
      </c>
      <c r="AT124" s="2090"/>
      <c r="AU124" s="2090"/>
      <c r="AV124" s="2090"/>
      <c r="AW124" s="2090"/>
      <c r="AX124" s="2090"/>
      <c r="AY124" s="2090"/>
      <c r="AZ124" s="2090"/>
      <c r="BA124" s="2090"/>
      <c r="BB124" s="2090"/>
      <c r="BC124" s="2091">
        <f>BN124/AS124</f>
        <v>566.56111111111113</v>
      </c>
      <c r="BD124" s="2091"/>
      <c r="BE124" s="2091"/>
      <c r="BF124" s="2091"/>
      <c r="BG124" s="2091"/>
      <c r="BH124" s="2091"/>
      <c r="BI124" s="2091"/>
      <c r="BJ124" s="2091"/>
      <c r="BK124" s="2091"/>
      <c r="BL124" s="2091"/>
      <c r="BM124" s="2091"/>
      <c r="BN124" s="2091">
        <f>CD124+CH124+CC124</f>
        <v>5099.05</v>
      </c>
      <c r="BO124" s="2091"/>
      <c r="BP124" s="2091"/>
      <c r="BQ124" s="2091"/>
      <c r="BR124" s="2091"/>
      <c r="BS124" s="2091"/>
      <c r="BT124" s="2091"/>
      <c r="BU124" s="2091"/>
      <c r="BV124" s="2091"/>
      <c r="BW124" s="2091"/>
      <c r="BX124" s="2091"/>
      <c r="BY124" s="2091"/>
      <c r="BZ124" s="2091"/>
      <c r="CA124" s="2091"/>
      <c r="CB124" s="2091"/>
      <c r="CC124" s="233"/>
      <c r="CD124" s="233">
        <v>4269.66</v>
      </c>
      <c r="CE124" s="233"/>
      <c r="CF124" s="233"/>
      <c r="CG124" s="233"/>
      <c r="CH124" s="233">
        <v>829.39</v>
      </c>
    </row>
    <row r="125" spans="1:86" s="234" customFormat="1" ht="27" customHeight="1" x14ac:dyDescent="0.2">
      <c r="A125" s="1810">
        <v>2</v>
      </c>
      <c r="B125" s="1810"/>
      <c r="C125" s="1810"/>
      <c r="D125" s="1810"/>
      <c r="E125" s="2082" t="s">
        <v>709</v>
      </c>
      <c r="F125" s="2082"/>
      <c r="G125" s="2082"/>
      <c r="H125" s="2082"/>
      <c r="I125" s="2082"/>
      <c r="J125" s="2082"/>
      <c r="K125" s="2082"/>
      <c r="L125" s="2082"/>
      <c r="M125" s="2082"/>
      <c r="N125" s="2082"/>
      <c r="O125" s="2082"/>
      <c r="P125" s="2082"/>
      <c r="Q125" s="2082"/>
      <c r="R125" s="2082"/>
      <c r="S125" s="2082"/>
      <c r="T125" s="2082"/>
      <c r="U125" s="2082"/>
      <c r="V125" s="2082"/>
      <c r="W125" s="2082"/>
      <c r="X125" s="2082"/>
      <c r="Y125" s="2082"/>
      <c r="Z125" s="2082"/>
      <c r="AA125" s="2082"/>
      <c r="AB125" s="2082"/>
      <c r="AC125" s="2082"/>
      <c r="AD125" s="2082"/>
      <c r="AE125" s="2082"/>
      <c r="AF125" s="2082"/>
      <c r="AG125" s="2082"/>
      <c r="AH125" s="2082"/>
      <c r="AI125" s="2082"/>
      <c r="AJ125" s="2082"/>
      <c r="AK125" s="2082"/>
      <c r="AL125" s="2082"/>
      <c r="AM125" s="2082"/>
      <c r="AN125" s="2082"/>
      <c r="AO125" s="2082"/>
      <c r="AP125" s="2082"/>
      <c r="AQ125" s="2082"/>
      <c r="AR125" s="2082"/>
      <c r="AS125" s="2090">
        <v>7</v>
      </c>
      <c r="AT125" s="2090"/>
      <c r="AU125" s="2090"/>
      <c r="AV125" s="2090"/>
      <c r="AW125" s="2090"/>
      <c r="AX125" s="2090"/>
      <c r="AY125" s="2090"/>
      <c r="AZ125" s="2090"/>
      <c r="BA125" s="2090"/>
      <c r="BB125" s="2090"/>
      <c r="BC125" s="2091">
        <f>BN125/AS125</f>
        <v>566.55857142857144</v>
      </c>
      <c r="BD125" s="2091"/>
      <c r="BE125" s="2091"/>
      <c r="BF125" s="2091"/>
      <c r="BG125" s="2091"/>
      <c r="BH125" s="2091"/>
      <c r="BI125" s="2091"/>
      <c r="BJ125" s="2091"/>
      <c r="BK125" s="2091"/>
      <c r="BL125" s="2091"/>
      <c r="BM125" s="2091"/>
      <c r="BN125" s="2091">
        <f>CD125+CH125+CC125</f>
        <v>3965.91</v>
      </c>
      <c r="BO125" s="2091"/>
      <c r="BP125" s="2091"/>
      <c r="BQ125" s="2091"/>
      <c r="BR125" s="2091"/>
      <c r="BS125" s="2091"/>
      <c r="BT125" s="2091"/>
      <c r="BU125" s="2091"/>
      <c r="BV125" s="2091"/>
      <c r="BW125" s="2091"/>
      <c r="BX125" s="2091"/>
      <c r="BY125" s="2091"/>
      <c r="BZ125" s="2091"/>
      <c r="CA125" s="2091"/>
      <c r="CB125" s="2091"/>
      <c r="CC125" s="233"/>
      <c r="CD125" s="233">
        <v>3320.83</v>
      </c>
      <c r="CE125" s="233"/>
      <c r="CF125" s="233"/>
      <c r="CG125" s="233"/>
      <c r="CH125" s="233">
        <v>645.08000000000004</v>
      </c>
    </row>
    <row r="126" spans="1:86" s="234" customFormat="1" hidden="1" x14ac:dyDescent="0.2">
      <c r="A126" s="1810">
        <v>6</v>
      </c>
      <c r="B126" s="1810"/>
      <c r="C126" s="1810"/>
      <c r="D126" s="1810"/>
      <c r="E126" s="2082"/>
      <c r="F126" s="2082"/>
      <c r="G126" s="2082"/>
      <c r="H126" s="2082"/>
      <c r="I126" s="2082"/>
      <c r="J126" s="2082"/>
      <c r="K126" s="2082"/>
      <c r="L126" s="2082"/>
      <c r="M126" s="2082"/>
      <c r="N126" s="2082"/>
      <c r="O126" s="2082"/>
      <c r="P126" s="2082"/>
      <c r="Q126" s="2082"/>
      <c r="R126" s="2082"/>
      <c r="S126" s="2082"/>
      <c r="T126" s="2082"/>
      <c r="U126" s="2082"/>
      <c r="V126" s="2082"/>
      <c r="W126" s="2082"/>
      <c r="X126" s="2082"/>
      <c r="Y126" s="2082"/>
      <c r="Z126" s="2082"/>
      <c r="AA126" s="2082"/>
      <c r="AB126" s="2082"/>
      <c r="AC126" s="2082"/>
      <c r="AD126" s="2082"/>
      <c r="AE126" s="2082"/>
      <c r="AF126" s="2082"/>
      <c r="AG126" s="2082"/>
      <c r="AH126" s="2082"/>
      <c r="AI126" s="2082"/>
      <c r="AJ126" s="2082"/>
      <c r="AK126" s="2082"/>
      <c r="AL126" s="2082"/>
      <c r="AM126" s="2082"/>
      <c r="AN126" s="2082"/>
      <c r="AO126" s="2082"/>
      <c r="AP126" s="2082"/>
      <c r="AQ126" s="2082"/>
      <c r="AR126" s="2082"/>
      <c r="AS126" s="2090"/>
      <c r="AT126" s="2090"/>
      <c r="AU126" s="2090"/>
      <c r="AV126" s="2090"/>
      <c r="AW126" s="2090"/>
      <c r="AX126" s="2090"/>
      <c r="AY126" s="2090"/>
      <c r="AZ126" s="2090"/>
      <c r="BA126" s="2090"/>
      <c r="BB126" s="2090"/>
      <c r="BC126" s="2091"/>
      <c r="BD126" s="2091"/>
      <c r="BE126" s="2091"/>
      <c r="BF126" s="2091"/>
      <c r="BG126" s="2091"/>
      <c r="BH126" s="2091"/>
      <c r="BI126" s="2091"/>
      <c r="BJ126" s="2091"/>
      <c r="BK126" s="2091"/>
      <c r="BL126" s="2091"/>
      <c r="BM126" s="2091"/>
      <c r="BN126" s="2091"/>
      <c r="BO126" s="2091"/>
      <c r="BP126" s="2091"/>
      <c r="BQ126" s="2091"/>
      <c r="BR126" s="2091"/>
      <c r="BS126" s="2091"/>
      <c r="BT126" s="2091"/>
      <c r="BU126" s="2091"/>
      <c r="BV126" s="2091"/>
      <c r="BW126" s="2091"/>
      <c r="BX126" s="2091"/>
      <c r="BY126" s="2091"/>
      <c r="BZ126" s="2091"/>
      <c r="CA126" s="2091"/>
      <c r="CB126" s="2091"/>
      <c r="CC126" s="233"/>
      <c r="CD126" s="233"/>
      <c r="CE126" s="233"/>
      <c r="CF126" s="233"/>
      <c r="CG126" s="233"/>
      <c r="CH126" s="233"/>
    </row>
    <row r="127" spans="1:86" s="234" customFormat="1" hidden="1" x14ac:dyDescent="0.2">
      <c r="A127" s="1810">
        <v>7</v>
      </c>
      <c r="B127" s="1810"/>
      <c r="C127" s="1810"/>
      <c r="D127" s="1810"/>
      <c r="E127" s="2082"/>
      <c r="F127" s="2082"/>
      <c r="G127" s="2082"/>
      <c r="H127" s="2082"/>
      <c r="I127" s="2082"/>
      <c r="J127" s="2082"/>
      <c r="K127" s="2082"/>
      <c r="L127" s="2082"/>
      <c r="M127" s="2082"/>
      <c r="N127" s="2082"/>
      <c r="O127" s="2082"/>
      <c r="P127" s="2082"/>
      <c r="Q127" s="2082"/>
      <c r="R127" s="2082"/>
      <c r="S127" s="2082"/>
      <c r="T127" s="2082"/>
      <c r="U127" s="2082"/>
      <c r="V127" s="2082"/>
      <c r="W127" s="2082"/>
      <c r="X127" s="2082"/>
      <c r="Y127" s="2082"/>
      <c r="Z127" s="2082"/>
      <c r="AA127" s="2082"/>
      <c r="AB127" s="2082"/>
      <c r="AC127" s="2082"/>
      <c r="AD127" s="2082"/>
      <c r="AE127" s="2082"/>
      <c r="AF127" s="2082"/>
      <c r="AG127" s="2082"/>
      <c r="AH127" s="2082"/>
      <c r="AI127" s="2082"/>
      <c r="AJ127" s="2082"/>
      <c r="AK127" s="2082"/>
      <c r="AL127" s="2082"/>
      <c r="AM127" s="2082"/>
      <c r="AN127" s="2082"/>
      <c r="AO127" s="2082"/>
      <c r="AP127" s="2082"/>
      <c r="AQ127" s="2082"/>
      <c r="AR127" s="2082"/>
      <c r="AS127" s="2090"/>
      <c r="AT127" s="2090"/>
      <c r="AU127" s="2090"/>
      <c r="AV127" s="2090"/>
      <c r="AW127" s="2090"/>
      <c r="AX127" s="2090"/>
      <c r="AY127" s="2090"/>
      <c r="AZ127" s="2090"/>
      <c r="BA127" s="2090"/>
      <c r="BB127" s="2090"/>
      <c r="BC127" s="2091"/>
      <c r="BD127" s="2091"/>
      <c r="BE127" s="2091"/>
      <c r="BF127" s="2091"/>
      <c r="BG127" s="2091"/>
      <c r="BH127" s="2091"/>
      <c r="BI127" s="2091"/>
      <c r="BJ127" s="2091"/>
      <c r="BK127" s="2091"/>
      <c r="BL127" s="2091"/>
      <c r="BM127" s="2091"/>
      <c r="BN127" s="2091"/>
      <c r="BO127" s="2091"/>
      <c r="BP127" s="2091"/>
      <c r="BQ127" s="2091"/>
      <c r="BR127" s="2091"/>
      <c r="BS127" s="2091"/>
      <c r="BT127" s="2091"/>
      <c r="BU127" s="2091"/>
      <c r="BV127" s="2091"/>
      <c r="BW127" s="2091"/>
      <c r="BX127" s="2091"/>
      <c r="BY127" s="2091"/>
      <c r="BZ127" s="2091"/>
      <c r="CA127" s="2091"/>
      <c r="CB127" s="2091"/>
      <c r="CC127" s="233"/>
      <c r="CD127" s="233"/>
      <c r="CE127" s="233"/>
      <c r="CF127" s="233"/>
      <c r="CG127" s="233"/>
      <c r="CH127" s="233"/>
    </row>
    <row r="128" spans="1:86" s="234" customFormat="1" hidden="1" x14ac:dyDescent="0.2">
      <c r="A128" s="1810">
        <v>8</v>
      </c>
      <c r="B128" s="1810"/>
      <c r="C128" s="1810"/>
      <c r="D128" s="1810"/>
      <c r="E128" s="2082"/>
      <c r="F128" s="2082"/>
      <c r="G128" s="2082"/>
      <c r="H128" s="2082"/>
      <c r="I128" s="2082"/>
      <c r="J128" s="2082"/>
      <c r="K128" s="2082"/>
      <c r="L128" s="2082"/>
      <c r="M128" s="2082"/>
      <c r="N128" s="2082"/>
      <c r="O128" s="2082"/>
      <c r="P128" s="2082"/>
      <c r="Q128" s="2082"/>
      <c r="R128" s="2082"/>
      <c r="S128" s="2082"/>
      <c r="T128" s="2082"/>
      <c r="U128" s="2082"/>
      <c r="V128" s="2082"/>
      <c r="W128" s="2082"/>
      <c r="X128" s="2082"/>
      <c r="Y128" s="2082"/>
      <c r="Z128" s="2082"/>
      <c r="AA128" s="2082"/>
      <c r="AB128" s="2082"/>
      <c r="AC128" s="2082"/>
      <c r="AD128" s="2082"/>
      <c r="AE128" s="2082"/>
      <c r="AF128" s="2082"/>
      <c r="AG128" s="2082"/>
      <c r="AH128" s="2082"/>
      <c r="AI128" s="2082"/>
      <c r="AJ128" s="2082"/>
      <c r="AK128" s="2082"/>
      <c r="AL128" s="2082"/>
      <c r="AM128" s="2082"/>
      <c r="AN128" s="2082"/>
      <c r="AO128" s="2082"/>
      <c r="AP128" s="2082"/>
      <c r="AQ128" s="2082"/>
      <c r="AR128" s="2082"/>
      <c r="AS128" s="2090"/>
      <c r="AT128" s="2090"/>
      <c r="AU128" s="2090"/>
      <c r="AV128" s="2090"/>
      <c r="AW128" s="2090"/>
      <c r="AX128" s="2090"/>
      <c r="AY128" s="2090"/>
      <c r="AZ128" s="2090"/>
      <c r="BA128" s="2090"/>
      <c r="BB128" s="2090"/>
      <c r="BC128" s="2091"/>
      <c r="BD128" s="2091"/>
      <c r="BE128" s="2091"/>
      <c r="BF128" s="2091"/>
      <c r="BG128" s="2091"/>
      <c r="BH128" s="2091"/>
      <c r="BI128" s="2091"/>
      <c r="BJ128" s="2091"/>
      <c r="BK128" s="2091"/>
      <c r="BL128" s="2091"/>
      <c r="BM128" s="2091"/>
      <c r="BN128" s="2091"/>
      <c r="BO128" s="2091"/>
      <c r="BP128" s="2091"/>
      <c r="BQ128" s="2091"/>
      <c r="BR128" s="2091"/>
      <c r="BS128" s="2091"/>
      <c r="BT128" s="2091"/>
      <c r="BU128" s="2091"/>
      <c r="BV128" s="2091"/>
      <c r="BW128" s="2091"/>
      <c r="BX128" s="2091"/>
      <c r="BY128" s="2091"/>
      <c r="BZ128" s="2091"/>
      <c r="CA128" s="2091"/>
      <c r="CB128" s="2091"/>
      <c r="CC128" s="233"/>
      <c r="CD128" s="233"/>
      <c r="CE128" s="233"/>
      <c r="CF128" s="233"/>
      <c r="CG128" s="233"/>
      <c r="CH128" s="233"/>
    </row>
    <row r="129" spans="1:86" s="234" customFormat="1" hidden="1" x14ac:dyDescent="0.2">
      <c r="A129" s="1810">
        <v>9</v>
      </c>
      <c r="B129" s="1810"/>
      <c r="C129" s="1810"/>
      <c r="D129" s="1810"/>
      <c r="E129" s="2082"/>
      <c r="F129" s="2082"/>
      <c r="G129" s="2082"/>
      <c r="H129" s="2082"/>
      <c r="I129" s="2082"/>
      <c r="J129" s="2082"/>
      <c r="K129" s="2082"/>
      <c r="L129" s="2082"/>
      <c r="M129" s="2082"/>
      <c r="N129" s="2082"/>
      <c r="O129" s="2082"/>
      <c r="P129" s="2082"/>
      <c r="Q129" s="2082"/>
      <c r="R129" s="2082"/>
      <c r="S129" s="2082"/>
      <c r="T129" s="2082"/>
      <c r="U129" s="2082"/>
      <c r="V129" s="2082"/>
      <c r="W129" s="2082"/>
      <c r="X129" s="2082"/>
      <c r="Y129" s="2082"/>
      <c r="Z129" s="2082"/>
      <c r="AA129" s="2082"/>
      <c r="AB129" s="2082"/>
      <c r="AC129" s="2082"/>
      <c r="AD129" s="2082"/>
      <c r="AE129" s="2082"/>
      <c r="AF129" s="2082"/>
      <c r="AG129" s="2082"/>
      <c r="AH129" s="2082"/>
      <c r="AI129" s="2082"/>
      <c r="AJ129" s="2082"/>
      <c r="AK129" s="2082"/>
      <c r="AL129" s="2082"/>
      <c r="AM129" s="2082"/>
      <c r="AN129" s="2082"/>
      <c r="AO129" s="2082"/>
      <c r="AP129" s="2082"/>
      <c r="AQ129" s="2082"/>
      <c r="AR129" s="2082"/>
      <c r="AS129" s="2090"/>
      <c r="AT129" s="2090"/>
      <c r="AU129" s="2090"/>
      <c r="AV129" s="2090"/>
      <c r="AW129" s="2090"/>
      <c r="AX129" s="2090"/>
      <c r="AY129" s="2090"/>
      <c r="AZ129" s="2090"/>
      <c r="BA129" s="2090"/>
      <c r="BB129" s="2090"/>
      <c r="BC129" s="2091"/>
      <c r="BD129" s="2091"/>
      <c r="BE129" s="2091"/>
      <c r="BF129" s="2091"/>
      <c r="BG129" s="2091"/>
      <c r="BH129" s="2091"/>
      <c r="BI129" s="2091"/>
      <c r="BJ129" s="2091"/>
      <c r="BK129" s="2091"/>
      <c r="BL129" s="2091"/>
      <c r="BM129" s="2091"/>
      <c r="BN129" s="2091"/>
      <c r="BO129" s="2091"/>
      <c r="BP129" s="2091"/>
      <c r="BQ129" s="2091"/>
      <c r="BR129" s="2091"/>
      <c r="BS129" s="2091"/>
      <c r="BT129" s="2091"/>
      <c r="BU129" s="2091"/>
      <c r="BV129" s="2091"/>
      <c r="BW129" s="2091"/>
      <c r="BX129" s="2091"/>
      <c r="BY129" s="2091"/>
      <c r="BZ129" s="2091"/>
      <c r="CA129" s="2091"/>
      <c r="CB129" s="2091"/>
      <c r="CC129" s="233"/>
      <c r="CD129" s="233"/>
      <c r="CE129" s="233"/>
      <c r="CF129" s="233"/>
      <c r="CG129" s="233"/>
      <c r="CH129" s="233"/>
    </row>
    <row r="130" spans="1:86" s="234" customFormat="1" hidden="1" x14ac:dyDescent="0.2">
      <c r="A130" s="1810">
        <v>10</v>
      </c>
      <c r="B130" s="1810"/>
      <c r="C130" s="1810"/>
      <c r="D130" s="1810"/>
      <c r="E130" s="2082"/>
      <c r="F130" s="2082"/>
      <c r="G130" s="2082"/>
      <c r="H130" s="2082"/>
      <c r="I130" s="2082"/>
      <c r="J130" s="2082"/>
      <c r="K130" s="2082"/>
      <c r="L130" s="2082"/>
      <c r="M130" s="2082"/>
      <c r="N130" s="2082"/>
      <c r="O130" s="2082"/>
      <c r="P130" s="2082"/>
      <c r="Q130" s="2082"/>
      <c r="R130" s="2082"/>
      <c r="S130" s="2082"/>
      <c r="T130" s="2082"/>
      <c r="U130" s="2082"/>
      <c r="V130" s="2082"/>
      <c r="W130" s="2082"/>
      <c r="X130" s="2082"/>
      <c r="Y130" s="2082"/>
      <c r="Z130" s="2082"/>
      <c r="AA130" s="2082"/>
      <c r="AB130" s="2082"/>
      <c r="AC130" s="2082"/>
      <c r="AD130" s="2082"/>
      <c r="AE130" s="2082"/>
      <c r="AF130" s="2082"/>
      <c r="AG130" s="2082"/>
      <c r="AH130" s="2082"/>
      <c r="AI130" s="2082"/>
      <c r="AJ130" s="2082"/>
      <c r="AK130" s="2082"/>
      <c r="AL130" s="2082"/>
      <c r="AM130" s="2082"/>
      <c r="AN130" s="2082"/>
      <c r="AO130" s="2082"/>
      <c r="AP130" s="2082"/>
      <c r="AQ130" s="2082"/>
      <c r="AR130" s="2082"/>
      <c r="AS130" s="2090"/>
      <c r="AT130" s="2090"/>
      <c r="AU130" s="2090"/>
      <c r="AV130" s="2090"/>
      <c r="AW130" s="2090"/>
      <c r="AX130" s="2090"/>
      <c r="AY130" s="2090"/>
      <c r="AZ130" s="2090"/>
      <c r="BA130" s="2090"/>
      <c r="BB130" s="2090"/>
      <c r="BC130" s="2091"/>
      <c r="BD130" s="2091"/>
      <c r="BE130" s="2091"/>
      <c r="BF130" s="2091"/>
      <c r="BG130" s="2091"/>
      <c r="BH130" s="2091"/>
      <c r="BI130" s="2091"/>
      <c r="BJ130" s="2091"/>
      <c r="BK130" s="2091"/>
      <c r="BL130" s="2091"/>
      <c r="BM130" s="2091"/>
      <c r="BN130" s="2091"/>
      <c r="BO130" s="2091"/>
      <c r="BP130" s="2091"/>
      <c r="BQ130" s="2091"/>
      <c r="BR130" s="2091"/>
      <c r="BS130" s="2091"/>
      <c r="BT130" s="2091"/>
      <c r="BU130" s="2091"/>
      <c r="BV130" s="2091"/>
      <c r="BW130" s="2091"/>
      <c r="BX130" s="2091"/>
      <c r="BY130" s="2091"/>
      <c r="BZ130" s="2091"/>
      <c r="CA130" s="2091"/>
      <c r="CB130" s="2091"/>
      <c r="CC130" s="233"/>
      <c r="CD130" s="233"/>
      <c r="CE130" s="233"/>
      <c r="CF130" s="233"/>
      <c r="CG130" s="233"/>
      <c r="CH130" s="233"/>
    </row>
    <row r="131" spans="1:86" s="234" customFormat="1" hidden="1" x14ac:dyDescent="0.2">
      <c r="A131" s="1810">
        <v>11</v>
      </c>
      <c r="B131" s="1810"/>
      <c r="C131" s="1810"/>
      <c r="D131" s="1810"/>
      <c r="E131" s="2082"/>
      <c r="F131" s="2082"/>
      <c r="G131" s="2082"/>
      <c r="H131" s="2082"/>
      <c r="I131" s="2082"/>
      <c r="J131" s="2082"/>
      <c r="K131" s="2082"/>
      <c r="L131" s="2082"/>
      <c r="M131" s="2082"/>
      <c r="N131" s="2082"/>
      <c r="O131" s="2082"/>
      <c r="P131" s="2082"/>
      <c r="Q131" s="2082"/>
      <c r="R131" s="2082"/>
      <c r="S131" s="2082"/>
      <c r="T131" s="2082"/>
      <c r="U131" s="2082"/>
      <c r="V131" s="2082"/>
      <c r="W131" s="2082"/>
      <c r="X131" s="2082"/>
      <c r="Y131" s="2082"/>
      <c r="Z131" s="2082"/>
      <c r="AA131" s="2082"/>
      <c r="AB131" s="2082"/>
      <c r="AC131" s="2082"/>
      <c r="AD131" s="2082"/>
      <c r="AE131" s="2082"/>
      <c r="AF131" s="2082"/>
      <c r="AG131" s="2082"/>
      <c r="AH131" s="2082"/>
      <c r="AI131" s="2082"/>
      <c r="AJ131" s="2082"/>
      <c r="AK131" s="2082"/>
      <c r="AL131" s="2082"/>
      <c r="AM131" s="2082"/>
      <c r="AN131" s="2082"/>
      <c r="AO131" s="2082"/>
      <c r="AP131" s="2082"/>
      <c r="AQ131" s="2082"/>
      <c r="AR131" s="2082"/>
      <c r="AS131" s="2090"/>
      <c r="AT131" s="2090"/>
      <c r="AU131" s="2090"/>
      <c r="AV131" s="2090"/>
      <c r="AW131" s="2090"/>
      <c r="AX131" s="2090"/>
      <c r="AY131" s="2090"/>
      <c r="AZ131" s="2090"/>
      <c r="BA131" s="2090"/>
      <c r="BB131" s="2090"/>
      <c r="BC131" s="2091"/>
      <c r="BD131" s="2091"/>
      <c r="BE131" s="2091"/>
      <c r="BF131" s="2091"/>
      <c r="BG131" s="2091"/>
      <c r="BH131" s="2091"/>
      <c r="BI131" s="2091"/>
      <c r="BJ131" s="2091"/>
      <c r="BK131" s="2091"/>
      <c r="BL131" s="2091"/>
      <c r="BM131" s="2091"/>
      <c r="BN131" s="2091"/>
      <c r="BO131" s="2091"/>
      <c r="BP131" s="2091"/>
      <c r="BQ131" s="2091"/>
      <c r="BR131" s="2091"/>
      <c r="BS131" s="2091"/>
      <c r="BT131" s="2091"/>
      <c r="BU131" s="2091"/>
      <c r="BV131" s="2091"/>
      <c r="BW131" s="2091"/>
      <c r="BX131" s="2091"/>
      <c r="BY131" s="2091"/>
      <c r="BZ131" s="2091"/>
      <c r="CA131" s="2091"/>
      <c r="CB131" s="2091"/>
      <c r="CC131" s="233"/>
      <c r="CD131" s="233"/>
      <c r="CE131" s="233"/>
      <c r="CF131" s="233"/>
      <c r="CG131" s="233"/>
      <c r="CH131" s="233"/>
    </row>
    <row r="132" spans="1:86" s="234" customFormat="1" hidden="1" x14ac:dyDescent="0.2">
      <c r="A132" s="1810">
        <v>12</v>
      </c>
      <c r="B132" s="1810"/>
      <c r="C132" s="1810"/>
      <c r="D132" s="1810"/>
      <c r="E132" s="2082"/>
      <c r="F132" s="2082"/>
      <c r="G132" s="2082"/>
      <c r="H132" s="2082"/>
      <c r="I132" s="2082"/>
      <c r="J132" s="2082"/>
      <c r="K132" s="2082"/>
      <c r="L132" s="2082"/>
      <c r="M132" s="2082"/>
      <c r="N132" s="2082"/>
      <c r="O132" s="2082"/>
      <c r="P132" s="2082"/>
      <c r="Q132" s="2082"/>
      <c r="R132" s="2082"/>
      <c r="S132" s="2082"/>
      <c r="T132" s="2082"/>
      <c r="U132" s="2082"/>
      <c r="V132" s="2082"/>
      <c r="W132" s="2082"/>
      <c r="X132" s="2082"/>
      <c r="Y132" s="2082"/>
      <c r="Z132" s="2082"/>
      <c r="AA132" s="2082"/>
      <c r="AB132" s="2082"/>
      <c r="AC132" s="2082"/>
      <c r="AD132" s="2082"/>
      <c r="AE132" s="2082"/>
      <c r="AF132" s="2082"/>
      <c r="AG132" s="2082"/>
      <c r="AH132" s="2082"/>
      <c r="AI132" s="2082"/>
      <c r="AJ132" s="2082"/>
      <c r="AK132" s="2082"/>
      <c r="AL132" s="2082"/>
      <c r="AM132" s="2082"/>
      <c r="AN132" s="2082"/>
      <c r="AO132" s="2082"/>
      <c r="AP132" s="2082"/>
      <c r="AQ132" s="2082"/>
      <c r="AR132" s="2082"/>
      <c r="AS132" s="2090"/>
      <c r="AT132" s="2090"/>
      <c r="AU132" s="2090"/>
      <c r="AV132" s="2090"/>
      <c r="AW132" s="2090"/>
      <c r="AX132" s="2090"/>
      <c r="AY132" s="2090"/>
      <c r="AZ132" s="2090"/>
      <c r="BA132" s="2090"/>
      <c r="BB132" s="2090"/>
      <c r="BC132" s="2091"/>
      <c r="BD132" s="2091"/>
      <c r="BE132" s="2091"/>
      <c r="BF132" s="2091"/>
      <c r="BG132" s="2091"/>
      <c r="BH132" s="2091"/>
      <c r="BI132" s="2091"/>
      <c r="BJ132" s="2091"/>
      <c r="BK132" s="2091"/>
      <c r="BL132" s="2091"/>
      <c r="BM132" s="2091"/>
      <c r="BN132" s="2091"/>
      <c r="BO132" s="2091"/>
      <c r="BP132" s="2091"/>
      <c r="BQ132" s="2091"/>
      <c r="BR132" s="2091"/>
      <c r="BS132" s="2091"/>
      <c r="BT132" s="2091"/>
      <c r="BU132" s="2091"/>
      <c r="BV132" s="2091"/>
      <c r="BW132" s="2091"/>
      <c r="BX132" s="2091"/>
      <c r="BY132" s="2091"/>
      <c r="BZ132" s="2091"/>
      <c r="CA132" s="2091"/>
      <c r="CB132" s="2091"/>
      <c r="CC132" s="233"/>
      <c r="CD132" s="233"/>
      <c r="CE132" s="233"/>
      <c r="CF132" s="233"/>
      <c r="CG132" s="233"/>
      <c r="CH132" s="233"/>
    </row>
    <row r="133" spans="1:86" s="29" customFormat="1" x14ac:dyDescent="0.2">
      <c r="A133" s="1831" t="s">
        <v>53</v>
      </c>
      <c r="B133" s="1832"/>
      <c r="C133" s="1832"/>
      <c r="D133" s="1832"/>
      <c r="E133" s="1832"/>
      <c r="F133" s="1832"/>
      <c r="G133" s="1832"/>
      <c r="H133" s="1832"/>
      <c r="I133" s="1832"/>
      <c r="J133" s="1832"/>
      <c r="K133" s="1832"/>
      <c r="L133" s="1832"/>
      <c r="M133" s="1832"/>
      <c r="N133" s="1832"/>
      <c r="O133" s="1832"/>
      <c r="P133" s="1832"/>
      <c r="Q133" s="1832"/>
      <c r="R133" s="1832"/>
      <c r="S133" s="1832"/>
      <c r="T133" s="1832"/>
      <c r="U133" s="1832"/>
      <c r="V133" s="1832"/>
      <c r="W133" s="1832"/>
      <c r="X133" s="1832"/>
      <c r="Y133" s="1832"/>
      <c r="Z133" s="1832"/>
      <c r="AA133" s="1832"/>
      <c r="AB133" s="1832"/>
      <c r="AC133" s="1832"/>
      <c r="AD133" s="1832"/>
      <c r="AE133" s="1832"/>
      <c r="AF133" s="1832"/>
      <c r="AG133" s="1832"/>
      <c r="AH133" s="1832"/>
      <c r="AI133" s="1832"/>
      <c r="AJ133" s="1832"/>
      <c r="AK133" s="1832"/>
      <c r="AL133" s="1832"/>
      <c r="AM133" s="1832"/>
      <c r="AN133" s="1832"/>
      <c r="AO133" s="1832"/>
      <c r="AP133" s="1832"/>
      <c r="AQ133" s="1832"/>
      <c r="AR133" s="1833"/>
      <c r="AS133" s="1913" t="s">
        <v>3</v>
      </c>
      <c r="AT133" s="1913"/>
      <c r="AU133" s="1913"/>
      <c r="AV133" s="1913"/>
      <c r="AW133" s="1913"/>
      <c r="AX133" s="1913"/>
      <c r="AY133" s="1913"/>
      <c r="AZ133" s="1913"/>
      <c r="BA133" s="1913"/>
      <c r="BB133" s="1913"/>
      <c r="BC133" s="1971" t="s">
        <v>3</v>
      </c>
      <c r="BD133" s="1971"/>
      <c r="BE133" s="1971"/>
      <c r="BF133" s="1971"/>
      <c r="BG133" s="1971"/>
      <c r="BH133" s="1971"/>
      <c r="BI133" s="1971"/>
      <c r="BJ133" s="1971"/>
      <c r="BK133" s="1971"/>
      <c r="BL133" s="1971"/>
      <c r="BM133" s="1971"/>
      <c r="BN133" s="2203">
        <f>CC133+CD133+CH133+CG133</f>
        <v>9064.9599999999991</v>
      </c>
      <c r="BO133" s="2203"/>
      <c r="BP133" s="2203"/>
      <c r="BQ133" s="2203"/>
      <c r="BR133" s="2203"/>
      <c r="BS133" s="2203"/>
      <c r="BT133" s="2203"/>
      <c r="BU133" s="2203"/>
      <c r="BV133" s="2203"/>
      <c r="BW133" s="2203"/>
      <c r="BX133" s="2203"/>
      <c r="BY133" s="2203"/>
      <c r="BZ133" s="2203"/>
      <c r="CA133" s="2203"/>
      <c r="CB133" s="2203"/>
      <c r="CC133" s="239">
        <f>SUM(CC124:CC132)</f>
        <v>0</v>
      </c>
      <c r="CD133" s="239">
        <f>SUM(CD124:CD132)</f>
        <v>7590.49</v>
      </c>
      <c r="CE133" s="239"/>
      <c r="CF133" s="239"/>
      <c r="CG133" s="239">
        <f>SUM(CG125:CG132)</f>
        <v>0</v>
      </c>
      <c r="CH133" s="239">
        <f>SUM(CH124:CH132)</f>
        <v>1474.47</v>
      </c>
    </row>
    <row r="134" spans="1:86" hidden="1" x14ac:dyDescent="0.2">
      <c r="A134" s="1973"/>
      <c r="B134" s="1973"/>
      <c r="C134" s="1973"/>
      <c r="D134" s="1973"/>
      <c r="E134" s="1973"/>
      <c r="F134" s="1973"/>
      <c r="G134" s="1973"/>
      <c r="H134" s="1973"/>
      <c r="I134" s="1973"/>
      <c r="J134" s="1973"/>
      <c r="K134" s="1973"/>
      <c r="L134" s="1973"/>
      <c r="M134" s="1973"/>
      <c r="N134" s="1973"/>
      <c r="O134" s="1973"/>
      <c r="P134" s="1973"/>
      <c r="Q134" s="1973"/>
      <c r="R134" s="1973"/>
      <c r="S134" s="1973"/>
      <c r="T134" s="1973"/>
      <c r="U134" s="1973"/>
      <c r="V134" s="1973"/>
      <c r="W134" s="1973"/>
      <c r="X134" s="1973"/>
      <c r="Y134" s="1973"/>
      <c r="Z134" s="1973"/>
      <c r="AA134" s="1973"/>
      <c r="AB134" s="1973"/>
      <c r="AC134" s="1973"/>
      <c r="AD134" s="1973"/>
      <c r="AE134" s="1973"/>
      <c r="AF134" s="1973"/>
      <c r="AG134" s="1973"/>
      <c r="AH134" s="1973"/>
      <c r="AI134" s="1973"/>
      <c r="AJ134" s="1973"/>
      <c r="AK134" s="1973"/>
      <c r="AL134" s="1973"/>
      <c r="AM134" s="1973"/>
      <c r="AN134" s="1973"/>
      <c r="AO134" s="1973"/>
      <c r="AP134" s="1973"/>
      <c r="AQ134" s="1973"/>
      <c r="AR134" s="1973"/>
      <c r="AS134" s="1806"/>
      <c r="AT134" s="1806"/>
      <c r="AU134" s="1806"/>
      <c r="AV134" s="1806"/>
      <c r="AW134" s="1806"/>
      <c r="AX134" s="1806"/>
      <c r="AY134" s="1806"/>
      <c r="AZ134" s="1806"/>
      <c r="BA134" s="1806"/>
      <c r="BB134" s="1806"/>
      <c r="BC134" s="1977"/>
      <c r="BD134" s="1977"/>
      <c r="BE134" s="1977"/>
      <c r="BF134" s="1977"/>
      <c r="BG134" s="1977"/>
      <c r="BH134" s="1977"/>
      <c r="BI134" s="1977"/>
      <c r="BJ134" s="1977"/>
      <c r="BK134" s="1977"/>
      <c r="BL134" s="1977"/>
      <c r="BM134" s="1977"/>
      <c r="BN134" s="1977"/>
      <c r="BO134" s="1977"/>
      <c r="BP134" s="1977"/>
      <c r="BQ134" s="1977"/>
      <c r="BR134" s="1977"/>
      <c r="BS134" s="1977"/>
      <c r="BT134" s="1977"/>
      <c r="BU134" s="1977"/>
      <c r="BV134" s="1977"/>
      <c r="BW134" s="1977"/>
      <c r="BX134" s="1977"/>
      <c r="BY134" s="1977"/>
      <c r="BZ134" s="1977"/>
      <c r="CA134" s="1977"/>
      <c r="CB134" s="1977"/>
      <c r="CC134" s="223"/>
      <c r="CD134" s="223"/>
      <c r="CE134" s="223"/>
      <c r="CF134" s="223"/>
      <c r="CG134" s="223"/>
      <c r="CH134" s="223"/>
    </row>
    <row r="135" spans="1:86" hidden="1" x14ac:dyDescent="0.2">
      <c r="A135" s="1973"/>
      <c r="B135" s="1973"/>
      <c r="C135" s="1973"/>
      <c r="D135" s="1973"/>
      <c r="E135" s="1973"/>
      <c r="F135" s="1973"/>
      <c r="G135" s="1973"/>
      <c r="H135" s="1973"/>
      <c r="I135" s="1973"/>
      <c r="J135" s="1973"/>
      <c r="K135" s="1973"/>
      <c r="L135" s="1973"/>
      <c r="M135" s="1973"/>
      <c r="N135" s="1973"/>
      <c r="O135" s="1973"/>
      <c r="P135" s="1973"/>
      <c r="Q135" s="1973"/>
      <c r="R135" s="1973"/>
      <c r="S135" s="1973"/>
      <c r="T135" s="1973"/>
      <c r="U135" s="1973"/>
      <c r="V135" s="1973"/>
      <c r="W135" s="1973"/>
      <c r="X135" s="1973"/>
      <c r="Y135" s="1973"/>
      <c r="Z135" s="1973"/>
      <c r="AA135" s="1973"/>
      <c r="AB135" s="1973"/>
      <c r="AC135" s="1973"/>
      <c r="AD135" s="1973"/>
      <c r="AE135" s="1973"/>
      <c r="AF135" s="1973"/>
      <c r="AG135" s="1973"/>
      <c r="AH135" s="1973"/>
      <c r="AI135" s="1973"/>
      <c r="AJ135" s="1973"/>
      <c r="AK135" s="1973"/>
      <c r="AL135" s="1973"/>
      <c r="AM135" s="1973"/>
      <c r="AN135" s="1973"/>
      <c r="AO135" s="1973"/>
      <c r="AP135" s="1973"/>
      <c r="AQ135" s="1973"/>
      <c r="AR135" s="1973"/>
      <c r="AS135" s="1806"/>
      <c r="AT135" s="1806"/>
      <c r="AU135" s="1806"/>
      <c r="AV135" s="1806"/>
      <c r="AW135" s="1806"/>
      <c r="AX135" s="1806"/>
      <c r="AY135" s="1806"/>
      <c r="AZ135" s="1806"/>
      <c r="BA135" s="1806"/>
      <c r="BB135" s="1806"/>
      <c r="BC135" s="1977"/>
      <c r="BD135" s="1977"/>
      <c r="BE135" s="1977"/>
      <c r="BF135" s="1977"/>
      <c r="BG135" s="1977"/>
      <c r="BH135" s="1977"/>
      <c r="BI135" s="1977"/>
      <c r="BJ135" s="1977"/>
      <c r="BK135" s="1977"/>
      <c r="BL135" s="1977"/>
      <c r="BM135" s="1977"/>
      <c r="BN135" s="1977"/>
      <c r="BO135" s="1977"/>
      <c r="BP135" s="1977"/>
      <c r="BQ135" s="1977"/>
      <c r="BR135" s="1977"/>
      <c r="BS135" s="1977"/>
      <c r="BT135" s="1977"/>
      <c r="BU135" s="1977"/>
      <c r="BV135" s="1977"/>
      <c r="BW135" s="1977"/>
      <c r="BX135" s="1977"/>
      <c r="BY135" s="1977"/>
      <c r="BZ135" s="1977"/>
      <c r="CA135" s="1977"/>
      <c r="CB135" s="1977"/>
      <c r="CC135" s="223"/>
      <c r="CD135" s="223"/>
      <c r="CE135" s="223"/>
      <c r="CF135" s="223"/>
      <c r="CG135" s="223"/>
      <c r="CH135" s="223"/>
    </row>
    <row r="136" spans="1:86" s="29" customFormat="1" hidden="1" x14ac:dyDescent="0.2">
      <c r="A136" s="1831" t="s">
        <v>616</v>
      </c>
      <c r="B136" s="1832"/>
      <c r="C136" s="1832"/>
      <c r="D136" s="1832"/>
      <c r="E136" s="1832"/>
      <c r="F136" s="1832"/>
      <c r="G136" s="1832"/>
      <c r="H136" s="1832"/>
      <c r="I136" s="1832"/>
      <c r="J136" s="1832"/>
      <c r="K136" s="1832"/>
      <c r="L136" s="1832"/>
      <c r="M136" s="1832"/>
      <c r="N136" s="1832"/>
      <c r="O136" s="1832"/>
      <c r="P136" s="1832"/>
      <c r="Q136" s="1832"/>
      <c r="R136" s="1832"/>
      <c r="S136" s="1832"/>
      <c r="T136" s="1832"/>
      <c r="U136" s="1832"/>
      <c r="V136" s="1832"/>
      <c r="W136" s="1832"/>
      <c r="X136" s="1832"/>
      <c r="Y136" s="1832"/>
      <c r="Z136" s="1832"/>
      <c r="AA136" s="1832"/>
      <c r="AB136" s="1832"/>
      <c r="AC136" s="1832"/>
      <c r="AD136" s="1832"/>
      <c r="AE136" s="1832"/>
      <c r="AF136" s="1832"/>
      <c r="AG136" s="1832"/>
      <c r="AH136" s="1832"/>
      <c r="AI136" s="1832"/>
      <c r="AJ136" s="1832"/>
      <c r="AK136" s="1832"/>
      <c r="AL136" s="1832"/>
      <c r="AM136" s="1832"/>
      <c r="AN136" s="1832"/>
      <c r="AO136" s="1832"/>
      <c r="AP136" s="1832"/>
      <c r="AQ136" s="1832"/>
      <c r="AR136" s="1833"/>
      <c r="AS136" s="1913" t="s">
        <v>3</v>
      </c>
      <c r="AT136" s="1913"/>
      <c r="AU136" s="1913"/>
      <c r="AV136" s="1913"/>
      <c r="AW136" s="1913"/>
      <c r="AX136" s="1913"/>
      <c r="AY136" s="1913"/>
      <c r="AZ136" s="1913"/>
      <c r="BA136" s="1913"/>
      <c r="BB136" s="1913"/>
      <c r="BC136" s="1971" t="s">
        <v>3</v>
      </c>
      <c r="BD136" s="1971"/>
      <c r="BE136" s="1971"/>
      <c r="BF136" s="1971"/>
      <c r="BG136" s="1971"/>
      <c r="BH136" s="1971"/>
      <c r="BI136" s="1971"/>
      <c r="BJ136" s="1971"/>
      <c r="BK136" s="1971"/>
      <c r="BL136" s="1971"/>
      <c r="BM136" s="1971"/>
      <c r="BN136" s="1971"/>
      <c r="BO136" s="1971"/>
      <c r="BP136" s="1971"/>
      <c r="BQ136" s="1971"/>
      <c r="BR136" s="1971"/>
      <c r="BS136" s="1971"/>
      <c r="BT136" s="1971"/>
      <c r="BU136" s="1971"/>
      <c r="BV136" s="1971"/>
      <c r="BW136" s="1971"/>
      <c r="BX136" s="1971"/>
      <c r="BY136" s="1971"/>
      <c r="BZ136" s="1971"/>
      <c r="CA136" s="1971"/>
      <c r="CB136" s="1971"/>
      <c r="CC136" s="239"/>
      <c r="CD136" s="239"/>
      <c r="CE136" s="239"/>
      <c r="CF136" s="239"/>
      <c r="CG136" s="239"/>
      <c r="CH136" s="239"/>
    </row>
    <row r="137" spans="1:86" hidden="1" x14ac:dyDescent="0.2"/>
    <row r="138" spans="1:86" s="234" customFormat="1" ht="27" hidden="1" customHeight="1" x14ac:dyDescent="0.2">
      <c r="A138" s="1810">
        <v>1</v>
      </c>
      <c r="B138" s="1810"/>
      <c r="C138" s="1810"/>
      <c r="D138" s="1810"/>
      <c r="E138" s="2082" t="s">
        <v>699</v>
      </c>
      <c r="F138" s="2082"/>
      <c r="G138" s="2082"/>
      <c r="H138" s="2082"/>
      <c r="I138" s="2082"/>
      <c r="J138" s="2082"/>
      <c r="K138" s="2082"/>
      <c r="L138" s="2082"/>
      <c r="M138" s="2082"/>
      <c r="N138" s="2082"/>
      <c r="O138" s="2082"/>
      <c r="P138" s="2082"/>
      <c r="Q138" s="2082"/>
      <c r="R138" s="2082"/>
      <c r="S138" s="2082"/>
      <c r="T138" s="2082"/>
      <c r="U138" s="2082"/>
      <c r="V138" s="2082"/>
      <c r="W138" s="2082"/>
      <c r="X138" s="2082"/>
      <c r="Y138" s="2082"/>
      <c r="Z138" s="2082"/>
      <c r="AA138" s="2082"/>
      <c r="AB138" s="2082"/>
      <c r="AC138" s="2082"/>
      <c r="AD138" s="2082"/>
      <c r="AE138" s="2082"/>
      <c r="AF138" s="2082"/>
      <c r="AG138" s="2082"/>
      <c r="AH138" s="2082"/>
      <c r="AI138" s="2082"/>
      <c r="AJ138" s="2082"/>
      <c r="AK138" s="2082"/>
      <c r="AL138" s="2082"/>
      <c r="AM138" s="2082"/>
      <c r="AN138" s="2082"/>
      <c r="AO138" s="2082"/>
      <c r="AP138" s="2082"/>
      <c r="AQ138" s="2082"/>
      <c r="AR138" s="2082"/>
      <c r="AS138" s="2090"/>
      <c r="AT138" s="2090"/>
      <c r="AU138" s="2090"/>
      <c r="AV138" s="2090"/>
      <c r="AW138" s="2090"/>
      <c r="AX138" s="2090"/>
      <c r="AY138" s="2090"/>
      <c r="AZ138" s="2090"/>
      <c r="BA138" s="2090"/>
      <c r="BB138" s="2090"/>
      <c r="BC138" s="2091"/>
      <c r="BD138" s="2091"/>
      <c r="BE138" s="2091"/>
      <c r="BF138" s="2091"/>
      <c r="BG138" s="2091"/>
      <c r="BH138" s="2091"/>
      <c r="BI138" s="2091"/>
      <c r="BJ138" s="2091"/>
      <c r="BK138" s="2091"/>
      <c r="BL138" s="2091"/>
      <c r="BM138" s="2091"/>
      <c r="BN138" s="2091">
        <f>CD138+CH138</f>
        <v>0</v>
      </c>
      <c r="BO138" s="2091"/>
      <c r="BP138" s="2091"/>
      <c r="BQ138" s="2091"/>
      <c r="BR138" s="2091"/>
      <c r="BS138" s="2091"/>
      <c r="BT138" s="2091"/>
      <c r="BU138" s="2091"/>
      <c r="BV138" s="2091"/>
      <c r="BW138" s="2091"/>
      <c r="BX138" s="2091"/>
      <c r="BY138" s="2091"/>
      <c r="BZ138" s="2091"/>
      <c r="CA138" s="2091"/>
      <c r="CB138" s="2091"/>
      <c r="CC138" s="233"/>
      <c r="CD138" s="233"/>
      <c r="CE138" s="233"/>
      <c r="CF138" s="233"/>
      <c r="CG138" s="233"/>
      <c r="CH138" s="233"/>
    </row>
    <row r="139" spans="1:86" s="234" customFormat="1" hidden="1" x14ac:dyDescent="0.2">
      <c r="A139" s="1810">
        <v>6</v>
      </c>
      <c r="B139" s="1810"/>
      <c r="C139" s="1810"/>
      <c r="D139" s="1810"/>
      <c r="E139" s="2082"/>
      <c r="F139" s="2082"/>
      <c r="G139" s="2082"/>
      <c r="H139" s="2082"/>
      <c r="I139" s="2082"/>
      <c r="J139" s="2082"/>
      <c r="K139" s="2082"/>
      <c r="L139" s="2082"/>
      <c r="M139" s="2082"/>
      <c r="N139" s="2082"/>
      <c r="O139" s="2082"/>
      <c r="P139" s="2082"/>
      <c r="Q139" s="2082"/>
      <c r="R139" s="2082"/>
      <c r="S139" s="2082"/>
      <c r="T139" s="2082"/>
      <c r="U139" s="2082"/>
      <c r="V139" s="2082"/>
      <c r="W139" s="2082"/>
      <c r="X139" s="2082"/>
      <c r="Y139" s="2082"/>
      <c r="Z139" s="2082"/>
      <c r="AA139" s="2082"/>
      <c r="AB139" s="2082"/>
      <c r="AC139" s="2082"/>
      <c r="AD139" s="2082"/>
      <c r="AE139" s="2082"/>
      <c r="AF139" s="2082"/>
      <c r="AG139" s="2082"/>
      <c r="AH139" s="2082"/>
      <c r="AI139" s="2082"/>
      <c r="AJ139" s="2082"/>
      <c r="AK139" s="2082"/>
      <c r="AL139" s="2082"/>
      <c r="AM139" s="2082"/>
      <c r="AN139" s="2082"/>
      <c r="AO139" s="2082"/>
      <c r="AP139" s="2082"/>
      <c r="AQ139" s="2082"/>
      <c r="AR139" s="2082"/>
      <c r="AS139" s="2090"/>
      <c r="AT139" s="2090"/>
      <c r="AU139" s="2090"/>
      <c r="AV139" s="2090"/>
      <c r="AW139" s="2090"/>
      <c r="AX139" s="2090"/>
      <c r="AY139" s="2090"/>
      <c r="AZ139" s="2090"/>
      <c r="BA139" s="2090"/>
      <c r="BB139" s="2090"/>
      <c r="BC139" s="2091"/>
      <c r="BD139" s="2091"/>
      <c r="BE139" s="2091"/>
      <c r="BF139" s="2091"/>
      <c r="BG139" s="2091"/>
      <c r="BH139" s="2091"/>
      <c r="BI139" s="2091"/>
      <c r="BJ139" s="2091"/>
      <c r="BK139" s="2091"/>
      <c r="BL139" s="2091"/>
      <c r="BM139" s="2091"/>
      <c r="BN139" s="2091"/>
      <c r="BO139" s="2091"/>
      <c r="BP139" s="2091"/>
      <c r="BQ139" s="2091"/>
      <c r="BR139" s="2091"/>
      <c r="BS139" s="2091"/>
      <c r="BT139" s="2091"/>
      <c r="BU139" s="2091"/>
      <c r="BV139" s="2091"/>
      <c r="BW139" s="2091"/>
      <c r="BX139" s="2091"/>
      <c r="BY139" s="2091"/>
      <c r="BZ139" s="2091"/>
      <c r="CA139" s="2091"/>
      <c r="CB139" s="2091"/>
      <c r="CC139" s="233"/>
      <c r="CD139" s="233"/>
      <c r="CE139" s="233"/>
      <c r="CF139" s="233"/>
      <c r="CG139" s="233"/>
      <c r="CH139" s="233"/>
    </row>
    <row r="140" spans="1:86" s="234" customFormat="1" hidden="1" x14ac:dyDescent="0.2">
      <c r="A140" s="1810">
        <v>7</v>
      </c>
      <c r="B140" s="1810"/>
      <c r="C140" s="1810"/>
      <c r="D140" s="1810"/>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c r="AB140" s="2082"/>
      <c r="AC140" s="2082"/>
      <c r="AD140" s="2082"/>
      <c r="AE140" s="2082"/>
      <c r="AF140" s="2082"/>
      <c r="AG140" s="2082"/>
      <c r="AH140" s="2082"/>
      <c r="AI140" s="2082"/>
      <c r="AJ140" s="2082"/>
      <c r="AK140" s="2082"/>
      <c r="AL140" s="2082"/>
      <c r="AM140" s="2082"/>
      <c r="AN140" s="2082"/>
      <c r="AO140" s="2082"/>
      <c r="AP140" s="2082"/>
      <c r="AQ140" s="2082"/>
      <c r="AR140" s="2082"/>
      <c r="AS140" s="2090"/>
      <c r="AT140" s="2090"/>
      <c r="AU140" s="2090"/>
      <c r="AV140" s="2090"/>
      <c r="AW140" s="2090"/>
      <c r="AX140" s="2090"/>
      <c r="AY140" s="2090"/>
      <c r="AZ140" s="2090"/>
      <c r="BA140" s="2090"/>
      <c r="BB140" s="2090"/>
      <c r="BC140" s="2091"/>
      <c r="BD140" s="2091"/>
      <c r="BE140" s="2091"/>
      <c r="BF140" s="2091"/>
      <c r="BG140" s="2091"/>
      <c r="BH140" s="2091"/>
      <c r="BI140" s="2091"/>
      <c r="BJ140" s="2091"/>
      <c r="BK140" s="2091"/>
      <c r="BL140" s="2091"/>
      <c r="BM140" s="2091"/>
      <c r="BN140" s="2091"/>
      <c r="BO140" s="2091"/>
      <c r="BP140" s="2091"/>
      <c r="BQ140" s="2091"/>
      <c r="BR140" s="2091"/>
      <c r="BS140" s="2091"/>
      <c r="BT140" s="2091"/>
      <c r="BU140" s="2091"/>
      <c r="BV140" s="2091"/>
      <c r="BW140" s="2091"/>
      <c r="BX140" s="2091"/>
      <c r="BY140" s="2091"/>
      <c r="BZ140" s="2091"/>
      <c r="CA140" s="2091"/>
      <c r="CB140" s="2091"/>
      <c r="CC140" s="233"/>
      <c r="CD140" s="233"/>
      <c r="CE140" s="233"/>
      <c r="CF140" s="233"/>
      <c r="CG140" s="233"/>
      <c r="CH140" s="233"/>
    </row>
    <row r="141" spans="1:86" s="234" customFormat="1" hidden="1" x14ac:dyDescent="0.2">
      <c r="A141" s="1810">
        <v>8</v>
      </c>
      <c r="B141" s="1810"/>
      <c r="C141" s="1810"/>
      <c r="D141" s="1810"/>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c r="AB141" s="2082"/>
      <c r="AC141" s="2082"/>
      <c r="AD141" s="2082"/>
      <c r="AE141" s="2082"/>
      <c r="AF141" s="2082"/>
      <c r="AG141" s="2082"/>
      <c r="AH141" s="2082"/>
      <c r="AI141" s="2082"/>
      <c r="AJ141" s="2082"/>
      <c r="AK141" s="2082"/>
      <c r="AL141" s="2082"/>
      <c r="AM141" s="2082"/>
      <c r="AN141" s="2082"/>
      <c r="AO141" s="2082"/>
      <c r="AP141" s="2082"/>
      <c r="AQ141" s="2082"/>
      <c r="AR141" s="2082"/>
      <c r="AS141" s="2090"/>
      <c r="AT141" s="2090"/>
      <c r="AU141" s="2090"/>
      <c r="AV141" s="2090"/>
      <c r="AW141" s="2090"/>
      <c r="AX141" s="2090"/>
      <c r="AY141" s="2090"/>
      <c r="AZ141" s="2090"/>
      <c r="BA141" s="2090"/>
      <c r="BB141" s="2090"/>
      <c r="BC141" s="2091"/>
      <c r="BD141" s="2091"/>
      <c r="BE141" s="2091"/>
      <c r="BF141" s="2091"/>
      <c r="BG141" s="2091"/>
      <c r="BH141" s="2091"/>
      <c r="BI141" s="2091"/>
      <c r="BJ141" s="2091"/>
      <c r="BK141" s="2091"/>
      <c r="BL141" s="2091"/>
      <c r="BM141" s="2091"/>
      <c r="BN141" s="2091"/>
      <c r="BO141" s="2091"/>
      <c r="BP141" s="2091"/>
      <c r="BQ141" s="2091"/>
      <c r="BR141" s="2091"/>
      <c r="BS141" s="2091"/>
      <c r="BT141" s="2091"/>
      <c r="BU141" s="2091"/>
      <c r="BV141" s="2091"/>
      <c r="BW141" s="2091"/>
      <c r="BX141" s="2091"/>
      <c r="BY141" s="2091"/>
      <c r="BZ141" s="2091"/>
      <c r="CA141" s="2091"/>
      <c r="CB141" s="2091"/>
      <c r="CC141" s="233"/>
      <c r="CD141" s="233"/>
      <c r="CE141" s="233"/>
      <c r="CF141" s="233"/>
      <c r="CG141" s="233"/>
      <c r="CH141" s="233"/>
    </row>
    <row r="142" spans="1:86" s="234" customFormat="1" hidden="1" x14ac:dyDescent="0.2">
      <c r="A142" s="1810">
        <v>9</v>
      </c>
      <c r="B142" s="1810"/>
      <c r="C142" s="1810"/>
      <c r="D142" s="1810"/>
      <c r="E142" s="2082"/>
      <c r="F142" s="2082"/>
      <c r="G142" s="2082"/>
      <c r="H142" s="2082"/>
      <c r="I142" s="2082"/>
      <c r="J142" s="2082"/>
      <c r="K142" s="2082"/>
      <c r="L142" s="2082"/>
      <c r="M142" s="2082"/>
      <c r="N142" s="2082"/>
      <c r="O142" s="2082"/>
      <c r="P142" s="2082"/>
      <c r="Q142" s="2082"/>
      <c r="R142" s="2082"/>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2"/>
      <c r="AM142" s="2082"/>
      <c r="AN142" s="2082"/>
      <c r="AO142" s="2082"/>
      <c r="AP142" s="2082"/>
      <c r="AQ142" s="2082"/>
      <c r="AR142" s="2082"/>
      <c r="AS142" s="2090"/>
      <c r="AT142" s="2090"/>
      <c r="AU142" s="2090"/>
      <c r="AV142" s="2090"/>
      <c r="AW142" s="2090"/>
      <c r="AX142" s="2090"/>
      <c r="AY142" s="2090"/>
      <c r="AZ142" s="2090"/>
      <c r="BA142" s="2090"/>
      <c r="BB142" s="2090"/>
      <c r="BC142" s="2091"/>
      <c r="BD142" s="2091"/>
      <c r="BE142" s="2091"/>
      <c r="BF142" s="2091"/>
      <c r="BG142" s="2091"/>
      <c r="BH142" s="2091"/>
      <c r="BI142" s="2091"/>
      <c r="BJ142" s="2091"/>
      <c r="BK142" s="2091"/>
      <c r="BL142" s="2091"/>
      <c r="BM142" s="2091"/>
      <c r="BN142" s="2091"/>
      <c r="BO142" s="2091"/>
      <c r="BP142" s="2091"/>
      <c r="BQ142" s="2091"/>
      <c r="BR142" s="2091"/>
      <c r="BS142" s="2091"/>
      <c r="BT142" s="2091"/>
      <c r="BU142" s="2091"/>
      <c r="BV142" s="2091"/>
      <c r="BW142" s="2091"/>
      <c r="BX142" s="2091"/>
      <c r="BY142" s="2091"/>
      <c r="BZ142" s="2091"/>
      <c r="CA142" s="2091"/>
      <c r="CB142" s="2091"/>
      <c r="CC142" s="233"/>
      <c r="CD142" s="233"/>
      <c r="CE142" s="233"/>
      <c r="CF142" s="233"/>
      <c r="CG142" s="233"/>
      <c r="CH142" s="233"/>
    </row>
    <row r="143" spans="1:86" s="234" customFormat="1" hidden="1" x14ac:dyDescent="0.2">
      <c r="A143" s="1810">
        <v>10</v>
      </c>
      <c r="B143" s="1810"/>
      <c r="C143" s="1810"/>
      <c r="D143" s="1810"/>
      <c r="E143" s="2082"/>
      <c r="F143" s="2082"/>
      <c r="G143" s="2082"/>
      <c r="H143" s="2082"/>
      <c r="I143" s="2082"/>
      <c r="J143" s="2082"/>
      <c r="K143" s="2082"/>
      <c r="L143" s="2082"/>
      <c r="M143" s="2082"/>
      <c r="N143" s="2082"/>
      <c r="O143" s="2082"/>
      <c r="P143" s="2082"/>
      <c r="Q143" s="2082"/>
      <c r="R143" s="2082"/>
      <c r="S143" s="2082"/>
      <c r="T143" s="2082"/>
      <c r="U143" s="2082"/>
      <c r="V143" s="2082"/>
      <c r="W143" s="2082"/>
      <c r="X143" s="2082"/>
      <c r="Y143" s="2082"/>
      <c r="Z143" s="2082"/>
      <c r="AA143" s="2082"/>
      <c r="AB143" s="2082"/>
      <c r="AC143" s="2082"/>
      <c r="AD143" s="2082"/>
      <c r="AE143" s="2082"/>
      <c r="AF143" s="2082"/>
      <c r="AG143" s="2082"/>
      <c r="AH143" s="2082"/>
      <c r="AI143" s="2082"/>
      <c r="AJ143" s="2082"/>
      <c r="AK143" s="2082"/>
      <c r="AL143" s="2082"/>
      <c r="AM143" s="2082"/>
      <c r="AN143" s="2082"/>
      <c r="AO143" s="2082"/>
      <c r="AP143" s="2082"/>
      <c r="AQ143" s="2082"/>
      <c r="AR143" s="2082"/>
      <c r="AS143" s="2090"/>
      <c r="AT143" s="2090"/>
      <c r="AU143" s="2090"/>
      <c r="AV143" s="2090"/>
      <c r="AW143" s="2090"/>
      <c r="AX143" s="2090"/>
      <c r="AY143" s="2090"/>
      <c r="AZ143" s="2090"/>
      <c r="BA143" s="2090"/>
      <c r="BB143" s="2090"/>
      <c r="BC143" s="2091"/>
      <c r="BD143" s="2091"/>
      <c r="BE143" s="2091"/>
      <c r="BF143" s="2091"/>
      <c r="BG143" s="2091"/>
      <c r="BH143" s="2091"/>
      <c r="BI143" s="2091"/>
      <c r="BJ143" s="2091"/>
      <c r="BK143" s="2091"/>
      <c r="BL143" s="2091"/>
      <c r="BM143" s="2091"/>
      <c r="BN143" s="2091"/>
      <c r="BO143" s="2091"/>
      <c r="BP143" s="2091"/>
      <c r="BQ143" s="2091"/>
      <c r="BR143" s="2091"/>
      <c r="BS143" s="2091"/>
      <c r="BT143" s="2091"/>
      <c r="BU143" s="2091"/>
      <c r="BV143" s="2091"/>
      <c r="BW143" s="2091"/>
      <c r="BX143" s="2091"/>
      <c r="BY143" s="2091"/>
      <c r="BZ143" s="2091"/>
      <c r="CA143" s="2091"/>
      <c r="CB143" s="2091"/>
      <c r="CC143" s="233"/>
      <c r="CD143" s="233"/>
      <c r="CE143" s="233"/>
      <c r="CF143" s="233"/>
      <c r="CG143" s="233"/>
      <c r="CH143" s="233"/>
    </row>
    <row r="144" spans="1:86" s="234" customFormat="1" hidden="1" x14ac:dyDescent="0.2">
      <c r="A144" s="1810">
        <v>11</v>
      </c>
      <c r="B144" s="1810"/>
      <c r="C144" s="1810"/>
      <c r="D144" s="1810"/>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2082"/>
      <c r="AE144" s="2082"/>
      <c r="AF144" s="2082"/>
      <c r="AG144" s="2082"/>
      <c r="AH144" s="2082"/>
      <c r="AI144" s="2082"/>
      <c r="AJ144" s="2082"/>
      <c r="AK144" s="2082"/>
      <c r="AL144" s="2082"/>
      <c r="AM144" s="2082"/>
      <c r="AN144" s="2082"/>
      <c r="AO144" s="2082"/>
      <c r="AP144" s="2082"/>
      <c r="AQ144" s="2082"/>
      <c r="AR144" s="2082"/>
      <c r="AS144" s="2090"/>
      <c r="AT144" s="2090"/>
      <c r="AU144" s="2090"/>
      <c r="AV144" s="2090"/>
      <c r="AW144" s="2090"/>
      <c r="AX144" s="2090"/>
      <c r="AY144" s="2090"/>
      <c r="AZ144" s="2090"/>
      <c r="BA144" s="2090"/>
      <c r="BB144" s="2090"/>
      <c r="BC144" s="2091"/>
      <c r="BD144" s="2091"/>
      <c r="BE144" s="2091"/>
      <c r="BF144" s="2091"/>
      <c r="BG144" s="2091"/>
      <c r="BH144" s="2091"/>
      <c r="BI144" s="2091"/>
      <c r="BJ144" s="2091"/>
      <c r="BK144" s="2091"/>
      <c r="BL144" s="2091"/>
      <c r="BM144" s="2091"/>
      <c r="BN144" s="2091"/>
      <c r="BO144" s="2091"/>
      <c r="BP144" s="2091"/>
      <c r="BQ144" s="2091"/>
      <c r="BR144" s="2091"/>
      <c r="BS144" s="2091"/>
      <c r="BT144" s="2091"/>
      <c r="BU144" s="2091"/>
      <c r="BV144" s="2091"/>
      <c r="BW144" s="2091"/>
      <c r="BX144" s="2091"/>
      <c r="BY144" s="2091"/>
      <c r="BZ144" s="2091"/>
      <c r="CA144" s="2091"/>
      <c r="CB144" s="2091"/>
      <c r="CC144" s="233"/>
      <c r="CD144" s="233"/>
      <c r="CE144" s="233"/>
      <c r="CF144" s="233"/>
      <c r="CG144" s="233"/>
      <c r="CH144" s="233"/>
    </row>
    <row r="145" spans="1:86" s="234" customFormat="1" hidden="1" x14ac:dyDescent="0.2">
      <c r="A145" s="1810">
        <v>12</v>
      </c>
      <c r="B145" s="1810"/>
      <c r="C145" s="1810"/>
      <c r="D145" s="1810"/>
      <c r="E145" s="2082"/>
      <c r="F145" s="2082"/>
      <c r="G145" s="2082"/>
      <c r="H145" s="2082"/>
      <c r="I145" s="2082"/>
      <c r="J145" s="2082"/>
      <c r="K145" s="2082"/>
      <c r="L145" s="2082"/>
      <c r="M145" s="2082"/>
      <c r="N145" s="2082"/>
      <c r="O145" s="2082"/>
      <c r="P145" s="2082"/>
      <c r="Q145" s="2082"/>
      <c r="R145" s="2082"/>
      <c r="S145" s="2082"/>
      <c r="T145" s="2082"/>
      <c r="U145" s="2082"/>
      <c r="V145" s="2082"/>
      <c r="W145" s="2082"/>
      <c r="X145" s="2082"/>
      <c r="Y145" s="2082"/>
      <c r="Z145" s="2082"/>
      <c r="AA145" s="2082"/>
      <c r="AB145" s="2082"/>
      <c r="AC145" s="2082"/>
      <c r="AD145" s="2082"/>
      <c r="AE145" s="2082"/>
      <c r="AF145" s="2082"/>
      <c r="AG145" s="2082"/>
      <c r="AH145" s="2082"/>
      <c r="AI145" s="2082"/>
      <c r="AJ145" s="2082"/>
      <c r="AK145" s="2082"/>
      <c r="AL145" s="2082"/>
      <c r="AM145" s="2082"/>
      <c r="AN145" s="2082"/>
      <c r="AO145" s="2082"/>
      <c r="AP145" s="2082"/>
      <c r="AQ145" s="2082"/>
      <c r="AR145" s="2082"/>
      <c r="AS145" s="2090"/>
      <c r="AT145" s="2090"/>
      <c r="AU145" s="2090"/>
      <c r="AV145" s="2090"/>
      <c r="AW145" s="2090"/>
      <c r="AX145" s="2090"/>
      <c r="AY145" s="2090"/>
      <c r="AZ145" s="2090"/>
      <c r="BA145" s="2090"/>
      <c r="BB145" s="2090"/>
      <c r="BC145" s="2091"/>
      <c r="BD145" s="2091"/>
      <c r="BE145" s="2091"/>
      <c r="BF145" s="2091"/>
      <c r="BG145" s="2091"/>
      <c r="BH145" s="2091"/>
      <c r="BI145" s="2091"/>
      <c r="BJ145" s="2091"/>
      <c r="BK145" s="2091"/>
      <c r="BL145" s="2091"/>
      <c r="BM145" s="2091"/>
      <c r="BN145" s="2091"/>
      <c r="BO145" s="2091"/>
      <c r="BP145" s="2091"/>
      <c r="BQ145" s="2091"/>
      <c r="BR145" s="2091"/>
      <c r="BS145" s="2091"/>
      <c r="BT145" s="2091"/>
      <c r="BU145" s="2091"/>
      <c r="BV145" s="2091"/>
      <c r="BW145" s="2091"/>
      <c r="BX145" s="2091"/>
      <c r="BY145" s="2091"/>
      <c r="BZ145" s="2091"/>
      <c r="CA145" s="2091"/>
      <c r="CB145" s="2091"/>
      <c r="CC145" s="233"/>
      <c r="CD145" s="233"/>
      <c r="CE145" s="233"/>
      <c r="CF145" s="233"/>
      <c r="CG145" s="233"/>
      <c r="CH145" s="233"/>
    </row>
    <row r="146" spans="1:86" s="29" customFormat="1" hidden="1" x14ac:dyDescent="0.2">
      <c r="A146" s="1831" t="s">
        <v>616</v>
      </c>
      <c r="B146" s="1832"/>
      <c r="C146" s="1832"/>
      <c r="D146" s="1832"/>
      <c r="E146" s="1832"/>
      <c r="F146" s="1832"/>
      <c r="G146" s="1832"/>
      <c r="H146" s="1832"/>
      <c r="I146" s="1832"/>
      <c r="J146" s="1832"/>
      <c r="K146" s="1832"/>
      <c r="L146" s="1832"/>
      <c r="M146" s="1832"/>
      <c r="N146" s="1832"/>
      <c r="O146" s="1832"/>
      <c r="P146" s="1832"/>
      <c r="Q146" s="1832"/>
      <c r="R146" s="1832"/>
      <c r="S146" s="1832"/>
      <c r="T146" s="1832"/>
      <c r="U146" s="1832"/>
      <c r="V146" s="1832"/>
      <c r="W146" s="1832"/>
      <c r="X146" s="1832"/>
      <c r="Y146" s="1832"/>
      <c r="Z146" s="1832"/>
      <c r="AA146" s="1832"/>
      <c r="AB146" s="1832"/>
      <c r="AC146" s="1832"/>
      <c r="AD146" s="1832"/>
      <c r="AE146" s="1832"/>
      <c r="AF146" s="1832"/>
      <c r="AG146" s="1832"/>
      <c r="AH146" s="1832"/>
      <c r="AI146" s="1832"/>
      <c r="AJ146" s="1832"/>
      <c r="AK146" s="1832"/>
      <c r="AL146" s="1832"/>
      <c r="AM146" s="1832"/>
      <c r="AN146" s="1832"/>
      <c r="AO146" s="1832"/>
      <c r="AP146" s="1832"/>
      <c r="AQ146" s="1832"/>
      <c r="AR146" s="1833"/>
      <c r="AS146" s="1913" t="s">
        <v>3</v>
      </c>
      <c r="AT146" s="1913"/>
      <c r="AU146" s="1913"/>
      <c r="AV146" s="1913"/>
      <c r="AW146" s="1913"/>
      <c r="AX146" s="1913"/>
      <c r="AY146" s="1913"/>
      <c r="AZ146" s="1913"/>
      <c r="BA146" s="1913"/>
      <c r="BB146" s="1913"/>
      <c r="BC146" s="1971" t="s">
        <v>3</v>
      </c>
      <c r="BD146" s="1971"/>
      <c r="BE146" s="1971"/>
      <c r="BF146" s="1971"/>
      <c r="BG146" s="1971"/>
      <c r="BH146" s="1971"/>
      <c r="BI146" s="1971"/>
      <c r="BJ146" s="1971"/>
      <c r="BK146" s="1971"/>
      <c r="BL146" s="1971"/>
      <c r="BM146" s="1971"/>
      <c r="BN146" s="2203">
        <f>CC146+CD146+CG146+CH146</f>
        <v>0</v>
      </c>
      <c r="BO146" s="2203"/>
      <c r="BP146" s="2203"/>
      <c r="BQ146" s="2203"/>
      <c r="BR146" s="2203"/>
      <c r="BS146" s="2203"/>
      <c r="BT146" s="2203"/>
      <c r="BU146" s="2203"/>
      <c r="BV146" s="2203"/>
      <c r="BW146" s="2203"/>
      <c r="BX146" s="2203"/>
      <c r="BY146" s="2203"/>
      <c r="BZ146" s="2203"/>
      <c r="CA146" s="2203"/>
      <c r="CB146" s="2203"/>
      <c r="CC146" s="239">
        <f>SUM(CC138:CC145)</f>
        <v>0</v>
      </c>
      <c r="CD146" s="239">
        <f>SUM(CD138:CD145)</f>
        <v>0</v>
      </c>
      <c r="CE146" s="239"/>
      <c r="CF146" s="239"/>
      <c r="CG146" s="239">
        <f>CG138</f>
        <v>0</v>
      </c>
      <c r="CH146" s="239">
        <f>SUM(CH138:CH145)</f>
        <v>0</v>
      </c>
    </row>
    <row r="148" spans="1:86" x14ac:dyDescent="0.2">
      <c r="CC148" s="142"/>
      <c r="CD148" s="142"/>
      <c r="CE148" s="142"/>
      <c r="CF148" s="142"/>
      <c r="CG148" s="142"/>
      <c r="CH148" s="142"/>
    </row>
    <row r="149" spans="1:86" ht="26.25" customHeight="1" x14ac:dyDescent="0.2">
      <c r="CD149" s="142"/>
    </row>
  </sheetData>
  <mergeCells count="587">
    <mergeCell ref="CD28:CD29"/>
    <mergeCell ref="CE28:CE29"/>
    <mergeCell ref="CF28:CF29"/>
    <mergeCell ref="CG28:CG29"/>
    <mergeCell ref="A30:D30"/>
    <mergeCell ref="E30:AM30"/>
    <mergeCell ref="AN30:BC30"/>
    <mergeCell ref="BD30:BM30"/>
    <mergeCell ref="BN30:CB30"/>
    <mergeCell ref="A26:D29"/>
    <mergeCell ref="E26:AM29"/>
    <mergeCell ref="AN26:BC29"/>
    <mergeCell ref="BD26:BM29"/>
    <mergeCell ref="BN26:CB29"/>
    <mergeCell ref="CC26:CH26"/>
    <mergeCell ref="CC27:CD27"/>
    <mergeCell ref="CE27:CG27"/>
    <mergeCell ref="CH27:CH29"/>
    <mergeCell ref="CC28:CC29"/>
    <mergeCell ref="A31:D31"/>
    <mergeCell ref="E31:AM31"/>
    <mergeCell ref="AN31:BC31"/>
    <mergeCell ref="BD31:BM31"/>
    <mergeCell ref="BN31:CB31"/>
    <mergeCell ref="A32:D32"/>
    <mergeCell ref="E32:AM32"/>
    <mergeCell ref="AN32:BC32"/>
    <mergeCell ref="BD32:BM32"/>
    <mergeCell ref="BN32:CB32"/>
    <mergeCell ref="A33:D33"/>
    <mergeCell ref="E33:AM33"/>
    <mergeCell ref="AN33:BC33"/>
    <mergeCell ref="BD33:BM33"/>
    <mergeCell ref="BN33:CB33"/>
    <mergeCell ref="A34:D34"/>
    <mergeCell ref="E34:AM34"/>
    <mergeCell ref="AN34:BC34"/>
    <mergeCell ref="BD34:BM34"/>
    <mergeCell ref="BN34:CB34"/>
    <mergeCell ref="A35:D35"/>
    <mergeCell ref="E35:AM35"/>
    <mergeCell ref="AN35:BC35"/>
    <mergeCell ref="BD35:BM35"/>
    <mergeCell ref="BN35:CB35"/>
    <mergeCell ref="A36:D36"/>
    <mergeCell ref="E36:AM36"/>
    <mergeCell ref="AN36:BC36"/>
    <mergeCell ref="BD36:BM36"/>
    <mergeCell ref="BN36:CB36"/>
    <mergeCell ref="A37:D37"/>
    <mergeCell ref="E37:AM37"/>
    <mergeCell ref="AN37:BC37"/>
    <mergeCell ref="BD37:BM37"/>
    <mergeCell ref="BN37:CB37"/>
    <mergeCell ref="A38:D38"/>
    <mergeCell ref="E38:AM38"/>
    <mergeCell ref="AN38:BC38"/>
    <mergeCell ref="BD38:BM38"/>
    <mergeCell ref="BN38:CB38"/>
    <mergeCell ref="A39:D39"/>
    <mergeCell ref="E39:AM39"/>
    <mergeCell ref="AN39:BC39"/>
    <mergeCell ref="BD39:BM39"/>
    <mergeCell ref="BN39:CB39"/>
    <mergeCell ref="A40:D40"/>
    <mergeCell ref="E40:AM40"/>
    <mergeCell ref="AN40:BC40"/>
    <mergeCell ref="BD40:BM40"/>
    <mergeCell ref="BN40:CB40"/>
    <mergeCell ref="A41:D41"/>
    <mergeCell ref="E41:AM41"/>
    <mergeCell ref="AN41:BC41"/>
    <mergeCell ref="BD41:BM41"/>
    <mergeCell ref="BN41:CB41"/>
    <mergeCell ref="A42:D42"/>
    <mergeCell ref="E42:AM42"/>
    <mergeCell ref="AN42:BC42"/>
    <mergeCell ref="BD42:BM42"/>
    <mergeCell ref="BN42:CB42"/>
    <mergeCell ref="A43:D43"/>
    <mergeCell ref="E43:AM43"/>
    <mergeCell ref="AN43:BC43"/>
    <mergeCell ref="BD43:BM43"/>
    <mergeCell ref="BN43:CB43"/>
    <mergeCell ref="A44:D44"/>
    <mergeCell ref="E44:AM44"/>
    <mergeCell ref="AN44:BC44"/>
    <mergeCell ref="BD44:BM44"/>
    <mergeCell ref="BN44:CB44"/>
    <mergeCell ref="A45:D45"/>
    <mergeCell ref="E45:AM45"/>
    <mergeCell ref="AN45:BC45"/>
    <mergeCell ref="BD45:BM45"/>
    <mergeCell ref="BN45:CB45"/>
    <mergeCell ref="A46:D46"/>
    <mergeCell ref="E46:AM46"/>
    <mergeCell ref="AN46:BC46"/>
    <mergeCell ref="BD46:BM46"/>
    <mergeCell ref="BN46:CB46"/>
    <mergeCell ref="A47:D47"/>
    <mergeCell ref="E47:AM47"/>
    <mergeCell ref="AN47:BC47"/>
    <mergeCell ref="BD47:BM47"/>
    <mergeCell ref="BN47:CB47"/>
    <mergeCell ref="A48:AM48"/>
    <mergeCell ref="AN48:BC48"/>
    <mergeCell ref="BD48:BM48"/>
    <mergeCell ref="BN48:CB48"/>
    <mergeCell ref="CD55:CD56"/>
    <mergeCell ref="CE55:CE56"/>
    <mergeCell ref="CF55:CF56"/>
    <mergeCell ref="CG55:CG56"/>
    <mergeCell ref="A57:D57"/>
    <mergeCell ref="E57:AN57"/>
    <mergeCell ref="AO57:BC57"/>
    <mergeCell ref="BD57:BM57"/>
    <mergeCell ref="BN57:CB57"/>
    <mergeCell ref="A53:D56"/>
    <mergeCell ref="E53:AN56"/>
    <mergeCell ref="AO53:BC56"/>
    <mergeCell ref="BD53:BM56"/>
    <mergeCell ref="BN53:CB56"/>
    <mergeCell ref="CC53:CH53"/>
    <mergeCell ref="CC54:CD54"/>
    <mergeCell ref="CE54:CG54"/>
    <mergeCell ref="CH54:CH56"/>
    <mergeCell ref="CC55:CC56"/>
    <mergeCell ref="A58:D58"/>
    <mergeCell ref="E58:AN58"/>
    <mergeCell ref="AO58:BC58"/>
    <mergeCell ref="BD58:BM58"/>
    <mergeCell ref="BN58:CB58"/>
    <mergeCell ref="A59:D59"/>
    <mergeCell ref="E59:AN59"/>
    <mergeCell ref="AO59:BC59"/>
    <mergeCell ref="BD59:BM59"/>
    <mergeCell ref="BN59:CB59"/>
    <mergeCell ref="A60:D60"/>
    <mergeCell ref="E60:AN60"/>
    <mergeCell ref="AO60:BC60"/>
    <mergeCell ref="BD60:BM60"/>
    <mergeCell ref="BN60:CB60"/>
    <mergeCell ref="A61:D61"/>
    <mergeCell ref="E61:AN61"/>
    <mergeCell ref="AO61:BC61"/>
    <mergeCell ref="BD61:BM61"/>
    <mergeCell ref="BN61:CB61"/>
    <mergeCell ref="A64:D64"/>
    <mergeCell ref="E64:AN64"/>
    <mergeCell ref="AO64:BC64"/>
    <mergeCell ref="BD64:BM64"/>
    <mergeCell ref="BN64:CB64"/>
    <mergeCell ref="A65:D65"/>
    <mergeCell ref="E65:AN65"/>
    <mergeCell ref="AO65:BC65"/>
    <mergeCell ref="BD65:BM65"/>
    <mergeCell ref="BN65:CB65"/>
    <mergeCell ref="A66:D66"/>
    <mergeCell ref="E66:AN66"/>
    <mergeCell ref="AO66:BC66"/>
    <mergeCell ref="BD66:BM66"/>
    <mergeCell ref="BN66:CB66"/>
    <mergeCell ref="A67:D67"/>
    <mergeCell ref="E67:AN67"/>
    <mergeCell ref="AO67:BC67"/>
    <mergeCell ref="BD67:BM67"/>
    <mergeCell ref="BN67:CB67"/>
    <mergeCell ref="A68:D68"/>
    <mergeCell ref="E68:AN68"/>
    <mergeCell ref="AO68:BC68"/>
    <mergeCell ref="BD68:BM68"/>
    <mergeCell ref="BN68:CB68"/>
    <mergeCell ref="A69:D69"/>
    <mergeCell ref="E69:AN69"/>
    <mergeCell ref="AO69:BC69"/>
    <mergeCell ref="BD69:BM69"/>
    <mergeCell ref="BN69:CB69"/>
    <mergeCell ref="A70:D70"/>
    <mergeCell ref="E70:AN70"/>
    <mergeCell ref="AO70:BC70"/>
    <mergeCell ref="BD70:BM70"/>
    <mergeCell ref="BN70:CB70"/>
    <mergeCell ref="A71:D71"/>
    <mergeCell ref="E71:AN71"/>
    <mergeCell ref="AO71:BC71"/>
    <mergeCell ref="BD71:BM71"/>
    <mergeCell ref="BN71:CB71"/>
    <mergeCell ref="A72:D72"/>
    <mergeCell ref="E72:AN72"/>
    <mergeCell ref="AO72:BC72"/>
    <mergeCell ref="BD72:BM72"/>
    <mergeCell ref="BN72:CB72"/>
    <mergeCell ref="A73:D73"/>
    <mergeCell ref="E73:AN73"/>
    <mergeCell ref="AO73:BC73"/>
    <mergeCell ref="BD73:BM73"/>
    <mergeCell ref="BN73:CB73"/>
    <mergeCell ref="A74:D74"/>
    <mergeCell ref="E74:AN74"/>
    <mergeCell ref="AO74:BC74"/>
    <mergeCell ref="BD74:BM74"/>
    <mergeCell ref="BN74:CB74"/>
    <mergeCell ref="A75:D75"/>
    <mergeCell ref="E75:AN75"/>
    <mergeCell ref="AO75:BC75"/>
    <mergeCell ref="BD75:BM75"/>
    <mergeCell ref="BN75:CB75"/>
    <mergeCell ref="A76:D76"/>
    <mergeCell ref="E76:AN76"/>
    <mergeCell ref="AO76:BC76"/>
    <mergeCell ref="BD76:BM76"/>
    <mergeCell ref="BN76:CB76"/>
    <mergeCell ref="A77:D77"/>
    <mergeCell ref="E77:AN77"/>
    <mergeCell ref="AO77:BC77"/>
    <mergeCell ref="BD77:BM77"/>
    <mergeCell ref="BN77:CB77"/>
    <mergeCell ref="A78:D78"/>
    <mergeCell ref="E78:AN78"/>
    <mergeCell ref="AO78:BC78"/>
    <mergeCell ref="BD78:BM78"/>
    <mergeCell ref="BN78:CB78"/>
    <mergeCell ref="A79:D79"/>
    <mergeCell ref="E79:AN79"/>
    <mergeCell ref="AO79:BC79"/>
    <mergeCell ref="BD79:BM79"/>
    <mergeCell ref="BN79:CB79"/>
    <mergeCell ref="A80:D80"/>
    <mergeCell ref="E80:AN80"/>
    <mergeCell ref="AO80:BC80"/>
    <mergeCell ref="BD80:BM80"/>
    <mergeCell ref="BN80:CB80"/>
    <mergeCell ref="A81:D81"/>
    <mergeCell ref="E81:AN81"/>
    <mergeCell ref="AO81:BC81"/>
    <mergeCell ref="BD81:BM81"/>
    <mergeCell ref="BN81:CB81"/>
    <mergeCell ref="A82:D82"/>
    <mergeCell ref="E82:AN82"/>
    <mergeCell ref="AO82:BC82"/>
    <mergeCell ref="BD82:BM82"/>
    <mergeCell ref="BN82:CB82"/>
    <mergeCell ref="A83:D83"/>
    <mergeCell ref="E83:AN83"/>
    <mergeCell ref="AO83:BC83"/>
    <mergeCell ref="BD83:BM83"/>
    <mergeCell ref="BN83:CB83"/>
    <mergeCell ref="A84:D84"/>
    <mergeCell ref="E84:AN84"/>
    <mergeCell ref="AO84:BC84"/>
    <mergeCell ref="BD84:BM84"/>
    <mergeCell ref="BN84:CB84"/>
    <mergeCell ref="A85:D85"/>
    <mergeCell ref="E85:AN85"/>
    <mergeCell ref="AO85:BC85"/>
    <mergeCell ref="BD85:BM85"/>
    <mergeCell ref="BN85:CB85"/>
    <mergeCell ref="A86:D86"/>
    <mergeCell ref="E86:AN86"/>
    <mergeCell ref="AO86:BC86"/>
    <mergeCell ref="BD86:BM86"/>
    <mergeCell ref="BN86:CB86"/>
    <mergeCell ref="A87:D87"/>
    <mergeCell ref="E87:AN87"/>
    <mergeCell ref="AO87:BC87"/>
    <mergeCell ref="BD87:BM87"/>
    <mergeCell ref="BN87:CB87"/>
    <mergeCell ref="A88:D88"/>
    <mergeCell ref="E88:AN88"/>
    <mergeCell ref="AO88:BC88"/>
    <mergeCell ref="BD88:BM88"/>
    <mergeCell ref="BN88:CB88"/>
    <mergeCell ref="A89:D89"/>
    <mergeCell ref="E89:AN89"/>
    <mergeCell ref="AO89:BC89"/>
    <mergeCell ref="BD89:BM89"/>
    <mergeCell ref="BN89:CB89"/>
    <mergeCell ref="A90:D90"/>
    <mergeCell ref="E90:AN90"/>
    <mergeCell ref="AO90:BC90"/>
    <mergeCell ref="BD90:BM90"/>
    <mergeCell ref="BN90:CB90"/>
    <mergeCell ref="A91:D91"/>
    <mergeCell ref="E91:AN91"/>
    <mergeCell ref="AO91:BC91"/>
    <mergeCell ref="BD91:BM91"/>
    <mergeCell ref="BN91:CB91"/>
    <mergeCell ref="A92:D92"/>
    <mergeCell ref="E92:AN92"/>
    <mergeCell ref="AO92:BC92"/>
    <mergeCell ref="BD92:BM92"/>
    <mergeCell ref="BN92:CB92"/>
    <mergeCell ref="A93:D93"/>
    <mergeCell ref="E93:AN93"/>
    <mergeCell ref="AO93:BC93"/>
    <mergeCell ref="BD93:BM93"/>
    <mergeCell ref="BN93:CB93"/>
    <mergeCell ref="A94:D94"/>
    <mergeCell ref="E94:AN94"/>
    <mergeCell ref="AO94:BC94"/>
    <mergeCell ref="BD94:BM94"/>
    <mergeCell ref="BN94:CB94"/>
    <mergeCell ref="A95:AN95"/>
    <mergeCell ref="AO95:BC95"/>
    <mergeCell ref="BD95:BM95"/>
    <mergeCell ref="BN95:CB95"/>
    <mergeCell ref="CD104:CD105"/>
    <mergeCell ref="CE104:CE105"/>
    <mergeCell ref="CF104:CF105"/>
    <mergeCell ref="CG104:CG105"/>
    <mergeCell ref="A106:D106"/>
    <mergeCell ref="E106:AN106"/>
    <mergeCell ref="AO106:BC106"/>
    <mergeCell ref="BD106:BM106"/>
    <mergeCell ref="BN106:CB106"/>
    <mergeCell ref="A102:D105"/>
    <mergeCell ref="E102:AN105"/>
    <mergeCell ref="AO102:BC105"/>
    <mergeCell ref="BD102:BM105"/>
    <mergeCell ref="BN102:CB105"/>
    <mergeCell ref="CC102:CH102"/>
    <mergeCell ref="CC103:CD103"/>
    <mergeCell ref="CE103:CG103"/>
    <mergeCell ref="CH103:CH105"/>
    <mergeCell ref="CC104:CC105"/>
    <mergeCell ref="A107:D107"/>
    <mergeCell ref="E107:AN107"/>
    <mergeCell ref="AO107:BC107"/>
    <mergeCell ref="BD107:BM107"/>
    <mergeCell ref="BN107:CB107"/>
    <mergeCell ref="A108:AN108"/>
    <mergeCell ref="AO108:BC108"/>
    <mergeCell ref="BD108:BM108"/>
    <mergeCell ref="BN108:CB108"/>
    <mergeCell ref="A119:D122"/>
    <mergeCell ref="E119:AR122"/>
    <mergeCell ref="AS119:BB122"/>
    <mergeCell ref="BC119:BM122"/>
    <mergeCell ref="BN119:CB122"/>
    <mergeCell ref="CD113:CD114"/>
    <mergeCell ref="CE113:CE114"/>
    <mergeCell ref="CF113:CF114"/>
    <mergeCell ref="CG113:CG114"/>
    <mergeCell ref="A115:D115"/>
    <mergeCell ref="E115:AN115"/>
    <mergeCell ref="AO115:BC115"/>
    <mergeCell ref="BD115:BM115"/>
    <mergeCell ref="BN115:CB115"/>
    <mergeCell ref="A111:D114"/>
    <mergeCell ref="E111:AN114"/>
    <mergeCell ref="AO111:BC114"/>
    <mergeCell ref="BD111:BM114"/>
    <mergeCell ref="BN111:CB114"/>
    <mergeCell ref="CC111:CH111"/>
    <mergeCell ref="CC112:CD112"/>
    <mergeCell ref="CE112:CG112"/>
    <mergeCell ref="CH112:CH114"/>
    <mergeCell ref="CC113:CC114"/>
    <mergeCell ref="CC119:CH119"/>
    <mergeCell ref="CC120:CD120"/>
    <mergeCell ref="CE120:CG120"/>
    <mergeCell ref="CH120:CH122"/>
    <mergeCell ref="CC121:CC122"/>
    <mergeCell ref="CD121:CD122"/>
    <mergeCell ref="CE121:CE122"/>
    <mergeCell ref="CF121:CF122"/>
    <mergeCell ref="CG121:CG122"/>
    <mergeCell ref="A124:D124"/>
    <mergeCell ref="E124:AR124"/>
    <mergeCell ref="AS124:BB124"/>
    <mergeCell ref="BC124:BM124"/>
    <mergeCell ref="BN124:CB124"/>
    <mergeCell ref="A123:D123"/>
    <mergeCell ref="E123:AR123"/>
    <mergeCell ref="AS123:BB123"/>
    <mergeCell ref="BC123:BM123"/>
    <mergeCell ref="BN123:CB123"/>
    <mergeCell ref="A125:D125"/>
    <mergeCell ref="E125:AR125"/>
    <mergeCell ref="AS125:BB125"/>
    <mergeCell ref="BC125:BM125"/>
    <mergeCell ref="BN125:CB125"/>
    <mergeCell ref="A126:D126"/>
    <mergeCell ref="E126:AR126"/>
    <mergeCell ref="AS126:BB126"/>
    <mergeCell ref="BC126:BM126"/>
    <mergeCell ref="BN126:CB126"/>
    <mergeCell ref="A127:D127"/>
    <mergeCell ref="E127:AR127"/>
    <mergeCell ref="AS127:BB127"/>
    <mergeCell ref="BC127:BM127"/>
    <mergeCell ref="BN127:CB127"/>
    <mergeCell ref="A128:D128"/>
    <mergeCell ref="E128:AR128"/>
    <mergeCell ref="AS128:BB128"/>
    <mergeCell ref="BC128:BM128"/>
    <mergeCell ref="BN128:CB128"/>
    <mergeCell ref="A129:D129"/>
    <mergeCell ref="E129:AR129"/>
    <mergeCell ref="AS129:BB129"/>
    <mergeCell ref="BC129:BM129"/>
    <mergeCell ref="BN129:CB129"/>
    <mergeCell ref="A130:D130"/>
    <mergeCell ref="E130:AR130"/>
    <mergeCell ref="AS130:BB130"/>
    <mergeCell ref="BC130:BM130"/>
    <mergeCell ref="BN130:CB130"/>
    <mergeCell ref="A131:D131"/>
    <mergeCell ref="E131:AR131"/>
    <mergeCell ref="AS131:BB131"/>
    <mergeCell ref="BC131:BM131"/>
    <mergeCell ref="BN131:CB131"/>
    <mergeCell ref="A132:D132"/>
    <mergeCell ref="E132:AR132"/>
    <mergeCell ref="AS132:BB132"/>
    <mergeCell ref="BC132:BM132"/>
    <mergeCell ref="BN132:CB132"/>
    <mergeCell ref="A133:AR133"/>
    <mergeCell ref="AS133:BB133"/>
    <mergeCell ref="BC133:BM133"/>
    <mergeCell ref="BN133:CB133"/>
    <mergeCell ref="A134:D134"/>
    <mergeCell ref="E134:AR134"/>
    <mergeCell ref="AS134:BB134"/>
    <mergeCell ref="BC134:BM134"/>
    <mergeCell ref="BN134:CB134"/>
    <mergeCell ref="A135:D135"/>
    <mergeCell ref="E135:AR135"/>
    <mergeCell ref="AS135:BB135"/>
    <mergeCell ref="BC135:BM135"/>
    <mergeCell ref="BN135:CB135"/>
    <mergeCell ref="A136:AR136"/>
    <mergeCell ref="AS136:BB136"/>
    <mergeCell ref="BC136:BM136"/>
    <mergeCell ref="BN136:CB136"/>
    <mergeCell ref="A138:D138"/>
    <mergeCell ref="E138:AR138"/>
    <mergeCell ref="AS138:BB138"/>
    <mergeCell ref="BC138:BM138"/>
    <mergeCell ref="BN138:CB138"/>
    <mergeCell ref="A139:D139"/>
    <mergeCell ref="E139:AR139"/>
    <mergeCell ref="AS139:BB139"/>
    <mergeCell ref="BC139:BM139"/>
    <mergeCell ref="BN139:CB139"/>
    <mergeCell ref="A143:D143"/>
    <mergeCell ref="E143:AR143"/>
    <mergeCell ref="AS143:BB143"/>
    <mergeCell ref="BC143:BM143"/>
    <mergeCell ref="BN143:CB143"/>
    <mergeCell ref="A140:D140"/>
    <mergeCell ref="E140:AR140"/>
    <mergeCell ref="AS140:BB140"/>
    <mergeCell ref="BC140:BM140"/>
    <mergeCell ref="BN140:CB140"/>
    <mergeCell ref="A141:D141"/>
    <mergeCell ref="E141:AR141"/>
    <mergeCell ref="AS141:BB141"/>
    <mergeCell ref="BC141:BM141"/>
    <mergeCell ref="BN141:CB141"/>
    <mergeCell ref="A3:D6"/>
    <mergeCell ref="E3:AM6"/>
    <mergeCell ref="AN3:BC6"/>
    <mergeCell ref="BD3:BM6"/>
    <mergeCell ref="BN3:CB6"/>
    <mergeCell ref="A146:AR146"/>
    <mergeCell ref="AS146:BB146"/>
    <mergeCell ref="BC146:BM146"/>
    <mergeCell ref="BN146:CB146"/>
    <mergeCell ref="A144:D144"/>
    <mergeCell ref="E144:AR144"/>
    <mergeCell ref="AS144:BB144"/>
    <mergeCell ref="BC144:BM144"/>
    <mergeCell ref="BN144:CB144"/>
    <mergeCell ref="A145:D145"/>
    <mergeCell ref="E145:AR145"/>
    <mergeCell ref="AS145:BB145"/>
    <mergeCell ref="BC145:BM145"/>
    <mergeCell ref="BN145:CB145"/>
    <mergeCell ref="A142:D142"/>
    <mergeCell ref="E142:AR142"/>
    <mergeCell ref="AS142:BB142"/>
    <mergeCell ref="BC142:BM142"/>
    <mergeCell ref="BN142:CB142"/>
    <mergeCell ref="CC3:CH3"/>
    <mergeCell ref="CC4:CD4"/>
    <mergeCell ref="CE4:CG4"/>
    <mergeCell ref="CH4:CH6"/>
    <mergeCell ref="CC5:CC6"/>
    <mergeCell ref="CD5:CD6"/>
    <mergeCell ref="CE5:CE6"/>
    <mergeCell ref="CF5:CF6"/>
    <mergeCell ref="CG5:CG6"/>
    <mergeCell ref="A7:D7"/>
    <mergeCell ref="E7:AM7"/>
    <mergeCell ref="AN7:BC7"/>
    <mergeCell ref="BD7:BM7"/>
    <mergeCell ref="BN7:CB7"/>
    <mergeCell ref="A8:D8"/>
    <mergeCell ref="E8:AM8"/>
    <mergeCell ref="AN8:BC8"/>
    <mergeCell ref="BD8:BM8"/>
    <mergeCell ref="BN8:CB8"/>
    <mergeCell ref="A9:D9"/>
    <mergeCell ref="E9:AM9"/>
    <mergeCell ref="AN9:BC9"/>
    <mergeCell ref="BD9:BM9"/>
    <mergeCell ref="BN9:CB9"/>
    <mergeCell ref="A10:D10"/>
    <mergeCell ref="E10:AM10"/>
    <mergeCell ref="AN10:BC10"/>
    <mergeCell ref="BD10:BM10"/>
    <mergeCell ref="BN10:CB10"/>
    <mergeCell ref="A11:D11"/>
    <mergeCell ref="E11:AM11"/>
    <mergeCell ref="AN11:BC11"/>
    <mergeCell ref="BD11:BM11"/>
    <mergeCell ref="BN11:CB11"/>
    <mergeCell ref="A12:D12"/>
    <mergeCell ref="E12:AM12"/>
    <mergeCell ref="AN12:BC12"/>
    <mergeCell ref="BD12:BM12"/>
    <mergeCell ref="BN12:CB12"/>
    <mergeCell ref="A13:D13"/>
    <mergeCell ref="E13:AM13"/>
    <mergeCell ref="AN13:BC13"/>
    <mergeCell ref="BD13:BM13"/>
    <mergeCell ref="BN13:CB13"/>
    <mergeCell ref="A14:D14"/>
    <mergeCell ref="E14:AM14"/>
    <mergeCell ref="AN14:BC14"/>
    <mergeCell ref="BD14:BM14"/>
    <mergeCell ref="BN14:CB14"/>
    <mergeCell ref="A15:D15"/>
    <mergeCell ref="E15:AM15"/>
    <mergeCell ref="AN15:BC15"/>
    <mergeCell ref="BD15:BM15"/>
    <mergeCell ref="BN15:CB15"/>
    <mergeCell ref="A16:D16"/>
    <mergeCell ref="E16:AM16"/>
    <mergeCell ref="AN16:BC16"/>
    <mergeCell ref="BD16:BM16"/>
    <mergeCell ref="BN16:CB16"/>
    <mergeCell ref="A17:D17"/>
    <mergeCell ref="E17:AM17"/>
    <mergeCell ref="AN17:BC17"/>
    <mergeCell ref="BD17:BM17"/>
    <mergeCell ref="BN17:CB17"/>
    <mergeCell ref="A18:D18"/>
    <mergeCell ref="E18:AM18"/>
    <mergeCell ref="AN18:BC18"/>
    <mergeCell ref="BD18:BM18"/>
    <mergeCell ref="BN18:CB18"/>
    <mergeCell ref="A19:D19"/>
    <mergeCell ref="E19:AM19"/>
    <mergeCell ref="AN19:BC19"/>
    <mergeCell ref="BD19:BM19"/>
    <mergeCell ref="BN19:CB19"/>
    <mergeCell ref="A20:D20"/>
    <mergeCell ref="E20:AM20"/>
    <mergeCell ref="AN20:BC20"/>
    <mergeCell ref="BD20:BM20"/>
    <mergeCell ref="BN20:CB20"/>
    <mergeCell ref="A23:AM23"/>
    <mergeCell ref="AN23:BC23"/>
    <mergeCell ref="BD23:BM23"/>
    <mergeCell ref="BN23:CB23"/>
    <mergeCell ref="AO63:BC63"/>
    <mergeCell ref="E63:AN63"/>
    <mergeCell ref="A21:D21"/>
    <mergeCell ref="E21:AM21"/>
    <mergeCell ref="AN21:BC21"/>
    <mergeCell ref="BD21:BM21"/>
    <mergeCell ref="BN21:CB21"/>
    <mergeCell ref="A22:D22"/>
    <mergeCell ref="E22:AM22"/>
    <mergeCell ref="AN22:BC22"/>
    <mergeCell ref="BD22:BM22"/>
    <mergeCell ref="BN22:CB22"/>
    <mergeCell ref="A63:D63"/>
    <mergeCell ref="BD63:BM63"/>
    <mergeCell ref="BN63:CB63"/>
    <mergeCell ref="A62:D62"/>
    <mergeCell ref="E62:AN62"/>
    <mergeCell ref="AO62:BC62"/>
    <mergeCell ref="BD62:BM62"/>
    <mergeCell ref="BN62:CB62"/>
  </mergeCells>
  <pageMargins left="0.7" right="0.7" top="0.75" bottom="0.75" header="0.3" footer="0.3"/>
  <pageSetup paperSize="9" scale="49"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CI103"/>
  <sheetViews>
    <sheetView topLeftCell="A65" workbookViewId="0">
      <selection activeCell="A85" sqref="A85:CH95"/>
    </sheetView>
  </sheetViews>
  <sheetFormatPr defaultColWidth="1.140625" defaultRowHeight="12.75" x14ac:dyDescent="0.2"/>
  <cols>
    <col min="1" max="64" width="1.140625" style="8"/>
    <col min="65" max="65" width="2.7109375" style="8" customWidth="1"/>
    <col min="66" max="80" width="1.140625" style="8"/>
    <col min="81" max="81" width="16.5703125" style="8" customWidth="1"/>
    <col min="82" max="82" width="16.28515625" style="8" customWidth="1"/>
    <col min="83" max="83" width="11.7109375" style="8" customWidth="1"/>
    <col min="84" max="84" width="15.140625" style="8" customWidth="1"/>
    <col min="85" max="85" width="15.28515625" style="8" customWidth="1"/>
    <col min="86" max="86" width="23.5703125" style="8" customWidth="1"/>
    <col min="87" max="16384" width="1.140625" style="8"/>
  </cols>
  <sheetData>
    <row r="1" spans="1:86" s="4" customFormat="1" ht="15.75" customHeight="1" x14ac:dyDescent="0.25">
      <c r="A1" s="1817" t="s">
        <v>138</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c r="AM1" s="1817"/>
      <c r="AN1" s="1817"/>
      <c r="AO1" s="1817"/>
      <c r="AP1" s="1817"/>
      <c r="AQ1" s="1817"/>
      <c r="AR1" s="1817"/>
      <c r="AS1" s="1817"/>
      <c r="AT1" s="1817"/>
      <c r="AU1" s="1817"/>
      <c r="AV1" s="1817"/>
      <c r="AW1" s="1817"/>
      <c r="AX1" s="1817"/>
      <c r="AY1" s="1817"/>
      <c r="AZ1" s="1817"/>
      <c r="BA1" s="1817"/>
      <c r="BB1" s="1817"/>
      <c r="BC1" s="1817"/>
      <c r="BD1" s="1817"/>
      <c r="BE1" s="1817"/>
      <c r="BF1" s="1817"/>
      <c r="BG1" s="1817"/>
      <c r="BH1" s="1817"/>
      <c r="BI1" s="1817"/>
      <c r="BJ1" s="1817"/>
      <c r="BK1" s="1817"/>
      <c r="BL1" s="1817"/>
      <c r="BM1" s="1817"/>
      <c r="BN1" s="1817"/>
      <c r="BO1" s="1817"/>
      <c r="BP1" s="1817"/>
      <c r="BQ1" s="1817"/>
      <c r="BR1" s="1817"/>
      <c r="BS1" s="1817"/>
      <c r="BT1" s="1817"/>
      <c r="BU1" s="1817"/>
      <c r="BV1" s="1817"/>
      <c r="BW1" s="1817"/>
      <c r="BX1" s="1817"/>
      <c r="BY1" s="1817"/>
      <c r="BZ1" s="1817"/>
      <c r="CA1" s="1817"/>
      <c r="CB1" s="1817"/>
    </row>
    <row r="2" spans="1:86" s="7" customFormat="1" ht="9.75"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row>
    <row r="3" spans="1:86" x14ac:dyDescent="0.2">
      <c r="A3" s="1818" t="s">
        <v>71</v>
      </c>
      <c r="B3" s="1819"/>
      <c r="C3" s="1819"/>
      <c r="D3" s="1820"/>
      <c r="E3" s="1819" t="s">
        <v>4</v>
      </c>
      <c r="F3" s="1819"/>
      <c r="G3" s="1819"/>
      <c r="H3" s="1819"/>
      <c r="I3" s="1819"/>
      <c r="J3" s="1819"/>
      <c r="K3" s="1819"/>
      <c r="L3" s="1819"/>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20"/>
      <c r="AN3" s="1781" t="s">
        <v>139</v>
      </c>
      <c r="AO3" s="1925"/>
      <c r="AP3" s="1925"/>
      <c r="AQ3" s="1925"/>
      <c r="AR3" s="1925"/>
      <c r="AS3" s="1925"/>
      <c r="AT3" s="1925"/>
      <c r="AU3" s="1925"/>
      <c r="AV3" s="1925"/>
      <c r="AW3" s="1925"/>
      <c r="AX3" s="1925"/>
      <c r="AY3" s="1925"/>
      <c r="AZ3" s="1925"/>
      <c r="BA3" s="1925"/>
      <c r="BB3" s="1925"/>
      <c r="BC3" s="1782"/>
      <c r="BD3" s="1781" t="s">
        <v>140</v>
      </c>
      <c r="BE3" s="1925"/>
      <c r="BF3" s="1925"/>
      <c r="BG3" s="1925"/>
      <c r="BH3" s="1925"/>
      <c r="BI3" s="1925"/>
      <c r="BJ3" s="1925"/>
      <c r="BK3" s="1925"/>
      <c r="BL3" s="1925"/>
      <c r="BM3" s="1782"/>
      <c r="BN3" s="1819" t="s">
        <v>105</v>
      </c>
      <c r="BO3" s="1819"/>
      <c r="BP3" s="1819"/>
      <c r="BQ3" s="1819"/>
      <c r="BR3" s="1819"/>
      <c r="BS3" s="1819"/>
      <c r="BT3" s="1819"/>
      <c r="BU3" s="1819"/>
      <c r="BV3" s="1819"/>
      <c r="BW3" s="1819"/>
      <c r="BX3" s="1819"/>
      <c r="BY3" s="1819"/>
      <c r="BZ3" s="1819"/>
      <c r="CA3" s="1819"/>
      <c r="CB3" s="1820"/>
      <c r="CC3" s="1799" t="s">
        <v>52</v>
      </c>
      <c r="CD3" s="1806"/>
      <c r="CE3" s="1806"/>
      <c r="CF3" s="1806"/>
      <c r="CG3" s="1806"/>
      <c r="CH3" s="1806"/>
    </row>
    <row r="4" spans="1:86" ht="12.75" customHeight="1" x14ac:dyDescent="0.2">
      <c r="A4" s="1807" t="s">
        <v>77</v>
      </c>
      <c r="B4" s="1808"/>
      <c r="C4" s="1808"/>
      <c r="D4" s="1809"/>
      <c r="E4" s="1808"/>
      <c r="F4" s="1808"/>
      <c r="G4" s="1808"/>
      <c r="H4" s="1808"/>
      <c r="I4" s="1808"/>
      <c r="J4" s="1808"/>
      <c r="K4" s="1808"/>
      <c r="L4" s="1808"/>
      <c r="M4" s="1808"/>
      <c r="N4" s="1808"/>
      <c r="O4" s="1808"/>
      <c r="P4" s="1808"/>
      <c r="Q4" s="1808"/>
      <c r="R4" s="1808"/>
      <c r="S4" s="1808"/>
      <c r="T4" s="1808"/>
      <c r="U4" s="1808"/>
      <c r="V4" s="1808"/>
      <c r="W4" s="1808"/>
      <c r="X4" s="1808"/>
      <c r="Y4" s="1808"/>
      <c r="Z4" s="1808"/>
      <c r="AA4" s="1808"/>
      <c r="AB4" s="1808"/>
      <c r="AC4" s="1808"/>
      <c r="AD4" s="1808"/>
      <c r="AE4" s="1808"/>
      <c r="AF4" s="1808"/>
      <c r="AG4" s="1808"/>
      <c r="AH4" s="1808"/>
      <c r="AI4" s="1808"/>
      <c r="AJ4" s="1808"/>
      <c r="AK4" s="1808"/>
      <c r="AL4" s="1808"/>
      <c r="AM4" s="1809"/>
      <c r="AN4" s="1783"/>
      <c r="AO4" s="1926"/>
      <c r="AP4" s="1926"/>
      <c r="AQ4" s="1926"/>
      <c r="AR4" s="1926"/>
      <c r="AS4" s="1926"/>
      <c r="AT4" s="1926"/>
      <c r="AU4" s="1926"/>
      <c r="AV4" s="1926"/>
      <c r="AW4" s="1926"/>
      <c r="AX4" s="1926"/>
      <c r="AY4" s="1926"/>
      <c r="AZ4" s="1926"/>
      <c r="BA4" s="1926"/>
      <c r="BB4" s="1926"/>
      <c r="BC4" s="1784"/>
      <c r="BD4" s="1783"/>
      <c r="BE4" s="1926"/>
      <c r="BF4" s="1926"/>
      <c r="BG4" s="1926"/>
      <c r="BH4" s="1926"/>
      <c r="BI4" s="1926"/>
      <c r="BJ4" s="1926"/>
      <c r="BK4" s="1926"/>
      <c r="BL4" s="1926"/>
      <c r="BM4" s="1784"/>
      <c r="BN4" s="1808" t="s">
        <v>141</v>
      </c>
      <c r="BO4" s="1808"/>
      <c r="BP4" s="1808"/>
      <c r="BQ4" s="1808"/>
      <c r="BR4" s="1808"/>
      <c r="BS4" s="1808"/>
      <c r="BT4" s="1808"/>
      <c r="BU4" s="1808"/>
      <c r="BV4" s="1808"/>
      <c r="BW4" s="1808"/>
      <c r="BX4" s="1808"/>
      <c r="BY4" s="1808"/>
      <c r="BZ4" s="1808"/>
      <c r="CA4" s="1808"/>
      <c r="CB4" s="1809"/>
      <c r="CC4" s="1789" t="s">
        <v>35</v>
      </c>
      <c r="CD4" s="1810"/>
      <c r="CE4" s="1788" t="s">
        <v>45</v>
      </c>
      <c r="CF4" s="1790"/>
      <c r="CG4" s="1789"/>
      <c r="CH4" s="1778" t="s">
        <v>46</v>
      </c>
    </row>
    <row r="5" spans="1:86" ht="59.25" customHeight="1" x14ac:dyDescent="0.2">
      <c r="A5" s="1807"/>
      <c r="B5" s="1808"/>
      <c r="C5" s="1808"/>
      <c r="D5" s="1809"/>
      <c r="E5" s="1808"/>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8"/>
      <c r="AJ5" s="1808"/>
      <c r="AK5" s="1808"/>
      <c r="AL5" s="1808"/>
      <c r="AM5" s="1809"/>
      <c r="AN5" s="1783"/>
      <c r="AO5" s="1926"/>
      <c r="AP5" s="1926"/>
      <c r="AQ5" s="1926"/>
      <c r="AR5" s="1926"/>
      <c r="AS5" s="1926"/>
      <c r="AT5" s="1926"/>
      <c r="AU5" s="1926"/>
      <c r="AV5" s="1926"/>
      <c r="AW5" s="1926"/>
      <c r="AX5" s="1926"/>
      <c r="AY5" s="1926"/>
      <c r="AZ5" s="1926"/>
      <c r="BA5" s="1926"/>
      <c r="BB5" s="1926"/>
      <c r="BC5" s="1784"/>
      <c r="BD5" s="1783"/>
      <c r="BE5" s="1926"/>
      <c r="BF5" s="1926"/>
      <c r="BG5" s="1926"/>
      <c r="BH5" s="1926"/>
      <c r="BI5" s="1926"/>
      <c r="BJ5" s="1926"/>
      <c r="BK5" s="1926"/>
      <c r="BL5" s="1926"/>
      <c r="BM5" s="1784"/>
      <c r="BN5" s="1808" t="s">
        <v>111</v>
      </c>
      <c r="BO5" s="1928"/>
      <c r="BP5" s="1928"/>
      <c r="BQ5" s="1928"/>
      <c r="BR5" s="1928"/>
      <c r="BS5" s="1928"/>
      <c r="BT5" s="1928"/>
      <c r="BU5" s="1928"/>
      <c r="BV5" s="1928"/>
      <c r="BW5" s="1928"/>
      <c r="BX5" s="1928"/>
      <c r="BY5" s="1928"/>
      <c r="BZ5" s="1928"/>
      <c r="CA5" s="1928"/>
      <c r="CB5" s="1929"/>
      <c r="CC5" s="1930" t="s">
        <v>43</v>
      </c>
      <c r="CD5" s="1811" t="s">
        <v>44</v>
      </c>
      <c r="CE5" s="1812" t="s">
        <v>55</v>
      </c>
      <c r="CF5" s="1811" t="s">
        <v>43</v>
      </c>
      <c r="CG5" s="1811" t="s">
        <v>44</v>
      </c>
      <c r="CH5" s="1779"/>
    </row>
    <row r="6" spans="1:86" x14ac:dyDescent="0.2">
      <c r="A6" s="1814"/>
      <c r="B6" s="1815"/>
      <c r="C6" s="1815"/>
      <c r="D6" s="1816"/>
      <c r="E6" s="1815"/>
      <c r="F6" s="1815"/>
      <c r="G6" s="1815"/>
      <c r="H6" s="1815"/>
      <c r="I6" s="1815"/>
      <c r="J6" s="1815"/>
      <c r="K6" s="1815"/>
      <c r="L6" s="1815"/>
      <c r="M6" s="1815"/>
      <c r="N6" s="1815"/>
      <c r="O6" s="1815"/>
      <c r="P6" s="1815"/>
      <c r="Q6" s="1815"/>
      <c r="R6" s="1815"/>
      <c r="S6" s="1815"/>
      <c r="T6" s="1815"/>
      <c r="U6" s="1815"/>
      <c r="V6" s="1815"/>
      <c r="W6" s="1815"/>
      <c r="X6" s="1815"/>
      <c r="Y6" s="1815"/>
      <c r="Z6" s="1815"/>
      <c r="AA6" s="1815"/>
      <c r="AB6" s="1815"/>
      <c r="AC6" s="1815"/>
      <c r="AD6" s="1815"/>
      <c r="AE6" s="1815"/>
      <c r="AF6" s="1815"/>
      <c r="AG6" s="1815"/>
      <c r="AH6" s="1815"/>
      <c r="AI6" s="1815"/>
      <c r="AJ6" s="1815"/>
      <c r="AK6" s="1815"/>
      <c r="AL6" s="1815"/>
      <c r="AM6" s="1816"/>
      <c r="AN6" s="1785"/>
      <c r="AO6" s="1927"/>
      <c r="AP6" s="1927"/>
      <c r="AQ6" s="1927"/>
      <c r="AR6" s="1927"/>
      <c r="AS6" s="1927"/>
      <c r="AT6" s="1927"/>
      <c r="AU6" s="1927"/>
      <c r="AV6" s="1927"/>
      <c r="AW6" s="1927"/>
      <c r="AX6" s="1927"/>
      <c r="AY6" s="1927"/>
      <c r="AZ6" s="1927"/>
      <c r="BA6" s="1927"/>
      <c r="BB6" s="1927"/>
      <c r="BC6" s="1786"/>
      <c r="BD6" s="1785"/>
      <c r="BE6" s="1927"/>
      <c r="BF6" s="1927"/>
      <c r="BG6" s="1927"/>
      <c r="BH6" s="1927"/>
      <c r="BI6" s="1927"/>
      <c r="BJ6" s="1927"/>
      <c r="BK6" s="1927"/>
      <c r="BL6" s="1927"/>
      <c r="BM6" s="1786"/>
      <c r="BN6" s="1815"/>
      <c r="BO6" s="1931"/>
      <c r="BP6" s="1931"/>
      <c r="BQ6" s="1931"/>
      <c r="BR6" s="1931"/>
      <c r="BS6" s="1931"/>
      <c r="BT6" s="1931"/>
      <c r="BU6" s="1931"/>
      <c r="BV6" s="1931"/>
      <c r="BW6" s="1931"/>
      <c r="BX6" s="1931"/>
      <c r="BY6" s="1931"/>
      <c r="BZ6" s="1931"/>
      <c r="CA6" s="1931"/>
      <c r="CB6" s="1932"/>
      <c r="CC6" s="1930"/>
      <c r="CD6" s="1811"/>
      <c r="CE6" s="1813"/>
      <c r="CF6" s="1811"/>
      <c r="CG6" s="1811"/>
      <c r="CH6" s="1780"/>
    </row>
    <row r="7" spans="1:86" x14ac:dyDescent="0.2">
      <c r="A7" s="1814">
        <v>1</v>
      </c>
      <c r="B7" s="1815"/>
      <c r="C7" s="1815"/>
      <c r="D7" s="1816"/>
      <c r="E7" s="1814">
        <v>2</v>
      </c>
      <c r="F7" s="1815"/>
      <c r="G7" s="1815"/>
      <c r="H7" s="1815"/>
      <c r="I7" s="1815"/>
      <c r="J7" s="1815"/>
      <c r="K7" s="1815"/>
      <c r="L7" s="1815"/>
      <c r="M7" s="1815"/>
      <c r="N7" s="1815"/>
      <c r="O7" s="1815"/>
      <c r="P7" s="1815"/>
      <c r="Q7" s="1815"/>
      <c r="R7" s="1815"/>
      <c r="S7" s="1815"/>
      <c r="T7" s="1815"/>
      <c r="U7" s="1815"/>
      <c r="V7" s="1815"/>
      <c r="W7" s="1815"/>
      <c r="X7" s="1815"/>
      <c r="Y7" s="1815"/>
      <c r="Z7" s="1815"/>
      <c r="AA7" s="1815"/>
      <c r="AB7" s="1815"/>
      <c r="AC7" s="1815"/>
      <c r="AD7" s="1815"/>
      <c r="AE7" s="1815"/>
      <c r="AF7" s="1815"/>
      <c r="AG7" s="1815"/>
      <c r="AH7" s="1815"/>
      <c r="AI7" s="1815"/>
      <c r="AJ7" s="1815"/>
      <c r="AK7" s="1815"/>
      <c r="AL7" s="1815"/>
      <c r="AM7" s="1816"/>
      <c r="AN7" s="1814">
        <v>3</v>
      </c>
      <c r="AO7" s="1815"/>
      <c r="AP7" s="1815"/>
      <c r="AQ7" s="1815"/>
      <c r="AR7" s="1815"/>
      <c r="AS7" s="1815"/>
      <c r="AT7" s="1815"/>
      <c r="AU7" s="1815"/>
      <c r="AV7" s="1815"/>
      <c r="AW7" s="1815"/>
      <c r="AX7" s="1815"/>
      <c r="AY7" s="1815"/>
      <c r="AZ7" s="1815"/>
      <c r="BA7" s="1815"/>
      <c r="BB7" s="1815"/>
      <c r="BC7" s="1816"/>
      <c r="BD7" s="1814">
        <v>4</v>
      </c>
      <c r="BE7" s="1815"/>
      <c r="BF7" s="1815"/>
      <c r="BG7" s="1815"/>
      <c r="BH7" s="1815"/>
      <c r="BI7" s="1815"/>
      <c r="BJ7" s="1815"/>
      <c r="BK7" s="1815"/>
      <c r="BL7" s="1815"/>
      <c r="BM7" s="1816"/>
      <c r="BN7" s="1830" t="s">
        <v>49</v>
      </c>
      <c r="BO7" s="1830"/>
      <c r="BP7" s="1830"/>
      <c r="BQ7" s="1830"/>
      <c r="BR7" s="1830"/>
      <c r="BS7" s="1830"/>
      <c r="BT7" s="1830"/>
      <c r="BU7" s="1830"/>
      <c r="BV7" s="1830"/>
      <c r="BW7" s="1830"/>
      <c r="BX7" s="1830"/>
      <c r="BY7" s="1830"/>
      <c r="BZ7" s="1830"/>
      <c r="CA7" s="1830"/>
      <c r="CB7" s="1830"/>
      <c r="CC7" s="249">
        <v>6</v>
      </c>
      <c r="CD7" s="249">
        <v>7</v>
      </c>
      <c r="CE7" s="250">
        <v>8</v>
      </c>
      <c r="CF7" s="249">
        <v>9</v>
      </c>
      <c r="CG7" s="249">
        <v>10</v>
      </c>
      <c r="CH7" s="252">
        <v>11</v>
      </c>
    </row>
    <row r="8" spans="1:86" ht="31.5" customHeight="1" x14ac:dyDescent="0.2">
      <c r="A8" s="1803">
        <v>1</v>
      </c>
      <c r="B8" s="1804"/>
      <c r="C8" s="1804"/>
      <c r="D8" s="1805"/>
      <c r="E8" s="1904" t="s">
        <v>147</v>
      </c>
      <c r="F8" s="1905"/>
      <c r="G8" s="1905"/>
      <c r="H8" s="1905"/>
      <c r="I8" s="1905"/>
      <c r="J8" s="1905"/>
      <c r="K8" s="1905"/>
      <c r="L8" s="1905"/>
      <c r="M8" s="1905"/>
      <c r="N8" s="1905"/>
      <c r="O8" s="1905"/>
      <c r="P8" s="1905"/>
      <c r="Q8" s="1905"/>
      <c r="R8" s="1905"/>
      <c r="S8" s="1905"/>
      <c r="T8" s="1905"/>
      <c r="U8" s="1905"/>
      <c r="V8" s="1905"/>
      <c r="W8" s="1905"/>
      <c r="X8" s="1905"/>
      <c r="Y8" s="1905"/>
      <c r="Z8" s="1905"/>
      <c r="AA8" s="1905"/>
      <c r="AB8" s="1905"/>
      <c r="AC8" s="1905"/>
      <c r="AD8" s="1905"/>
      <c r="AE8" s="1905"/>
      <c r="AF8" s="1905"/>
      <c r="AG8" s="1905"/>
      <c r="AH8" s="1905"/>
      <c r="AI8" s="1905"/>
      <c r="AJ8" s="1905"/>
      <c r="AK8" s="1905"/>
      <c r="AL8" s="1905"/>
      <c r="AM8" s="1906"/>
      <c r="AN8" s="1914">
        <v>4100</v>
      </c>
      <c r="AO8" s="1915"/>
      <c r="AP8" s="1915"/>
      <c r="AQ8" s="1915"/>
      <c r="AR8" s="1915"/>
      <c r="AS8" s="1915"/>
      <c r="AT8" s="1915"/>
      <c r="AU8" s="1915"/>
      <c r="AV8" s="1915"/>
      <c r="AW8" s="1915"/>
      <c r="AX8" s="1915"/>
      <c r="AY8" s="1915"/>
      <c r="AZ8" s="1915"/>
      <c r="BA8" s="1915"/>
      <c r="BB8" s="1915"/>
      <c r="BC8" s="1916"/>
      <c r="BD8" s="1901">
        <v>12</v>
      </c>
      <c r="BE8" s="1902"/>
      <c r="BF8" s="1902"/>
      <c r="BG8" s="1902"/>
      <c r="BH8" s="1902"/>
      <c r="BI8" s="1902"/>
      <c r="BJ8" s="1902"/>
      <c r="BK8" s="1902"/>
      <c r="BL8" s="1902"/>
      <c r="BM8" s="1903"/>
      <c r="BN8" s="1791">
        <f>AN8*BD8</f>
        <v>49200</v>
      </c>
      <c r="BO8" s="1792"/>
      <c r="BP8" s="1792"/>
      <c r="BQ8" s="1792"/>
      <c r="BR8" s="1792"/>
      <c r="BS8" s="1792"/>
      <c r="BT8" s="1792"/>
      <c r="BU8" s="1792"/>
      <c r="BV8" s="1792"/>
      <c r="BW8" s="1792"/>
      <c r="BX8" s="1792"/>
      <c r="BY8" s="1792"/>
      <c r="BZ8" s="1792"/>
      <c r="CA8" s="1792"/>
      <c r="CB8" s="1793"/>
      <c r="CC8" s="17"/>
      <c r="CD8" s="253">
        <f>BN8</f>
        <v>49200</v>
      </c>
      <c r="CE8" s="17"/>
      <c r="CF8" s="17"/>
      <c r="CG8" s="17"/>
      <c r="CH8" s="17"/>
    </row>
    <row r="9" spans="1:86" ht="31.5" customHeight="1" x14ac:dyDescent="0.2">
      <c r="A9" s="1803">
        <v>2</v>
      </c>
      <c r="B9" s="1804"/>
      <c r="C9" s="1804"/>
      <c r="D9" s="1805"/>
      <c r="E9" s="1904" t="s">
        <v>144</v>
      </c>
      <c r="F9" s="1905"/>
      <c r="G9" s="1905"/>
      <c r="H9" s="1905"/>
      <c r="I9" s="1905"/>
      <c r="J9" s="1905"/>
      <c r="K9" s="1905"/>
      <c r="L9" s="1905"/>
      <c r="M9" s="1905"/>
      <c r="N9" s="1905"/>
      <c r="O9" s="1905"/>
      <c r="P9" s="1905"/>
      <c r="Q9" s="1905"/>
      <c r="R9" s="1905"/>
      <c r="S9" s="1905"/>
      <c r="T9" s="1905"/>
      <c r="U9" s="1905"/>
      <c r="V9" s="1905"/>
      <c r="W9" s="1905"/>
      <c r="X9" s="1905"/>
      <c r="Y9" s="1905"/>
      <c r="Z9" s="1905"/>
      <c r="AA9" s="1905"/>
      <c r="AB9" s="1905"/>
      <c r="AC9" s="1905"/>
      <c r="AD9" s="1905"/>
      <c r="AE9" s="1905"/>
      <c r="AF9" s="1905"/>
      <c r="AG9" s="1905"/>
      <c r="AH9" s="1905"/>
      <c r="AI9" s="1905"/>
      <c r="AJ9" s="1905"/>
      <c r="AK9" s="1905"/>
      <c r="AL9" s="1905"/>
      <c r="AM9" s="1906"/>
      <c r="AN9" s="1914">
        <v>3956</v>
      </c>
      <c r="AO9" s="1915"/>
      <c r="AP9" s="1915"/>
      <c r="AQ9" s="1915"/>
      <c r="AR9" s="1915"/>
      <c r="AS9" s="1915"/>
      <c r="AT9" s="1915"/>
      <c r="AU9" s="1915"/>
      <c r="AV9" s="1915"/>
      <c r="AW9" s="1915"/>
      <c r="AX9" s="1915"/>
      <c r="AY9" s="1915"/>
      <c r="AZ9" s="1915"/>
      <c r="BA9" s="1915"/>
      <c r="BB9" s="1915"/>
      <c r="BC9" s="1916"/>
      <c r="BD9" s="1901">
        <v>12</v>
      </c>
      <c r="BE9" s="1902"/>
      <c r="BF9" s="1902"/>
      <c r="BG9" s="1902"/>
      <c r="BH9" s="1902"/>
      <c r="BI9" s="1902"/>
      <c r="BJ9" s="1902"/>
      <c r="BK9" s="1902"/>
      <c r="BL9" s="1902"/>
      <c r="BM9" s="1903"/>
      <c r="BN9" s="1791">
        <f>AN9*BD9</f>
        <v>47472</v>
      </c>
      <c r="BO9" s="1792"/>
      <c r="BP9" s="1792"/>
      <c r="BQ9" s="1792"/>
      <c r="BR9" s="1792"/>
      <c r="BS9" s="1792"/>
      <c r="BT9" s="1792"/>
      <c r="BU9" s="1792"/>
      <c r="BV9" s="1792"/>
      <c r="BW9" s="1792"/>
      <c r="BX9" s="1792"/>
      <c r="BY9" s="1792"/>
      <c r="BZ9" s="1792"/>
      <c r="CA9" s="1792"/>
      <c r="CB9" s="1793"/>
      <c r="CC9" s="17"/>
      <c r="CD9" s="253">
        <f>BN9</f>
        <v>47472</v>
      </c>
      <c r="CE9" s="17"/>
      <c r="CF9" s="17"/>
      <c r="CG9" s="17"/>
      <c r="CH9" s="17"/>
    </row>
    <row r="10" spans="1:86" ht="31.5" customHeight="1" x14ac:dyDescent="0.2">
      <c r="A10" s="1843">
        <v>3</v>
      </c>
      <c r="B10" s="1844"/>
      <c r="C10" s="1844"/>
      <c r="D10" s="1845"/>
      <c r="E10" s="1904" t="s">
        <v>633</v>
      </c>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6"/>
      <c r="AN10" s="1922">
        <v>226</v>
      </c>
      <c r="AO10" s="1923"/>
      <c r="AP10" s="1923"/>
      <c r="AQ10" s="1923"/>
      <c r="AR10" s="1923"/>
      <c r="AS10" s="1923"/>
      <c r="AT10" s="1923"/>
      <c r="AU10" s="1923"/>
      <c r="AV10" s="1923"/>
      <c r="AW10" s="1923"/>
      <c r="AX10" s="1923"/>
      <c r="AY10" s="1923"/>
      <c r="AZ10" s="1923"/>
      <c r="BA10" s="1923"/>
      <c r="BB10" s="1923"/>
      <c r="BC10" s="1924"/>
      <c r="BD10" s="1901">
        <v>12</v>
      </c>
      <c r="BE10" s="1902"/>
      <c r="BF10" s="1902"/>
      <c r="BG10" s="1902"/>
      <c r="BH10" s="1902"/>
      <c r="BI10" s="1902"/>
      <c r="BJ10" s="1902"/>
      <c r="BK10" s="1902"/>
      <c r="BL10" s="1902"/>
      <c r="BM10" s="1903"/>
      <c r="BN10" s="1791">
        <f>AN10*BD10</f>
        <v>2712</v>
      </c>
      <c r="BO10" s="1792"/>
      <c r="BP10" s="1792"/>
      <c r="BQ10" s="1792"/>
      <c r="BR10" s="1792"/>
      <c r="BS10" s="1792"/>
      <c r="BT10" s="1792"/>
      <c r="BU10" s="1792"/>
      <c r="BV10" s="1792"/>
      <c r="BW10" s="1792"/>
      <c r="BX10" s="1792"/>
      <c r="BY10" s="1792"/>
      <c r="BZ10" s="1792"/>
      <c r="CA10" s="1792"/>
      <c r="CB10" s="1793"/>
      <c r="CC10" s="15"/>
      <c r="CD10" s="253">
        <f>BN10</f>
        <v>2712</v>
      </c>
      <c r="CE10" s="15"/>
      <c r="CF10" s="15"/>
      <c r="CG10" s="15"/>
      <c r="CH10" s="15"/>
    </row>
    <row r="11" spans="1:86" ht="18.75" customHeight="1" x14ac:dyDescent="0.2">
      <c r="A11" s="1843">
        <v>4</v>
      </c>
      <c r="B11" s="1844"/>
      <c r="C11" s="1844"/>
      <c r="D11" s="1845"/>
      <c r="E11" s="1904" t="s">
        <v>649</v>
      </c>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6"/>
      <c r="AN11" s="1914">
        <v>1700</v>
      </c>
      <c r="AO11" s="1915"/>
      <c r="AP11" s="1915"/>
      <c r="AQ11" s="1915"/>
      <c r="AR11" s="1915"/>
      <c r="AS11" s="1915"/>
      <c r="AT11" s="1915"/>
      <c r="AU11" s="1915"/>
      <c r="AV11" s="1915"/>
      <c r="AW11" s="1915"/>
      <c r="AX11" s="1915"/>
      <c r="AY11" s="1915"/>
      <c r="AZ11" s="1915"/>
      <c r="BA11" s="1915"/>
      <c r="BB11" s="1915"/>
      <c r="BC11" s="1916"/>
      <c r="BD11" s="1901">
        <v>12</v>
      </c>
      <c r="BE11" s="1902"/>
      <c r="BF11" s="1902"/>
      <c r="BG11" s="1902"/>
      <c r="BH11" s="1902"/>
      <c r="BI11" s="1902"/>
      <c r="BJ11" s="1902"/>
      <c r="BK11" s="1902"/>
      <c r="BL11" s="1902"/>
      <c r="BM11" s="1903"/>
      <c r="BN11" s="1791">
        <f>CD11</f>
        <v>20400</v>
      </c>
      <c r="BO11" s="1792"/>
      <c r="BP11" s="1792"/>
      <c r="BQ11" s="1792"/>
      <c r="BR11" s="1792"/>
      <c r="BS11" s="1792"/>
      <c r="BT11" s="1792"/>
      <c r="BU11" s="1792"/>
      <c r="BV11" s="1792"/>
      <c r="BW11" s="1792"/>
      <c r="BX11" s="1792"/>
      <c r="BY11" s="1792"/>
      <c r="BZ11" s="1792"/>
      <c r="CA11" s="1792"/>
      <c r="CB11" s="1793"/>
      <c r="CC11" s="17"/>
      <c r="CD11" s="253">
        <f>AN11*BD11</f>
        <v>20400</v>
      </c>
      <c r="CE11" s="17"/>
      <c r="CF11" s="17"/>
      <c r="CG11" s="17"/>
      <c r="CH11" s="17"/>
    </row>
    <row r="12" spans="1:86" ht="31.5" customHeight="1" x14ac:dyDescent="0.2">
      <c r="A12" s="1843">
        <v>5</v>
      </c>
      <c r="B12" s="1844"/>
      <c r="C12" s="1844"/>
      <c r="D12" s="1845"/>
      <c r="E12" s="1904" t="s">
        <v>640</v>
      </c>
      <c r="F12" s="1905"/>
      <c r="G12" s="1905"/>
      <c r="H12" s="1905"/>
      <c r="I12" s="1905"/>
      <c r="J12" s="1905"/>
      <c r="K12" s="1905"/>
      <c r="L12" s="1905"/>
      <c r="M12" s="1905"/>
      <c r="N12" s="1905"/>
      <c r="O12" s="1905"/>
      <c r="P12" s="1905"/>
      <c r="Q12" s="1905"/>
      <c r="R12" s="1905"/>
      <c r="S12" s="1905"/>
      <c r="T12" s="1905"/>
      <c r="U12" s="1905"/>
      <c r="V12" s="1905"/>
      <c r="W12" s="1905"/>
      <c r="X12" s="1905"/>
      <c r="Y12" s="1905"/>
      <c r="Z12" s="1905"/>
      <c r="AA12" s="1905"/>
      <c r="AB12" s="1905"/>
      <c r="AC12" s="1905"/>
      <c r="AD12" s="1905"/>
      <c r="AE12" s="1905"/>
      <c r="AF12" s="1905"/>
      <c r="AG12" s="1905"/>
      <c r="AH12" s="1905"/>
      <c r="AI12" s="1905"/>
      <c r="AJ12" s="1905"/>
      <c r="AK12" s="1905"/>
      <c r="AL12" s="1905"/>
      <c r="AM12" s="1906"/>
      <c r="AN12" s="1914">
        <v>6463.36</v>
      </c>
      <c r="AO12" s="1915"/>
      <c r="AP12" s="1915"/>
      <c r="AQ12" s="1915"/>
      <c r="AR12" s="1915"/>
      <c r="AS12" s="1915"/>
      <c r="AT12" s="1915"/>
      <c r="AU12" s="1915"/>
      <c r="AV12" s="1915"/>
      <c r="AW12" s="1915"/>
      <c r="AX12" s="1915"/>
      <c r="AY12" s="1915"/>
      <c r="AZ12" s="1915"/>
      <c r="BA12" s="1915"/>
      <c r="BB12" s="1915"/>
      <c r="BC12" s="1916"/>
      <c r="BD12" s="1901">
        <v>1</v>
      </c>
      <c r="BE12" s="1902"/>
      <c r="BF12" s="1902"/>
      <c r="BG12" s="1902"/>
      <c r="BH12" s="1902"/>
      <c r="BI12" s="1902"/>
      <c r="BJ12" s="1902"/>
      <c r="BK12" s="1902"/>
      <c r="BL12" s="1902"/>
      <c r="BM12" s="1903"/>
      <c r="BN12" s="1791">
        <f>AN12</f>
        <v>6463.36</v>
      </c>
      <c r="BO12" s="1792"/>
      <c r="BP12" s="1792"/>
      <c r="BQ12" s="1792"/>
      <c r="BR12" s="1792"/>
      <c r="BS12" s="1792"/>
      <c r="BT12" s="1792"/>
      <c r="BU12" s="1792"/>
      <c r="BV12" s="1792"/>
      <c r="BW12" s="1792"/>
      <c r="BX12" s="1792"/>
      <c r="BY12" s="1792"/>
      <c r="BZ12" s="1792"/>
      <c r="CA12" s="1792"/>
      <c r="CB12" s="1793"/>
      <c r="CC12" s="17"/>
      <c r="CD12" s="253">
        <f>BN12</f>
        <v>6463.36</v>
      </c>
      <c r="CE12" s="17"/>
      <c r="CF12" s="17"/>
      <c r="CG12" s="17"/>
      <c r="CH12" s="17"/>
    </row>
    <row r="13" spans="1:86" ht="19.5" customHeight="1" x14ac:dyDescent="0.2">
      <c r="A13" s="1843">
        <v>6</v>
      </c>
      <c r="B13" s="1844"/>
      <c r="C13" s="1844"/>
      <c r="D13" s="1845"/>
      <c r="E13" s="1904" t="s">
        <v>583</v>
      </c>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906"/>
      <c r="AN13" s="1922">
        <v>645</v>
      </c>
      <c r="AO13" s="1923"/>
      <c r="AP13" s="1923"/>
      <c r="AQ13" s="1923"/>
      <c r="AR13" s="1923"/>
      <c r="AS13" s="1923"/>
      <c r="AT13" s="1923"/>
      <c r="AU13" s="1923"/>
      <c r="AV13" s="1923"/>
      <c r="AW13" s="1923"/>
      <c r="AX13" s="1923"/>
      <c r="AY13" s="1923"/>
      <c r="AZ13" s="1923"/>
      <c r="BA13" s="1923"/>
      <c r="BB13" s="1923"/>
      <c r="BC13" s="1924"/>
      <c r="BD13" s="1901">
        <v>5</v>
      </c>
      <c r="BE13" s="1902"/>
      <c r="BF13" s="1902"/>
      <c r="BG13" s="1902"/>
      <c r="BH13" s="1902"/>
      <c r="BI13" s="1902"/>
      <c r="BJ13" s="1902"/>
      <c r="BK13" s="1902"/>
      <c r="BL13" s="1902"/>
      <c r="BM13" s="1903"/>
      <c r="BN13" s="1852">
        <f>AN13*BD13</f>
        <v>3225</v>
      </c>
      <c r="BO13" s="1853"/>
      <c r="BP13" s="1853"/>
      <c r="BQ13" s="1853"/>
      <c r="BR13" s="1853"/>
      <c r="BS13" s="1853"/>
      <c r="BT13" s="1853"/>
      <c r="BU13" s="1853"/>
      <c r="BV13" s="1853"/>
      <c r="BW13" s="1853"/>
      <c r="BX13" s="1853"/>
      <c r="BY13" s="1853"/>
      <c r="BZ13" s="1853"/>
      <c r="CA13" s="1853"/>
      <c r="CB13" s="1854"/>
      <c r="CC13" s="17"/>
      <c r="CD13" s="253">
        <f>BN13</f>
        <v>3225</v>
      </c>
      <c r="CE13" s="17"/>
      <c r="CF13" s="17"/>
      <c r="CG13" s="17"/>
      <c r="CH13" s="17"/>
    </row>
    <row r="14" spans="1:86" ht="19.5" customHeight="1" x14ac:dyDescent="0.2">
      <c r="A14" s="1843">
        <v>7</v>
      </c>
      <c r="B14" s="1844"/>
      <c r="C14" s="1844"/>
      <c r="D14" s="1845"/>
      <c r="E14" s="1904" t="s">
        <v>142</v>
      </c>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6"/>
      <c r="AN14" s="1914">
        <v>3500</v>
      </c>
      <c r="AO14" s="1915"/>
      <c r="AP14" s="1915"/>
      <c r="AQ14" s="1915"/>
      <c r="AR14" s="1915"/>
      <c r="AS14" s="1915"/>
      <c r="AT14" s="1915"/>
      <c r="AU14" s="1915"/>
      <c r="AV14" s="1915"/>
      <c r="AW14" s="1915"/>
      <c r="AX14" s="1915"/>
      <c r="AY14" s="1915"/>
      <c r="AZ14" s="1915"/>
      <c r="BA14" s="1915"/>
      <c r="BB14" s="1915"/>
      <c r="BC14" s="1916"/>
      <c r="BD14" s="1901">
        <v>1</v>
      </c>
      <c r="BE14" s="1902"/>
      <c r="BF14" s="1902"/>
      <c r="BG14" s="1902"/>
      <c r="BH14" s="1902"/>
      <c r="BI14" s="1902"/>
      <c r="BJ14" s="1902"/>
      <c r="BK14" s="1902"/>
      <c r="BL14" s="1902"/>
      <c r="BM14" s="1903"/>
      <c r="BN14" s="1791">
        <f>AN14*BD14</f>
        <v>3500</v>
      </c>
      <c r="BO14" s="1792"/>
      <c r="BP14" s="1792"/>
      <c r="BQ14" s="1792"/>
      <c r="BR14" s="1792"/>
      <c r="BS14" s="1792"/>
      <c r="BT14" s="1792"/>
      <c r="BU14" s="1792"/>
      <c r="BV14" s="1792"/>
      <c r="BW14" s="1792"/>
      <c r="BX14" s="1792"/>
      <c r="BY14" s="1792"/>
      <c r="BZ14" s="1792"/>
      <c r="CA14" s="1792"/>
      <c r="CB14" s="1793"/>
      <c r="CC14" s="17"/>
      <c r="CD14" s="253">
        <f>BN14</f>
        <v>3500</v>
      </c>
      <c r="CE14" s="17"/>
      <c r="CF14" s="17"/>
      <c r="CG14" s="17"/>
      <c r="CH14" s="17"/>
    </row>
    <row r="15" spans="1:86" ht="17.25" customHeight="1" x14ac:dyDescent="0.2">
      <c r="A15" s="1843">
        <v>8</v>
      </c>
      <c r="B15" s="1844"/>
      <c r="C15" s="1844"/>
      <c r="D15" s="1845"/>
      <c r="E15" s="1904" t="s">
        <v>143</v>
      </c>
      <c r="F15" s="1905"/>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5"/>
      <c r="AJ15" s="1905"/>
      <c r="AK15" s="1905"/>
      <c r="AL15" s="1905"/>
      <c r="AM15" s="1906"/>
      <c r="AN15" s="1914">
        <f>BN15</f>
        <v>7000</v>
      </c>
      <c r="AO15" s="1915"/>
      <c r="AP15" s="1915"/>
      <c r="AQ15" s="1915"/>
      <c r="AR15" s="1915"/>
      <c r="AS15" s="1915"/>
      <c r="AT15" s="1915"/>
      <c r="AU15" s="1915"/>
      <c r="AV15" s="1915"/>
      <c r="AW15" s="1915"/>
      <c r="AX15" s="1915"/>
      <c r="AY15" s="1915"/>
      <c r="AZ15" s="1915"/>
      <c r="BA15" s="1915"/>
      <c r="BB15" s="1915"/>
      <c r="BC15" s="1916"/>
      <c r="BD15" s="1901">
        <v>1</v>
      </c>
      <c r="BE15" s="1902"/>
      <c r="BF15" s="1902"/>
      <c r="BG15" s="1902"/>
      <c r="BH15" s="1902"/>
      <c r="BI15" s="1902"/>
      <c r="BJ15" s="1902"/>
      <c r="BK15" s="1902"/>
      <c r="BL15" s="1902"/>
      <c r="BM15" s="1903"/>
      <c r="BN15" s="1791">
        <f>CD15</f>
        <v>7000</v>
      </c>
      <c r="BO15" s="1792"/>
      <c r="BP15" s="1792"/>
      <c r="BQ15" s="1792"/>
      <c r="BR15" s="1792"/>
      <c r="BS15" s="1792"/>
      <c r="BT15" s="1792"/>
      <c r="BU15" s="1792"/>
      <c r="BV15" s="1792"/>
      <c r="BW15" s="1792"/>
      <c r="BX15" s="1792"/>
      <c r="BY15" s="1792"/>
      <c r="BZ15" s="1792"/>
      <c r="CA15" s="1792"/>
      <c r="CB15" s="1793"/>
      <c r="CC15" s="17"/>
      <c r="CD15" s="253">
        <v>7000</v>
      </c>
      <c r="CE15" s="17"/>
      <c r="CF15" s="17"/>
      <c r="CG15" s="17"/>
      <c r="CH15" s="17"/>
    </row>
    <row r="16" spans="1:86" ht="17.25" customHeight="1" x14ac:dyDescent="0.2">
      <c r="A16" s="1843">
        <v>9</v>
      </c>
      <c r="B16" s="1844"/>
      <c r="C16" s="1844"/>
      <c r="D16" s="1845"/>
      <c r="E16" s="1904" t="s">
        <v>645</v>
      </c>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5"/>
      <c r="AK16" s="1905"/>
      <c r="AL16" s="1905"/>
      <c r="AM16" s="1906"/>
      <c r="AN16" s="1914">
        <v>20000</v>
      </c>
      <c r="AO16" s="1915"/>
      <c r="AP16" s="1915"/>
      <c r="AQ16" s="1915"/>
      <c r="AR16" s="1915"/>
      <c r="AS16" s="1915"/>
      <c r="AT16" s="1915"/>
      <c r="AU16" s="1915"/>
      <c r="AV16" s="1915"/>
      <c r="AW16" s="1915"/>
      <c r="AX16" s="1915"/>
      <c r="AY16" s="1915"/>
      <c r="AZ16" s="1915"/>
      <c r="BA16" s="1915"/>
      <c r="BB16" s="1915"/>
      <c r="BC16" s="1916"/>
      <c r="BD16" s="1901">
        <v>1</v>
      </c>
      <c r="BE16" s="1902"/>
      <c r="BF16" s="1902"/>
      <c r="BG16" s="1902"/>
      <c r="BH16" s="1902"/>
      <c r="BI16" s="1902"/>
      <c r="BJ16" s="1902"/>
      <c r="BK16" s="1902"/>
      <c r="BL16" s="1902"/>
      <c r="BM16" s="1903"/>
      <c r="BN16" s="1791">
        <v>20000</v>
      </c>
      <c r="BO16" s="1792"/>
      <c r="BP16" s="1792"/>
      <c r="BQ16" s="1792"/>
      <c r="BR16" s="1792"/>
      <c r="BS16" s="1792"/>
      <c r="BT16" s="1792"/>
      <c r="BU16" s="1792"/>
      <c r="BV16" s="1792"/>
      <c r="BW16" s="1792"/>
      <c r="BX16" s="1792"/>
      <c r="BY16" s="1792"/>
      <c r="BZ16" s="1792"/>
      <c r="CA16" s="1792"/>
      <c r="CB16" s="1793"/>
      <c r="CC16" s="17"/>
      <c r="CD16" s="253">
        <f>BN16</f>
        <v>20000</v>
      </c>
      <c r="CE16" s="17"/>
      <c r="CF16" s="17"/>
      <c r="CG16" s="17"/>
      <c r="CH16" s="17"/>
    </row>
    <row r="17" spans="1:86" ht="17.25" customHeight="1" x14ac:dyDescent="0.2">
      <c r="A17" s="1843">
        <v>10</v>
      </c>
      <c r="B17" s="1844"/>
      <c r="C17" s="1844"/>
      <c r="D17" s="1845"/>
      <c r="E17" s="1904" t="s">
        <v>646</v>
      </c>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6"/>
      <c r="AN17" s="1914">
        <v>20000</v>
      </c>
      <c r="AO17" s="1915"/>
      <c r="AP17" s="1915"/>
      <c r="AQ17" s="1915"/>
      <c r="AR17" s="1915"/>
      <c r="AS17" s="1915"/>
      <c r="AT17" s="1915"/>
      <c r="AU17" s="1915"/>
      <c r="AV17" s="1915"/>
      <c r="AW17" s="1915"/>
      <c r="AX17" s="1915"/>
      <c r="AY17" s="1915"/>
      <c r="AZ17" s="1915"/>
      <c r="BA17" s="1915"/>
      <c r="BB17" s="1915"/>
      <c r="BC17" s="1916"/>
      <c r="BD17" s="1901">
        <v>1</v>
      </c>
      <c r="BE17" s="1902"/>
      <c r="BF17" s="1902"/>
      <c r="BG17" s="1902"/>
      <c r="BH17" s="1902"/>
      <c r="BI17" s="1902"/>
      <c r="BJ17" s="1902"/>
      <c r="BK17" s="1902"/>
      <c r="BL17" s="1902"/>
      <c r="BM17" s="1903"/>
      <c r="BN17" s="1791">
        <v>20000</v>
      </c>
      <c r="BO17" s="1792"/>
      <c r="BP17" s="1792"/>
      <c r="BQ17" s="1792"/>
      <c r="BR17" s="1792"/>
      <c r="BS17" s="1792"/>
      <c r="BT17" s="1792"/>
      <c r="BU17" s="1792"/>
      <c r="BV17" s="1792"/>
      <c r="BW17" s="1792"/>
      <c r="BX17" s="1792"/>
      <c r="BY17" s="1792"/>
      <c r="BZ17" s="1792"/>
      <c r="CA17" s="1792"/>
      <c r="CB17" s="1793"/>
      <c r="CC17" s="50"/>
      <c r="CD17" s="253">
        <f>BN17</f>
        <v>20000</v>
      </c>
      <c r="CE17" s="50"/>
      <c r="CF17" s="50"/>
      <c r="CG17" s="50"/>
      <c r="CH17" s="50"/>
    </row>
    <row r="18" spans="1:86" ht="19.5" customHeight="1" x14ac:dyDescent="0.2">
      <c r="A18" s="1803">
        <v>11</v>
      </c>
      <c r="B18" s="1804"/>
      <c r="C18" s="1804"/>
      <c r="D18" s="1805"/>
      <c r="E18" s="1904" t="s">
        <v>145</v>
      </c>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6"/>
      <c r="AN18" s="1914">
        <v>9000</v>
      </c>
      <c r="AO18" s="1915"/>
      <c r="AP18" s="1915"/>
      <c r="AQ18" s="1915"/>
      <c r="AR18" s="1915"/>
      <c r="AS18" s="1915"/>
      <c r="AT18" s="1915"/>
      <c r="AU18" s="1915"/>
      <c r="AV18" s="1915"/>
      <c r="AW18" s="1915"/>
      <c r="AX18" s="1915"/>
      <c r="AY18" s="1915"/>
      <c r="AZ18" s="1915"/>
      <c r="BA18" s="1915"/>
      <c r="BB18" s="1915"/>
      <c r="BC18" s="1916"/>
      <c r="BD18" s="1901">
        <v>2</v>
      </c>
      <c r="BE18" s="1902"/>
      <c r="BF18" s="1902"/>
      <c r="BG18" s="1902"/>
      <c r="BH18" s="1902"/>
      <c r="BI18" s="1902"/>
      <c r="BJ18" s="1902"/>
      <c r="BK18" s="1902"/>
      <c r="BL18" s="1902"/>
      <c r="BM18" s="1903"/>
      <c r="BN18" s="1791">
        <f>AN18*BD18</f>
        <v>18000</v>
      </c>
      <c r="BO18" s="1792"/>
      <c r="BP18" s="1792"/>
      <c r="BQ18" s="1792"/>
      <c r="BR18" s="1792"/>
      <c r="BS18" s="1792"/>
      <c r="BT18" s="1792"/>
      <c r="BU18" s="1792"/>
      <c r="BV18" s="1792"/>
      <c r="BW18" s="1792"/>
      <c r="BX18" s="1792"/>
      <c r="BY18" s="1792"/>
      <c r="BZ18" s="1792"/>
      <c r="CA18" s="1792"/>
      <c r="CB18" s="1793"/>
      <c r="CC18" s="17"/>
      <c r="CD18" s="253">
        <f>BN18</f>
        <v>18000</v>
      </c>
      <c r="CE18" s="50"/>
      <c r="CF18" s="50"/>
      <c r="CG18" s="50"/>
      <c r="CH18" s="50"/>
    </row>
    <row r="19" spans="1:86" ht="24.75" customHeight="1" x14ac:dyDescent="0.2">
      <c r="A19" s="1803">
        <v>12</v>
      </c>
      <c r="B19" s="1804"/>
      <c r="C19" s="1804"/>
      <c r="D19" s="1805"/>
      <c r="E19" s="1904" t="s">
        <v>146</v>
      </c>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6"/>
      <c r="AN19" s="1914">
        <v>20000</v>
      </c>
      <c r="AO19" s="1915"/>
      <c r="AP19" s="1915"/>
      <c r="AQ19" s="1915"/>
      <c r="AR19" s="1915"/>
      <c r="AS19" s="1915"/>
      <c r="AT19" s="1915"/>
      <c r="AU19" s="1915"/>
      <c r="AV19" s="1915"/>
      <c r="AW19" s="1915"/>
      <c r="AX19" s="1915"/>
      <c r="AY19" s="1915"/>
      <c r="AZ19" s="1915"/>
      <c r="BA19" s="1915"/>
      <c r="BB19" s="1915"/>
      <c r="BC19" s="1916"/>
      <c r="BD19" s="1901">
        <v>1</v>
      </c>
      <c r="BE19" s="1902"/>
      <c r="BF19" s="1902"/>
      <c r="BG19" s="1902"/>
      <c r="BH19" s="1902"/>
      <c r="BI19" s="1902"/>
      <c r="BJ19" s="1902"/>
      <c r="BK19" s="1902"/>
      <c r="BL19" s="1902"/>
      <c r="BM19" s="1903"/>
      <c r="BN19" s="1791">
        <f>AN19*BD19</f>
        <v>20000</v>
      </c>
      <c r="BO19" s="1792"/>
      <c r="BP19" s="1792"/>
      <c r="BQ19" s="1792"/>
      <c r="BR19" s="1792"/>
      <c r="BS19" s="1792"/>
      <c r="BT19" s="1792"/>
      <c r="BU19" s="1792"/>
      <c r="BV19" s="1792"/>
      <c r="BW19" s="1792"/>
      <c r="BX19" s="1792"/>
      <c r="BY19" s="1792"/>
      <c r="BZ19" s="1792"/>
      <c r="CA19" s="1792"/>
      <c r="CB19" s="1793"/>
      <c r="CC19" s="17"/>
      <c r="CD19" s="253">
        <f>BN19</f>
        <v>20000</v>
      </c>
      <c r="CE19" s="17"/>
      <c r="CF19" s="17"/>
      <c r="CG19" s="17"/>
      <c r="CH19" s="17"/>
    </row>
    <row r="20" spans="1:86" ht="27" customHeight="1" x14ac:dyDescent="0.2">
      <c r="A20" s="1803">
        <v>13</v>
      </c>
      <c r="B20" s="1804"/>
      <c r="C20" s="1804"/>
      <c r="D20" s="1805"/>
      <c r="E20" s="1904" t="s">
        <v>148</v>
      </c>
      <c r="F20" s="1917"/>
      <c r="G20" s="1917"/>
      <c r="H20" s="1917"/>
      <c r="I20" s="1917"/>
      <c r="J20" s="1917"/>
      <c r="K20" s="1917"/>
      <c r="L20" s="1917"/>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c r="AH20" s="1917"/>
      <c r="AI20" s="1917"/>
      <c r="AJ20" s="1917"/>
      <c r="AK20" s="1917"/>
      <c r="AL20" s="1917"/>
      <c r="AM20" s="1918"/>
      <c r="AN20" s="1914">
        <v>6000</v>
      </c>
      <c r="AO20" s="1915"/>
      <c r="AP20" s="1915"/>
      <c r="AQ20" s="1915"/>
      <c r="AR20" s="1915"/>
      <c r="AS20" s="1915"/>
      <c r="AT20" s="1915"/>
      <c r="AU20" s="1915"/>
      <c r="AV20" s="1915"/>
      <c r="AW20" s="1915"/>
      <c r="AX20" s="1915"/>
      <c r="AY20" s="1915"/>
      <c r="AZ20" s="1915"/>
      <c r="BA20" s="1915"/>
      <c r="BB20" s="1915"/>
      <c r="BC20" s="1916"/>
      <c r="BD20" s="1901">
        <v>2</v>
      </c>
      <c r="BE20" s="1902"/>
      <c r="BF20" s="1902"/>
      <c r="BG20" s="1902"/>
      <c r="BH20" s="1902"/>
      <c r="BI20" s="1902"/>
      <c r="BJ20" s="1902"/>
      <c r="BK20" s="1902"/>
      <c r="BL20" s="1902"/>
      <c r="BM20" s="1903"/>
      <c r="BN20" s="1791">
        <v>12000</v>
      </c>
      <c r="BO20" s="1792"/>
      <c r="BP20" s="1792"/>
      <c r="BQ20" s="1792"/>
      <c r="BR20" s="1792"/>
      <c r="BS20" s="1792"/>
      <c r="BT20" s="1792"/>
      <c r="BU20" s="1792"/>
      <c r="BV20" s="1792"/>
      <c r="BW20" s="1792"/>
      <c r="BX20" s="1792"/>
      <c r="BY20" s="1792"/>
      <c r="BZ20" s="1792"/>
      <c r="CA20" s="1792"/>
      <c r="CB20" s="1793"/>
      <c r="CC20" s="17"/>
      <c r="CD20" s="253">
        <v>12000</v>
      </c>
      <c r="CE20" s="17"/>
      <c r="CF20" s="17"/>
      <c r="CG20" s="17"/>
      <c r="CH20" s="17"/>
    </row>
    <row r="21" spans="1:86" ht="31.5" customHeight="1" x14ac:dyDescent="0.2">
      <c r="A21" s="1803">
        <v>14</v>
      </c>
      <c r="B21" s="1804"/>
      <c r="C21" s="1804"/>
      <c r="D21" s="1805"/>
      <c r="E21" s="1904" t="s">
        <v>149</v>
      </c>
      <c r="F21" s="1905"/>
      <c r="G21" s="1905"/>
      <c r="H21" s="1905"/>
      <c r="I21" s="1905"/>
      <c r="J21" s="1905"/>
      <c r="K21" s="1905"/>
      <c r="L21" s="1905"/>
      <c r="M21" s="1905"/>
      <c r="N21" s="1905"/>
      <c r="O21" s="1905"/>
      <c r="P21" s="1905"/>
      <c r="Q21" s="1905"/>
      <c r="R21" s="1905"/>
      <c r="S21" s="1905"/>
      <c r="T21" s="1905"/>
      <c r="U21" s="1905"/>
      <c r="V21" s="1905"/>
      <c r="W21" s="1905"/>
      <c r="X21" s="1905"/>
      <c r="Y21" s="1905"/>
      <c r="Z21" s="1905"/>
      <c r="AA21" s="1905"/>
      <c r="AB21" s="1905"/>
      <c r="AC21" s="1905"/>
      <c r="AD21" s="1905"/>
      <c r="AE21" s="1905"/>
      <c r="AF21" s="1905"/>
      <c r="AG21" s="1905"/>
      <c r="AH21" s="1905"/>
      <c r="AI21" s="1905"/>
      <c r="AJ21" s="1905"/>
      <c r="AK21" s="1905"/>
      <c r="AL21" s="1905"/>
      <c r="AM21" s="1906"/>
      <c r="AN21" s="1914">
        <v>442</v>
      </c>
      <c r="AO21" s="1915"/>
      <c r="AP21" s="1915"/>
      <c r="AQ21" s="1915"/>
      <c r="AR21" s="1915"/>
      <c r="AS21" s="1915"/>
      <c r="AT21" s="1915"/>
      <c r="AU21" s="1915"/>
      <c r="AV21" s="1915"/>
      <c r="AW21" s="1915"/>
      <c r="AX21" s="1915"/>
      <c r="AY21" s="1915"/>
      <c r="AZ21" s="1915"/>
      <c r="BA21" s="1915"/>
      <c r="BB21" s="1915"/>
      <c r="BC21" s="1916"/>
      <c r="BD21" s="1901">
        <v>2</v>
      </c>
      <c r="BE21" s="1902"/>
      <c r="BF21" s="1902"/>
      <c r="BG21" s="1902"/>
      <c r="BH21" s="1902"/>
      <c r="BI21" s="1902"/>
      <c r="BJ21" s="1902"/>
      <c r="BK21" s="1902"/>
      <c r="BL21" s="1902"/>
      <c r="BM21" s="1903"/>
      <c r="BN21" s="1791">
        <f>AN21*BD21</f>
        <v>884</v>
      </c>
      <c r="BO21" s="1792"/>
      <c r="BP21" s="1792"/>
      <c r="BQ21" s="1792"/>
      <c r="BR21" s="1792"/>
      <c r="BS21" s="1792"/>
      <c r="BT21" s="1792"/>
      <c r="BU21" s="1792"/>
      <c r="BV21" s="1792"/>
      <c r="BW21" s="1792"/>
      <c r="BX21" s="1792"/>
      <c r="BY21" s="1792"/>
      <c r="BZ21" s="1792"/>
      <c r="CA21" s="1792"/>
      <c r="CB21" s="1793"/>
      <c r="CC21" s="17"/>
      <c r="CD21" s="253">
        <f>BN21</f>
        <v>884</v>
      </c>
      <c r="CE21" s="17"/>
      <c r="CF21" s="17"/>
      <c r="CG21" s="17"/>
      <c r="CH21" s="17"/>
    </row>
    <row r="22" spans="1:86" x14ac:dyDescent="0.2">
      <c r="A22" s="1803">
        <v>15</v>
      </c>
      <c r="B22" s="1804"/>
      <c r="C22" s="1804"/>
      <c r="D22" s="1805"/>
      <c r="E22" s="1904" t="s">
        <v>150</v>
      </c>
      <c r="F22" s="1905"/>
      <c r="G22" s="1905"/>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1905"/>
      <c r="AM22" s="1906"/>
      <c r="AN22" s="1914">
        <v>4500</v>
      </c>
      <c r="AO22" s="1915"/>
      <c r="AP22" s="1915"/>
      <c r="AQ22" s="1915"/>
      <c r="AR22" s="1915"/>
      <c r="AS22" s="1915"/>
      <c r="AT22" s="1915"/>
      <c r="AU22" s="1915"/>
      <c r="AV22" s="1915"/>
      <c r="AW22" s="1915"/>
      <c r="AX22" s="1915"/>
      <c r="AY22" s="1915"/>
      <c r="AZ22" s="1915"/>
      <c r="BA22" s="1915"/>
      <c r="BB22" s="1915"/>
      <c r="BC22" s="1916"/>
      <c r="BD22" s="1901">
        <v>2</v>
      </c>
      <c r="BE22" s="1902"/>
      <c r="BF22" s="1902"/>
      <c r="BG22" s="1902"/>
      <c r="BH22" s="1902"/>
      <c r="BI22" s="1902"/>
      <c r="BJ22" s="1902"/>
      <c r="BK22" s="1902"/>
      <c r="BL22" s="1902"/>
      <c r="BM22" s="1903"/>
      <c r="BN22" s="1791">
        <f>AN22*BD22</f>
        <v>9000</v>
      </c>
      <c r="BO22" s="1792"/>
      <c r="BP22" s="1792"/>
      <c r="BQ22" s="1792"/>
      <c r="BR22" s="1792"/>
      <c r="BS22" s="1792"/>
      <c r="BT22" s="1792"/>
      <c r="BU22" s="1792"/>
      <c r="BV22" s="1792"/>
      <c r="BW22" s="1792"/>
      <c r="BX22" s="1792"/>
      <c r="BY22" s="1792"/>
      <c r="BZ22" s="1792"/>
      <c r="CA22" s="1792"/>
      <c r="CB22" s="1793"/>
      <c r="CC22" s="17"/>
      <c r="CD22" s="253">
        <f>BN22</f>
        <v>9000</v>
      </c>
      <c r="CE22" s="17"/>
      <c r="CF22" s="17"/>
      <c r="CG22" s="17"/>
      <c r="CH22" s="17"/>
    </row>
    <row r="23" spans="1:86" x14ac:dyDescent="0.2">
      <c r="A23" s="1803">
        <v>16</v>
      </c>
      <c r="B23" s="1804"/>
      <c r="C23" s="1804"/>
      <c r="D23" s="1805"/>
      <c r="E23" s="1904" t="s">
        <v>647</v>
      </c>
      <c r="F23" s="1905"/>
      <c r="G23" s="1905"/>
      <c r="H23" s="1905"/>
      <c r="I23" s="1905"/>
      <c r="J23" s="1905"/>
      <c r="K23" s="1905"/>
      <c r="L23" s="1905"/>
      <c r="M23" s="1905"/>
      <c r="N23" s="1905"/>
      <c r="O23" s="1905"/>
      <c r="P23" s="1905"/>
      <c r="Q23" s="1905"/>
      <c r="R23" s="1905"/>
      <c r="S23" s="1905"/>
      <c r="T23" s="1905"/>
      <c r="U23" s="1905"/>
      <c r="V23" s="1905"/>
      <c r="W23" s="1905"/>
      <c r="X23" s="1905"/>
      <c r="Y23" s="1905"/>
      <c r="Z23" s="1905"/>
      <c r="AA23" s="1905"/>
      <c r="AB23" s="1905"/>
      <c r="AC23" s="1905"/>
      <c r="AD23" s="1905"/>
      <c r="AE23" s="1905"/>
      <c r="AF23" s="1905"/>
      <c r="AG23" s="1905"/>
      <c r="AH23" s="1905"/>
      <c r="AI23" s="1905"/>
      <c r="AJ23" s="1905"/>
      <c r="AK23" s="1905"/>
      <c r="AL23" s="1905"/>
      <c r="AM23" s="1906"/>
      <c r="AN23" s="1914">
        <v>13975.15</v>
      </c>
      <c r="AO23" s="1915"/>
      <c r="AP23" s="1915"/>
      <c r="AQ23" s="1915"/>
      <c r="AR23" s="1915"/>
      <c r="AS23" s="1915"/>
      <c r="AT23" s="1915"/>
      <c r="AU23" s="1915"/>
      <c r="AV23" s="1915"/>
      <c r="AW23" s="1915"/>
      <c r="AX23" s="1915"/>
      <c r="AY23" s="1915"/>
      <c r="AZ23" s="1915"/>
      <c r="BA23" s="1915"/>
      <c r="BB23" s="1915"/>
      <c r="BC23" s="1916"/>
      <c r="BD23" s="1901">
        <v>1</v>
      </c>
      <c r="BE23" s="1902"/>
      <c r="BF23" s="1902"/>
      <c r="BG23" s="1902"/>
      <c r="BH23" s="1902"/>
      <c r="BI23" s="1902"/>
      <c r="BJ23" s="1902"/>
      <c r="BK23" s="1902"/>
      <c r="BL23" s="1902"/>
      <c r="BM23" s="1903"/>
      <c r="BN23" s="1791">
        <f>AN23*BD23</f>
        <v>13975.15</v>
      </c>
      <c r="BO23" s="1792"/>
      <c r="BP23" s="1792"/>
      <c r="BQ23" s="1792"/>
      <c r="BR23" s="1792"/>
      <c r="BS23" s="1792"/>
      <c r="BT23" s="1792"/>
      <c r="BU23" s="1792"/>
      <c r="BV23" s="1792"/>
      <c r="BW23" s="1792"/>
      <c r="BX23" s="1792"/>
      <c r="BY23" s="1792"/>
      <c r="BZ23" s="1792"/>
      <c r="CA23" s="1792"/>
      <c r="CB23" s="1793"/>
      <c r="CC23" s="17"/>
      <c r="CD23" s="253">
        <f>BN23</f>
        <v>13975.15</v>
      </c>
      <c r="CE23" s="17"/>
      <c r="CF23" s="17"/>
      <c r="CG23" s="17"/>
      <c r="CH23" s="17"/>
    </row>
    <row r="24" spans="1:86" x14ac:dyDescent="0.2">
      <c r="A24" s="1803">
        <v>17</v>
      </c>
      <c r="B24" s="1804"/>
      <c r="C24" s="1804"/>
      <c r="D24" s="1805"/>
      <c r="E24" s="1904" t="s">
        <v>585</v>
      </c>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6"/>
      <c r="AN24" s="1914">
        <v>1565</v>
      </c>
      <c r="AO24" s="1915"/>
      <c r="AP24" s="1915"/>
      <c r="AQ24" s="1915"/>
      <c r="AR24" s="1915"/>
      <c r="AS24" s="1915"/>
      <c r="AT24" s="1915"/>
      <c r="AU24" s="1915"/>
      <c r="AV24" s="1915"/>
      <c r="AW24" s="1915"/>
      <c r="AX24" s="1915"/>
      <c r="AY24" s="1915"/>
      <c r="AZ24" s="1915"/>
      <c r="BA24" s="1915"/>
      <c r="BB24" s="1915"/>
      <c r="BC24" s="1916"/>
      <c r="BD24" s="1901">
        <v>12</v>
      </c>
      <c r="BE24" s="1902"/>
      <c r="BF24" s="1902"/>
      <c r="BG24" s="1902"/>
      <c r="BH24" s="1902"/>
      <c r="BI24" s="1902"/>
      <c r="BJ24" s="1902"/>
      <c r="BK24" s="1902"/>
      <c r="BL24" s="1902"/>
      <c r="BM24" s="1903"/>
      <c r="BN24" s="1791">
        <f>AN24*BD24</f>
        <v>18780</v>
      </c>
      <c r="BO24" s="1792"/>
      <c r="BP24" s="1792"/>
      <c r="BQ24" s="1792"/>
      <c r="BR24" s="1792"/>
      <c r="BS24" s="1792"/>
      <c r="BT24" s="1792"/>
      <c r="BU24" s="1792"/>
      <c r="BV24" s="1792"/>
      <c r="BW24" s="1792"/>
      <c r="BX24" s="1792"/>
      <c r="BY24" s="1792"/>
      <c r="BZ24" s="1792"/>
      <c r="CA24" s="1792"/>
      <c r="CB24" s="1793"/>
      <c r="CC24" s="17"/>
      <c r="CD24" s="253">
        <f>BN24</f>
        <v>18780</v>
      </c>
      <c r="CE24" s="17"/>
      <c r="CF24" s="17"/>
      <c r="CG24" s="17"/>
      <c r="CH24" s="17"/>
    </row>
    <row r="25" spans="1:86" ht="26.25" customHeight="1" x14ac:dyDescent="0.2">
      <c r="A25" s="1843">
        <v>18</v>
      </c>
      <c r="B25" s="1844"/>
      <c r="C25" s="1844"/>
      <c r="D25" s="1845"/>
      <c r="E25" s="1904" t="s">
        <v>587</v>
      </c>
      <c r="F25" s="1917"/>
      <c r="G25" s="1917"/>
      <c r="H25" s="1917"/>
      <c r="I25" s="1917"/>
      <c r="J25" s="1917"/>
      <c r="K25" s="1917"/>
      <c r="L25" s="1917"/>
      <c r="M25" s="1917"/>
      <c r="N25" s="1917"/>
      <c r="O25" s="1917"/>
      <c r="P25" s="1917"/>
      <c r="Q25" s="1917"/>
      <c r="R25" s="1917"/>
      <c r="S25" s="1917"/>
      <c r="T25" s="1917"/>
      <c r="U25" s="1917"/>
      <c r="V25" s="1917"/>
      <c r="W25" s="1917"/>
      <c r="X25" s="1917"/>
      <c r="Y25" s="1917"/>
      <c r="Z25" s="1917"/>
      <c r="AA25" s="1917"/>
      <c r="AB25" s="1917"/>
      <c r="AC25" s="1917"/>
      <c r="AD25" s="1917"/>
      <c r="AE25" s="1917"/>
      <c r="AF25" s="1917"/>
      <c r="AG25" s="1917"/>
      <c r="AH25" s="1917"/>
      <c r="AI25" s="1917"/>
      <c r="AJ25" s="1917"/>
      <c r="AK25" s="1917"/>
      <c r="AL25" s="1917"/>
      <c r="AM25" s="1918"/>
      <c r="AN25" s="1919">
        <v>1187</v>
      </c>
      <c r="AO25" s="1920"/>
      <c r="AP25" s="1920"/>
      <c r="AQ25" s="1920"/>
      <c r="AR25" s="1920"/>
      <c r="AS25" s="1920"/>
      <c r="AT25" s="1920"/>
      <c r="AU25" s="1920"/>
      <c r="AV25" s="1920"/>
      <c r="AW25" s="1920"/>
      <c r="AX25" s="1920"/>
      <c r="AY25" s="1920"/>
      <c r="AZ25" s="1920"/>
      <c r="BA25" s="1920"/>
      <c r="BB25" s="1920"/>
      <c r="BC25" s="1921"/>
      <c r="BD25" s="1901">
        <v>12</v>
      </c>
      <c r="BE25" s="1546"/>
      <c r="BF25" s="1546"/>
      <c r="BG25" s="1546"/>
      <c r="BH25" s="1546"/>
      <c r="BI25" s="1546"/>
      <c r="BJ25" s="1546"/>
      <c r="BK25" s="1546"/>
      <c r="BL25" s="1546"/>
      <c r="BM25" s="1547"/>
      <c r="BN25" s="1852">
        <f>AN25*BD25</f>
        <v>14244</v>
      </c>
      <c r="BO25" s="1853"/>
      <c r="BP25" s="1853"/>
      <c r="BQ25" s="1853"/>
      <c r="BR25" s="1853"/>
      <c r="BS25" s="1853"/>
      <c r="BT25" s="1853"/>
      <c r="BU25" s="1853"/>
      <c r="BV25" s="1853"/>
      <c r="BW25" s="1853"/>
      <c r="BX25" s="1853"/>
      <c r="BY25" s="1853"/>
      <c r="BZ25" s="1853"/>
      <c r="CA25" s="1853"/>
      <c r="CB25" s="1854"/>
      <c r="CC25" s="17"/>
      <c r="CD25" s="23">
        <f>BN25</f>
        <v>14244</v>
      </c>
      <c r="CE25" s="17"/>
      <c r="CF25" s="17"/>
      <c r="CG25" s="17"/>
      <c r="CH25" s="17"/>
    </row>
    <row r="26" spans="1:86" x14ac:dyDescent="0.2">
      <c r="A26" s="1803"/>
      <c r="B26" s="1804"/>
      <c r="C26" s="1804"/>
      <c r="D26" s="1805"/>
      <c r="E26" s="1831" t="s">
        <v>151</v>
      </c>
      <c r="F26" s="1832"/>
      <c r="G26" s="1832"/>
      <c r="H26" s="1832"/>
      <c r="I26" s="1832"/>
      <c r="J26" s="1832"/>
      <c r="K26" s="1832"/>
      <c r="L26" s="1832"/>
      <c r="M26" s="1832"/>
      <c r="N26" s="1832"/>
      <c r="O26" s="1832"/>
      <c r="P26" s="1832"/>
      <c r="Q26" s="1832"/>
      <c r="R26" s="1832"/>
      <c r="S26" s="1832"/>
      <c r="T26" s="1832"/>
      <c r="U26" s="1832"/>
      <c r="V26" s="1832"/>
      <c r="W26" s="1832"/>
      <c r="X26" s="1832"/>
      <c r="Y26" s="1832"/>
      <c r="Z26" s="1832"/>
      <c r="AA26" s="1832"/>
      <c r="AB26" s="1832"/>
      <c r="AC26" s="1832"/>
      <c r="AD26" s="1832"/>
      <c r="AE26" s="1832"/>
      <c r="AF26" s="1832"/>
      <c r="AG26" s="1832"/>
      <c r="AH26" s="1832"/>
      <c r="AI26" s="1832"/>
      <c r="AJ26" s="1832"/>
      <c r="AK26" s="1832"/>
      <c r="AL26" s="1832"/>
      <c r="AM26" s="1833"/>
      <c r="AN26" s="1824" t="s">
        <v>3</v>
      </c>
      <c r="AO26" s="1825"/>
      <c r="AP26" s="1825"/>
      <c r="AQ26" s="1825"/>
      <c r="AR26" s="1825"/>
      <c r="AS26" s="1825"/>
      <c r="AT26" s="1825"/>
      <c r="AU26" s="1825"/>
      <c r="AV26" s="1825"/>
      <c r="AW26" s="1825"/>
      <c r="AX26" s="1825"/>
      <c r="AY26" s="1825"/>
      <c r="AZ26" s="1825"/>
      <c r="BA26" s="1825"/>
      <c r="BB26" s="1825"/>
      <c r="BC26" s="1826"/>
      <c r="BD26" s="1797" t="s">
        <v>3</v>
      </c>
      <c r="BE26" s="1798"/>
      <c r="BF26" s="1798"/>
      <c r="BG26" s="1798"/>
      <c r="BH26" s="1798"/>
      <c r="BI26" s="1798"/>
      <c r="BJ26" s="1798"/>
      <c r="BK26" s="1798"/>
      <c r="BL26" s="1798"/>
      <c r="BM26" s="1799"/>
      <c r="BN26" s="1800">
        <f>SUM(BN8:CB25)</f>
        <v>286855.51</v>
      </c>
      <c r="BO26" s="1801"/>
      <c r="BP26" s="1801"/>
      <c r="BQ26" s="1801"/>
      <c r="BR26" s="1801"/>
      <c r="BS26" s="1801"/>
      <c r="BT26" s="1801"/>
      <c r="BU26" s="1801"/>
      <c r="BV26" s="1801"/>
      <c r="BW26" s="1801"/>
      <c r="BX26" s="1801"/>
      <c r="BY26" s="1801"/>
      <c r="BZ26" s="1801"/>
      <c r="CA26" s="1801"/>
      <c r="CB26" s="1802"/>
      <c r="CC26" s="17"/>
      <c r="CD26" s="254">
        <f>SUM(CD8:CD25)</f>
        <v>286855.51</v>
      </c>
      <c r="CE26" s="254"/>
      <c r="CF26" s="254"/>
      <c r="CG26" s="254">
        <f>SUM(CG23:CG23)</f>
        <v>0</v>
      </c>
      <c r="CH26" s="17"/>
    </row>
    <row r="27" spans="1:86" s="4" customFormat="1" ht="30.75" customHeight="1" x14ac:dyDescent="0.25">
      <c r="A27" s="1817" t="s">
        <v>152</v>
      </c>
      <c r="B27" s="1817"/>
      <c r="C27" s="1817"/>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1817"/>
      <c r="AM27" s="1817"/>
      <c r="AN27" s="1817"/>
      <c r="AO27" s="1817"/>
      <c r="AP27" s="1817"/>
      <c r="AQ27" s="1817"/>
      <c r="AR27" s="1817"/>
      <c r="AS27" s="1817"/>
      <c r="AT27" s="1817"/>
      <c r="AU27" s="1817"/>
      <c r="AV27" s="1817"/>
      <c r="AW27" s="1817"/>
      <c r="AX27" s="1817"/>
      <c r="AY27" s="1817"/>
      <c r="AZ27" s="1817"/>
      <c r="BA27" s="1817"/>
      <c r="BB27" s="1817"/>
      <c r="BC27" s="1817"/>
      <c r="BD27" s="1817"/>
      <c r="BE27" s="1817"/>
      <c r="BF27" s="1817"/>
      <c r="BG27" s="1817"/>
      <c r="BH27" s="1817"/>
      <c r="BI27" s="1817"/>
      <c r="BJ27" s="1817"/>
      <c r="BK27" s="1817"/>
      <c r="BL27" s="1817"/>
      <c r="BM27" s="1817"/>
      <c r="BN27" s="1817"/>
      <c r="BO27" s="1817"/>
      <c r="BP27" s="1817"/>
      <c r="BQ27" s="1817"/>
      <c r="BR27" s="1817"/>
      <c r="BS27" s="1817"/>
      <c r="BT27" s="1817"/>
      <c r="BU27" s="1817"/>
      <c r="BV27" s="1817"/>
      <c r="BW27" s="1817"/>
      <c r="BX27" s="1817"/>
      <c r="BY27" s="1817"/>
      <c r="BZ27" s="1817"/>
      <c r="CA27" s="1817"/>
      <c r="CB27" s="1817"/>
      <c r="CD27" s="255"/>
    </row>
    <row r="28" spans="1:86" x14ac:dyDescent="0.2">
      <c r="A28" s="1818" t="s">
        <v>71</v>
      </c>
      <c r="B28" s="1819"/>
      <c r="C28" s="1819"/>
      <c r="D28" s="1820"/>
      <c r="E28" s="1818" t="s">
        <v>4</v>
      </c>
      <c r="F28" s="1933"/>
      <c r="G28" s="1933"/>
      <c r="H28" s="1933"/>
      <c r="I28" s="1933"/>
      <c r="J28" s="1933"/>
      <c r="K28" s="1933"/>
      <c r="L28" s="1933"/>
      <c r="M28" s="1933"/>
      <c r="N28" s="1933"/>
      <c r="O28" s="1933"/>
      <c r="P28" s="1933"/>
      <c r="Q28" s="1933"/>
      <c r="R28" s="1933"/>
      <c r="S28" s="1933"/>
      <c r="T28" s="1933"/>
      <c r="U28" s="1933"/>
      <c r="V28" s="1933"/>
      <c r="W28" s="1933"/>
      <c r="X28" s="1933"/>
      <c r="Y28" s="1933"/>
      <c r="Z28" s="1933"/>
      <c r="AA28" s="1933"/>
      <c r="AB28" s="1933"/>
      <c r="AC28" s="1933"/>
      <c r="AD28" s="1933"/>
      <c r="AE28" s="1933"/>
      <c r="AF28" s="1933"/>
      <c r="AG28" s="1933"/>
      <c r="AH28" s="1933"/>
      <c r="AI28" s="1933"/>
      <c r="AJ28" s="1933"/>
      <c r="AK28" s="1933"/>
      <c r="AL28" s="1933"/>
      <c r="AM28" s="1934"/>
      <c r="AN28" s="1781" t="s">
        <v>139</v>
      </c>
      <c r="AO28" s="1925"/>
      <c r="AP28" s="1925"/>
      <c r="AQ28" s="1925"/>
      <c r="AR28" s="1925"/>
      <c r="AS28" s="1925"/>
      <c r="AT28" s="1925"/>
      <c r="AU28" s="1925"/>
      <c r="AV28" s="1925"/>
      <c r="AW28" s="1925"/>
      <c r="AX28" s="1925"/>
      <c r="AY28" s="1925"/>
      <c r="AZ28" s="1925"/>
      <c r="BA28" s="1925"/>
      <c r="BB28" s="1925"/>
      <c r="BC28" s="1782"/>
      <c r="BD28" s="1781" t="s">
        <v>140</v>
      </c>
      <c r="BE28" s="1925"/>
      <c r="BF28" s="1925"/>
      <c r="BG28" s="1925"/>
      <c r="BH28" s="1925"/>
      <c r="BI28" s="1925"/>
      <c r="BJ28" s="1925"/>
      <c r="BK28" s="1925"/>
      <c r="BL28" s="1925"/>
      <c r="BM28" s="1782"/>
      <c r="BN28" s="1818" t="s">
        <v>105</v>
      </c>
      <c r="BO28" s="1819"/>
      <c r="BP28" s="1819"/>
      <c r="BQ28" s="1819"/>
      <c r="BR28" s="1819"/>
      <c r="BS28" s="1819"/>
      <c r="BT28" s="1819"/>
      <c r="BU28" s="1819"/>
      <c r="BV28" s="1819"/>
      <c r="BW28" s="1819"/>
      <c r="BX28" s="1819"/>
      <c r="BY28" s="1819"/>
      <c r="BZ28" s="1819"/>
      <c r="CA28" s="1819"/>
      <c r="CB28" s="1820"/>
      <c r="CC28" s="1799" t="s">
        <v>52</v>
      </c>
      <c r="CD28" s="1806"/>
      <c r="CE28" s="1806"/>
      <c r="CF28" s="1806"/>
      <c r="CG28" s="1806"/>
      <c r="CH28" s="1806"/>
    </row>
    <row r="29" spans="1:86" ht="12.75" customHeight="1" x14ac:dyDescent="0.2">
      <c r="A29" s="1807" t="s">
        <v>77</v>
      </c>
      <c r="B29" s="1808"/>
      <c r="C29" s="1808"/>
      <c r="D29" s="1809"/>
      <c r="E29" s="1935"/>
      <c r="F29" s="1936"/>
      <c r="G29" s="1936"/>
      <c r="H29" s="1936"/>
      <c r="I29" s="1936"/>
      <c r="J29" s="1936"/>
      <c r="K29" s="1936"/>
      <c r="L29" s="1936"/>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7"/>
      <c r="AN29" s="1783"/>
      <c r="AO29" s="1926"/>
      <c r="AP29" s="1926"/>
      <c r="AQ29" s="1926"/>
      <c r="AR29" s="1926"/>
      <c r="AS29" s="1926"/>
      <c r="AT29" s="1926"/>
      <c r="AU29" s="1926"/>
      <c r="AV29" s="1926"/>
      <c r="AW29" s="1926"/>
      <c r="AX29" s="1926"/>
      <c r="AY29" s="1926"/>
      <c r="AZ29" s="1926"/>
      <c r="BA29" s="1926"/>
      <c r="BB29" s="1926"/>
      <c r="BC29" s="1784"/>
      <c r="BD29" s="1783"/>
      <c r="BE29" s="1926"/>
      <c r="BF29" s="1926"/>
      <c r="BG29" s="1926"/>
      <c r="BH29" s="1926"/>
      <c r="BI29" s="1926"/>
      <c r="BJ29" s="1926"/>
      <c r="BK29" s="1926"/>
      <c r="BL29" s="1926"/>
      <c r="BM29" s="1784"/>
      <c r="BN29" s="1807" t="s">
        <v>153</v>
      </c>
      <c r="BO29" s="1808"/>
      <c r="BP29" s="1808"/>
      <c r="BQ29" s="1808"/>
      <c r="BR29" s="1808"/>
      <c r="BS29" s="1808"/>
      <c r="BT29" s="1808"/>
      <c r="BU29" s="1808"/>
      <c r="BV29" s="1808"/>
      <c r="BW29" s="1808"/>
      <c r="BX29" s="1808"/>
      <c r="BY29" s="1808"/>
      <c r="BZ29" s="1808"/>
      <c r="CA29" s="1808"/>
      <c r="CB29" s="1809"/>
      <c r="CC29" s="1789" t="s">
        <v>35</v>
      </c>
      <c r="CD29" s="1810"/>
      <c r="CE29" s="1788" t="s">
        <v>45</v>
      </c>
      <c r="CF29" s="1790"/>
      <c r="CG29" s="1789"/>
      <c r="CH29" s="1778" t="s">
        <v>46</v>
      </c>
    </row>
    <row r="30" spans="1:86" ht="12.75" customHeight="1" x14ac:dyDescent="0.2">
      <c r="A30" s="1807"/>
      <c r="B30" s="1808"/>
      <c r="C30" s="1808"/>
      <c r="D30" s="1809"/>
      <c r="E30" s="1935"/>
      <c r="F30" s="1936"/>
      <c r="G30" s="1936"/>
      <c r="H30" s="1936"/>
      <c r="I30" s="1936"/>
      <c r="J30" s="1936"/>
      <c r="K30" s="1936"/>
      <c r="L30" s="1936"/>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7"/>
      <c r="AN30" s="1783"/>
      <c r="AO30" s="1926"/>
      <c r="AP30" s="1926"/>
      <c r="AQ30" s="1926"/>
      <c r="AR30" s="1926"/>
      <c r="AS30" s="1926"/>
      <c r="AT30" s="1926"/>
      <c r="AU30" s="1926"/>
      <c r="AV30" s="1926"/>
      <c r="AW30" s="1926"/>
      <c r="AX30" s="1926"/>
      <c r="AY30" s="1926"/>
      <c r="AZ30" s="1926"/>
      <c r="BA30" s="1926"/>
      <c r="BB30" s="1926"/>
      <c r="BC30" s="1784"/>
      <c r="BD30" s="1783"/>
      <c r="BE30" s="1926"/>
      <c r="BF30" s="1926"/>
      <c r="BG30" s="1926"/>
      <c r="BH30" s="1926"/>
      <c r="BI30" s="1926"/>
      <c r="BJ30" s="1926"/>
      <c r="BK30" s="1926"/>
      <c r="BL30" s="1926"/>
      <c r="BM30" s="1784"/>
      <c r="BN30" s="1807"/>
      <c r="BO30" s="1808"/>
      <c r="BP30" s="1808"/>
      <c r="BQ30" s="1808"/>
      <c r="BR30" s="1808"/>
      <c r="BS30" s="1808"/>
      <c r="BT30" s="1808"/>
      <c r="BU30" s="1808"/>
      <c r="BV30" s="1808"/>
      <c r="BW30" s="1808"/>
      <c r="BX30" s="1808"/>
      <c r="BY30" s="1808"/>
      <c r="BZ30" s="1808"/>
      <c r="CA30" s="1808"/>
      <c r="CB30" s="1809"/>
      <c r="CC30" s="1930" t="s">
        <v>43</v>
      </c>
      <c r="CD30" s="1811" t="s">
        <v>44</v>
      </c>
      <c r="CE30" s="1812" t="s">
        <v>55</v>
      </c>
      <c r="CF30" s="1811" t="s">
        <v>43</v>
      </c>
      <c r="CG30" s="1811" t="s">
        <v>44</v>
      </c>
      <c r="CH30" s="1779"/>
    </row>
    <row r="31" spans="1:86" x14ac:dyDescent="0.2">
      <c r="A31" s="1814"/>
      <c r="B31" s="1815"/>
      <c r="C31" s="1815"/>
      <c r="D31" s="1816"/>
      <c r="E31" s="1938"/>
      <c r="F31" s="1939"/>
      <c r="G31" s="1939"/>
      <c r="H31" s="1939"/>
      <c r="I31" s="1939"/>
      <c r="J31" s="1939"/>
      <c r="K31" s="1939"/>
      <c r="L31" s="1939"/>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39"/>
      <c r="AK31" s="1939"/>
      <c r="AL31" s="1939"/>
      <c r="AM31" s="1940"/>
      <c r="AN31" s="1785"/>
      <c r="AO31" s="1927"/>
      <c r="AP31" s="1927"/>
      <c r="AQ31" s="1927"/>
      <c r="AR31" s="1927"/>
      <c r="AS31" s="1927"/>
      <c r="AT31" s="1927"/>
      <c r="AU31" s="1927"/>
      <c r="AV31" s="1927"/>
      <c r="AW31" s="1927"/>
      <c r="AX31" s="1927"/>
      <c r="AY31" s="1927"/>
      <c r="AZ31" s="1927"/>
      <c r="BA31" s="1927"/>
      <c r="BB31" s="1927"/>
      <c r="BC31" s="1786"/>
      <c r="BD31" s="1785"/>
      <c r="BE31" s="1927"/>
      <c r="BF31" s="1927"/>
      <c r="BG31" s="1927"/>
      <c r="BH31" s="1927"/>
      <c r="BI31" s="1927"/>
      <c r="BJ31" s="1927"/>
      <c r="BK31" s="1927"/>
      <c r="BL31" s="1927"/>
      <c r="BM31" s="1786"/>
      <c r="BN31" s="1814"/>
      <c r="BO31" s="1815"/>
      <c r="BP31" s="1815"/>
      <c r="BQ31" s="1815"/>
      <c r="BR31" s="1815"/>
      <c r="BS31" s="1815"/>
      <c r="BT31" s="1815"/>
      <c r="BU31" s="1815"/>
      <c r="BV31" s="1815"/>
      <c r="BW31" s="1815"/>
      <c r="BX31" s="1815"/>
      <c r="BY31" s="1815"/>
      <c r="BZ31" s="1815"/>
      <c r="CA31" s="1815"/>
      <c r="CB31" s="1816"/>
      <c r="CC31" s="1930"/>
      <c r="CD31" s="1811"/>
      <c r="CE31" s="1813"/>
      <c r="CF31" s="1811"/>
      <c r="CG31" s="1811"/>
      <c r="CH31" s="1780"/>
    </row>
    <row r="32" spans="1:86" x14ac:dyDescent="0.2">
      <c r="A32" s="1814">
        <v>1</v>
      </c>
      <c r="B32" s="1815"/>
      <c r="C32" s="1815"/>
      <c r="D32" s="1816"/>
      <c r="E32" s="1770">
        <v>2</v>
      </c>
      <c r="F32" s="1944"/>
      <c r="G32" s="1944"/>
      <c r="H32" s="1944"/>
      <c r="I32" s="1944"/>
      <c r="J32" s="1944"/>
      <c r="K32" s="1944"/>
      <c r="L32" s="1944"/>
      <c r="M32" s="1944"/>
      <c r="N32" s="1944"/>
      <c r="O32" s="1944"/>
      <c r="P32" s="1944"/>
      <c r="Q32" s="1944"/>
      <c r="R32" s="1944"/>
      <c r="S32" s="1944"/>
      <c r="T32" s="1944"/>
      <c r="U32" s="1944"/>
      <c r="V32" s="1944"/>
      <c r="W32" s="1944"/>
      <c r="X32" s="1944"/>
      <c r="Y32" s="1944"/>
      <c r="Z32" s="1944"/>
      <c r="AA32" s="1944"/>
      <c r="AB32" s="1944"/>
      <c r="AC32" s="1944"/>
      <c r="AD32" s="1944"/>
      <c r="AE32" s="1944"/>
      <c r="AF32" s="1944"/>
      <c r="AG32" s="1944"/>
      <c r="AH32" s="1944"/>
      <c r="AI32" s="1944"/>
      <c r="AJ32" s="1944"/>
      <c r="AK32" s="1944"/>
      <c r="AL32" s="1944"/>
      <c r="AM32" s="1945"/>
      <c r="AN32" s="1770">
        <v>3</v>
      </c>
      <c r="AO32" s="1944"/>
      <c r="AP32" s="1944"/>
      <c r="AQ32" s="1944"/>
      <c r="AR32" s="1944"/>
      <c r="AS32" s="1944"/>
      <c r="AT32" s="1944"/>
      <c r="AU32" s="1944"/>
      <c r="AV32" s="1944"/>
      <c r="AW32" s="1944"/>
      <c r="AX32" s="1944"/>
      <c r="AY32" s="1944"/>
      <c r="AZ32" s="1944"/>
      <c r="BA32" s="1944"/>
      <c r="BB32" s="1944"/>
      <c r="BC32" s="1945"/>
      <c r="BD32" s="1770">
        <v>4</v>
      </c>
      <c r="BE32" s="1546"/>
      <c r="BF32" s="1546"/>
      <c r="BG32" s="1546"/>
      <c r="BH32" s="1546"/>
      <c r="BI32" s="1546"/>
      <c r="BJ32" s="1546"/>
      <c r="BK32" s="1546"/>
      <c r="BL32" s="1546"/>
      <c r="BM32" s="1547"/>
      <c r="BN32" s="1830" t="s">
        <v>49</v>
      </c>
      <c r="BO32" s="1830"/>
      <c r="BP32" s="1830"/>
      <c r="BQ32" s="1830"/>
      <c r="BR32" s="1830"/>
      <c r="BS32" s="1830"/>
      <c r="BT32" s="1830"/>
      <c r="BU32" s="1830"/>
      <c r="BV32" s="1830"/>
      <c r="BW32" s="1830"/>
      <c r="BX32" s="1830"/>
      <c r="BY32" s="1830"/>
      <c r="BZ32" s="1830"/>
      <c r="CA32" s="1830"/>
      <c r="CB32" s="1830"/>
      <c r="CC32" s="249">
        <v>6</v>
      </c>
      <c r="CD32" s="249">
        <v>7</v>
      </c>
      <c r="CE32" s="250">
        <v>8</v>
      </c>
      <c r="CF32" s="249">
        <v>9</v>
      </c>
      <c r="CG32" s="249">
        <v>10</v>
      </c>
      <c r="CH32" s="252">
        <v>11</v>
      </c>
    </row>
    <row r="33" spans="1:86" ht="30" hidden="1" customHeight="1" x14ac:dyDescent="0.2">
      <c r="A33" s="1803"/>
      <c r="B33" s="1804"/>
      <c r="C33" s="1804"/>
      <c r="D33" s="1805"/>
      <c r="E33" s="1843"/>
      <c r="F33" s="1946"/>
      <c r="G33" s="1946"/>
      <c r="H33" s="1946"/>
      <c r="I33" s="1946"/>
      <c r="J33" s="1946"/>
      <c r="K33" s="1946"/>
      <c r="L33" s="1946"/>
      <c r="M33" s="1946"/>
      <c r="N33" s="1946"/>
      <c r="O33" s="1946"/>
      <c r="P33" s="1946"/>
      <c r="Q33" s="1946"/>
      <c r="R33" s="1946"/>
      <c r="S33" s="1946"/>
      <c r="T33" s="1946"/>
      <c r="U33" s="1946"/>
      <c r="V33" s="1946"/>
      <c r="W33" s="1946"/>
      <c r="X33" s="1946"/>
      <c r="Y33" s="1946"/>
      <c r="Z33" s="1946"/>
      <c r="AA33" s="1946"/>
      <c r="AB33" s="1946"/>
      <c r="AC33" s="1946"/>
      <c r="AD33" s="1946"/>
      <c r="AE33" s="1946"/>
      <c r="AF33" s="1946"/>
      <c r="AG33" s="1946"/>
      <c r="AH33" s="1946"/>
      <c r="AI33" s="1946"/>
      <c r="AJ33" s="1946"/>
      <c r="AK33" s="1946"/>
      <c r="AL33" s="1946"/>
      <c r="AM33" s="1947"/>
      <c r="AN33" s="1843"/>
      <c r="AO33" s="1946"/>
      <c r="AP33" s="1946"/>
      <c r="AQ33" s="1946"/>
      <c r="AR33" s="1946"/>
      <c r="AS33" s="1946"/>
      <c r="AT33" s="1946"/>
      <c r="AU33" s="1946"/>
      <c r="AV33" s="1946"/>
      <c r="AW33" s="1946"/>
      <c r="AX33" s="1946"/>
      <c r="AY33" s="1946"/>
      <c r="AZ33" s="1946"/>
      <c r="BA33" s="1946"/>
      <c r="BB33" s="1946"/>
      <c r="BC33" s="1947"/>
      <c r="BD33" s="1901"/>
      <c r="BE33" s="1546"/>
      <c r="BF33" s="1546"/>
      <c r="BG33" s="1546"/>
      <c r="BH33" s="1546"/>
      <c r="BI33" s="1546"/>
      <c r="BJ33" s="1546"/>
      <c r="BK33" s="1546"/>
      <c r="BL33" s="1546"/>
      <c r="BM33" s="1547"/>
      <c r="BN33" s="1852"/>
      <c r="BO33" s="1853"/>
      <c r="BP33" s="1853"/>
      <c r="BQ33" s="1853"/>
      <c r="BR33" s="1853"/>
      <c r="BS33" s="1853"/>
      <c r="BT33" s="1853"/>
      <c r="BU33" s="1853"/>
      <c r="BV33" s="1853"/>
      <c r="BW33" s="1853"/>
      <c r="BX33" s="1853"/>
      <c r="BY33" s="1853"/>
      <c r="BZ33" s="1853"/>
      <c r="CA33" s="1853"/>
      <c r="CB33" s="1854"/>
      <c r="CC33" s="17"/>
      <c r="CD33" s="23"/>
      <c r="CE33" s="17"/>
      <c r="CF33" s="256"/>
      <c r="CG33" s="256"/>
      <c r="CH33" s="17"/>
    </row>
    <row r="34" spans="1:86" ht="29.25" customHeight="1" x14ac:dyDescent="0.2">
      <c r="A34" s="1843">
        <v>1</v>
      </c>
      <c r="B34" s="1844"/>
      <c r="C34" s="1844"/>
      <c r="D34" s="1845"/>
      <c r="E34" s="1904" t="s">
        <v>586</v>
      </c>
      <c r="F34" s="1917"/>
      <c r="G34" s="1917"/>
      <c r="H34" s="1917"/>
      <c r="I34" s="1917"/>
      <c r="J34" s="1917"/>
      <c r="K34" s="1917"/>
      <c r="L34" s="1917"/>
      <c r="M34" s="1917"/>
      <c r="N34" s="1917"/>
      <c r="O34" s="1917"/>
      <c r="P34" s="1917"/>
      <c r="Q34" s="1917"/>
      <c r="R34" s="1917"/>
      <c r="S34" s="1917"/>
      <c r="T34" s="1917"/>
      <c r="U34" s="1917"/>
      <c r="V34" s="1917"/>
      <c r="W34" s="1917"/>
      <c r="X34" s="1917"/>
      <c r="Y34" s="1917"/>
      <c r="Z34" s="1917"/>
      <c r="AA34" s="1917"/>
      <c r="AB34" s="1917"/>
      <c r="AC34" s="1917"/>
      <c r="AD34" s="1917"/>
      <c r="AE34" s="1917"/>
      <c r="AF34" s="1917"/>
      <c r="AG34" s="1917"/>
      <c r="AH34" s="1917"/>
      <c r="AI34" s="1917"/>
      <c r="AJ34" s="1917"/>
      <c r="AK34" s="1917"/>
      <c r="AL34" s="1917"/>
      <c r="AM34" s="1918"/>
      <c r="AN34" s="1919">
        <f>53698.8/12</f>
        <v>4474.9000000000005</v>
      </c>
      <c r="AO34" s="1920"/>
      <c r="AP34" s="1920"/>
      <c r="AQ34" s="1920"/>
      <c r="AR34" s="1920"/>
      <c r="AS34" s="1920"/>
      <c r="AT34" s="1920"/>
      <c r="AU34" s="1920"/>
      <c r="AV34" s="1920"/>
      <c r="AW34" s="1920"/>
      <c r="AX34" s="1920"/>
      <c r="AY34" s="1920"/>
      <c r="AZ34" s="1920"/>
      <c r="BA34" s="1920"/>
      <c r="BB34" s="1920"/>
      <c r="BC34" s="1921"/>
      <c r="BD34" s="1901">
        <v>12</v>
      </c>
      <c r="BE34" s="1546"/>
      <c r="BF34" s="1546"/>
      <c r="BG34" s="1546"/>
      <c r="BH34" s="1546"/>
      <c r="BI34" s="1546"/>
      <c r="BJ34" s="1546"/>
      <c r="BK34" s="1546"/>
      <c r="BL34" s="1546"/>
      <c r="BM34" s="1547"/>
      <c r="BN34" s="1852">
        <v>53698.8</v>
      </c>
      <c r="BO34" s="1853"/>
      <c r="BP34" s="1853"/>
      <c r="BQ34" s="1853"/>
      <c r="BR34" s="1853"/>
      <c r="BS34" s="1853"/>
      <c r="BT34" s="1853"/>
      <c r="BU34" s="1853"/>
      <c r="BV34" s="1853"/>
      <c r="BW34" s="1853"/>
      <c r="BX34" s="1853"/>
      <c r="BY34" s="1853"/>
      <c r="BZ34" s="1853"/>
      <c r="CA34" s="1853"/>
      <c r="CB34" s="1854"/>
      <c r="CC34" s="17"/>
      <c r="CD34" s="23">
        <v>53698.8</v>
      </c>
      <c r="CE34" s="17"/>
      <c r="CF34" s="17"/>
      <c r="CG34" s="17"/>
      <c r="CH34" s="17"/>
    </row>
    <row r="35" spans="1:86" ht="26.25" customHeight="1" x14ac:dyDescent="0.2">
      <c r="A35" s="1843">
        <v>2</v>
      </c>
      <c r="B35" s="1844"/>
      <c r="C35" s="1844"/>
      <c r="D35" s="1845"/>
      <c r="E35" s="1904" t="s">
        <v>587</v>
      </c>
      <c r="F35" s="1917"/>
      <c r="G35" s="1917"/>
      <c r="H35" s="1917"/>
      <c r="I35" s="1917"/>
      <c r="J35" s="1917"/>
      <c r="K35" s="1917"/>
      <c r="L35" s="1917"/>
      <c r="M35" s="1917"/>
      <c r="N35" s="1917"/>
      <c r="O35" s="1917"/>
      <c r="P35" s="1917"/>
      <c r="Q35" s="1917"/>
      <c r="R35" s="1917"/>
      <c r="S35" s="1917"/>
      <c r="T35" s="1917"/>
      <c r="U35" s="1917"/>
      <c r="V35" s="1917"/>
      <c r="W35" s="1917"/>
      <c r="X35" s="1917"/>
      <c r="Y35" s="1917"/>
      <c r="Z35" s="1917"/>
      <c r="AA35" s="1917"/>
      <c r="AB35" s="1917"/>
      <c r="AC35" s="1917"/>
      <c r="AD35" s="1917"/>
      <c r="AE35" s="1917"/>
      <c r="AF35" s="1917"/>
      <c r="AG35" s="1917"/>
      <c r="AH35" s="1917"/>
      <c r="AI35" s="1917"/>
      <c r="AJ35" s="1917"/>
      <c r="AK35" s="1917"/>
      <c r="AL35" s="1917"/>
      <c r="AM35" s="1918"/>
      <c r="AN35" s="1919"/>
      <c r="AO35" s="1920"/>
      <c r="AP35" s="1920"/>
      <c r="AQ35" s="1920"/>
      <c r="AR35" s="1920"/>
      <c r="AS35" s="1920"/>
      <c r="AT35" s="1920"/>
      <c r="AU35" s="1920"/>
      <c r="AV35" s="1920"/>
      <c r="AW35" s="1920"/>
      <c r="AX35" s="1920"/>
      <c r="AY35" s="1920"/>
      <c r="AZ35" s="1920"/>
      <c r="BA35" s="1920"/>
      <c r="BB35" s="1920"/>
      <c r="BC35" s="1921"/>
      <c r="BD35" s="1901"/>
      <c r="BE35" s="1546"/>
      <c r="BF35" s="1546"/>
      <c r="BG35" s="1546"/>
      <c r="BH35" s="1546"/>
      <c r="BI35" s="1546"/>
      <c r="BJ35" s="1546"/>
      <c r="BK35" s="1546"/>
      <c r="BL35" s="1546"/>
      <c r="BM35" s="1547"/>
      <c r="BN35" s="1852">
        <f>AN35*BD35</f>
        <v>0</v>
      </c>
      <c r="BO35" s="1853"/>
      <c r="BP35" s="1853"/>
      <c r="BQ35" s="1853"/>
      <c r="BR35" s="1853"/>
      <c r="BS35" s="1853"/>
      <c r="BT35" s="1853"/>
      <c r="BU35" s="1853"/>
      <c r="BV35" s="1853"/>
      <c r="BW35" s="1853"/>
      <c r="BX35" s="1853"/>
      <c r="BY35" s="1853"/>
      <c r="BZ35" s="1853"/>
      <c r="CA35" s="1853"/>
      <c r="CB35" s="1854"/>
      <c r="CC35" s="17"/>
      <c r="CD35" s="23">
        <f>BN35</f>
        <v>0</v>
      </c>
      <c r="CE35" s="17"/>
      <c r="CF35" s="17"/>
      <c r="CG35" s="17"/>
      <c r="CH35" s="17"/>
    </row>
    <row r="36" spans="1:86" ht="19.5" customHeight="1" x14ac:dyDescent="0.2">
      <c r="A36" s="1803">
        <v>3</v>
      </c>
      <c r="B36" s="1804"/>
      <c r="C36" s="1804"/>
      <c r="D36" s="1805"/>
      <c r="E36" s="1904" t="s">
        <v>154</v>
      </c>
      <c r="F36" s="1917"/>
      <c r="G36" s="1917"/>
      <c r="H36" s="1917"/>
      <c r="I36" s="1917"/>
      <c r="J36" s="1917"/>
      <c r="K36" s="1917"/>
      <c r="L36" s="1917"/>
      <c r="M36" s="1917"/>
      <c r="N36" s="1917"/>
      <c r="O36" s="1917"/>
      <c r="P36" s="1917"/>
      <c r="Q36" s="1917"/>
      <c r="R36" s="1917"/>
      <c r="S36" s="1917"/>
      <c r="T36" s="1917"/>
      <c r="U36" s="1917"/>
      <c r="V36" s="1917"/>
      <c r="W36" s="1917"/>
      <c r="X36" s="1917"/>
      <c r="Y36" s="1917"/>
      <c r="Z36" s="1917"/>
      <c r="AA36" s="1917"/>
      <c r="AB36" s="1917"/>
      <c r="AC36" s="1917"/>
      <c r="AD36" s="1917"/>
      <c r="AE36" s="1917"/>
      <c r="AF36" s="1917"/>
      <c r="AG36" s="1917"/>
      <c r="AH36" s="1917"/>
      <c r="AI36" s="1917"/>
      <c r="AJ36" s="1917"/>
      <c r="AK36" s="1917"/>
      <c r="AL36" s="1917"/>
      <c r="AM36" s="1918"/>
      <c r="AN36" s="1919">
        <v>150000</v>
      </c>
      <c r="AO36" s="1920"/>
      <c r="AP36" s="1920"/>
      <c r="AQ36" s="1920"/>
      <c r="AR36" s="1920"/>
      <c r="AS36" s="1920"/>
      <c r="AT36" s="1920"/>
      <c r="AU36" s="1920"/>
      <c r="AV36" s="1920"/>
      <c r="AW36" s="1920"/>
      <c r="AX36" s="1920"/>
      <c r="AY36" s="1920"/>
      <c r="AZ36" s="1920"/>
      <c r="BA36" s="1920"/>
      <c r="BB36" s="1920"/>
      <c r="BC36" s="1921"/>
      <c r="BD36" s="1901">
        <v>1</v>
      </c>
      <c r="BE36" s="1546"/>
      <c r="BF36" s="1546"/>
      <c r="BG36" s="1546"/>
      <c r="BH36" s="1546"/>
      <c r="BI36" s="1546"/>
      <c r="BJ36" s="1546"/>
      <c r="BK36" s="1546"/>
      <c r="BL36" s="1546"/>
      <c r="BM36" s="1547"/>
      <c r="BN36" s="1852">
        <v>150000</v>
      </c>
      <c r="BO36" s="1853"/>
      <c r="BP36" s="1853"/>
      <c r="BQ36" s="1853"/>
      <c r="BR36" s="1853"/>
      <c r="BS36" s="1853"/>
      <c r="BT36" s="1853"/>
      <c r="BU36" s="1853"/>
      <c r="BV36" s="1853"/>
      <c r="BW36" s="1853"/>
      <c r="BX36" s="1853"/>
      <c r="BY36" s="1853"/>
      <c r="BZ36" s="1853"/>
      <c r="CA36" s="1853"/>
      <c r="CB36" s="1854"/>
      <c r="CC36" s="17"/>
      <c r="CD36" s="23">
        <f>BN36</f>
        <v>150000</v>
      </c>
      <c r="CE36" s="17"/>
      <c r="CF36" s="17"/>
      <c r="CG36" s="17"/>
      <c r="CH36" s="17"/>
    </row>
    <row r="37" spans="1:86" ht="31.5" customHeight="1" x14ac:dyDescent="0.2">
      <c r="A37" s="1803">
        <v>4</v>
      </c>
      <c r="B37" s="1804"/>
      <c r="C37" s="1804"/>
      <c r="D37" s="1805"/>
      <c r="E37" s="1904" t="s">
        <v>642</v>
      </c>
      <c r="F37" s="1917"/>
      <c r="G37" s="1917"/>
      <c r="H37" s="1917"/>
      <c r="I37" s="1917"/>
      <c r="J37" s="1917"/>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917"/>
      <c r="AG37" s="1917"/>
      <c r="AH37" s="1917"/>
      <c r="AI37" s="1917"/>
      <c r="AJ37" s="1917"/>
      <c r="AK37" s="1917"/>
      <c r="AL37" s="1917"/>
      <c r="AM37" s="1918"/>
      <c r="AN37" s="1941">
        <f>BN37/12</f>
        <v>5000</v>
      </c>
      <c r="AO37" s="1942"/>
      <c r="AP37" s="1942"/>
      <c r="AQ37" s="1942"/>
      <c r="AR37" s="1942"/>
      <c r="AS37" s="1942"/>
      <c r="AT37" s="1942"/>
      <c r="AU37" s="1942"/>
      <c r="AV37" s="1942"/>
      <c r="AW37" s="1942"/>
      <c r="AX37" s="1942"/>
      <c r="AY37" s="1942"/>
      <c r="AZ37" s="1942"/>
      <c r="BA37" s="1942"/>
      <c r="BB37" s="1942"/>
      <c r="BC37" s="1943"/>
      <c r="BD37" s="1901">
        <v>12</v>
      </c>
      <c r="BE37" s="1546"/>
      <c r="BF37" s="1546"/>
      <c r="BG37" s="1546"/>
      <c r="BH37" s="1546"/>
      <c r="BI37" s="1546"/>
      <c r="BJ37" s="1546"/>
      <c r="BK37" s="1546"/>
      <c r="BL37" s="1546"/>
      <c r="BM37" s="1547"/>
      <c r="BN37" s="1852">
        <v>60000</v>
      </c>
      <c r="BO37" s="1853"/>
      <c r="BP37" s="1853"/>
      <c r="BQ37" s="1853"/>
      <c r="BR37" s="1853"/>
      <c r="BS37" s="1853"/>
      <c r="BT37" s="1853"/>
      <c r="BU37" s="1853"/>
      <c r="BV37" s="1853"/>
      <c r="BW37" s="1853"/>
      <c r="BX37" s="1853"/>
      <c r="BY37" s="1853"/>
      <c r="BZ37" s="1853"/>
      <c r="CA37" s="1853"/>
      <c r="CB37" s="1854"/>
      <c r="CC37" s="17"/>
      <c r="CD37" s="23">
        <f>BN37</f>
        <v>60000</v>
      </c>
      <c r="CE37" s="17"/>
      <c r="CF37" s="17"/>
      <c r="CG37" s="17"/>
      <c r="CH37" s="17"/>
    </row>
    <row r="38" spans="1:86" ht="25.5" customHeight="1" x14ac:dyDescent="0.2">
      <c r="A38" s="1803">
        <v>5</v>
      </c>
      <c r="B38" s="1804"/>
      <c r="C38" s="1804"/>
      <c r="D38" s="1805"/>
      <c r="E38" s="1904" t="s">
        <v>750</v>
      </c>
      <c r="F38" s="1917"/>
      <c r="G38" s="1917"/>
      <c r="H38" s="1917"/>
      <c r="I38" s="1917"/>
      <c r="J38" s="1917"/>
      <c r="K38" s="1917"/>
      <c r="L38" s="1917"/>
      <c r="M38" s="1917"/>
      <c r="N38" s="1917"/>
      <c r="O38" s="1917"/>
      <c r="P38" s="1917"/>
      <c r="Q38" s="1917"/>
      <c r="R38" s="1917"/>
      <c r="S38" s="1917"/>
      <c r="T38" s="1917"/>
      <c r="U38" s="1917"/>
      <c r="V38" s="1917"/>
      <c r="W38" s="1917"/>
      <c r="X38" s="1917"/>
      <c r="Y38" s="1917"/>
      <c r="Z38" s="1917"/>
      <c r="AA38" s="1917"/>
      <c r="AB38" s="1917"/>
      <c r="AC38" s="1917"/>
      <c r="AD38" s="1917"/>
      <c r="AE38" s="1917"/>
      <c r="AF38" s="1917"/>
      <c r="AG38" s="1917"/>
      <c r="AH38" s="1917"/>
      <c r="AI38" s="1917"/>
      <c r="AJ38" s="1917"/>
      <c r="AK38" s="1917"/>
      <c r="AL38" s="1917"/>
      <c r="AM38" s="1918"/>
      <c r="AN38" s="1919">
        <v>3700</v>
      </c>
      <c r="AO38" s="1920"/>
      <c r="AP38" s="1920"/>
      <c r="AQ38" s="1920"/>
      <c r="AR38" s="1920"/>
      <c r="AS38" s="1920"/>
      <c r="AT38" s="1920"/>
      <c r="AU38" s="1920"/>
      <c r="AV38" s="1920"/>
      <c r="AW38" s="1920"/>
      <c r="AX38" s="1920"/>
      <c r="AY38" s="1920"/>
      <c r="AZ38" s="1920"/>
      <c r="BA38" s="1920"/>
      <c r="BB38" s="1920"/>
      <c r="BC38" s="1921"/>
      <c r="BD38" s="1901">
        <v>1</v>
      </c>
      <c r="BE38" s="1546"/>
      <c r="BF38" s="1546"/>
      <c r="BG38" s="1546"/>
      <c r="BH38" s="1546"/>
      <c r="BI38" s="1546"/>
      <c r="BJ38" s="1546"/>
      <c r="BK38" s="1546"/>
      <c r="BL38" s="1546"/>
      <c r="BM38" s="1547"/>
      <c r="BN38" s="1852">
        <f t="shared" ref="BN38:BN39" si="0">AN38*BD38</f>
        <v>3700</v>
      </c>
      <c r="BO38" s="1853"/>
      <c r="BP38" s="1853"/>
      <c r="BQ38" s="1853"/>
      <c r="BR38" s="1853"/>
      <c r="BS38" s="1853"/>
      <c r="BT38" s="1853"/>
      <c r="BU38" s="1853"/>
      <c r="BV38" s="1853"/>
      <c r="BW38" s="1853"/>
      <c r="BX38" s="1853"/>
      <c r="BY38" s="1853"/>
      <c r="BZ38" s="1853"/>
      <c r="CA38" s="1853"/>
      <c r="CB38" s="1854"/>
      <c r="CC38" s="17"/>
      <c r="CD38" s="23">
        <f t="shared" ref="CD38:CD44" si="1">BN38</f>
        <v>3700</v>
      </c>
      <c r="CE38" s="17"/>
      <c r="CF38" s="17"/>
      <c r="CG38" s="17"/>
      <c r="CH38" s="17"/>
    </row>
    <row r="39" spans="1:86" ht="28.5" customHeight="1" x14ac:dyDescent="0.2">
      <c r="A39" s="1803">
        <v>6</v>
      </c>
      <c r="B39" s="1804"/>
      <c r="C39" s="1804"/>
      <c r="D39" s="1805"/>
      <c r="E39" s="1904" t="s">
        <v>751</v>
      </c>
      <c r="F39" s="1917"/>
      <c r="G39" s="1917"/>
      <c r="H39" s="1917"/>
      <c r="I39" s="1917"/>
      <c r="J39" s="1917"/>
      <c r="K39" s="1917"/>
      <c r="L39" s="1917"/>
      <c r="M39" s="1917"/>
      <c r="N39" s="1917"/>
      <c r="O39" s="1917"/>
      <c r="P39" s="1917"/>
      <c r="Q39" s="1917"/>
      <c r="R39" s="1917"/>
      <c r="S39" s="1917"/>
      <c r="T39" s="1917"/>
      <c r="U39" s="1917"/>
      <c r="V39" s="1917"/>
      <c r="W39" s="1917"/>
      <c r="X39" s="1917"/>
      <c r="Y39" s="1917"/>
      <c r="Z39" s="1917"/>
      <c r="AA39" s="1917"/>
      <c r="AB39" s="1917"/>
      <c r="AC39" s="1917"/>
      <c r="AD39" s="1917"/>
      <c r="AE39" s="1917"/>
      <c r="AF39" s="1917"/>
      <c r="AG39" s="1917"/>
      <c r="AH39" s="1917"/>
      <c r="AI39" s="1917"/>
      <c r="AJ39" s="1917"/>
      <c r="AK39" s="1917"/>
      <c r="AL39" s="1917"/>
      <c r="AM39" s="1918"/>
      <c r="AN39" s="1919">
        <v>3700</v>
      </c>
      <c r="AO39" s="1920"/>
      <c r="AP39" s="1920"/>
      <c r="AQ39" s="1920"/>
      <c r="AR39" s="1920"/>
      <c r="AS39" s="1920"/>
      <c r="AT39" s="1920"/>
      <c r="AU39" s="1920"/>
      <c r="AV39" s="1920"/>
      <c r="AW39" s="1920"/>
      <c r="AX39" s="1920"/>
      <c r="AY39" s="1920"/>
      <c r="AZ39" s="1920"/>
      <c r="BA39" s="1920"/>
      <c r="BB39" s="1920"/>
      <c r="BC39" s="1921"/>
      <c r="BD39" s="1901">
        <v>1</v>
      </c>
      <c r="BE39" s="1546"/>
      <c r="BF39" s="1546"/>
      <c r="BG39" s="1546"/>
      <c r="BH39" s="1546"/>
      <c r="BI39" s="1546"/>
      <c r="BJ39" s="1546"/>
      <c r="BK39" s="1546"/>
      <c r="BL39" s="1546"/>
      <c r="BM39" s="1547"/>
      <c r="BN39" s="1852">
        <f t="shared" si="0"/>
        <v>3700</v>
      </c>
      <c r="BO39" s="1853"/>
      <c r="BP39" s="1853"/>
      <c r="BQ39" s="1853"/>
      <c r="BR39" s="1853"/>
      <c r="BS39" s="1853"/>
      <c r="BT39" s="1853"/>
      <c r="BU39" s="1853"/>
      <c r="BV39" s="1853"/>
      <c r="BW39" s="1853"/>
      <c r="BX39" s="1853"/>
      <c r="BY39" s="1853"/>
      <c r="BZ39" s="1853"/>
      <c r="CA39" s="1853"/>
      <c r="CB39" s="1854"/>
      <c r="CC39" s="17"/>
      <c r="CD39" s="23">
        <f t="shared" si="1"/>
        <v>3700</v>
      </c>
      <c r="CE39" s="17"/>
      <c r="CF39" s="17"/>
      <c r="CG39" s="17"/>
      <c r="CH39" s="17"/>
    </row>
    <row r="40" spans="1:86" x14ac:dyDescent="0.2">
      <c r="A40" s="1803">
        <v>7</v>
      </c>
      <c r="B40" s="1804"/>
      <c r="C40" s="1804"/>
      <c r="D40" s="1805"/>
      <c r="E40" s="1904" t="s">
        <v>155</v>
      </c>
      <c r="F40" s="1917"/>
      <c r="G40" s="1917"/>
      <c r="H40" s="1917"/>
      <c r="I40" s="1917"/>
      <c r="J40" s="1917"/>
      <c r="K40" s="1917"/>
      <c r="L40" s="1917"/>
      <c r="M40" s="1917"/>
      <c r="N40" s="1917"/>
      <c r="O40" s="1917"/>
      <c r="P40" s="1917"/>
      <c r="Q40" s="1917"/>
      <c r="R40" s="1917"/>
      <c r="S40" s="1917"/>
      <c r="T40" s="1917"/>
      <c r="U40" s="1917"/>
      <c r="V40" s="1917"/>
      <c r="W40" s="1917"/>
      <c r="X40" s="1917"/>
      <c r="Y40" s="1917"/>
      <c r="Z40" s="1917"/>
      <c r="AA40" s="1917"/>
      <c r="AB40" s="1917"/>
      <c r="AC40" s="1917"/>
      <c r="AD40" s="1917"/>
      <c r="AE40" s="1917"/>
      <c r="AF40" s="1917"/>
      <c r="AG40" s="1917"/>
      <c r="AH40" s="1917"/>
      <c r="AI40" s="1917"/>
      <c r="AJ40" s="1917"/>
      <c r="AK40" s="1917"/>
      <c r="AL40" s="1917"/>
      <c r="AM40" s="1918"/>
      <c r="AN40" s="1919">
        <v>10000</v>
      </c>
      <c r="AO40" s="1920"/>
      <c r="AP40" s="1920"/>
      <c r="AQ40" s="1920"/>
      <c r="AR40" s="1920"/>
      <c r="AS40" s="1920"/>
      <c r="AT40" s="1920"/>
      <c r="AU40" s="1920"/>
      <c r="AV40" s="1920"/>
      <c r="AW40" s="1920"/>
      <c r="AX40" s="1920"/>
      <c r="AY40" s="1920"/>
      <c r="AZ40" s="1920"/>
      <c r="BA40" s="1920"/>
      <c r="BB40" s="1920"/>
      <c r="BC40" s="1921"/>
      <c r="BD40" s="1901">
        <v>1</v>
      </c>
      <c r="BE40" s="1546"/>
      <c r="BF40" s="1546"/>
      <c r="BG40" s="1546"/>
      <c r="BH40" s="1546"/>
      <c r="BI40" s="1546"/>
      <c r="BJ40" s="1546"/>
      <c r="BK40" s="1546"/>
      <c r="BL40" s="1546"/>
      <c r="BM40" s="1547"/>
      <c r="BN40" s="1852">
        <v>10000</v>
      </c>
      <c r="BO40" s="1853"/>
      <c r="BP40" s="1853"/>
      <c r="BQ40" s="1853"/>
      <c r="BR40" s="1853"/>
      <c r="BS40" s="1853"/>
      <c r="BT40" s="1853"/>
      <c r="BU40" s="1853"/>
      <c r="BV40" s="1853"/>
      <c r="BW40" s="1853"/>
      <c r="BX40" s="1853"/>
      <c r="BY40" s="1853"/>
      <c r="BZ40" s="1853"/>
      <c r="CA40" s="1853"/>
      <c r="CB40" s="1854"/>
      <c r="CC40" s="17"/>
      <c r="CD40" s="23">
        <f>BN40</f>
        <v>10000</v>
      </c>
      <c r="CE40" s="17"/>
      <c r="CF40" s="17"/>
      <c r="CG40" s="17"/>
      <c r="CH40" s="17"/>
    </row>
    <row r="41" spans="1:86" ht="30.75" customHeight="1" x14ac:dyDescent="0.2">
      <c r="A41" s="1803">
        <v>8</v>
      </c>
      <c r="B41" s="1804"/>
      <c r="C41" s="1804"/>
      <c r="D41" s="1805"/>
      <c r="E41" s="1904" t="s">
        <v>156</v>
      </c>
      <c r="F41" s="1917"/>
      <c r="G41" s="1917"/>
      <c r="H41" s="1917"/>
      <c r="I41" s="1917"/>
      <c r="J41" s="1917"/>
      <c r="K41" s="1917"/>
      <c r="L41" s="1917"/>
      <c r="M41" s="1917"/>
      <c r="N41" s="1917"/>
      <c r="O41" s="1917"/>
      <c r="P41" s="1917"/>
      <c r="Q41" s="1917"/>
      <c r="R41" s="1917"/>
      <c r="S41" s="1917"/>
      <c r="T41" s="1917"/>
      <c r="U41" s="1917"/>
      <c r="V41" s="1917"/>
      <c r="W41" s="1917"/>
      <c r="X41" s="1917"/>
      <c r="Y41" s="1917"/>
      <c r="Z41" s="1917"/>
      <c r="AA41" s="1917"/>
      <c r="AB41" s="1917"/>
      <c r="AC41" s="1917"/>
      <c r="AD41" s="1917"/>
      <c r="AE41" s="1917"/>
      <c r="AF41" s="1917"/>
      <c r="AG41" s="1917"/>
      <c r="AH41" s="1917"/>
      <c r="AI41" s="1917"/>
      <c r="AJ41" s="1917"/>
      <c r="AK41" s="1917"/>
      <c r="AL41" s="1917"/>
      <c r="AM41" s="1918"/>
      <c r="AN41" s="1948">
        <v>10000</v>
      </c>
      <c r="AO41" s="1942"/>
      <c r="AP41" s="1942"/>
      <c r="AQ41" s="1942"/>
      <c r="AR41" s="1942"/>
      <c r="AS41" s="1942"/>
      <c r="AT41" s="1942"/>
      <c r="AU41" s="1942"/>
      <c r="AV41" s="1942"/>
      <c r="AW41" s="1942"/>
      <c r="AX41" s="1942"/>
      <c r="AY41" s="1942"/>
      <c r="AZ41" s="1942"/>
      <c r="BA41" s="1942"/>
      <c r="BB41" s="1942"/>
      <c r="BC41" s="1943"/>
      <c r="BD41" s="1901">
        <v>1</v>
      </c>
      <c r="BE41" s="1546"/>
      <c r="BF41" s="1546"/>
      <c r="BG41" s="1546"/>
      <c r="BH41" s="1546"/>
      <c r="BI41" s="1546"/>
      <c r="BJ41" s="1546"/>
      <c r="BK41" s="1546"/>
      <c r="BL41" s="1546"/>
      <c r="BM41" s="1547"/>
      <c r="BN41" s="1852">
        <f>CD41</f>
        <v>10000</v>
      </c>
      <c r="BO41" s="1853"/>
      <c r="BP41" s="1853"/>
      <c r="BQ41" s="1853"/>
      <c r="BR41" s="1853"/>
      <c r="BS41" s="1853"/>
      <c r="BT41" s="1853"/>
      <c r="BU41" s="1853"/>
      <c r="BV41" s="1853"/>
      <c r="BW41" s="1853"/>
      <c r="BX41" s="1853"/>
      <c r="BY41" s="1853"/>
      <c r="BZ41" s="1853"/>
      <c r="CA41" s="1853"/>
      <c r="CB41" s="1854"/>
      <c r="CC41" s="17"/>
      <c r="CD41" s="23">
        <v>10000</v>
      </c>
      <c r="CE41" s="17"/>
      <c r="CF41" s="17"/>
      <c r="CG41" s="17"/>
      <c r="CH41" s="17"/>
    </row>
    <row r="42" spans="1:86" ht="18.75" customHeight="1" x14ac:dyDescent="0.2">
      <c r="A42" s="1803">
        <v>9</v>
      </c>
      <c r="B42" s="1804"/>
      <c r="C42" s="1804"/>
      <c r="D42" s="1805"/>
      <c r="E42" s="1904" t="s">
        <v>593</v>
      </c>
      <c r="F42" s="1917"/>
      <c r="G42" s="1917"/>
      <c r="H42" s="1917"/>
      <c r="I42" s="1917"/>
      <c r="J42" s="1917"/>
      <c r="K42" s="1917"/>
      <c r="L42" s="1917"/>
      <c r="M42" s="1917"/>
      <c r="N42" s="1917"/>
      <c r="O42" s="1917"/>
      <c r="P42" s="1917"/>
      <c r="Q42" s="1917"/>
      <c r="R42" s="1917"/>
      <c r="S42" s="1917"/>
      <c r="T42" s="1917"/>
      <c r="U42" s="1917"/>
      <c r="V42" s="1917"/>
      <c r="W42" s="1917"/>
      <c r="X42" s="1917"/>
      <c r="Y42" s="1917"/>
      <c r="Z42" s="1917"/>
      <c r="AA42" s="1917"/>
      <c r="AB42" s="1917"/>
      <c r="AC42" s="1917"/>
      <c r="AD42" s="1917"/>
      <c r="AE42" s="1917"/>
      <c r="AF42" s="1917"/>
      <c r="AG42" s="1917"/>
      <c r="AH42" s="1917"/>
      <c r="AI42" s="1917"/>
      <c r="AJ42" s="1917"/>
      <c r="AK42" s="1917"/>
      <c r="AL42" s="1917"/>
      <c r="AM42" s="1918"/>
      <c r="AN42" s="1948">
        <v>30000</v>
      </c>
      <c r="AO42" s="1942"/>
      <c r="AP42" s="1942"/>
      <c r="AQ42" s="1942"/>
      <c r="AR42" s="1942"/>
      <c r="AS42" s="1942"/>
      <c r="AT42" s="1942"/>
      <c r="AU42" s="1942"/>
      <c r="AV42" s="1942"/>
      <c r="AW42" s="1942"/>
      <c r="AX42" s="1942"/>
      <c r="AY42" s="1942"/>
      <c r="AZ42" s="1942"/>
      <c r="BA42" s="1942"/>
      <c r="BB42" s="1942"/>
      <c r="BC42" s="1943"/>
      <c r="BD42" s="1901">
        <v>1</v>
      </c>
      <c r="BE42" s="1546"/>
      <c r="BF42" s="1546"/>
      <c r="BG42" s="1546"/>
      <c r="BH42" s="1546"/>
      <c r="BI42" s="1546"/>
      <c r="BJ42" s="1546"/>
      <c r="BK42" s="1546"/>
      <c r="BL42" s="1546"/>
      <c r="BM42" s="1547"/>
      <c r="BN42" s="1852">
        <v>30000</v>
      </c>
      <c r="BO42" s="1853"/>
      <c r="BP42" s="1853"/>
      <c r="BQ42" s="1853"/>
      <c r="BR42" s="1853"/>
      <c r="BS42" s="1853"/>
      <c r="BT42" s="1853"/>
      <c r="BU42" s="1853"/>
      <c r="BV42" s="1853"/>
      <c r="BW42" s="1853"/>
      <c r="BX42" s="1853"/>
      <c r="BY42" s="1853"/>
      <c r="BZ42" s="1853"/>
      <c r="CA42" s="1853"/>
      <c r="CB42" s="1854"/>
      <c r="CC42" s="17"/>
      <c r="CD42" s="23">
        <f>BN42</f>
        <v>30000</v>
      </c>
      <c r="CE42" s="17"/>
      <c r="CF42" s="17"/>
      <c r="CG42" s="17"/>
      <c r="CH42" s="17"/>
    </row>
    <row r="43" spans="1:86" ht="19.5" customHeight="1" x14ac:dyDescent="0.2">
      <c r="A43" s="1803">
        <v>10</v>
      </c>
      <c r="B43" s="1804"/>
      <c r="C43" s="1804"/>
      <c r="D43" s="1805"/>
      <c r="E43" s="1904" t="s">
        <v>648</v>
      </c>
      <c r="F43" s="1917"/>
      <c r="G43" s="1917"/>
      <c r="H43" s="1917"/>
      <c r="I43" s="1917"/>
      <c r="J43" s="1917"/>
      <c r="K43" s="1917"/>
      <c r="L43" s="1917"/>
      <c r="M43" s="1917"/>
      <c r="N43" s="1917"/>
      <c r="O43" s="1917"/>
      <c r="P43" s="1917"/>
      <c r="Q43" s="1917"/>
      <c r="R43" s="1917"/>
      <c r="S43" s="1917"/>
      <c r="T43" s="1917"/>
      <c r="U43" s="1917"/>
      <c r="V43" s="1917"/>
      <c r="W43" s="1917"/>
      <c r="X43" s="1917"/>
      <c r="Y43" s="1917"/>
      <c r="Z43" s="1917"/>
      <c r="AA43" s="1917"/>
      <c r="AB43" s="1917"/>
      <c r="AC43" s="1917"/>
      <c r="AD43" s="1917"/>
      <c r="AE43" s="1917"/>
      <c r="AF43" s="1917"/>
      <c r="AG43" s="1917"/>
      <c r="AH43" s="1917"/>
      <c r="AI43" s="1917"/>
      <c r="AJ43" s="1917"/>
      <c r="AK43" s="1917"/>
      <c r="AL43" s="1917"/>
      <c r="AM43" s="1918"/>
      <c r="AN43" s="1948">
        <v>10000</v>
      </c>
      <c r="AO43" s="1942"/>
      <c r="AP43" s="1942"/>
      <c r="AQ43" s="1942"/>
      <c r="AR43" s="1942"/>
      <c r="AS43" s="1942"/>
      <c r="AT43" s="1942"/>
      <c r="AU43" s="1942"/>
      <c r="AV43" s="1942"/>
      <c r="AW43" s="1942"/>
      <c r="AX43" s="1942"/>
      <c r="AY43" s="1942"/>
      <c r="AZ43" s="1942"/>
      <c r="BA43" s="1942"/>
      <c r="BB43" s="1942"/>
      <c r="BC43" s="1943"/>
      <c r="BD43" s="1901">
        <v>1</v>
      </c>
      <c r="BE43" s="1546"/>
      <c r="BF43" s="1546"/>
      <c r="BG43" s="1546"/>
      <c r="BH43" s="1546"/>
      <c r="BI43" s="1546"/>
      <c r="BJ43" s="1546"/>
      <c r="BK43" s="1546"/>
      <c r="BL43" s="1546"/>
      <c r="BM43" s="1547"/>
      <c r="BN43" s="1852">
        <f>AN43</f>
        <v>10000</v>
      </c>
      <c r="BO43" s="1853"/>
      <c r="BP43" s="1853"/>
      <c r="BQ43" s="1853"/>
      <c r="BR43" s="1853"/>
      <c r="BS43" s="1853"/>
      <c r="BT43" s="1853"/>
      <c r="BU43" s="1853"/>
      <c r="BV43" s="1853"/>
      <c r="BW43" s="1853"/>
      <c r="BX43" s="1853"/>
      <c r="BY43" s="1853"/>
      <c r="BZ43" s="1853"/>
      <c r="CA43" s="1853"/>
      <c r="CB43" s="1854"/>
      <c r="CC43" s="17"/>
      <c r="CD43" s="23">
        <f>BN43</f>
        <v>10000</v>
      </c>
      <c r="CE43" s="17"/>
      <c r="CF43" s="17"/>
      <c r="CG43" s="17"/>
      <c r="CH43" s="17"/>
    </row>
    <row r="44" spans="1:86" ht="17.25" customHeight="1" x14ac:dyDescent="0.2">
      <c r="A44" s="1803">
        <v>11</v>
      </c>
      <c r="B44" s="1804"/>
      <c r="C44" s="1804"/>
      <c r="D44" s="1805"/>
      <c r="E44" s="1904" t="s">
        <v>157</v>
      </c>
      <c r="F44" s="1917"/>
      <c r="G44" s="1917"/>
      <c r="H44" s="1917"/>
      <c r="I44" s="1917"/>
      <c r="J44" s="1917"/>
      <c r="K44" s="1917"/>
      <c r="L44" s="1917"/>
      <c r="M44" s="1917"/>
      <c r="N44" s="1917"/>
      <c r="O44" s="1917"/>
      <c r="P44" s="1917"/>
      <c r="Q44" s="1917"/>
      <c r="R44" s="1917"/>
      <c r="S44" s="1917"/>
      <c r="T44" s="1917"/>
      <c r="U44" s="1917"/>
      <c r="V44" s="1917"/>
      <c r="W44" s="1917"/>
      <c r="X44" s="1917"/>
      <c r="Y44" s="1917"/>
      <c r="Z44" s="1917"/>
      <c r="AA44" s="1917"/>
      <c r="AB44" s="1917"/>
      <c r="AC44" s="1917"/>
      <c r="AD44" s="1917"/>
      <c r="AE44" s="1917"/>
      <c r="AF44" s="1917"/>
      <c r="AG44" s="1917"/>
      <c r="AH44" s="1917"/>
      <c r="AI44" s="1917"/>
      <c r="AJ44" s="1917"/>
      <c r="AK44" s="1917"/>
      <c r="AL44" s="1917"/>
      <c r="AM44" s="1918"/>
      <c r="AN44" s="1919">
        <v>8000</v>
      </c>
      <c r="AO44" s="1920"/>
      <c r="AP44" s="1920"/>
      <c r="AQ44" s="1920"/>
      <c r="AR44" s="1920"/>
      <c r="AS44" s="1920"/>
      <c r="AT44" s="1920"/>
      <c r="AU44" s="1920"/>
      <c r="AV44" s="1920"/>
      <c r="AW44" s="1920"/>
      <c r="AX44" s="1920"/>
      <c r="AY44" s="1920"/>
      <c r="AZ44" s="1920"/>
      <c r="BA44" s="1920"/>
      <c r="BB44" s="1920"/>
      <c r="BC44" s="1921"/>
      <c r="BD44" s="1901">
        <v>1</v>
      </c>
      <c r="BE44" s="1546"/>
      <c r="BF44" s="1546"/>
      <c r="BG44" s="1546"/>
      <c r="BH44" s="1546"/>
      <c r="BI44" s="1546"/>
      <c r="BJ44" s="1546"/>
      <c r="BK44" s="1546"/>
      <c r="BL44" s="1546"/>
      <c r="BM44" s="1547"/>
      <c r="BN44" s="1852">
        <f>AN44*BD44</f>
        <v>8000</v>
      </c>
      <c r="BO44" s="1853"/>
      <c r="BP44" s="1853"/>
      <c r="BQ44" s="1853"/>
      <c r="BR44" s="1853"/>
      <c r="BS44" s="1853"/>
      <c r="BT44" s="1853"/>
      <c r="BU44" s="1853"/>
      <c r="BV44" s="1853"/>
      <c r="BW44" s="1853"/>
      <c r="BX44" s="1853"/>
      <c r="BY44" s="1853"/>
      <c r="BZ44" s="1853"/>
      <c r="CA44" s="1853"/>
      <c r="CB44" s="1854"/>
      <c r="CC44" s="17"/>
      <c r="CD44" s="23">
        <f t="shared" si="1"/>
        <v>8000</v>
      </c>
      <c r="CE44" s="17"/>
      <c r="CF44" s="17"/>
      <c r="CG44" s="17"/>
      <c r="CH44" s="17"/>
    </row>
    <row r="45" spans="1:86" ht="17.25" customHeight="1" x14ac:dyDescent="0.2">
      <c r="A45" s="1803">
        <v>12</v>
      </c>
      <c r="B45" s="1804"/>
      <c r="C45" s="1804"/>
      <c r="D45" s="1805"/>
      <c r="E45" s="1904" t="s">
        <v>196</v>
      </c>
      <c r="F45" s="1917"/>
      <c r="G45" s="1917"/>
      <c r="H45" s="1917"/>
      <c r="I45" s="1917"/>
      <c r="J45" s="1917"/>
      <c r="K45" s="1917"/>
      <c r="L45" s="1917"/>
      <c r="M45" s="1917"/>
      <c r="N45" s="1917"/>
      <c r="O45" s="1917"/>
      <c r="P45" s="1917"/>
      <c r="Q45" s="1917"/>
      <c r="R45" s="1917"/>
      <c r="S45" s="1917"/>
      <c r="T45" s="1917"/>
      <c r="U45" s="1917"/>
      <c r="V45" s="1917"/>
      <c r="W45" s="1917"/>
      <c r="X45" s="1917"/>
      <c r="Y45" s="1917"/>
      <c r="Z45" s="1917"/>
      <c r="AA45" s="1917"/>
      <c r="AB45" s="1917"/>
      <c r="AC45" s="1917"/>
      <c r="AD45" s="1917"/>
      <c r="AE45" s="1917"/>
      <c r="AF45" s="1917"/>
      <c r="AG45" s="1917"/>
      <c r="AH45" s="1917"/>
      <c r="AI45" s="1917"/>
      <c r="AJ45" s="1917"/>
      <c r="AK45" s="1917"/>
      <c r="AL45" s="1917"/>
      <c r="AM45" s="1918"/>
      <c r="AN45" s="1919" t="e">
        <f>BN45</f>
        <v>#REF!</v>
      </c>
      <c r="AO45" s="1920"/>
      <c r="AP45" s="1920"/>
      <c r="AQ45" s="1920"/>
      <c r="AR45" s="1920"/>
      <c r="AS45" s="1920"/>
      <c r="AT45" s="1920"/>
      <c r="AU45" s="1920"/>
      <c r="AV45" s="1920"/>
      <c r="AW45" s="1920"/>
      <c r="AX45" s="1920"/>
      <c r="AY45" s="1920"/>
      <c r="AZ45" s="1920"/>
      <c r="BA45" s="1920"/>
      <c r="BB45" s="1920"/>
      <c r="BC45" s="1921"/>
      <c r="BD45" s="1901">
        <v>1</v>
      </c>
      <c r="BE45" s="1546"/>
      <c r="BF45" s="1546"/>
      <c r="BG45" s="1546"/>
      <c r="BH45" s="1546"/>
      <c r="BI45" s="1546"/>
      <c r="BJ45" s="1546"/>
      <c r="BK45" s="1546"/>
      <c r="BL45" s="1546"/>
      <c r="BM45" s="1547"/>
      <c r="BN45" s="1852" t="e">
        <f>CH45</f>
        <v>#REF!</v>
      </c>
      <c r="BO45" s="1853"/>
      <c r="BP45" s="1853"/>
      <c r="BQ45" s="1853"/>
      <c r="BR45" s="1853"/>
      <c r="BS45" s="1853"/>
      <c r="BT45" s="1853"/>
      <c r="BU45" s="1853"/>
      <c r="BV45" s="1853"/>
      <c r="BW45" s="1853"/>
      <c r="BX45" s="1853"/>
      <c r="BY45" s="1853"/>
      <c r="BZ45" s="1853"/>
      <c r="CA45" s="1853"/>
      <c r="CB45" s="1854"/>
      <c r="CC45" s="17"/>
      <c r="CD45" s="23"/>
      <c r="CE45" s="17"/>
      <c r="CF45" s="17"/>
      <c r="CG45" s="17"/>
      <c r="CH45" s="222" t="e">
        <f>#REF!</f>
        <v>#REF!</v>
      </c>
    </row>
    <row r="46" spans="1:86" x14ac:dyDescent="0.2">
      <c r="A46" s="1843"/>
      <c r="B46" s="1844"/>
      <c r="C46" s="1844"/>
      <c r="D46" s="1845"/>
      <c r="E46" s="1879" t="s">
        <v>159</v>
      </c>
      <c r="F46" s="1880"/>
      <c r="G46" s="1880"/>
      <c r="H46" s="1880"/>
      <c r="I46" s="1880"/>
      <c r="J46" s="1880"/>
      <c r="K46" s="1880"/>
      <c r="L46" s="1880"/>
      <c r="M46" s="1880"/>
      <c r="N46" s="1880"/>
      <c r="O46" s="1880"/>
      <c r="P46" s="1880"/>
      <c r="Q46" s="1880"/>
      <c r="R46" s="1880"/>
      <c r="S46" s="1880"/>
      <c r="T46" s="1880"/>
      <c r="U46" s="1880"/>
      <c r="V46" s="1880"/>
      <c r="W46" s="1880"/>
      <c r="X46" s="1880"/>
      <c r="Y46" s="1880"/>
      <c r="Z46" s="1880"/>
      <c r="AA46" s="1880"/>
      <c r="AB46" s="1880"/>
      <c r="AC46" s="1880"/>
      <c r="AD46" s="1880"/>
      <c r="AE46" s="1880"/>
      <c r="AF46" s="1880"/>
      <c r="AG46" s="1880"/>
      <c r="AH46" s="1880"/>
      <c r="AI46" s="1880"/>
      <c r="AJ46" s="1880"/>
      <c r="AK46" s="1880"/>
      <c r="AL46" s="1880"/>
      <c r="AM46" s="1880"/>
      <c r="AN46" s="1880"/>
      <c r="AO46" s="1880"/>
      <c r="AP46" s="1880"/>
      <c r="AQ46" s="1880"/>
      <c r="AR46" s="1880"/>
      <c r="AS46" s="1880"/>
      <c r="AT46" s="1880"/>
      <c r="AU46" s="1880"/>
      <c r="AV46" s="1880"/>
      <c r="AW46" s="1880"/>
      <c r="AX46" s="1880"/>
      <c r="AY46" s="1880"/>
      <c r="AZ46" s="1880"/>
      <c r="BA46" s="1880"/>
      <c r="BB46" s="1880"/>
      <c r="BC46" s="1881"/>
      <c r="BD46" s="1797" t="s">
        <v>3</v>
      </c>
      <c r="BE46" s="1798"/>
      <c r="BF46" s="1798"/>
      <c r="BG46" s="1798"/>
      <c r="BH46" s="1798"/>
      <c r="BI46" s="1798"/>
      <c r="BJ46" s="1798"/>
      <c r="BK46" s="1798"/>
      <c r="BL46" s="1798"/>
      <c r="BM46" s="1799"/>
      <c r="BN46" s="1855" t="e">
        <f>SUM(BN33:BO45)</f>
        <v>#REF!</v>
      </c>
      <c r="BO46" s="1856"/>
      <c r="BP46" s="1856"/>
      <c r="BQ46" s="1856"/>
      <c r="BR46" s="1856"/>
      <c r="BS46" s="1856"/>
      <c r="BT46" s="1856"/>
      <c r="BU46" s="1856"/>
      <c r="BV46" s="1856"/>
      <c r="BW46" s="1856"/>
      <c r="BX46" s="1856"/>
      <c r="BY46" s="1856"/>
      <c r="BZ46" s="1856"/>
      <c r="CA46" s="1856"/>
      <c r="CB46" s="1857"/>
      <c r="CC46" s="28">
        <f>SUM(CC33:CC44)</f>
        <v>0</v>
      </c>
      <c r="CD46" s="28">
        <f>SUM(CD33:CD44)</f>
        <v>339098.8</v>
      </c>
      <c r="CE46" s="17"/>
      <c r="CF46" s="257">
        <f>SUM(CF33:CF44)</f>
        <v>0</v>
      </c>
      <c r="CG46" s="257"/>
      <c r="CH46" s="300" t="e">
        <f>CH45</f>
        <v>#REF!</v>
      </c>
    </row>
    <row r="47" spans="1:86" x14ac:dyDescent="0.2">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45"/>
      <c r="BE47" s="45"/>
      <c r="BF47" s="45"/>
      <c r="BG47" s="45"/>
      <c r="BH47" s="45"/>
      <c r="BI47" s="45"/>
      <c r="BJ47" s="45"/>
      <c r="BK47" s="45"/>
      <c r="BL47" s="45"/>
      <c r="BM47" s="45"/>
      <c r="BN47" s="47"/>
      <c r="BO47" s="47"/>
      <c r="BP47" s="47"/>
      <c r="BQ47" s="47"/>
      <c r="BR47" s="47"/>
      <c r="BS47" s="47"/>
      <c r="BT47" s="47"/>
      <c r="BU47" s="47"/>
      <c r="BV47" s="47"/>
      <c r="BW47" s="47"/>
      <c r="BX47" s="47"/>
      <c r="BY47" s="47"/>
      <c r="BZ47" s="47"/>
      <c r="CA47" s="47"/>
      <c r="CB47" s="47"/>
      <c r="CD47" s="258"/>
    </row>
    <row r="48" spans="1:86" s="4" customFormat="1" ht="15.75" x14ac:dyDescent="0.25">
      <c r="A48" s="19" t="s">
        <v>160</v>
      </c>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row>
    <row r="49" spans="1:86" s="7" customFormat="1" ht="3" customHeight="1" x14ac:dyDescent="0.2">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row>
    <row r="50" spans="1:86" x14ac:dyDescent="0.2">
      <c r="A50" s="1810" t="s">
        <v>38</v>
      </c>
      <c r="B50" s="1810"/>
      <c r="C50" s="1810"/>
      <c r="D50" s="1810"/>
      <c r="E50" s="1830" t="s">
        <v>4</v>
      </c>
      <c r="F50" s="1830"/>
      <c r="G50" s="1830"/>
      <c r="H50" s="1830"/>
      <c r="I50" s="1830"/>
      <c r="J50" s="1830"/>
      <c r="K50" s="1830"/>
      <c r="L50" s="1830"/>
      <c r="M50" s="1830"/>
      <c r="N50" s="1830"/>
      <c r="O50" s="1830"/>
      <c r="P50" s="1830"/>
      <c r="Q50" s="1830"/>
      <c r="R50" s="1830"/>
      <c r="S50" s="1830"/>
      <c r="T50" s="1830"/>
      <c r="U50" s="1830"/>
      <c r="V50" s="1830"/>
      <c r="W50" s="1830"/>
      <c r="X50" s="1830"/>
      <c r="Y50" s="1830"/>
      <c r="Z50" s="1830"/>
      <c r="AA50" s="1830"/>
      <c r="AB50" s="1830"/>
      <c r="AC50" s="1830"/>
      <c r="AD50" s="1830"/>
      <c r="AE50" s="1830"/>
      <c r="AF50" s="1830"/>
      <c r="AG50" s="1830"/>
      <c r="AH50" s="1830"/>
      <c r="AI50" s="1830"/>
      <c r="AJ50" s="1830"/>
      <c r="AK50" s="1830"/>
      <c r="AL50" s="1830"/>
      <c r="AM50" s="1830"/>
      <c r="AN50" s="1830"/>
      <c r="AO50" s="1830"/>
      <c r="AP50" s="1830"/>
      <c r="AQ50" s="1830"/>
      <c r="AR50" s="1830"/>
      <c r="AS50" s="1830" t="s">
        <v>5</v>
      </c>
      <c r="AT50" s="1830"/>
      <c r="AU50" s="1830"/>
      <c r="AV50" s="1830"/>
      <c r="AW50" s="1830"/>
      <c r="AX50" s="1830"/>
      <c r="AY50" s="1830"/>
      <c r="AZ50" s="1830"/>
      <c r="BA50" s="1830"/>
      <c r="BB50" s="1830"/>
      <c r="BC50" s="1810" t="s">
        <v>51</v>
      </c>
      <c r="BD50" s="1810"/>
      <c r="BE50" s="1810"/>
      <c r="BF50" s="1810"/>
      <c r="BG50" s="1810"/>
      <c r="BH50" s="1810"/>
      <c r="BI50" s="1810"/>
      <c r="BJ50" s="1810"/>
      <c r="BK50" s="1810"/>
      <c r="BL50" s="1810"/>
      <c r="BM50" s="1810"/>
      <c r="BN50" s="1830" t="s">
        <v>6</v>
      </c>
      <c r="BO50" s="1830"/>
      <c r="BP50" s="1830"/>
      <c r="BQ50" s="1830"/>
      <c r="BR50" s="1830"/>
      <c r="BS50" s="1830"/>
      <c r="BT50" s="1830"/>
      <c r="BU50" s="1830"/>
      <c r="BV50" s="1830"/>
      <c r="BW50" s="1830"/>
      <c r="BX50" s="1830"/>
      <c r="BY50" s="1830"/>
      <c r="BZ50" s="1830"/>
      <c r="CA50" s="1830"/>
      <c r="CB50" s="1830"/>
      <c r="CC50" s="1806" t="s">
        <v>52</v>
      </c>
      <c r="CD50" s="1806"/>
      <c r="CE50" s="1806"/>
      <c r="CF50" s="1806"/>
      <c r="CG50" s="1806"/>
      <c r="CH50" s="1806"/>
    </row>
    <row r="51" spans="1:86" ht="48" customHeight="1" x14ac:dyDescent="0.2">
      <c r="A51" s="1810"/>
      <c r="B51" s="1810"/>
      <c r="C51" s="1810"/>
      <c r="D51" s="1810"/>
      <c r="E51" s="1830"/>
      <c r="F51" s="1830"/>
      <c r="G51" s="1830"/>
      <c r="H51" s="1830"/>
      <c r="I51" s="1830"/>
      <c r="J51" s="1830"/>
      <c r="K51" s="1830"/>
      <c r="L51" s="1830"/>
      <c r="M51" s="1830"/>
      <c r="N51" s="1830"/>
      <c r="O51" s="1830"/>
      <c r="P51" s="1830"/>
      <c r="Q51" s="1830"/>
      <c r="R51" s="1830"/>
      <c r="S51" s="1830"/>
      <c r="T51" s="1830"/>
      <c r="U51" s="1830"/>
      <c r="V51" s="1830"/>
      <c r="W51" s="1830"/>
      <c r="X51" s="1830"/>
      <c r="Y51" s="1830"/>
      <c r="Z51" s="1830"/>
      <c r="AA51" s="1830"/>
      <c r="AB51" s="1830"/>
      <c r="AC51" s="1830"/>
      <c r="AD51" s="1830"/>
      <c r="AE51" s="1830"/>
      <c r="AF51" s="1830"/>
      <c r="AG51" s="1830"/>
      <c r="AH51" s="1830"/>
      <c r="AI51" s="1830"/>
      <c r="AJ51" s="1830"/>
      <c r="AK51" s="1830"/>
      <c r="AL51" s="1830"/>
      <c r="AM51" s="1830"/>
      <c r="AN51" s="1830"/>
      <c r="AO51" s="1830"/>
      <c r="AP51" s="1830"/>
      <c r="AQ51" s="1830"/>
      <c r="AR51" s="1830"/>
      <c r="AS51" s="1830"/>
      <c r="AT51" s="1830"/>
      <c r="AU51" s="1830"/>
      <c r="AV51" s="1830"/>
      <c r="AW51" s="1830"/>
      <c r="AX51" s="1830"/>
      <c r="AY51" s="1830"/>
      <c r="AZ51" s="1830"/>
      <c r="BA51" s="1830"/>
      <c r="BB51" s="1830"/>
      <c r="BC51" s="1810"/>
      <c r="BD51" s="1810"/>
      <c r="BE51" s="1810"/>
      <c r="BF51" s="1810"/>
      <c r="BG51" s="1810"/>
      <c r="BH51" s="1810"/>
      <c r="BI51" s="1810"/>
      <c r="BJ51" s="1810"/>
      <c r="BK51" s="1810"/>
      <c r="BL51" s="1810"/>
      <c r="BM51" s="1810"/>
      <c r="BN51" s="1830"/>
      <c r="BO51" s="1830"/>
      <c r="BP51" s="1830"/>
      <c r="BQ51" s="1830"/>
      <c r="BR51" s="1830"/>
      <c r="BS51" s="1830"/>
      <c r="BT51" s="1830"/>
      <c r="BU51" s="1830"/>
      <c r="BV51" s="1830"/>
      <c r="BW51" s="1830"/>
      <c r="BX51" s="1830"/>
      <c r="BY51" s="1830"/>
      <c r="BZ51" s="1830"/>
      <c r="CA51" s="1830"/>
      <c r="CB51" s="1830"/>
      <c r="CC51" s="1810" t="s">
        <v>35</v>
      </c>
      <c r="CD51" s="1810"/>
      <c r="CE51" s="1788" t="s">
        <v>45</v>
      </c>
      <c r="CF51" s="1790"/>
      <c r="CG51" s="1789"/>
      <c r="CH51" s="1778" t="s">
        <v>46</v>
      </c>
    </row>
    <row r="52" spans="1:86" ht="12.75" customHeight="1" x14ac:dyDescent="0.2">
      <c r="A52" s="1810"/>
      <c r="B52" s="1810"/>
      <c r="C52" s="1810"/>
      <c r="D52" s="1810"/>
      <c r="E52" s="1830"/>
      <c r="F52" s="1830"/>
      <c r="G52" s="1830"/>
      <c r="H52" s="1830"/>
      <c r="I52" s="1830"/>
      <c r="J52" s="1830"/>
      <c r="K52" s="1830"/>
      <c r="L52" s="1830"/>
      <c r="M52" s="1830"/>
      <c r="N52" s="1830"/>
      <c r="O52" s="1830"/>
      <c r="P52" s="1830"/>
      <c r="Q52" s="1830"/>
      <c r="R52" s="1830"/>
      <c r="S52" s="1830"/>
      <c r="T52" s="1830"/>
      <c r="U52" s="1830"/>
      <c r="V52" s="1830"/>
      <c r="W52" s="1830"/>
      <c r="X52" s="1830"/>
      <c r="Y52" s="1830"/>
      <c r="Z52" s="1830"/>
      <c r="AA52" s="1830"/>
      <c r="AB52" s="1830"/>
      <c r="AC52" s="1830"/>
      <c r="AD52" s="1830"/>
      <c r="AE52" s="1830"/>
      <c r="AF52" s="1830"/>
      <c r="AG52" s="1830"/>
      <c r="AH52" s="1830"/>
      <c r="AI52" s="1830"/>
      <c r="AJ52" s="1830"/>
      <c r="AK52" s="1830"/>
      <c r="AL52" s="1830"/>
      <c r="AM52" s="1830"/>
      <c r="AN52" s="1830"/>
      <c r="AO52" s="1830"/>
      <c r="AP52" s="1830"/>
      <c r="AQ52" s="1830"/>
      <c r="AR52" s="1830"/>
      <c r="AS52" s="1830"/>
      <c r="AT52" s="1830"/>
      <c r="AU52" s="1830"/>
      <c r="AV52" s="1830"/>
      <c r="AW52" s="1830"/>
      <c r="AX52" s="1830"/>
      <c r="AY52" s="1830"/>
      <c r="AZ52" s="1830"/>
      <c r="BA52" s="1830"/>
      <c r="BB52" s="1830"/>
      <c r="BC52" s="1810"/>
      <c r="BD52" s="1810"/>
      <c r="BE52" s="1810"/>
      <c r="BF52" s="1810"/>
      <c r="BG52" s="1810"/>
      <c r="BH52" s="1810"/>
      <c r="BI52" s="1810"/>
      <c r="BJ52" s="1810"/>
      <c r="BK52" s="1810"/>
      <c r="BL52" s="1810"/>
      <c r="BM52" s="1810"/>
      <c r="BN52" s="1830"/>
      <c r="BO52" s="1830"/>
      <c r="BP52" s="1830"/>
      <c r="BQ52" s="1830"/>
      <c r="BR52" s="1830"/>
      <c r="BS52" s="1830"/>
      <c r="BT52" s="1830"/>
      <c r="BU52" s="1830"/>
      <c r="BV52" s="1830"/>
      <c r="BW52" s="1830"/>
      <c r="BX52" s="1830"/>
      <c r="BY52" s="1830"/>
      <c r="BZ52" s="1830"/>
      <c r="CA52" s="1830"/>
      <c r="CB52" s="1830"/>
      <c r="CC52" s="1811" t="s">
        <v>43</v>
      </c>
      <c r="CD52" s="1811" t="s">
        <v>44</v>
      </c>
      <c r="CE52" s="1812" t="s">
        <v>55</v>
      </c>
      <c r="CF52" s="1811" t="s">
        <v>43</v>
      </c>
      <c r="CG52" s="1811" t="s">
        <v>44</v>
      </c>
      <c r="CH52" s="1779"/>
    </row>
    <row r="53" spans="1:86" x14ac:dyDescent="0.2">
      <c r="A53" s="1810"/>
      <c r="B53" s="1810"/>
      <c r="C53" s="1810"/>
      <c r="D53" s="1810"/>
      <c r="E53" s="1830"/>
      <c r="F53" s="1830"/>
      <c r="G53" s="1830"/>
      <c r="H53" s="1830"/>
      <c r="I53" s="1830"/>
      <c r="J53" s="1830"/>
      <c r="K53" s="1830"/>
      <c r="L53" s="1830"/>
      <c r="M53" s="1830"/>
      <c r="N53" s="1830"/>
      <c r="O53" s="1830"/>
      <c r="P53" s="1830"/>
      <c r="Q53" s="1830"/>
      <c r="R53" s="1830"/>
      <c r="S53" s="1830"/>
      <c r="T53" s="1830"/>
      <c r="U53" s="1830"/>
      <c r="V53" s="1830"/>
      <c r="W53" s="1830"/>
      <c r="X53" s="1830"/>
      <c r="Y53" s="1830"/>
      <c r="Z53" s="1830"/>
      <c r="AA53" s="1830"/>
      <c r="AB53" s="1830"/>
      <c r="AC53" s="1830"/>
      <c r="AD53" s="1830"/>
      <c r="AE53" s="1830"/>
      <c r="AF53" s="1830"/>
      <c r="AG53" s="1830"/>
      <c r="AH53" s="1830"/>
      <c r="AI53" s="1830"/>
      <c r="AJ53" s="1830"/>
      <c r="AK53" s="1830"/>
      <c r="AL53" s="1830"/>
      <c r="AM53" s="1830"/>
      <c r="AN53" s="1830"/>
      <c r="AO53" s="1830"/>
      <c r="AP53" s="1830"/>
      <c r="AQ53" s="1830"/>
      <c r="AR53" s="1830"/>
      <c r="AS53" s="1830"/>
      <c r="AT53" s="1830"/>
      <c r="AU53" s="1830"/>
      <c r="AV53" s="1830"/>
      <c r="AW53" s="1830"/>
      <c r="AX53" s="1830"/>
      <c r="AY53" s="1830"/>
      <c r="AZ53" s="1830"/>
      <c r="BA53" s="1830"/>
      <c r="BB53" s="1830"/>
      <c r="BC53" s="1810"/>
      <c r="BD53" s="1810"/>
      <c r="BE53" s="1810"/>
      <c r="BF53" s="1810"/>
      <c r="BG53" s="1810"/>
      <c r="BH53" s="1810"/>
      <c r="BI53" s="1810"/>
      <c r="BJ53" s="1810"/>
      <c r="BK53" s="1810"/>
      <c r="BL53" s="1810"/>
      <c r="BM53" s="1810"/>
      <c r="BN53" s="1830"/>
      <c r="BO53" s="1830"/>
      <c r="BP53" s="1830"/>
      <c r="BQ53" s="1830"/>
      <c r="BR53" s="1830"/>
      <c r="BS53" s="1830"/>
      <c r="BT53" s="1830"/>
      <c r="BU53" s="1830"/>
      <c r="BV53" s="1830"/>
      <c r="BW53" s="1830"/>
      <c r="BX53" s="1830"/>
      <c r="BY53" s="1830"/>
      <c r="BZ53" s="1830"/>
      <c r="CA53" s="1830"/>
      <c r="CB53" s="1830"/>
      <c r="CC53" s="1811"/>
      <c r="CD53" s="1811"/>
      <c r="CE53" s="1813"/>
      <c r="CF53" s="1811"/>
      <c r="CG53" s="1811"/>
      <c r="CH53" s="1780"/>
    </row>
    <row r="54" spans="1:86" x14ac:dyDescent="0.2">
      <c r="A54" s="1770">
        <v>1</v>
      </c>
      <c r="B54" s="1787"/>
      <c r="C54" s="1787"/>
      <c r="D54" s="1771"/>
      <c r="E54" s="1770">
        <v>2</v>
      </c>
      <c r="F54" s="1787"/>
      <c r="G54" s="1787"/>
      <c r="H54" s="1787"/>
      <c r="I54" s="1787"/>
      <c r="J54" s="1787"/>
      <c r="K54" s="1787"/>
      <c r="L54" s="1787"/>
      <c r="M54" s="1787"/>
      <c r="N54" s="1787"/>
      <c r="O54" s="1787"/>
      <c r="P54" s="1787"/>
      <c r="Q54" s="1787"/>
      <c r="R54" s="1787"/>
      <c r="S54" s="1787"/>
      <c r="T54" s="1787"/>
      <c r="U54" s="1787"/>
      <c r="V54" s="1787"/>
      <c r="W54" s="1787"/>
      <c r="X54" s="1787"/>
      <c r="Y54" s="1787"/>
      <c r="Z54" s="1787"/>
      <c r="AA54" s="1787"/>
      <c r="AB54" s="1787"/>
      <c r="AC54" s="1787"/>
      <c r="AD54" s="1787"/>
      <c r="AE54" s="1787"/>
      <c r="AF54" s="1787"/>
      <c r="AG54" s="1787"/>
      <c r="AH54" s="1787"/>
      <c r="AI54" s="1787"/>
      <c r="AJ54" s="1787"/>
      <c r="AK54" s="1787"/>
      <c r="AL54" s="1787"/>
      <c r="AM54" s="1787"/>
      <c r="AN54" s="1787"/>
      <c r="AO54" s="1787"/>
      <c r="AP54" s="1787"/>
      <c r="AQ54" s="1787"/>
      <c r="AR54" s="1771"/>
      <c r="AS54" s="1770">
        <v>3</v>
      </c>
      <c r="AT54" s="1787"/>
      <c r="AU54" s="1787"/>
      <c r="AV54" s="1787"/>
      <c r="AW54" s="1787"/>
      <c r="AX54" s="1787"/>
      <c r="AY54" s="1787"/>
      <c r="AZ54" s="1787"/>
      <c r="BA54" s="1787"/>
      <c r="BB54" s="1771"/>
      <c r="BC54" s="1770">
        <v>4</v>
      </c>
      <c r="BD54" s="1787"/>
      <c r="BE54" s="1787"/>
      <c r="BF54" s="1787"/>
      <c r="BG54" s="1787"/>
      <c r="BH54" s="1787"/>
      <c r="BI54" s="1787"/>
      <c r="BJ54" s="1787"/>
      <c r="BK54" s="1787"/>
      <c r="BL54" s="1787"/>
      <c r="BM54" s="1771"/>
      <c r="BN54" s="1770" t="s">
        <v>49</v>
      </c>
      <c r="BO54" s="1787"/>
      <c r="BP54" s="1787"/>
      <c r="BQ54" s="1787"/>
      <c r="BR54" s="1787"/>
      <c r="BS54" s="1787"/>
      <c r="BT54" s="1787"/>
      <c r="BU54" s="1787"/>
      <c r="BV54" s="1787"/>
      <c r="BW54" s="1787"/>
      <c r="BX54" s="1787"/>
      <c r="BY54" s="1787"/>
      <c r="BZ54" s="1787"/>
      <c r="CA54" s="1787"/>
      <c r="CB54" s="1771"/>
      <c r="CC54" s="15">
        <v>6</v>
      </c>
      <c r="CD54" s="15">
        <v>7</v>
      </c>
      <c r="CE54" s="15">
        <v>8</v>
      </c>
      <c r="CF54" s="15">
        <v>9</v>
      </c>
      <c r="CG54" s="15">
        <v>10</v>
      </c>
      <c r="CH54" s="15">
        <v>11</v>
      </c>
    </row>
    <row r="55" spans="1:86" ht="12.75" customHeight="1" x14ac:dyDescent="0.2">
      <c r="A55" s="2219">
        <v>1</v>
      </c>
      <c r="B55" s="2219"/>
      <c r="C55" s="2219"/>
      <c r="D55" s="2219"/>
      <c r="E55" s="1887" t="s">
        <v>757</v>
      </c>
      <c r="F55" s="1888"/>
      <c r="G55" s="1888"/>
      <c r="H55" s="1888"/>
      <c r="I55" s="1888"/>
      <c r="J55" s="1888"/>
      <c r="K55" s="1888"/>
      <c r="L55" s="1888"/>
      <c r="M55" s="1888"/>
      <c r="N55" s="1888"/>
      <c r="O55" s="1888"/>
      <c r="P55" s="1888"/>
      <c r="Q55" s="1888"/>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c r="AN55" s="1888"/>
      <c r="AO55" s="1888"/>
      <c r="AP55" s="1888"/>
      <c r="AQ55" s="1888"/>
      <c r="AR55" s="1889"/>
      <c r="AS55" s="1890">
        <v>1</v>
      </c>
      <c r="AT55" s="1890"/>
      <c r="AU55" s="1890"/>
      <c r="AV55" s="1890"/>
      <c r="AW55" s="1890"/>
      <c r="AX55" s="1890"/>
      <c r="AY55" s="1890"/>
      <c r="AZ55" s="1890"/>
      <c r="BA55" s="1890"/>
      <c r="BB55" s="1890"/>
      <c r="BC55" s="1891">
        <v>19990</v>
      </c>
      <c r="BD55" s="1891"/>
      <c r="BE55" s="1891"/>
      <c r="BF55" s="1891"/>
      <c r="BG55" s="1891"/>
      <c r="BH55" s="1891"/>
      <c r="BI55" s="1891"/>
      <c r="BJ55" s="1891"/>
      <c r="BK55" s="1891"/>
      <c r="BL55" s="1891"/>
      <c r="BM55" s="1891"/>
      <c r="BN55" s="1891">
        <f>CG55</f>
        <v>19990</v>
      </c>
      <c r="BO55" s="1891"/>
      <c r="BP55" s="1891"/>
      <c r="BQ55" s="1891"/>
      <c r="BR55" s="1891"/>
      <c r="BS55" s="1891"/>
      <c r="BT55" s="1891"/>
      <c r="BU55" s="1891"/>
      <c r="BV55" s="1891"/>
      <c r="BW55" s="1891"/>
      <c r="BX55" s="1891"/>
      <c r="BY55" s="1891"/>
      <c r="BZ55" s="1891"/>
      <c r="CA55" s="1891"/>
      <c r="CB55" s="1891"/>
      <c r="CC55" s="259"/>
      <c r="CD55" s="259"/>
      <c r="CE55" s="260">
        <v>963323050</v>
      </c>
      <c r="CF55" s="259"/>
      <c r="CG55" s="259">
        <f>BC55</f>
        <v>19990</v>
      </c>
      <c r="CH55" s="259"/>
    </row>
    <row r="56" spans="1:86" ht="12.75" customHeight="1" x14ac:dyDescent="0.2">
      <c r="A56" s="2219">
        <v>2</v>
      </c>
      <c r="B56" s="2219"/>
      <c r="C56" s="2219"/>
      <c r="D56" s="2219"/>
      <c r="E56" s="1887" t="s">
        <v>161</v>
      </c>
      <c r="F56" s="1888"/>
      <c r="G56" s="1888"/>
      <c r="H56" s="1888"/>
      <c r="I56" s="1888"/>
      <c r="J56" s="1888"/>
      <c r="K56" s="1888"/>
      <c r="L56" s="1888"/>
      <c r="M56" s="1888"/>
      <c r="N56" s="1888"/>
      <c r="O56" s="1888"/>
      <c r="P56" s="1888"/>
      <c r="Q56" s="1888"/>
      <c r="R56" s="1888"/>
      <c r="S56" s="1888"/>
      <c r="T56" s="1888"/>
      <c r="U56" s="1888"/>
      <c r="V56" s="1888"/>
      <c r="W56" s="1888"/>
      <c r="X56" s="1888"/>
      <c r="Y56" s="1888"/>
      <c r="Z56" s="1888"/>
      <c r="AA56" s="1888"/>
      <c r="AB56" s="1888"/>
      <c r="AC56" s="1888"/>
      <c r="AD56" s="1888"/>
      <c r="AE56" s="1888"/>
      <c r="AF56" s="1888"/>
      <c r="AG56" s="1888"/>
      <c r="AH56" s="1888"/>
      <c r="AI56" s="1888"/>
      <c r="AJ56" s="1888"/>
      <c r="AK56" s="1888"/>
      <c r="AL56" s="1888"/>
      <c r="AM56" s="1888"/>
      <c r="AN56" s="1888"/>
      <c r="AO56" s="1888"/>
      <c r="AP56" s="1888"/>
      <c r="AQ56" s="1888"/>
      <c r="AR56" s="1889"/>
      <c r="AS56" s="1890">
        <v>1</v>
      </c>
      <c r="AT56" s="1890"/>
      <c r="AU56" s="1890"/>
      <c r="AV56" s="1890"/>
      <c r="AW56" s="1890"/>
      <c r="AX56" s="1890"/>
      <c r="AY56" s="1890"/>
      <c r="AZ56" s="1890"/>
      <c r="BA56" s="1890"/>
      <c r="BB56" s="1890"/>
      <c r="BC56" s="1891">
        <v>20000</v>
      </c>
      <c r="BD56" s="1891"/>
      <c r="BE56" s="1891"/>
      <c r="BF56" s="1891"/>
      <c r="BG56" s="1891"/>
      <c r="BH56" s="1891"/>
      <c r="BI56" s="1891"/>
      <c r="BJ56" s="1891"/>
      <c r="BK56" s="1891"/>
      <c r="BL56" s="1891"/>
      <c r="BM56" s="1891"/>
      <c r="BN56" s="1891">
        <f>BC56</f>
        <v>20000</v>
      </c>
      <c r="BO56" s="1891"/>
      <c r="BP56" s="1891"/>
      <c r="BQ56" s="1891"/>
      <c r="BR56" s="1891"/>
      <c r="BS56" s="1891"/>
      <c r="BT56" s="1891"/>
      <c r="BU56" s="1891"/>
      <c r="BV56" s="1891"/>
      <c r="BW56" s="1891"/>
      <c r="BX56" s="1891"/>
      <c r="BY56" s="1891"/>
      <c r="BZ56" s="1891"/>
      <c r="CA56" s="1891"/>
      <c r="CB56" s="1891"/>
      <c r="CC56" s="259"/>
      <c r="CD56" s="259"/>
      <c r="CE56" s="260">
        <v>963323050</v>
      </c>
      <c r="CF56" s="259"/>
      <c r="CG56" s="259">
        <v>20000</v>
      </c>
      <c r="CH56" s="259"/>
    </row>
    <row r="57" spans="1:86" x14ac:dyDescent="0.2">
      <c r="A57" s="1831" t="s">
        <v>162</v>
      </c>
      <c r="B57" s="1832"/>
      <c r="C57" s="1832"/>
      <c r="D57" s="1832"/>
      <c r="E57" s="1832"/>
      <c r="F57" s="1832"/>
      <c r="G57" s="1832"/>
      <c r="H57" s="1832"/>
      <c r="I57" s="1832"/>
      <c r="J57" s="1832"/>
      <c r="K57" s="1832"/>
      <c r="L57" s="1832"/>
      <c r="M57" s="1832"/>
      <c r="N57" s="1832"/>
      <c r="O57" s="1832"/>
      <c r="P57" s="1832"/>
      <c r="Q57" s="1832"/>
      <c r="R57" s="1832"/>
      <c r="S57" s="1832"/>
      <c r="T57" s="1832"/>
      <c r="U57" s="1832"/>
      <c r="V57" s="1832"/>
      <c r="W57" s="1832"/>
      <c r="X57" s="1832"/>
      <c r="Y57" s="1832"/>
      <c r="Z57" s="1832"/>
      <c r="AA57" s="1832"/>
      <c r="AB57" s="1832"/>
      <c r="AC57" s="1832"/>
      <c r="AD57" s="1832"/>
      <c r="AE57" s="1832"/>
      <c r="AF57" s="1832"/>
      <c r="AG57" s="1832"/>
      <c r="AH57" s="1832"/>
      <c r="AI57" s="1832"/>
      <c r="AJ57" s="1832"/>
      <c r="AK57" s="1832"/>
      <c r="AL57" s="1832"/>
      <c r="AM57" s="1832"/>
      <c r="AN57" s="1832"/>
      <c r="AO57" s="1832"/>
      <c r="AP57" s="1832"/>
      <c r="AQ57" s="1832"/>
      <c r="AR57" s="1833"/>
      <c r="AS57" s="1913" t="s">
        <v>3</v>
      </c>
      <c r="AT57" s="1913"/>
      <c r="AU57" s="1913"/>
      <c r="AV57" s="1913"/>
      <c r="AW57" s="1913"/>
      <c r="AX57" s="1913"/>
      <c r="AY57" s="1913"/>
      <c r="AZ57" s="1913"/>
      <c r="BA57" s="1913"/>
      <c r="BB57" s="1913"/>
      <c r="BC57" s="1913" t="s">
        <v>3</v>
      </c>
      <c r="BD57" s="1913"/>
      <c r="BE57" s="1913"/>
      <c r="BF57" s="1913"/>
      <c r="BG57" s="1913"/>
      <c r="BH57" s="1913"/>
      <c r="BI57" s="1913"/>
      <c r="BJ57" s="1913"/>
      <c r="BK57" s="1913"/>
      <c r="BL57" s="1913"/>
      <c r="BM57" s="1913"/>
      <c r="BN57" s="1972">
        <f>SUM(BN55:CB56)</f>
        <v>39990</v>
      </c>
      <c r="BO57" s="1972"/>
      <c r="BP57" s="1972"/>
      <c r="BQ57" s="1972"/>
      <c r="BR57" s="1972"/>
      <c r="BS57" s="1972"/>
      <c r="BT57" s="1972"/>
      <c r="BU57" s="1972"/>
      <c r="BV57" s="1972"/>
      <c r="BW57" s="1972"/>
      <c r="BX57" s="1972"/>
      <c r="BY57" s="1972"/>
      <c r="BZ57" s="1972"/>
      <c r="CA57" s="1972"/>
      <c r="CB57" s="1972"/>
      <c r="CC57" s="251"/>
      <c r="CD57" s="251"/>
      <c r="CE57" s="251"/>
      <c r="CF57" s="251"/>
      <c r="CG57" s="251">
        <f>SUM(CG55:CG56)</f>
        <v>39990</v>
      </c>
      <c r="CH57" s="251"/>
    </row>
    <row r="58" spans="1:86" ht="8.25" customHeight="1" x14ac:dyDescent="0.2"/>
    <row r="59" spans="1:86" ht="0.75" customHeight="1" x14ac:dyDescent="0.2">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5"/>
      <c r="AT59" s="45"/>
      <c r="AU59" s="45"/>
      <c r="AV59" s="45"/>
      <c r="AW59" s="45"/>
      <c r="AX59" s="45"/>
      <c r="AY59" s="45"/>
      <c r="AZ59" s="45"/>
      <c r="BA59" s="45"/>
      <c r="BB59" s="45"/>
      <c r="BC59" s="45"/>
      <c r="BD59" s="45"/>
      <c r="BE59" s="45"/>
      <c r="BF59" s="45"/>
      <c r="BG59" s="45"/>
      <c r="BH59" s="45"/>
      <c r="BI59" s="45"/>
      <c r="BJ59" s="45"/>
      <c r="BK59" s="45"/>
      <c r="BL59" s="45"/>
      <c r="BM59" s="45"/>
      <c r="BN59" s="47"/>
      <c r="BO59" s="47"/>
      <c r="BP59" s="47"/>
      <c r="BQ59" s="47"/>
      <c r="BR59" s="47"/>
      <c r="BS59" s="47"/>
      <c r="BT59" s="47"/>
      <c r="BU59" s="47"/>
      <c r="BV59" s="47"/>
      <c r="BW59" s="47"/>
      <c r="BX59" s="47"/>
      <c r="BY59" s="47"/>
      <c r="BZ59" s="47"/>
      <c r="CA59" s="47"/>
      <c r="CB59" s="47"/>
    </row>
    <row r="60" spans="1:86" ht="15.75" x14ac:dyDescent="0.25">
      <c r="A60" s="19" t="s">
        <v>163</v>
      </c>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row>
    <row r="61" spans="1:86" ht="6" customHeight="1" x14ac:dyDescent="0.2">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5"/>
      <c r="AT61" s="45"/>
      <c r="AU61" s="45"/>
      <c r="AV61" s="45"/>
      <c r="AW61" s="45"/>
      <c r="AX61" s="45"/>
      <c r="AY61" s="45"/>
      <c r="AZ61" s="45"/>
      <c r="BA61" s="45"/>
      <c r="BB61" s="45"/>
      <c r="BC61" s="45"/>
      <c r="BD61" s="45"/>
      <c r="BE61" s="45"/>
      <c r="BF61" s="45"/>
      <c r="BG61" s="45"/>
      <c r="BH61" s="45"/>
      <c r="BI61" s="45"/>
      <c r="BJ61" s="45"/>
      <c r="BK61" s="45"/>
      <c r="BL61" s="45"/>
      <c r="BM61" s="45"/>
      <c r="BN61" s="47"/>
      <c r="BO61" s="47"/>
      <c r="BP61" s="47"/>
      <c r="BQ61" s="47"/>
      <c r="BR61" s="47"/>
      <c r="BS61" s="47"/>
      <c r="BT61" s="47"/>
      <c r="BU61" s="47"/>
      <c r="BV61" s="47"/>
      <c r="BW61" s="47"/>
      <c r="BX61" s="47"/>
      <c r="BY61" s="47"/>
      <c r="BZ61" s="47"/>
      <c r="CA61" s="47"/>
      <c r="CB61" s="47"/>
    </row>
    <row r="62" spans="1:86" ht="12.75" customHeight="1" x14ac:dyDescent="0.2">
      <c r="A62" s="1818" t="s">
        <v>71</v>
      </c>
      <c r="B62" s="1819"/>
      <c r="C62" s="1819"/>
      <c r="D62" s="1820"/>
      <c r="E62" s="1818" t="s">
        <v>4</v>
      </c>
      <c r="F62" s="1819"/>
      <c r="G62" s="1819"/>
      <c r="H62" s="1819"/>
      <c r="I62" s="1819"/>
      <c r="J62" s="1819"/>
      <c r="K62" s="1819"/>
      <c r="L62" s="1819"/>
      <c r="M62" s="1819"/>
      <c r="N62" s="1819"/>
      <c r="O62" s="1819"/>
      <c r="P62" s="1819"/>
      <c r="Q62" s="1819"/>
      <c r="R62" s="1819"/>
      <c r="S62" s="1819"/>
      <c r="T62" s="1819"/>
      <c r="U62" s="1819"/>
      <c r="V62" s="1819"/>
      <c r="W62" s="1819"/>
      <c r="X62" s="1819"/>
      <c r="Y62" s="1819"/>
      <c r="Z62" s="1819"/>
      <c r="AA62" s="1819"/>
      <c r="AB62" s="1819"/>
      <c r="AC62" s="1819"/>
      <c r="AD62" s="1819"/>
      <c r="AE62" s="1819"/>
      <c r="AF62" s="1819"/>
      <c r="AG62" s="1819"/>
      <c r="AH62" s="1819"/>
      <c r="AI62" s="1819"/>
      <c r="AJ62" s="1819"/>
      <c r="AK62" s="1819"/>
      <c r="AL62" s="1819"/>
      <c r="AM62" s="1819"/>
      <c r="AN62" s="1819"/>
      <c r="AO62" s="1819"/>
      <c r="AP62" s="1819"/>
      <c r="AQ62" s="1819"/>
      <c r="AR62" s="1820"/>
      <c r="AS62" s="1818" t="s">
        <v>5</v>
      </c>
      <c r="AT62" s="1819"/>
      <c r="AU62" s="1819"/>
      <c r="AV62" s="1819"/>
      <c r="AW62" s="1819"/>
      <c r="AX62" s="1819"/>
      <c r="AY62" s="1819"/>
      <c r="AZ62" s="1819"/>
      <c r="BA62" s="1819"/>
      <c r="BB62" s="1820"/>
      <c r="BC62" s="1818" t="s">
        <v>164</v>
      </c>
      <c r="BD62" s="1975"/>
      <c r="BE62" s="1975"/>
      <c r="BF62" s="1975"/>
      <c r="BG62" s="1975"/>
      <c r="BH62" s="1975"/>
      <c r="BI62" s="1975"/>
      <c r="BJ62" s="1975"/>
      <c r="BK62" s="1975"/>
      <c r="BL62" s="1975"/>
      <c r="BM62" s="1976"/>
      <c r="BN62" s="1818" t="s">
        <v>6</v>
      </c>
      <c r="BO62" s="1819"/>
      <c r="BP62" s="1819"/>
      <c r="BQ62" s="1819"/>
      <c r="BR62" s="1819"/>
      <c r="BS62" s="1819"/>
      <c r="BT62" s="1819"/>
      <c r="BU62" s="1819"/>
      <c r="BV62" s="1819"/>
      <c r="BW62" s="1819"/>
      <c r="BX62" s="1819"/>
      <c r="BY62" s="1819"/>
      <c r="BZ62" s="1819"/>
      <c r="CA62" s="1819"/>
      <c r="CB62" s="1820"/>
      <c r="CC62" s="1806" t="s">
        <v>52</v>
      </c>
      <c r="CD62" s="1806"/>
      <c r="CE62" s="1806"/>
      <c r="CF62" s="1806"/>
      <c r="CG62" s="1806"/>
      <c r="CH62" s="1806"/>
    </row>
    <row r="63" spans="1:86" ht="55.5" customHeight="1" x14ac:dyDescent="0.2">
      <c r="A63" s="1807" t="s">
        <v>77</v>
      </c>
      <c r="B63" s="1808"/>
      <c r="C63" s="1808"/>
      <c r="D63" s="1809"/>
      <c r="E63" s="1807"/>
      <c r="F63" s="1808"/>
      <c r="G63" s="1808"/>
      <c r="H63" s="1808"/>
      <c r="I63" s="1808"/>
      <c r="J63" s="1808"/>
      <c r="K63" s="1808"/>
      <c r="L63" s="1808"/>
      <c r="M63" s="1808"/>
      <c r="N63" s="1808"/>
      <c r="O63" s="1808"/>
      <c r="P63" s="1808"/>
      <c r="Q63" s="1808"/>
      <c r="R63" s="1808"/>
      <c r="S63" s="1808"/>
      <c r="T63" s="1808"/>
      <c r="U63" s="1808"/>
      <c r="V63" s="1808"/>
      <c r="W63" s="1808"/>
      <c r="X63" s="1808"/>
      <c r="Y63" s="1808"/>
      <c r="Z63" s="1808"/>
      <c r="AA63" s="1808"/>
      <c r="AB63" s="1808"/>
      <c r="AC63" s="1808"/>
      <c r="AD63" s="1808"/>
      <c r="AE63" s="1808"/>
      <c r="AF63" s="1808"/>
      <c r="AG63" s="1808"/>
      <c r="AH63" s="1808"/>
      <c r="AI63" s="1808"/>
      <c r="AJ63" s="1808"/>
      <c r="AK63" s="1808"/>
      <c r="AL63" s="1808"/>
      <c r="AM63" s="1808"/>
      <c r="AN63" s="1808"/>
      <c r="AO63" s="1808"/>
      <c r="AP63" s="1808"/>
      <c r="AQ63" s="1808"/>
      <c r="AR63" s="1809"/>
      <c r="AS63" s="1807"/>
      <c r="AT63" s="1808"/>
      <c r="AU63" s="1808"/>
      <c r="AV63" s="1808"/>
      <c r="AW63" s="1808"/>
      <c r="AX63" s="1808"/>
      <c r="AY63" s="1808"/>
      <c r="AZ63" s="1808"/>
      <c r="BA63" s="1808"/>
      <c r="BB63" s="1809"/>
      <c r="BC63" s="1807" t="s">
        <v>165</v>
      </c>
      <c r="BD63" s="1928"/>
      <c r="BE63" s="1928"/>
      <c r="BF63" s="1928"/>
      <c r="BG63" s="1928"/>
      <c r="BH63" s="1928"/>
      <c r="BI63" s="1928"/>
      <c r="BJ63" s="1928"/>
      <c r="BK63" s="1928"/>
      <c r="BL63" s="1928"/>
      <c r="BM63" s="1929"/>
      <c r="BN63" s="1807"/>
      <c r="BO63" s="1808"/>
      <c r="BP63" s="1808"/>
      <c r="BQ63" s="1808"/>
      <c r="BR63" s="1808"/>
      <c r="BS63" s="1808"/>
      <c r="BT63" s="1808"/>
      <c r="BU63" s="1808"/>
      <c r="BV63" s="1808"/>
      <c r="BW63" s="1808"/>
      <c r="BX63" s="1808"/>
      <c r="BY63" s="1808"/>
      <c r="BZ63" s="1808"/>
      <c r="CA63" s="1808"/>
      <c r="CB63" s="1809"/>
      <c r="CC63" s="1810" t="s">
        <v>35</v>
      </c>
      <c r="CD63" s="1810"/>
      <c r="CE63" s="1788" t="s">
        <v>45</v>
      </c>
      <c r="CF63" s="1790"/>
      <c r="CG63" s="1789"/>
      <c r="CH63" s="1778" t="s">
        <v>46</v>
      </c>
    </row>
    <row r="64" spans="1:86" ht="12.75" customHeight="1" x14ac:dyDescent="0.2">
      <c r="A64" s="1807"/>
      <c r="B64" s="1808"/>
      <c r="C64" s="1808"/>
      <c r="D64" s="1809"/>
      <c r="E64" s="1807"/>
      <c r="F64" s="1808"/>
      <c r="G64" s="1808"/>
      <c r="H64" s="1808"/>
      <c r="I64" s="1808"/>
      <c r="J64" s="1808"/>
      <c r="K64" s="1808"/>
      <c r="L64" s="1808"/>
      <c r="M64" s="1808"/>
      <c r="N64" s="1808"/>
      <c r="O64" s="1808"/>
      <c r="P64" s="1808"/>
      <c r="Q64" s="1808"/>
      <c r="R64" s="1808"/>
      <c r="S64" s="1808"/>
      <c r="T64" s="1808"/>
      <c r="U64" s="1808"/>
      <c r="V64" s="1808"/>
      <c r="W64" s="1808"/>
      <c r="X64" s="1808"/>
      <c r="Y64" s="1808"/>
      <c r="Z64" s="1808"/>
      <c r="AA64" s="1808"/>
      <c r="AB64" s="1808"/>
      <c r="AC64" s="1808"/>
      <c r="AD64" s="1808"/>
      <c r="AE64" s="1808"/>
      <c r="AF64" s="1808"/>
      <c r="AG64" s="1808"/>
      <c r="AH64" s="1808"/>
      <c r="AI64" s="1808"/>
      <c r="AJ64" s="1808"/>
      <c r="AK64" s="1808"/>
      <c r="AL64" s="1808"/>
      <c r="AM64" s="1808"/>
      <c r="AN64" s="1808"/>
      <c r="AO64" s="1808"/>
      <c r="AP64" s="1808"/>
      <c r="AQ64" s="1808"/>
      <c r="AR64" s="1809"/>
      <c r="AS64" s="1807"/>
      <c r="AT64" s="1808"/>
      <c r="AU64" s="1808"/>
      <c r="AV64" s="1808"/>
      <c r="AW64" s="1808"/>
      <c r="AX64" s="1808"/>
      <c r="AY64" s="1808"/>
      <c r="AZ64" s="1808"/>
      <c r="BA64" s="1808"/>
      <c r="BB64" s="1809"/>
      <c r="BC64" s="1807" t="s">
        <v>111</v>
      </c>
      <c r="BD64" s="1928"/>
      <c r="BE64" s="1928"/>
      <c r="BF64" s="1928"/>
      <c r="BG64" s="1928"/>
      <c r="BH64" s="1928"/>
      <c r="BI64" s="1928"/>
      <c r="BJ64" s="1928"/>
      <c r="BK64" s="1928"/>
      <c r="BL64" s="1928"/>
      <c r="BM64" s="1929"/>
      <c r="BN64" s="1807"/>
      <c r="BO64" s="1808"/>
      <c r="BP64" s="1808"/>
      <c r="BQ64" s="1808"/>
      <c r="BR64" s="1808"/>
      <c r="BS64" s="1808"/>
      <c r="BT64" s="1808"/>
      <c r="BU64" s="1808"/>
      <c r="BV64" s="1808"/>
      <c r="BW64" s="1808"/>
      <c r="BX64" s="1808"/>
      <c r="BY64" s="1808"/>
      <c r="BZ64" s="1808"/>
      <c r="CA64" s="1808"/>
      <c r="CB64" s="1809"/>
      <c r="CC64" s="1811" t="s">
        <v>43</v>
      </c>
      <c r="CD64" s="1811" t="s">
        <v>44</v>
      </c>
      <c r="CE64" s="1812" t="s">
        <v>55</v>
      </c>
      <c r="CF64" s="1811" t="s">
        <v>43</v>
      </c>
      <c r="CG64" s="1811" t="s">
        <v>44</v>
      </c>
      <c r="CH64" s="1779"/>
    </row>
    <row r="65" spans="1:87" ht="12.75" customHeight="1" x14ac:dyDescent="0.2">
      <c r="A65" s="246"/>
      <c r="B65" s="247"/>
      <c r="C65" s="247"/>
      <c r="D65" s="248"/>
      <c r="E65" s="1814"/>
      <c r="F65" s="1815"/>
      <c r="G65" s="1815"/>
      <c r="H65" s="1815"/>
      <c r="I65" s="1815"/>
      <c r="J65" s="1815"/>
      <c r="K65" s="1815"/>
      <c r="L65" s="1815"/>
      <c r="M65" s="1815"/>
      <c r="N65" s="1815"/>
      <c r="O65" s="1815"/>
      <c r="P65" s="1815"/>
      <c r="Q65" s="1815"/>
      <c r="R65" s="1815"/>
      <c r="S65" s="1815"/>
      <c r="T65" s="1815"/>
      <c r="U65" s="1815"/>
      <c r="V65" s="1815"/>
      <c r="W65" s="1815"/>
      <c r="X65" s="1815"/>
      <c r="Y65" s="1815"/>
      <c r="Z65" s="1815"/>
      <c r="AA65" s="1815"/>
      <c r="AB65" s="1815"/>
      <c r="AC65" s="1815"/>
      <c r="AD65" s="1815"/>
      <c r="AE65" s="1815"/>
      <c r="AF65" s="1815"/>
      <c r="AG65" s="1815"/>
      <c r="AH65" s="1815"/>
      <c r="AI65" s="1815"/>
      <c r="AJ65" s="1815"/>
      <c r="AK65" s="1815"/>
      <c r="AL65" s="1815"/>
      <c r="AM65" s="1815"/>
      <c r="AN65" s="1815"/>
      <c r="AO65" s="1815"/>
      <c r="AP65" s="1815"/>
      <c r="AQ65" s="1815"/>
      <c r="AR65" s="1816"/>
      <c r="AS65" s="1814"/>
      <c r="AT65" s="1815"/>
      <c r="AU65" s="1815"/>
      <c r="AV65" s="1815"/>
      <c r="AW65" s="1815"/>
      <c r="AX65" s="1815"/>
      <c r="AY65" s="1815"/>
      <c r="AZ65" s="1815"/>
      <c r="BA65" s="1815"/>
      <c r="BB65" s="1816"/>
      <c r="BC65" s="1814"/>
      <c r="BD65" s="1815"/>
      <c r="BE65" s="1815"/>
      <c r="BF65" s="1815"/>
      <c r="BG65" s="1815"/>
      <c r="BH65" s="1815"/>
      <c r="BI65" s="1815"/>
      <c r="BJ65" s="1815"/>
      <c r="BK65" s="1815"/>
      <c r="BL65" s="1815"/>
      <c r="BM65" s="1816"/>
      <c r="BN65" s="1814"/>
      <c r="BO65" s="1815"/>
      <c r="BP65" s="1815"/>
      <c r="BQ65" s="1815"/>
      <c r="BR65" s="1815"/>
      <c r="BS65" s="1815"/>
      <c r="BT65" s="1815"/>
      <c r="BU65" s="1815"/>
      <c r="BV65" s="1815"/>
      <c r="BW65" s="1815"/>
      <c r="BX65" s="1815"/>
      <c r="BY65" s="1815"/>
      <c r="BZ65" s="1815"/>
      <c r="CA65" s="1815"/>
      <c r="CB65" s="1816"/>
      <c r="CC65" s="1811"/>
      <c r="CD65" s="1811"/>
      <c r="CE65" s="1813"/>
      <c r="CF65" s="1811"/>
      <c r="CG65" s="1811"/>
      <c r="CH65" s="1780"/>
    </row>
    <row r="66" spans="1:87" x14ac:dyDescent="0.2">
      <c r="A66" s="1814">
        <v>1</v>
      </c>
      <c r="B66" s="1815"/>
      <c r="C66" s="1815"/>
      <c r="D66" s="1816"/>
      <c r="E66" s="1814">
        <v>2</v>
      </c>
      <c r="F66" s="1815"/>
      <c r="G66" s="1815"/>
      <c r="H66" s="1815"/>
      <c r="I66" s="1815"/>
      <c r="J66" s="1815"/>
      <c r="K66" s="1815"/>
      <c r="L66" s="1815"/>
      <c r="M66" s="1815"/>
      <c r="N66" s="1815"/>
      <c r="O66" s="1815"/>
      <c r="P66" s="1815"/>
      <c r="Q66" s="1815"/>
      <c r="R66" s="1815"/>
      <c r="S66" s="1815"/>
      <c r="T66" s="1815"/>
      <c r="U66" s="1815"/>
      <c r="V66" s="1815"/>
      <c r="W66" s="1815"/>
      <c r="X66" s="1815"/>
      <c r="Y66" s="1815"/>
      <c r="Z66" s="1815"/>
      <c r="AA66" s="1815"/>
      <c r="AB66" s="1815"/>
      <c r="AC66" s="1815"/>
      <c r="AD66" s="1815"/>
      <c r="AE66" s="1815"/>
      <c r="AF66" s="1815"/>
      <c r="AG66" s="1815"/>
      <c r="AH66" s="1815"/>
      <c r="AI66" s="1815"/>
      <c r="AJ66" s="1815"/>
      <c r="AK66" s="1815"/>
      <c r="AL66" s="1815"/>
      <c r="AM66" s="1815"/>
      <c r="AN66" s="1815"/>
      <c r="AO66" s="1815"/>
      <c r="AP66" s="1815"/>
      <c r="AQ66" s="1815"/>
      <c r="AR66" s="1816"/>
      <c r="AS66" s="1814">
        <v>3</v>
      </c>
      <c r="AT66" s="1815"/>
      <c r="AU66" s="1815"/>
      <c r="AV66" s="1815"/>
      <c r="AW66" s="1815"/>
      <c r="AX66" s="1815"/>
      <c r="AY66" s="1815"/>
      <c r="AZ66" s="1815"/>
      <c r="BA66" s="1815"/>
      <c r="BB66" s="1816"/>
      <c r="BC66" s="1814">
        <v>4</v>
      </c>
      <c r="BD66" s="1815"/>
      <c r="BE66" s="1815"/>
      <c r="BF66" s="1815"/>
      <c r="BG66" s="1815"/>
      <c r="BH66" s="1815"/>
      <c r="BI66" s="1815"/>
      <c r="BJ66" s="1815"/>
      <c r="BK66" s="1815"/>
      <c r="BL66" s="1815"/>
      <c r="BM66" s="1816"/>
      <c r="BN66" s="1830" t="s">
        <v>49</v>
      </c>
      <c r="BO66" s="1830"/>
      <c r="BP66" s="1830"/>
      <c r="BQ66" s="1830"/>
      <c r="BR66" s="1830"/>
      <c r="BS66" s="1830"/>
      <c r="BT66" s="1830"/>
      <c r="BU66" s="1830"/>
      <c r="BV66" s="1830"/>
      <c r="BW66" s="1830"/>
      <c r="BX66" s="1830"/>
      <c r="BY66" s="1830"/>
      <c r="BZ66" s="1830"/>
      <c r="CA66" s="1830"/>
      <c r="CB66" s="1830"/>
      <c r="CC66" s="15">
        <v>6</v>
      </c>
      <c r="CD66" s="15">
        <v>7</v>
      </c>
      <c r="CE66" s="15">
        <v>8</v>
      </c>
      <c r="CF66" s="15">
        <v>9</v>
      </c>
      <c r="CG66" s="15">
        <v>10</v>
      </c>
      <c r="CH66" s="15">
        <v>11</v>
      </c>
    </row>
    <row r="67" spans="1:87" ht="18.75" customHeight="1" x14ac:dyDescent="0.2">
      <c r="A67" s="1772">
        <v>1</v>
      </c>
      <c r="B67" s="1882"/>
      <c r="C67" s="1882"/>
      <c r="D67" s="1882"/>
      <c r="E67" s="1772" t="s">
        <v>588</v>
      </c>
      <c r="F67" s="1882"/>
      <c r="G67" s="1882"/>
      <c r="H67" s="1882"/>
      <c r="I67" s="1882"/>
      <c r="J67" s="1882"/>
      <c r="K67" s="1882"/>
      <c r="L67" s="1882"/>
      <c r="M67" s="1882"/>
      <c r="N67" s="1882"/>
      <c r="O67" s="1882"/>
      <c r="P67" s="1882"/>
      <c r="Q67" s="1882"/>
      <c r="R67" s="1882"/>
      <c r="S67" s="1882"/>
      <c r="T67" s="1882"/>
      <c r="U67" s="1882"/>
      <c r="V67" s="1882"/>
      <c r="W67" s="1882"/>
      <c r="X67" s="1882"/>
      <c r="Y67" s="1882"/>
      <c r="Z67" s="1882"/>
      <c r="AA67" s="1882"/>
      <c r="AB67" s="1882"/>
      <c r="AC67" s="1882"/>
      <c r="AD67" s="1882"/>
      <c r="AE67" s="1882"/>
      <c r="AF67" s="1882"/>
      <c r="AG67" s="1882"/>
      <c r="AH67" s="1882"/>
      <c r="AI67" s="1882"/>
      <c r="AJ67" s="1882"/>
      <c r="AK67" s="1882"/>
      <c r="AL67" s="1882"/>
      <c r="AM67" s="1882"/>
      <c r="AN67" s="1882"/>
      <c r="AO67" s="1882"/>
      <c r="AP67" s="1882"/>
      <c r="AQ67" s="1882"/>
      <c r="AR67" s="1773"/>
      <c r="AS67" s="1895"/>
      <c r="AT67" s="1896"/>
      <c r="AU67" s="1896"/>
      <c r="AV67" s="1896"/>
      <c r="AW67" s="1896"/>
      <c r="AX67" s="1896"/>
      <c r="AY67" s="1896"/>
      <c r="AZ67" s="1896"/>
      <c r="BA67" s="1896"/>
      <c r="BB67" s="1897"/>
      <c r="BC67" s="1898"/>
      <c r="BD67" s="1899"/>
      <c r="BE67" s="1899"/>
      <c r="BF67" s="1899"/>
      <c r="BG67" s="1899"/>
      <c r="BH67" s="1899"/>
      <c r="BI67" s="1899"/>
      <c r="BJ67" s="1899"/>
      <c r="BK67" s="1899"/>
      <c r="BL67" s="1899"/>
      <c r="BM67" s="1900"/>
      <c r="BN67" s="1910">
        <f>CD67</f>
        <v>10000</v>
      </c>
      <c r="BO67" s="1911"/>
      <c r="BP67" s="1911"/>
      <c r="BQ67" s="1911"/>
      <c r="BR67" s="1911"/>
      <c r="BS67" s="1911"/>
      <c r="BT67" s="1911"/>
      <c r="BU67" s="1911"/>
      <c r="BV67" s="1911"/>
      <c r="BW67" s="1911"/>
      <c r="BX67" s="1911"/>
      <c r="BY67" s="1911"/>
      <c r="BZ67" s="1911"/>
      <c r="CA67" s="1911"/>
      <c r="CB67" s="1912"/>
      <c r="CC67" s="261"/>
      <c r="CD67" s="261">
        <v>10000</v>
      </c>
      <c r="CE67" s="262"/>
      <c r="CF67" s="262"/>
      <c r="CG67" s="262"/>
      <c r="CH67" s="262"/>
    </row>
    <row r="68" spans="1:87" ht="20.25" customHeight="1" x14ac:dyDescent="0.2">
      <c r="A68" s="1843"/>
      <c r="B68" s="1844"/>
      <c r="C68" s="1844"/>
      <c r="D68" s="1845"/>
      <c r="E68" s="1892" t="s">
        <v>166</v>
      </c>
      <c r="F68" s="1893"/>
      <c r="G68" s="1893"/>
      <c r="H68" s="1893"/>
      <c r="I68" s="1893"/>
      <c r="J68" s="1893"/>
      <c r="K68" s="1893"/>
      <c r="L68" s="1893"/>
      <c r="M68" s="1893"/>
      <c r="N68" s="1893"/>
      <c r="O68" s="1893"/>
      <c r="P68" s="1893"/>
      <c r="Q68" s="1893"/>
      <c r="R68" s="1893"/>
      <c r="S68" s="1893"/>
      <c r="T68" s="1893"/>
      <c r="U68" s="1893"/>
      <c r="V68" s="1893"/>
      <c r="W68" s="1893"/>
      <c r="X68" s="1893"/>
      <c r="Y68" s="1893"/>
      <c r="Z68" s="1893"/>
      <c r="AA68" s="1893"/>
      <c r="AB68" s="1893"/>
      <c r="AC68" s="1893"/>
      <c r="AD68" s="1893"/>
      <c r="AE68" s="1893"/>
      <c r="AF68" s="1893"/>
      <c r="AG68" s="1893"/>
      <c r="AH68" s="1893"/>
      <c r="AI68" s="1893"/>
      <c r="AJ68" s="1893"/>
      <c r="AK68" s="1893"/>
      <c r="AL68" s="1893"/>
      <c r="AM68" s="1893"/>
      <c r="AN68" s="1893"/>
      <c r="AO68" s="1893"/>
      <c r="AP68" s="1893"/>
      <c r="AQ68" s="1893"/>
      <c r="AR68" s="1894"/>
      <c r="AS68" s="1895"/>
      <c r="AT68" s="1896"/>
      <c r="AU68" s="1896"/>
      <c r="AV68" s="1896"/>
      <c r="AW68" s="1896"/>
      <c r="AX68" s="1896"/>
      <c r="AY68" s="1896"/>
      <c r="AZ68" s="1896"/>
      <c r="BA68" s="1896"/>
      <c r="BB68" s="1897"/>
      <c r="BC68" s="1898"/>
      <c r="BD68" s="1899"/>
      <c r="BE68" s="1899"/>
      <c r="BF68" s="1899"/>
      <c r="BG68" s="1899"/>
      <c r="BH68" s="1899"/>
      <c r="BI68" s="1899"/>
      <c r="BJ68" s="1899"/>
      <c r="BK68" s="1899"/>
      <c r="BL68" s="1899"/>
      <c r="BM68" s="1900"/>
      <c r="BN68" s="1984">
        <f>BN67</f>
        <v>10000</v>
      </c>
      <c r="BO68" s="1985"/>
      <c r="BP68" s="1985"/>
      <c r="BQ68" s="1985"/>
      <c r="BR68" s="1985"/>
      <c r="BS68" s="1985"/>
      <c r="BT68" s="1985"/>
      <c r="BU68" s="1985"/>
      <c r="BV68" s="1985"/>
      <c r="BW68" s="1985"/>
      <c r="BX68" s="1985"/>
      <c r="BY68" s="1985"/>
      <c r="BZ68" s="1985"/>
      <c r="CA68" s="1985"/>
      <c r="CB68" s="1986"/>
      <c r="CC68" s="261"/>
      <c r="CD68" s="263">
        <f>BN68</f>
        <v>10000</v>
      </c>
      <c r="CE68" s="262"/>
      <c r="CF68" s="262"/>
      <c r="CG68" s="262"/>
      <c r="CH68" s="262"/>
    </row>
    <row r="69" spans="1:87" ht="18" customHeight="1" x14ac:dyDescent="0.2">
      <c r="A69" s="1772">
        <v>1</v>
      </c>
      <c r="B69" s="1882"/>
      <c r="C69" s="1882"/>
      <c r="D69" s="1882"/>
      <c r="E69" s="1772" t="s">
        <v>167</v>
      </c>
      <c r="F69" s="1882"/>
      <c r="G69" s="1882"/>
      <c r="H69" s="1882"/>
      <c r="I69" s="1882"/>
      <c r="J69" s="1882"/>
      <c r="K69" s="1882"/>
      <c r="L69" s="1882"/>
      <c r="M69" s="1882"/>
      <c r="N69" s="1882"/>
      <c r="O69" s="1882"/>
      <c r="P69" s="1882"/>
      <c r="Q69" s="1882"/>
      <c r="R69" s="1882"/>
      <c r="S69" s="1882"/>
      <c r="T69" s="1882"/>
      <c r="U69" s="1882"/>
      <c r="V69" s="1882"/>
      <c r="W69" s="1882"/>
      <c r="X69" s="1882"/>
      <c r="Y69" s="1882"/>
      <c r="Z69" s="1882"/>
      <c r="AA69" s="1882"/>
      <c r="AB69" s="1882"/>
      <c r="AC69" s="1882"/>
      <c r="AD69" s="1882"/>
      <c r="AE69" s="1882"/>
      <c r="AF69" s="1882"/>
      <c r="AG69" s="1882"/>
      <c r="AH69" s="1882"/>
      <c r="AI69" s="1882"/>
      <c r="AJ69" s="1882"/>
      <c r="AK69" s="1882"/>
      <c r="AL69" s="1882"/>
      <c r="AM69" s="1882"/>
      <c r="AN69" s="1882"/>
      <c r="AO69" s="1882"/>
      <c r="AP69" s="1882"/>
      <c r="AQ69" s="1882"/>
      <c r="AR69" s="1773"/>
      <c r="AS69" s="1981"/>
      <c r="AT69" s="1982"/>
      <c r="AU69" s="1982"/>
      <c r="AV69" s="1982"/>
      <c r="AW69" s="1982"/>
      <c r="AX69" s="1982"/>
      <c r="AY69" s="1982"/>
      <c r="AZ69" s="1982"/>
      <c r="BA69" s="1982"/>
      <c r="BB69" s="1983"/>
      <c r="BC69" s="1978"/>
      <c r="BD69" s="1884"/>
      <c r="BE69" s="1884"/>
      <c r="BF69" s="1884"/>
      <c r="BG69" s="1884"/>
      <c r="BH69" s="1884"/>
      <c r="BI69" s="1884"/>
      <c r="BJ69" s="1884"/>
      <c r="BK69" s="1884"/>
      <c r="BL69" s="1884"/>
      <c r="BM69" s="1885"/>
      <c r="BN69" s="2216" t="e">
        <f>CD69+CH69</f>
        <v>#REF!</v>
      </c>
      <c r="BO69" s="2217"/>
      <c r="BP69" s="2217"/>
      <c r="BQ69" s="2217"/>
      <c r="BR69" s="2217"/>
      <c r="BS69" s="2217"/>
      <c r="BT69" s="2217"/>
      <c r="BU69" s="2217"/>
      <c r="BV69" s="2217"/>
      <c r="BW69" s="2217"/>
      <c r="BX69" s="2217"/>
      <c r="BY69" s="2217"/>
      <c r="BZ69" s="2217"/>
      <c r="CA69" s="2217"/>
      <c r="CB69" s="2218"/>
      <c r="CC69" s="264"/>
      <c r="CD69" s="261" t="e">
        <f>#REF!</f>
        <v>#REF!</v>
      </c>
      <c r="CE69" s="265"/>
      <c r="CF69" s="266"/>
      <c r="CG69" s="265"/>
      <c r="CH69" s="267" t="e">
        <f>#REF!</f>
        <v>#REF!</v>
      </c>
      <c r="CI69" s="51"/>
    </row>
    <row r="70" spans="1:87" ht="19.5" hidden="1" customHeight="1" x14ac:dyDescent="0.2">
      <c r="A70" s="1772"/>
      <c r="B70" s="1882"/>
      <c r="C70" s="1882"/>
      <c r="D70" s="1882"/>
      <c r="E70" s="1772"/>
      <c r="F70" s="1882"/>
      <c r="G70" s="1882"/>
      <c r="H70" s="1882"/>
      <c r="I70" s="1882"/>
      <c r="J70" s="1882"/>
      <c r="K70" s="1882"/>
      <c r="L70" s="1882"/>
      <c r="M70" s="1882"/>
      <c r="N70" s="1882"/>
      <c r="O70" s="1882"/>
      <c r="P70" s="1882"/>
      <c r="Q70" s="1882"/>
      <c r="R70" s="1882"/>
      <c r="S70" s="1882"/>
      <c r="T70" s="1882"/>
      <c r="U70" s="1882"/>
      <c r="V70" s="1882"/>
      <c r="W70" s="1882"/>
      <c r="X70" s="1882"/>
      <c r="Y70" s="1882"/>
      <c r="Z70" s="1882"/>
      <c r="AA70" s="1882"/>
      <c r="AB70" s="1882"/>
      <c r="AC70" s="1882"/>
      <c r="AD70" s="1882"/>
      <c r="AE70" s="1882"/>
      <c r="AF70" s="1882"/>
      <c r="AG70" s="1882"/>
      <c r="AH70" s="1882"/>
      <c r="AI70" s="1882"/>
      <c r="AJ70" s="1882"/>
      <c r="AK70" s="1882"/>
      <c r="AL70" s="1882"/>
      <c r="AM70" s="1882"/>
      <c r="AN70" s="1882"/>
      <c r="AO70" s="1882"/>
      <c r="AP70" s="1882"/>
      <c r="AQ70" s="1882"/>
      <c r="AR70" s="1773"/>
      <c r="AS70" s="1981"/>
      <c r="AT70" s="1982"/>
      <c r="AU70" s="1982"/>
      <c r="AV70" s="1982"/>
      <c r="AW70" s="1982"/>
      <c r="AX70" s="1982"/>
      <c r="AY70" s="1982"/>
      <c r="AZ70" s="1982"/>
      <c r="BA70" s="1982"/>
      <c r="BB70" s="1983"/>
      <c r="BC70" s="1978"/>
      <c r="BD70" s="1884"/>
      <c r="BE70" s="1884"/>
      <c r="BF70" s="1884"/>
      <c r="BG70" s="1884"/>
      <c r="BH70" s="1884"/>
      <c r="BI70" s="1884"/>
      <c r="BJ70" s="1884"/>
      <c r="BK70" s="1884"/>
      <c r="BL70" s="1884"/>
      <c r="BM70" s="1885"/>
      <c r="BN70" s="2216">
        <f>CD70+CH70</f>
        <v>0</v>
      </c>
      <c r="BO70" s="2217"/>
      <c r="BP70" s="2217"/>
      <c r="BQ70" s="2217"/>
      <c r="BR70" s="2217"/>
      <c r="BS70" s="2217"/>
      <c r="BT70" s="2217"/>
      <c r="BU70" s="2217"/>
      <c r="BV70" s="2217"/>
      <c r="BW70" s="2217"/>
      <c r="BX70" s="2217"/>
      <c r="BY70" s="2217"/>
      <c r="BZ70" s="2217"/>
      <c r="CA70" s="2217"/>
      <c r="CB70" s="2218"/>
      <c r="CC70" s="264"/>
      <c r="CD70" s="261">
        <v>0</v>
      </c>
      <c r="CE70" s="265"/>
      <c r="CF70" s="266"/>
      <c r="CG70" s="265"/>
      <c r="CH70" s="267"/>
      <c r="CI70" s="51"/>
    </row>
    <row r="71" spans="1:87" ht="20.25" customHeight="1" x14ac:dyDescent="0.2">
      <c r="A71" s="243"/>
      <c r="B71" s="244"/>
      <c r="C71" s="244"/>
      <c r="D71" s="245"/>
      <c r="E71" s="1892" t="s">
        <v>168</v>
      </c>
      <c r="F71" s="1893"/>
      <c r="G71" s="1893"/>
      <c r="H71" s="1893"/>
      <c r="I71" s="1893"/>
      <c r="J71" s="1893"/>
      <c r="K71" s="1893"/>
      <c r="L71" s="1893"/>
      <c r="M71" s="1893"/>
      <c r="N71" s="1893"/>
      <c r="O71" s="1893"/>
      <c r="P71" s="1893"/>
      <c r="Q71" s="1893"/>
      <c r="R71" s="1893"/>
      <c r="S71" s="1893"/>
      <c r="T71" s="1893"/>
      <c r="U71" s="1893"/>
      <c r="V71" s="1893"/>
      <c r="W71" s="1893"/>
      <c r="X71" s="1893"/>
      <c r="Y71" s="1893"/>
      <c r="Z71" s="1893"/>
      <c r="AA71" s="1893"/>
      <c r="AB71" s="1893"/>
      <c r="AC71" s="1893"/>
      <c r="AD71" s="1893"/>
      <c r="AE71" s="1893"/>
      <c r="AF71" s="1893"/>
      <c r="AG71" s="1893"/>
      <c r="AH71" s="1893"/>
      <c r="AI71" s="1893"/>
      <c r="AJ71" s="1893"/>
      <c r="AK71" s="1893"/>
      <c r="AL71" s="1893"/>
      <c r="AM71" s="1893"/>
      <c r="AN71" s="1893"/>
      <c r="AO71" s="1893"/>
      <c r="AP71" s="1893"/>
      <c r="AQ71" s="1893"/>
      <c r="AR71" s="1894"/>
      <c r="AS71" s="1895"/>
      <c r="AT71" s="1896"/>
      <c r="AU71" s="1896"/>
      <c r="AV71" s="1896"/>
      <c r="AW71" s="1896"/>
      <c r="AX71" s="1896"/>
      <c r="AY71" s="1896"/>
      <c r="AZ71" s="1896"/>
      <c r="BA71" s="1896"/>
      <c r="BB71" s="1897"/>
      <c r="BC71" s="1898"/>
      <c r="BD71" s="1899"/>
      <c r="BE71" s="1899"/>
      <c r="BF71" s="1899"/>
      <c r="BG71" s="1899"/>
      <c r="BH71" s="1899"/>
      <c r="BI71" s="1899"/>
      <c r="BJ71" s="1899"/>
      <c r="BK71" s="1899"/>
      <c r="BL71" s="1899"/>
      <c r="BM71" s="1900"/>
      <c r="BN71" s="1984" t="e">
        <f>SUM(BN69:CB70)</f>
        <v>#REF!</v>
      </c>
      <c r="BO71" s="1985"/>
      <c r="BP71" s="1985"/>
      <c r="BQ71" s="1985"/>
      <c r="BR71" s="1985"/>
      <c r="BS71" s="1985"/>
      <c r="BT71" s="1985"/>
      <c r="BU71" s="1985"/>
      <c r="BV71" s="1985"/>
      <c r="BW71" s="1985"/>
      <c r="BX71" s="1985"/>
      <c r="BY71" s="1985"/>
      <c r="BZ71" s="1985"/>
      <c r="CA71" s="1985"/>
      <c r="CB71" s="1986"/>
      <c r="CC71" s="263"/>
      <c r="CD71" s="263" t="e">
        <f>SUM(CD69:CD70)</f>
        <v>#REF!</v>
      </c>
      <c r="CE71" s="262"/>
      <c r="CF71" s="262"/>
      <c r="CG71" s="262"/>
      <c r="CH71" s="268" t="e">
        <f>SUM(CH69:CH70)</f>
        <v>#REF!</v>
      </c>
    </row>
    <row r="72" spans="1:87" ht="17.25" customHeight="1" x14ac:dyDescent="0.2">
      <c r="A72" s="1772">
        <v>1</v>
      </c>
      <c r="B72" s="1882"/>
      <c r="C72" s="1882"/>
      <c r="D72" s="1882"/>
      <c r="E72" s="1772" t="s">
        <v>169</v>
      </c>
      <c r="F72" s="1882"/>
      <c r="G72" s="1882"/>
      <c r="H72" s="1882"/>
      <c r="I72" s="1882"/>
      <c r="J72" s="1882"/>
      <c r="K72" s="1882"/>
      <c r="L72" s="1882"/>
      <c r="M72" s="1882"/>
      <c r="N72" s="1882"/>
      <c r="O72" s="1882"/>
      <c r="P72" s="1882"/>
      <c r="Q72" s="1882"/>
      <c r="R72" s="1882"/>
      <c r="S72" s="1882"/>
      <c r="T72" s="1882"/>
      <c r="U72" s="1882"/>
      <c r="V72" s="1882"/>
      <c r="W72" s="1882"/>
      <c r="X72" s="1882"/>
      <c r="Y72" s="1882"/>
      <c r="Z72" s="1882"/>
      <c r="AA72" s="1882"/>
      <c r="AB72" s="1882"/>
      <c r="AC72" s="1882"/>
      <c r="AD72" s="1882"/>
      <c r="AE72" s="1882"/>
      <c r="AF72" s="1882"/>
      <c r="AG72" s="1882"/>
      <c r="AH72" s="1882"/>
      <c r="AI72" s="1882"/>
      <c r="AJ72" s="1882"/>
      <c r="AK72" s="1882"/>
      <c r="AL72" s="1882"/>
      <c r="AM72" s="1882"/>
      <c r="AN72" s="1882"/>
      <c r="AO72" s="1882"/>
      <c r="AP72" s="1882"/>
      <c r="AQ72" s="1882"/>
      <c r="AR72" s="1773"/>
      <c r="AS72" s="1895"/>
      <c r="AT72" s="1896"/>
      <c r="AU72" s="1896"/>
      <c r="AV72" s="1896"/>
      <c r="AW72" s="1896"/>
      <c r="AX72" s="1896"/>
      <c r="AY72" s="1896"/>
      <c r="AZ72" s="1896"/>
      <c r="BA72" s="1896"/>
      <c r="BB72" s="1897"/>
      <c r="BC72" s="1898"/>
      <c r="BD72" s="1899"/>
      <c r="BE72" s="1899"/>
      <c r="BF72" s="1899"/>
      <c r="BG72" s="1899"/>
      <c r="BH72" s="1899"/>
      <c r="BI72" s="1899"/>
      <c r="BJ72" s="1899"/>
      <c r="BK72" s="1899"/>
      <c r="BL72" s="1899"/>
      <c r="BM72" s="1900"/>
      <c r="BN72" s="1910">
        <f>CD72</f>
        <v>20000</v>
      </c>
      <c r="BO72" s="1911"/>
      <c r="BP72" s="1911"/>
      <c r="BQ72" s="1911"/>
      <c r="BR72" s="1911"/>
      <c r="BS72" s="1911"/>
      <c r="BT72" s="1911"/>
      <c r="BU72" s="1911"/>
      <c r="BV72" s="1911"/>
      <c r="BW72" s="1911"/>
      <c r="BX72" s="1911"/>
      <c r="BY72" s="1911"/>
      <c r="BZ72" s="1911"/>
      <c r="CA72" s="1911"/>
      <c r="CB72" s="1912"/>
      <c r="CC72" s="261"/>
      <c r="CD72" s="261">
        <v>20000</v>
      </c>
      <c r="CE72" s="262"/>
      <c r="CF72" s="262"/>
      <c r="CG72" s="262"/>
      <c r="CH72" s="269"/>
    </row>
    <row r="73" spans="1:87" ht="18.75" customHeight="1" x14ac:dyDescent="0.2">
      <c r="A73" s="48"/>
      <c r="B73" s="9"/>
      <c r="C73" s="9"/>
      <c r="D73" s="49"/>
      <c r="E73" s="1892" t="s">
        <v>170</v>
      </c>
      <c r="F73" s="1893"/>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1893"/>
      <c r="AC73" s="1893"/>
      <c r="AD73" s="1893"/>
      <c r="AE73" s="1893"/>
      <c r="AF73" s="1893"/>
      <c r="AG73" s="1893"/>
      <c r="AH73" s="1893"/>
      <c r="AI73" s="1893"/>
      <c r="AJ73" s="1893"/>
      <c r="AK73" s="1893"/>
      <c r="AL73" s="1893"/>
      <c r="AM73" s="1893"/>
      <c r="AN73" s="1893"/>
      <c r="AO73" s="1893"/>
      <c r="AP73" s="1893"/>
      <c r="AQ73" s="1893"/>
      <c r="AR73" s="1894"/>
      <c r="AS73" s="1895"/>
      <c r="AT73" s="1896"/>
      <c r="AU73" s="1896"/>
      <c r="AV73" s="1896"/>
      <c r="AW73" s="1896"/>
      <c r="AX73" s="1896"/>
      <c r="AY73" s="1896"/>
      <c r="AZ73" s="1896"/>
      <c r="BA73" s="1896"/>
      <c r="BB73" s="1897"/>
      <c r="BC73" s="1898"/>
      <c r="BD73" s="1899"/>
      <c r="BE73" s="1899"/>
      <c r="BF73" s="1899"/>
      <c r="BG73" s="1899"/>
      <c r="BH73" s="1899"/>
      <c r="BI73" s="1899"/>
      <c r="BJ73" s="1899"/>
      <c r="BK73" s="1899"/>
      <c r="BL73" s="1899"/>
      <c r="BM73" s="1900"/>
      <c r="BN73" s="1984">
        <f>SUM(BN72:BN72)</f>
        <v>20000</v>
      </c>
      <c r="BO73" s="1985"/>
      <c r="BP73" s="1985"/>
      <c r="BQ73" s="1985"/>
      <c r="BR73" s="1985"/>
      <c r="BS73" s="1985"/>
      <c r="BT73" s="1985"/>
      <c r="BU73" s="1985"/>
      <c r="BV73" s="1985"/>
      <c r="BW73" s="1985"/>
      <c r="BX73" s="1985"/>
      <c r="BY73" s="1985"/>
      <c r="BZ73" s="1985"/>
      <c r="CA73" s="1985"/>
      <c r="CB73" s="1986"/>
      <c r="CC73" s="261"/>
      <c r="CD73" s="263">
        <f>SUM(CD72:CD72)</f>
        <v>20000</v>
      </c>
      <c r="CE73" s="262"/>
      <c r="CF73" s="262"/>
      <c r="CG73" s="262"/>
      <c r="CH73" s="268"/>
    </row>
    <row r="74" spans="1:87" ht="27" customHeight="1" x14ac:dyDescent="0.2">
      <c r="A74" s="1772">
        <v>1</v>
      </c>
      <c r="B74" s="1882"/>
      <c r="C74" s="1882"/>
      <c r="D74" s="1882"/>
      <c r="E74" s="1772" t="s">
        <v>171</v>
      </c>
      <c r="F74" s="1882"/>
      <c r="G74" s="1882"/>
      <c r="H74" s="1882"/>
      <c r="I74" s="1882"/>
      <c r="J74" s="1882"/>
      <c r="K74" s="1882"/>
      <c r="L74" s="1882"/>
      <c r="M74" s="1882"/>
      <c r="N74" s="1882"/>
      <c r="O74" s="1882"/>
      <c r="P74" s="1882"/>
      <c r="Q74" s="1882"/>
      <c r="R74" s="1882"/>
      <c r="S74" s="1882"/>
      <c r="T74" s="1882"/>
      <c r="U74" s="1882"/>
      <c r="V74" s="1882"/>
      <c r="W74" s="1882"/>
      <c r="X74" s="1882"/>
      <c r="Y74" s="1882"/>
      <c r="Z74" s="1882"/>
      <c r="AA74" s="1882"/>
      <c r="AB74" s="1882"/>
      <c r="AC74" s="1882"/>
      <c r="AD74" s="1882"/>
      <c r="AE74" s="1882"/>
      <c r="AF74" s="1882"/>
      <c r="AG74" s="1882"/>
      <c r="AH74" s="1882"/>
      <c r="AI74" s="1882"/>
      <c r="AJ74" s="1882"/>
      <c r="AK74" s="1882"/>
      <c r="AL74" s="1882"/>
      <c r="AM74" s="1882"/>
      <c r="AN74" s="1882"/>
      <c r="AO74" s="1882"/>
      <c r="AP74" s="1882"/>
      <c r="AQ74" s="1882"/>
      <c r="AR74" s="1773"/>
      <c r="AS74" s="1901"/>
      <c r="AT74" s="1902"/>
      <c r="AU74" s="1902"/>
      <c r="AV74" s="1902"/>
      <c r="AW74" s="1902"/>
      <c r="AX74" s="1902"/>
      <c r="AY74" s="1902"/>
      <c r="AZ74" s="1902"/>
      <c r="BA74" s="1902"/>
      <c r="BB74" s="1903"/>
      <c r="BC74" s="1907"/>
      <c r="BD74" s="1908"/>
      <c r="BE74" s="1908"/>
      <c r="BF74" s="1908"/>
      <c r="BG74" s="1908"/>
      <c r="BH74" s="1908"/>
      <c r="BI74" s="1908"/>
      <c r="BJ74" s="1908"/>
      <c r="BK74" s="1908"/>
      <c r="BL74" s="1908"/>
      <c r="BM74" s="1909"/>
      <c r="BN74" s="1910">
        <f t="shared" ref="BN74:BN80" si="2">CD74</f>
        <v>50000</v>
      </c>
      <c r="BO74" s="1911"/>
      <c r="BP74" s="1911"/>
      <c r="BQ74" s="1911"/>
      <c r="BR74" s="1911"/>
      <c r="BS74" s="1911"/>
      <c r="BT74" s="1911"/>
      <c r="BU74" s="1911"/>
      <c r="BV74" s="1911"/>
      <c r="BW74" s="1911"/>
      <c r="BX74" s="1911"/>
      <c r="BY74" s="1911"/>
      <c r="BZ74" s="1911"/>
      <c r="CA74" s="1911"/>
      <c r="CB74" s="1912"/>
      <c r="CC74" s="261"/>
      <c r="CD74" s="261">
        <v>50000</v>
      </c>
      <c r="CE74" s="262"/>
      <c r="CF74" s="262"/>
      <c r="CG74" s="262"/>
      <c r="CH74" s="269"/>
    </row>
    <row r="75" spans="1:87" ht="27" customHeight="1" x14ac:dyDescent="0.2">
      <c r="A75" s="1772">
        <v>2</v>
      </c>
      <c r="B75" s="1882"/>
      <c r="C75" s="1882"/>
      <c r="D75" s="1882"/>
      <c r="E75" s="1772" t="s">
        <v>172</v>
      </c>
      <c r="F75" s="1882"/>
      <c r="G75" s="1882"/>
      <c r="H75" s="1882"/>
      <c r="I75" s="1882"/>
      <c r="J75" s="1882"/>
      <c r="K75" s="1882"/>
      <c r="L75" s="1882"/>
      <c r="M75" s="1882"/>
      <c r="N75" s="1882"/>
      <c r="O75" s="1882"/>
      <c r="P75" s="1882"/>
      <c r="Q75" s="1882"/>
      <c r="R75" s="1882"/>
      <c r="S75" s="1882"/>
      <c r="T75" s="1882"/>
      <c r="U75" s="1882"/>
      <c r="V75" s="1882"/>
      <c r="W75" s="1882"/>
      <c r="X75" s="1882"/>
      <c r="Y75" s="1882"/>
      <c r="Z75" s="1882"/>
      <c r="AA75" s="1882"/>
      <c r="AB75" s="1882"/>
      <c r="AC75" s="1882"/>
      <c r="AD75" s="1882"/>
      <c r="AE75" s="1882"/>
      <c r="AF75" s="1882"/>
      <c r="AG75" s="1882"/>
      <c r="AH75" s="1882"/>
      <c r="AI75" s="1882"/>
      <c r="AJ75" s="1882"/>
      <c r="AK75" s="1882"/>
      <c r="AL75" s="1882"/>
      <c r="AM75" s="1882"/>
      <c r="AN75" s="1882"/>
      <c r="AO75" s="1882"/>
      <c r="AP75" s="1882"/>
      <c r="AQ75" s="1882"/>
      <c r="AR75" s="1773"/>
      <c r="AS75" s="1901"/>
      <c r="AT75" s="1902"/>
      <c r="AU75" s="1902"/>
      <c r="AV75" s="1902"/>
      <c r="AW75" s="1902"/>
      <c r="AX75" s="1902"/>
      <c r="AY75" s="1902"/>
      <c r="AZ75" s="1902"/>
      <c r="BA75" s="1902"/>
      <c r="BB75" s="1903"/>
      <c r="BC75" s="1907"/>
      <c r="BD75" s="1908"/>
      <c r="BE75" s="1908"/>
      <c r="BF75" s="1908"/>
      <c r="BG75" s="1908"/>
      <c r="BH75" s="1908"/>
      <c r="BI75" s="1908"/>
      <c r="BJ75" s="1908"/>
      <c r="BK75" s="1908"/>
      <c r="BL75" s="1908"/>
      <c r="BM75" s="1909"/>
      <c r="BN75" s="1910">
        <f t="shared" si="2"/>
        <v>10000</v>
      </c>
      <c r="BO75" s="1911"/>
      <c r="BP75" s="1911"/>
      <c r="BQ75" s="1911"/>
      <c r="BR75" s="1911"/>
      <c r="BS75" s="1911"/>
      <c r="BT75" s="1911"/>
      <c r="BU75" s="1911"/>
      <c r="BV75" s="1911"/>
      <c r="BW75" s="1911"/>
      <c r="BX75" s="1911"/>
      <c r="BY75" s="1911"/>
      <c r="BZ75" s="1911"/>
      <c r="CA75" s="1911"/>
      <c r="CB75" s="1912"/>
      <c r="CC75" s="261"/>
      <c r="CD75" s="261">
        <v>10000</v>
      </c>
      <c r="CE75" s="262"/>
      <c r="CF75" s="262"/>
      <c r="CG75" s="262"/>
      <c r="CH75" s="269"/>
    </row>
    <row r="76" spans="1:87" ht="27" customHeight="1" x14ac:dyDescent="0.2">
      <c r="A76" s="1772">
        <v>3</v>
      </c>
      <c r="B76" s="1882"/>
      <c r="C76" s="1882"/>
      <c r="D76" s="1882"/>
      <c r="E76" s="1772" t="s">
        <v>584</v>
      </c>
      <c r="F76" s="1882"/>
      <c r="G76" s="1882"/>
      <c r="H76" s="1882"/>
      <c r="I76" s="1882"/>
      <c r="J76" s="1882"/>
      <c r="K76" s="1882"/>
      <c r="L76" s="1882"/>
      <c r="M76" s="1882"/>
      <c r="N76" s="1882"/>
      <c r="O76" s="1882"/>
      <c r="P76" s="1882"/>
      <c r="Q76" s="1882"/>
      <c r="R76" s="1882"/>
      <c r="S76" s="1882"/>
      <c r="T76" s="1882"/>
      <c r="U76" s="1882"/>
      <c r="V76" s="1882"/>
      <c r="W76" s="1882"/>
      <c r="X76" s="1882"/>
      <c r="Y76" s="1882"/>
      <c r="Z76" s="1882"/>
      <c r="AA76" s="1882"/>
      <c r="AB76" s="1882"/>
      <c r="AC76" s="1882"/>
      <c r="AD76" s="1882"/>
      <c r="AE76" s="1882"/>
      <c r="AF76" s="1882"/>
      <c r="AG76" s="1882"/>
      <c r="AH76" s="1882"/>
      <c r="AI76" s="1882"/>
      <c r="AJ76" s="1882"/>
      <c r="AK76" s="1882"/>
      <c r="AL76" s="1882"/>
      <c r="AM76" s="1882"/>
      <c r="AN76" s="1882"/>
      <c r="AO76" s="1882"/>
      <c r="AP76" s="1882"/>
      <c r="AQ76" s="1882"/>
      <c r="AR76" s="1773"/>
      <c r="AS76" s="1901"/>
      <c r="AT76" s="1902"/>
      <c r="AU76" s="1902"/>
      <c r="AV76" s="1902"/>
      <c r="AW76" s="1902"/>
      <c r="AX76" s="1902"/>
      <c r="AY76" s="1902"/>
      <c r="AZ76" s="1902"/>
      <c r="BA76" s="1902"/>
      <c r="BB76" s="1903"/>
      <c r="BC76" s="1907"/>
      <c r="BD76" s="1908"/>
      <c r="BE76" s="1908"/>
      <c r="BF76" s="1908"/>
      <c r="BG76" s="1908"/>
      <c r="BH76" s="1908"/>
      <c r="BI76" s="1908"/>
      <c r="BJ76" s="1908"/>
      <c r="BK76" s="1908"/>
      <c r="BL76" s="1908"/>
      <c r="BM76" s="1909"/>
      <c r="BN76" s="1910">
        <f t="shared" si="2"/>
        <v>10000</v>
      </c>
      <c r="BO76" s="1911"/>
      <c r="BP76" s="1911"/>
      <c r="BQ76" s="1911"/>
      <c r="BR76" s="1911"/>
      <c r="BS76" s="1911"/>
      <c r="BT76" s="1911"/>
      <c r="BU76" s="1911"/>
      <c r="BV76" s="1911"/>
      <c r="BW76" s="1911"/>
      <c r="BX76" s="1911"/>
      <c r="BY76" s="1911"/>
      <c r="BZ76" s="1911"/>
      <c r="CA76" s="1911"/>
      <c r="CB76" s="1912"/>
      <c r="CC76" s="261"/>
      <c r="CD76" s="261">
        <v>10000</v>
      </c>
      <c r="CE76" s="262"/>
      <c r="CF76" s="262"/>
      <c r="CG76" s="262"/>
      <c r="CH76" s="269"/>
    </row>
    <row r="77" spans="1:87" ht="27" customHeight="1" x14ac:dyDescent="0.2">
      <c r="A77" s="1772">
        <v>4</v>
      </c>
      <c r="B77" s="1882"/>
      <c r="C77" s="1882"/>
      <c r="D77" s="1882"/>
      <c r="E77" s="1772" t="s">
        <v>173</v>
      </c>
      <c r="F77" s="1882"/>
      <c r="G77" s="1882"/>
      <c r="H77" s="1882"/>
      <c r="I77" s="1882"/>
      <c r="J77" s="1882"/>
      <c r="K77" s="1882"/>
      <c r="L77" s="1882"/>
      <c r="M77" s="1882"/>
      <c r="N77" s="1882"/>
      <c r="O77" s="1882"/>
      <c r="P77" s="1882"/>
      <c r="Q77" s="1882"/>
      <c r="R77" s="1882"/>
      <c r="S77" s="1882"/>
      <c r="T77" s="1882"/>
      <c r="U77" s="1882"/>
      <c r="V77" s="1882"/>
      <c r="W77" s="1882"/>
      <c r="X77" s="1882"/>
      <c r="Y77" s="1882"/>
      <c r="Z77" s="1882"/>
      <c r="AA77" s="1882"/>
      <c r="AB77" s="1882"/>
      <c r="AC77" s="1882"/>
      <c r="AD77" s="1882"/>
      <c r="AE77" s="1882"/>
      <c r="AF77" s="1882"/>
      <c r="AG77" s="1882"/>
      <c r="AH77" s="1882"/>
      <c r="AI77" s="1882"/>
      <c r="AJ77" s="1882"/>
      <c r="AK77" s="1882"/>
      <c r="AL77" s="1882"/>
      <c r="AM77" s="1882"/>
      <c r="AN77" s="1882"/>
      <c r="AO77" s="1882"/>
      <c r="AP77" s="1882"/>
      <c r="AQ77" s="1882"/>
      <c r="AR77" s="1773"/>
      <c r="AS77" s="1901"/>
      <c r="AT77" s="1902"/>
      <c r="AU77" s="1902"/>
      <c r="AV77" s="1902"/>
      <c r="AW77" s="1902"/>
      <c r="AX77" s="1902"/>
      <c r="AY77" s="1902"/>
      <c r="AZ77" s="1902"/>
      <c r="BA77" s="1902"/>
      <c r="BB77" s="1903"/>
      <c r="BC77" s="1907"/>
      <c r="BD77" s="1908"/>
      <c r="BE77" s="1908"/>
      <c r="BF77" s="1908"/>
      <c r="BG77" s="1908"/>
      <c r="BH77" s="1908"/>
      <c r="BI77" s="1908"/>
      <c r="BJ77" s="1908"/>
      <c r="BK77" s="1908"/>
      <c r="BL77" s="1908"/>
      <c r="BM77" s="1909"/>
      <c r="BN77" s="1910">
        <f t="shared" si="2"/>
        <v>60647.72</v>
      </c>
      <c r="BO77" s="1911"/>
      <c r="BP77" s="1911"/>
      <c r="BQ77" s="1911"/>
      <c r="BR77" s="1911"/>
      <c r="BS77" s="1911"/>
      <c r="BT77" s="1911"/>
      <c r="BU77" s="1911"/>
      <c r="BV77" s="1911"/>
      <c r="BW77" s="1911"/>
      <c r="BX77" s="1911"/>
      <c r="BY77" s="1911"/>
      <c r="BZ77" s="1911"/>
      <c r="CA77" s="1911"/>
      <c r="CB77" s="1912"/>
      <c r="CC77" s="261"/>
      <c r="CD77" s="261">
        <f>103423.13-3000-44.91-38397.76-1332.74</f>
        <v>60647.72</v>
      </c>
      <c r="CE77" s="262"/>
      <c r="CF77" s="262"/>
      <c r="CG77" s="262"/>
      <c r="CH77" s="269"/>
    </row>
    <row r="78" spans="1:87" ht="27" customHeight="1" x14ac:dyDescent="0.2">
      <c r="A78" s="1772">
        <v>5</v>
      </c>
      <c r="B78" s="1882"/>
      <c r="C78" s="1882"/>
      <c r="D78" s="1882"/>
      <c r="E78" s="1772" t="s">
        <v>589</v>
      </c>
      <c r="F78" s="1882"/>
      <c r="G78" s="1882"/>
      <c r="H78" s="1882"/>
      <c r="I78" s="1882"/>
      <c r="J78" s="1882"/>
      <c r="K78" s="1882"/>
      <c r="L78" s="1882"/>
      <c r="M78" s="1882"/>
      <c r="N78" s="1882"/>
      <c r="O78" s="1882"/>
      <c r="P78" s="1882"/>
      <c r="Q78" s="1882"/>
      <c r="R78" s="1882"/>
      <c r="S78" s="1882"/>
      <c r="T78" s="1882"/>
      <c r="U78" s="1882"/>
      <c r="V78" s="1882"/>
      <c r="W78" s="1882"/>
      <c r="X78" s="1882"/>
      <c r="Y78" s="1882"/>
      <c r="Z78" s="1882"/>
      <c r="AA78" s="1882"/>
      <c r="AB78" s="1882"/>
      <c r="AC78" s="1882"/>
      <c r="AD78" s="1882"/>
      <c r="AE78" s="1882"/>
      <c r="AF78" s="1882"/>
      <c r="AG78" s="1882"/>
      <c r="AH78" s="1882"/>
      <c r="AI78" s="1882"/>
      <c r="AJ78" s="1882"/>
      <c r="AK78" s="1882"/>
      <c r="AL78" s="1882"/>
      <c r="AM78" s="1882"/>
      <c r="AN78" s="1882"/>
      <c r="AO78" s="1882"/>
      <c r="AP78" s="1882"/>
      <c r="AQ78" s="1882"/>
      <c r="AR78" s="1773"/>
      <c r="AS78" s="1901"/>
      <c r="AT78" s="1902"/>
      <c r="AU78" s="1902"/>
      <c r="AV78" s="1902"/>
      <c r="AW78" s="1902"/>
      <c r="AX78" s="1902"/>
      <c r="AY78" s="1902"/>
      <c r="AZ78" s="1902"/>
      <c r="BA78" s="1902"/>
      <c r="BB78" s="1903"/>
      <c r="BC78" s="1907"/>
      <c r="BD78" s="1908"/>
      <c r="BE78" s="1908"/>
      <c r="BF78" s="1908"/>
      <c r="BG78" s="1908"/>
      <c r="BH78" s="1908"/>
      <c r="BI78" s="1908"/>
      <c r="BJ78" s="1908"/>
      <c r="BK78" s="1908"/>
      <c r="BL78" s="1908"/>
      <c r="BM78" s="1909"/>
      <c r="BN78" s="1910">
        <f t="shared" si="2"/>
        <v>30000</v>
      </c>
      <c r="BO78" s="1911"/>
      <c r="BP78" s="1911"/>
      <c r="BQ78" s="1911"/>
      <c r="BR78" s="1911"/>
      <c r="BS78" s="1911"/>
      <c r="BT78" s="1911"/>
      <c r="BU78" s="1911"/>
      <c r="BV78" s="1911"/>
      <c r="BW78" s="1911"/>
      <c r="BX78" s="1911"/>
      <c r="BY78" s="1911"/>
      <c r="BZ78" s="1911"/>
      <c r="CA78" s="1911"/>
      <c r="CB78" s="1912"/>
      <c r="CC78" s="261"/>
      <c r="CD78" s="261">
        <v>30000</v>
      </c>
      <c r="CE78" s="262"/>
      <c r="CF78" s="262"/>
      <c r="CG78" s="262"/>
      <c r="CH78" s="269"/>
    </row>
    <row r="79" spans="1:87" ht="27" customHeight="1" x14ac:dyDescent="0.2">
      <c r="A79" s="1772">
        <v>6</v>
      </c>
      <c r="B79" s="1882"/>
      <c r="C79" s="1882"/>
      <c r="D79" s="1882"/>
      <c r="E79" s="1772" t="s">
        <v>590</v>
      </c>
      <c r="F79" s="1882"/>
      <c r="G79" s="1882"/>
      <c r="H79" s="1882"/>
      <c r="I79" s="1882"/>
      <c r="J79" s="1882"/>
      <c r="K79" s="1882"/>
      <c r="L79" s="1882"/>
      <c r="M79" s="1882"/>
      <c r="N79" s="1882"/>
      <c r="O79" s="1882"/>
      <c r="P79" s="1882"/>
      <c r="Q79" s="1882"/>
      <c r="R79" s="1882"/>
      <c r="S79" s="1882"/>
      <c r="T79" s="1882"/>
      <c r="U79" s="1882"/>
      <c r="V79" s="1882"/>
      <c r="W79" s="1882"/>
      <c r="X79" s="1882"/>
      <c r="Y79" s="1882"/>
      <c r="Z79" s="1882"/>
      <c r="AA79" s="1882"/>
      <c r="AB79" s="1882"/>
      <c r="AC79" s="1882"/>
      <c r="AD79" s="1882"/>
      <c r="AE79" s="1882"/>
      <c r="AF79" s="1882"/>
      <c r="AG79" s="1882"/>
      <c r="AH79" s="1882"/>
      <c r="AI79" s="1882"/>
      <c r="AJ79" s="1882"/>
      <c r="AK79" s="1882"/>
      <c r="AL79" s="1882"/>
      <c r="AM79" s="1882"/>
      <c r="AN79" s="1882"/>
      <c r="AO79" s="1882"/>
      <c r="AP79" s="1882"/>
      <c r="AQ79" s="1882"/>
      <c r="AR79" s="1773"/>
      <c r="AS79" s="1901"/>
      <c r="AT79" s="1902"/>
      <c r="AU79" s="1902"/>
      <c r="AV79" s="1902"/>
      <c r="AW79" s="1902"/>
      <c r="AX79" s="1902"/>
      <c r="AY79" s="1902"/>
      <c r="AZ79" s="1902"/>
      <c r="BA79" s="1902"/>
      <c r="BB79" s="1903"/>
      <c r="BC79" s="1907"/>
      <c r="BD79" s="1908"/>
      <c r="BE79" s="1908"/>
      <c r="BF79" s="1908"/>
      <c r="BG79" s="1908"/>
      <c r="BH79" s="1908"/>
      <c r="BI79" s="1908"/>
      <c r="BJ79" s="1908"/>
      <c r="BK79" s="1908"/>
      <c r="BL79" s="1908"/>
      <c r="BM79" s="1909"/>
      <c r="BN79" s="1910">
        <f t="shared" si="2"/>
        <v>12000</v>
      </c>
      <c r="BO79" s="1911"/>
      <c r="BP79" s="1911"/>
      <c r="BQ79" s="1911"/>
      <c r="BR79" s="1911"/>
      <c r="BS79" s="1911"/>
      <c r="BT79" s="1911"/>
      <c r="BU79" s="1911"/>
      <c r="BV79" s="1911"/>
      <c r="BW79" s="1911"/>
      <c r="BX79" s="1911"/>
      <c r="BY79" s="1911"/>
      <c r="BZ79" s="1911"/>
      <c r="CA79" s="1911"/>
      <c r="CB79" s="1912"/>
      <c r="CC79" s="261"/>
      <c r="CD79" s="261">
        <v>12000</v>
      </c>
      <c r="CE79" s="262"/>
      <c r="CF79" s="262"/>
      <c r="CG79" s="262"/>
      <c r="CH79" s="269"/>
    </row>
    <row r="80" spans="1:87" ht="23.25" customHeight="1" x14ac:dyDescent="0.2">
      <c r="A80" s="1772">
        <v>7</v>
      </c>
      <c r="B80" s="1882"/>
      <c r="C80" s="1882"/>
      <c r="D80" s="1882"/>
      <c r="E80" s="1772" t="s">
        <v>787</v>
      </c>
      <c r="F80" s="1882"/>
      <c r="G80" s="1882"/>
      <c r="H80" s="1882"/>
      <c r="I80" s="1882"/>
      <c r="J80" s="1882"/>
      <c r="K80" s="1882"/>
      <c r="L80" s="1882"/>
      <c r="M80" s="1882"/>
      <c r="N80" s="1882"/>
      <c r="O80" s="1882"/>
      <c r="P80" s="1882"/>
      <c r="Q80" s="1882"/>
      <c r="R80" s="1882"/>
      <c r="S80" s="1882"/>
      <c r="T80" s="1882"/>
      <c r="U80" s="1882"/>
      <c r="V80" s="1882"/>
      <c r="W80" s="1882"/>
      <c r="X80" s="1882"/>
      <c r="Y80" s="1882"/>
      <c r="Z80" s="1882"/>
      <c r="AA80" s="1882"/>
      <c r="AB80" s="1882"/>
      <c r="AC80" s="1882"/>
      <c r="AD80" s="1882"/>
      <c r="AE80" s="1882"/>
      <c r="AF80" s="1882"/>
      <c r="AG80" s="1882"/>
      <c r="AH80" s="1882"/>
      <c r="AI80" s="1882"/>
      <c r="AJ80" s="1882"/>
      <c r="AK80" s="1882"/>
      <c r="AL80" s="1882"/>
      <c r="AM80" s="1882"/>
      <c r="AN80" s="1882"/>
      <c r="AO80" s="1882"/>
      <c r="AP80" s="1882"/>
      <c r="AQ80" s="1882"/>
      <c r="AR80" s="1773"/>
      <c r="AS80" s="1901"/>
      <c r="AT80" s="1902"/>
      <c r="AU80" s="1902"/>
      <c r="AV80" s="1902"/>
      <c r="AW80" s="1902"/>
      <c r="AX80" s="1902"/>
      <c r="AY80" s="1902"/>
      <c r="AZ80" s="1902"/>
      <c r="BA80" s="1902"/>
      <c r="BB80" s="1903"/>
      <c r="BC80" s="1907"/>
      <c r="BD80" s="1908"/>
      <c r="BE80" s="1908"/>
      <c r="BF80" s="1908"/>
      <c r="BG80" s="1908"/>
      <c r="BH80" s="1908"/>
      <c r="BI80" s="1908"/>
      <c r="BJ80" s="1908"/>
      <c r="BK80" s="1908"/>
      <c r="BL80" s="1908"/>
      <c r="BM80" s="1909"/>
      <c r="BN80" s="1910">
        <f t="shared" si="2"/>
        <v>5000</v>
      </c>
      <c r="BO80" s="1911"/>
      <c r="BP80" s="1911"/>
      <c r="BQ80" s="1911"/>
      <c r="BR80" s="1911"/>
      <c r="BS80" s="1911"/>
      <c r="BT80" s="1911"/>
      <c r="BU80" s="1911"/>
      <c r="BV80" s="1911"/>
      <c r="BW80" s="1911"/>
      <c r="BX80" s="1911"/>
      <c r="BY80" s="1911"/>
      <c r="BZ80" s="1911"/>
      <c r="CA80" s="1911"/>
      <c r="CB80" s="1912"/>
      <c r="CC80" s="261"/>
      <c r="CD80" s="261">
        <v>5000</v>
      </c>
      <c r="CE80" s="262"/>
      <c r="CF80" s="262"/>
      <c r="CG80" s="262"/>
      <c r="CH80" s="269"/>
    </row>
    <row r="81" spans="1:86" hidden="1" x14ac:dyDescent="0.2">
      <c r="A81" s="1843"/>
      <c r="B81" s="1946"/>
      <c r="C81" s="1946"/>
      <c r="D81" s="1947"/>
      <c r="E81" s="2286" t="s">
        <v>913</v>
      </c>
      <c r="F81" s="2287"/>
      <c r="G81" s="2287"/>
      <c r="H81" s="2287"/>
      <c r="I81" s="2287"/>
      <c r="J81" s="2287"/>
      <c r="K81" s="2287"/>
      <c r="L81" s="2287"/>
      <c r="M81" s="2287"/>
      <c r="N81" s="2287"/>
      <c r="O81" s="2287"/>
      <c r="P81" s="2287"/>
      <c r="Q81" s="2287"/>
      <c r="R81" s="2287"/>
      <c r="S81" s="2287"/>
      <c r="T81" s="2287"/>
      <c r="U81" s="2287"/>
      <c r="V81" s="2287"/>
      <c r="W81" s="2287"/>
      <c r="X81" s="2287"/>
      <c r="Y81" s="2287"/>
      <c r="Z81" s="2287"/>
      <c r="AA81" s="2287"/>
      <c r="AB81" s="2287"/>
      <c r="AC81" s="2287"/>
      <c r="AD81" s="2287"/>
      <c r="AE81" s="2287"/>
      <c r="AF81" s="2287"/>
      <c r="AG81" s="2287"/>
      <c r="AH81" s="2287"/>
      <c r="AI81" s="2287"/>
      <c r="AJ81" s="2287"/>
      <c r="AK81" s="2287"/>
      <c r="AL81" s="2287"/>
      <c r="AM81" s="2287"/>
      <c r="AN81" s="2287"/>
      <c r="AO81" s="2287"/>
      <c r="AP81" s="2287"/>
      <c r="AQ81" s="2287"/>
      <c r="AR81" s="2288"/>
      <c r="AS81" s="2289"/>
      <c r="AT81" s="2290"/>
      <c r="AU81" s="2290"/>
      <c r="AV81" s="2290"/>
      <c r="AW81" s="2290"/>
      <c r="AX81" s="2290"/>
      <c r="AY81" s="2290"/>
      <c r="AZ81" s="2290"/>
      <c r="BA81" s="2290"/>
      <c r="BB81" s="2291"/>
      <c r="BC81" s="1901"/>
      <c r="BD81" s="1902"/>
      <c r="BE81" s="1902"/>
      <c r="BF81" s="1902"/>
      <c r="BG81" s="1902"/>
      <c r="BH81" s="1902"/>
      <c r="BI81" s="1902"/>
      <c r="BJ81" s="1902"/>
      <c r="BK81" s="1902"/>
      <c r="BL81" s="1902"/>
      <c r="BM81" s="2292"/>
      <c r="BN81" s="2293">
        <f>CD81</f>
        <v>0</v>
      </c>
      <c r="BO81" s="2294"/>
      <c r="BP81" s="2294"/>
      <c r="BQ81" s="2294"/>
      <c r="BR81" s="2294"/>
      <c r="BS81" s="2294"/>
      <c r="BT81" s="2294"/>
      <c r="BU81" s="2294"/>
      <c r="BV81" s="2294"/>
      <c r="BW81" s="2294"/>
      <c r="BX81" s="2294"/>
      <c r="BY81" s="2294"/>
      <c r="BZ81" s="2294"/>
      <c r="CA81" s="2294"/>
      <c r="CB81" s="2295"/>
      <c r="CC81" s="270"/>
      <c r="CD81" s="270"/>
      <c r="CE81" s="17"/>
      <c r="CF81" s="17"/>
      <c r="CG81" s="17"/>
      <c r="CH81" s="271"/>
    </row>
    <row r="82" spans="1:86" x14ac:dyDescent="0.2">
      <c r="A82" s="1814"/>
      <c r="B82" s="1815"/>
      <c r="C82" s="1815"/>
      <c r="D82" s="1816"/>
      <c r="E82" s="1892" t="s">
        <v>174</v>
      </c>
      <c r="F82" s="1893"/>
      <c r="G82" s="1893"/>
      <c r="H82" s="1893"/>
      <c r="I82" s="1893"/>
      <c r="J82" s="1893"/>
      <c r="K82" s="1893"/>
      <c r="L82" s="1893"/>
      <c r="M82" s="1893"/>
      <c r="N82" s="1893"/>
      <c r="O82" s="1893"/>
      <c r="P82" s="1893"/>
      <c r="Q82" s="1893"/>
      <c r="R82" s="1893"/>
      <c r="S82" s="1893"/>
      <c r="T82" s="1893"/>
      <c r="U82" s="1893"/>
      <c r="V82" s="1893"/>
      <c r="W82" s="1893"/>
      <c r="X82" s="1893"/>
      <c r="Y82" s="1893"/>
      <c r="Z82" s="1893"/>
      <c r="AA82" s="1893"/>
      <c r="AB82" s="1893"/>
      <c r="AC82" s="1893"/>
      <c r="AD82" s="1893"/>
      <c r="AE82" s="1893"/>
      <c r="AF82" s="1893"/>
      <c r="AG82" s="1893"/>
      <c r="AH82" s="1893"/>
      <c r="AI82" s="1893"/>
      <c r="AJ82" s="1893"/>
      <c r="AK82" s="1893"/>
      <c r="AL82" s="1893"/>
      <c r="AM82" s="1893"/>
      <c r="AN82" s="1893"/>
      <c r="AO82" s="1893"/>
      <c r="AP82" s="1893"/>
      <c r="AQ82" s="1893"/>
      <c r="AR82" s="1894"/>
      <c r="AS82" s="1895"/>
      <c r="AT82" s="1896"/>
      <c r="AU82" s="1896"/>
      <c r="AV82" s="1896"/>
      <c r="AW82" s="1896"/>
      <c r="AX82" s="1896"/>
      <c r="AY82" s="1896"/>
      <c r="AZ82" s="1896"/>
      <c r="BA82" s="1896"/>
      <c r="BB82" s="1897"/>
      <c r="BC82" s="1898"/>
      <c r="BD82" s="1899"/>
      <c r="BE82" s="1899"/>
      <c r="BF82" s="1899"/>
      <c r="BG82" s="1899"/>
      <c r="BH82" s="1899"/>
      <c r="BI82" s="1899"/>
      <c r="BJ82" s="1899"/>
      <c r="BK82" s="1899"/>
      <c r="BL82" s="1899"/>
      <c r="BM82" s="1900"/>
      <c r="BN82" s="1959">
        <f>SUM(BN74:BN81)</f>
        <v>177647.72</v>
      </c>
      <c r="BO82" s="1960"/>
      <c r="BP82" s="1960"/>
      <c r="BQ82" s="1960"/>
      <c r="BR82" s="1960"/>
      <c r="BS82" s="1960"/>
      <c r="BT82" s="1960"/>
      <c r="BU82" s="1960"/>
      <c r="BV82" s="1960"/>
      <c r="BW82" s="1960"/>
      <c r="BX82" s="1960"/>
      <c r="BY82" s="1960"/>
      <c r="BZ82" s="1960"/>
      <c r="CA82" s="1960"/>
      <c r="CB82" s="1961"/>
      <c r="CC82" s="257">
        <f>SUM(CC74:CC81)</f>
        <v>0</v>
      </c>
      <c r="CD82" s="272">
        <f>SUM(CD74:CD81)</f>
        <v>177647.72</v>
      </c>
      <c r="CE82" s="272"/>
      <c r="CF82" s="272">
        <f>SUM(CF74:CF80)</f>
        <v>0</v>
      </c>
      <c r="CG82" s="272"/>
      <c r="CH82" s="272">
        <f>SUM(CH74:CH81)</f>
        <v>0</v>
      </c>
    </row>
    <row r="83" spans="1:86" x14ac:dyDescent="0.2">
      <c r="A83" s="1803"/>
      <c r="B83" s="1804"/>
      <c r="C83" s="1804"/>
      <c r="D83" s="1805"/>
      <c r="E83" s="2063" t="s">
        <v>102</v>
      </c>
      <c r="F83" s="2064"/>
      <c r="G83" s="2064"/>
      <c r="H83" s="2064"/>
      <c r="I83" s="2064"/>
      <c r="J83" s="2064"/>
      <c r="K83" s="2064"/>
      <c r="L83" s="2064"/>
      <c r="M83" s="2064"/>
      <c r="N83" s="2064"/>
      <c r="O83" s="2064"/>
      <c r="P83" s="2064"/>
      <c r="Q83" s="2064"/>
      <c r="R83" s="2064"/>
      <c r="S83" s="2064"/>
      <c r="T83" s="2064"/>
      <c r="U83" s="2064"/>
      <c r="V83" s="2064"/>
      <c r="W83" s="2064"/>
      <c r="X83" s="2064"/>
      <c r="Y83" s="2064"/>
      <c r="Z83" s="2064"/>
      <c r="AA83" s="2064"/>
      <c r="AB83" s="2064"/>
      <c r="AC83" s="2064"/>
      <c r="AD83" s="2064"/>
      <c r="AE83" s="2064"/>
      <c r="AF83" s="2064"/>
      <c r="AG83" s="2064"/>
      <c r="AH83" s="2064"/>
      <c r="AI83" s="2064"/>
      <c r="AJ83" s="2064"/>
      <c r="AK83" s="2064"/>
      <c r="AL83" s="2064"/>
      <c r="AM83" s="2064"/>
      <c r="AN83" s="2064"/>
      <c r="AO83" s="2064"/>
      <c r="AP83" s="2064"/>
      <c r="AQ83" s="2064"/>
      <c r="AR83" s="2065"/>
      <c r="AS83" s="1814" t="s">
        <v>3</v>
      </c>
      <c r="AT83" s="1815"/>
      <c r="AU83" s="1815"/>
      <c r="AV83" s="1815"/>
      <c r="AW83" s="1815"/>
      <c r="AX83" s="1815"/>
      <c r="AY83" s="1815"/>
      <c r="AZ83" s="1815"/>
      <c r="BA83" s="1815"/>
      <c r="BB83" s="1816"/>
      <c r="BC83" s="1770" t="s">
        <v>3</v>
      </c>
      <c r="BD83" s="1787"/>
      <c r="BE83" s="1787"/>
      <c r="BF83" s="1787"/>
      <c r="BG83" s="1787"/>
      <c r="BH83" s="1787"/>
      <c r="BI83" s="1787"/>
      <c r="BJ83" s="1787"/>
      <c r="BK83" s="1787"/>
      <c r="BL83" s="1787"/>
      <c r="BM83" s="1771"/>
      <c r="BN83" s="1864" t="e">
        <f>BN68+BN71+BN73+BN82</f>
        <v>#REF!</v>
      </c>
      <c r="BO83" s="1865"/>
      <c r="BP83" s="1865"/>
      <c r="BQ83" s="1865"/>
      <c r="BR83" s="1865"/>
      <c r="BS83" s="1865"/>
      <c r="BT83" s="1865"/>
      <c r="BU83" s="1865"/>
      <c r="BV83" s="1865"/>
      <c r="BW83" s="1865"/>
      <c r="BX83" s="1865"/>
      <c r="BY83" s="1865"/>
      <c r="BZ83" s="1865"/>
      <c r="CA83" s="1865"/>
      <c r="CB83" s="1866"/>
      <c r="CC83" s="257">
        <f>CC71+CC82</f>
        <v>0</v>
      </c>
      <c r="CD83" s="272" t="e">
        <f>CD68+CD71+CD73+CD82</f>
        <v>#REF!</v>
      </c>
      <c r="CE83" s="257"/>
      <c r="CF83" s="257">
        <f>SUM(CF67:CF82)</f>
        <v>0</v>
      </c>
      <c r="CG83" s="257"/>
      <c r="CH83" s="257" t="e">
        <f>CH71+CH82+CH73</f>
        <v>#REF!</v>
      </c>
    </row>
    <row r="84" spans="1:86" x14ac:dyDescent="0.2">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73"/>
      <c r="AE84" s="273"/>
      <c r="AF84" s="273"/>
      <c r="AG84" s="273"/>
      <c r="AH84" s="273"/>
      <c r="AI84" s="273"/>
      <c r="AJ84" s="273"/>
      <c r="AK84" s="273"/>
      <c r="AL84" s="273"/>
      <c r="AM84" s="273"/>
      <c r="AN84" s="273"/>
      <c r="AO84" s="273"/>
      <c r="AP84" s="273"/>
      <c r="AQ84" s="273"/>
      <c r="AR84" s="273"/>
      <c r="AS84" s="33"/>
      <c r="AT84" s="33"/>
      <c r="AU84" s="33"/>
      <c r="AV84" s="33"/>
      <c r="AW84" s="33"/>
      <c r="AX84" s="33"/>
      <c r="AY84" s="33"/>
      <c r="AZ84" s="33"/>
      <c r="BA84" s="33"/>
      <c r="BB84" s="33"/>
      <c r="BC84" s="33"/>
      <c r="BD84" s="33"/>
      <c r="BE84" s="33"/>
      <c r="BF84" s="33"/>
      <c r="BG84" s="33"/>
      <c r="BH84" s="33"/>
      <c r="BI84" s="33"/>
      <c r="BJ84" s="33"/>
      <c r="BK84" s="33"/>
      <c r="BL84" s="33"/>
      <c r="BM84" s="33"/>
      <c r="BN84" s="274"/>
      <c r="BO84" s="274"/>
      <c r="BP84" s="274"/>
      <c r="BQ84" s="274"/>
      <c r="BR84" s="274"/>
      <c r="BS84" s="274"/>
      <c r="BT84" s="274"/>
      <c r="BU84" s="274"/>
      <c r="BV84" s="274"/>
      <c r="BW84" s="274"/>
      <c r="BX84" s="274"/>
      <c r="BY84" s="274"/>
      <c r="BZ84" s="274"/>
      <c r="CA84" s="274"/>
      <c r="CB84" s="274"/>
      <c r="CC84" s="275"/>
      <c r="CD84" s="276"/>
      <c r="CE84" s="275"/>
      <c r="CF84" s="275"/>
      <c r="CG84" s="275"/>
      <c r="CH84" s="275"/>
    </row>
    <row r="85" spans="1:86" s="4" customFormat="1" ht="15.75" x14ac:dyDescent="0.25">
      <c r="A85" s="1955" t="s">
        <v>175</v>
      </c>
      <c r="B85" s="1955"/>
      <c r="C85" s="1955"/>
      <c r="D85" s="1955"/>
      <c r="E85" s="1955"/>
      <c r="F85" s="1955"/>
      <c r="G85" s="1955"/>
      <c r="H85" s="1955"/>
      <c r="I85" s="1955"/>
      <c r="J85" s="1955"/>
      <c r="K85" s="1955"/>
      <c r="L85" s="1955"/>
      <c r="M85" s="1955"/>
      <c r="N85" s="1955"/>
      <c r="O85" s="1955"/>
      <c r="P85" s="1955"/>
      <c r="Q85" s="1955"/>
      <c r="R85" s="1955"/>
      <c r="S85" s="1955"/>
      <c r="T85" s="1955"/>
      <c r="U85" s="1955"/>
      <c r="V85" s="1955"/>
      <c r="W85" s="1955"/>
      <c r="X85" s="1955"/>
      <c r="Y85" s="1955"/>
      <c r="Z85" s="1955"/>
      <c r="AA85" s="1955"/>
      <c r="AB85" s="1955"/>
      <c r="AC85" s="1955"/>
      <c r="AD85" s="1955"/>
      <c r="AE85" s="1955"/>
      <c r="AF85" s="1955"/>
      <c r="AG85" s="1955"/>
      <c r="AH85" s="1955"/>
      <c r="AI85" s="1955"/>
      <c r="AJ85" s="1955"/>
      <c r="AK85" s="1955"/>
      <c r="AL85" s="1955"/>
      <c r="AM85" s="1955"/>
      <c r="AN85" s="1955"/>
      <c r="AO85" s="1955"/>
      <c r="AP85" s="1955"/>
      <c r="AQ85" s="1955"/>
      <c r="AR85" s="1955"/>
      <c r="AS85" s="1955"/>
      <c r="AT85" s="1955"/>
      <c r="AU85" s="1955"/>
      <c r="AV85" s="1955"/>
      <c r="AW85" s="1955"/>
      <c r="AX85" s="1955"/>
      <c r="AY85" s="1955"/>
      <c r="AZ85" s="1955"/>
      <c r="BA85" s="1955"/>
      <c r="BB85" s="1955"/>
      <c r="BC85" s="1955"/>
      <c r="BD85" s="1955"/>
      <c r="BE85" s="1955"/>
      <c r="BF85" s="1955"/>
      <c r="BG85" s="1955"/>
      <c r="BH85" s="1955"/>
      <c r="BI85" s="1955"/>
      <c r="BJ85" s="1955"/>
      <c r="BK85" s="1955"/>
      <c r="BL85" s="1955"/>
      <c r="BM85" s="1955"/>
      <c r="BN85" s="1955"/>
      <c r="BO85" s="1955"/>
      <c r="BP85" s="1955"/>
      <c r="BQ85" s="1955"/>
      <c r="BR85" s="1955"/>
      <c r="BS85" s="1955"/>
      <c r="BT85" s="1955"/>
      <c r="BU85" s="1955"/>
      <c r="BV85" s="1955"/>
      <c r="BW85" s="1955"/>
      <c r="BX85" s="1955"/>
      <c r="BY85" s="1955"/>
      <c r="BZ85" s="1955"/>
      <c r="CA85" s="1955"/>
      <c r="CB85" s="1955"/>
      <c r="CC85" s="1955"/>
      <c r="CD85" s="1955"/>
      <c r="CE85" s="1955"/>
      <c r="CF85" s="1955"/>
      <c r="CG85" s="1955"/>
      <c r="CH85" s="1955"/>
    </row>
    <row r="86" spans="1:86" ht="15.75" x14ac:dyDescent="0.25">
      <c r="A86" s="19" t="s">
        <v>176</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row>
    <row r="88" spans="1:86" ht="12.75" customHeight="1" x14ac:dyDescent="0.2">
      <c r="A88" s="1818" t="s">
        <v>71</v>
      </c>
      <c r="B88" s="1819"/>
      <c r="C88" s="1819"/>
      <c r="D88" s="1820"/>
      <c r="E88" s="1818" t="s">
        <v>4</v>
      </c>
      <c r="F88" s="1819"/>
      <c r="G88" s="1819"/>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19"/>
      <c r="AG88" s="1819"/>
      <c r="AH88" s="1819"/>
      <c r="AI88" s="1819"/>
      <c r="AJ88" s="1819"/>
      <c r="AK88" s="1819"/>
      <c r="AL88" s="1819"/>
      <c r="AM88" s="1819"/>
      <c r="AN88" s="1819"/>
      <c r="AO88" s="1819"/>
      <c r="AP88" s="1819"/>
      <c r="AQ88" s="1819"/>
      <c r="AR88" s="1820"/>
      <c r="AS88" s="1818" t="s">
        <v>5</v>
      </c>
      <c r="AT88" s="1819"/>
      <c r="AU88" s="1819"/>
      <c r="AV88" s="1819"/>
      <c r="AW88" s="1819"/>
      <c r="AX88" s="1819"/>
      <c r="AY88" s="1819"/>
      <c r="AZ88" s="1819"/>
      <c r="BA88" s="1819"/>
      <c r="BB88" s="1820"/>
      <c r="BC88" s="1818" t="s">
        <v>164</v>
      </c>
      <c r="BD88" s="1819"/>
      <c r="BE88" s="1819"/>
      <c r="BF88" s="1819"/>
      <c r="BG88" s="1819"/>
      <c r="BH88" s="1819"/>
      <c r="BI88" s="1819"/>
      <c r="BJ88" s="1819"/>
      <c r="BK88" s="1819"/>
      <c r="BL88" s="1819"/>
      <c r="BM88" s="1820"/>
      <c r="BN88" s="1818" t="s">
        <v>6</v>
      </c>
      <c r="BO88" s="1819"/>
      <c r="BP88" s="1819"/>
      <c r="BQ88" s="1819"/>
      <c r="BR88" s="1819"/>
      <c r="BS88" s="1819"/>
      <c r="BT88" s="1819"/>
      <c r="BU88" s="1819"/>
      <c r="BV88" s="1819"/>
      <c r="BW88" s="1819"/>
      <c r="BX88" s="1819"/>
      <c r="BY88" s="1819"/>
      <c r="BZ88" s="1819"/>
      <c r="CA88" s="1819"/>
      <c r="CB88" s="1820"/>
      <c r="CC88" s="1797" t="s">
        <v>52</v>
      </c>
      <c r="CD88" s="1798"/>
      <c r="CE88" s="1798"/>
      <c r="CF88" s="1798"/>
      <c r="CG88" s="1798"/>
      <c r="CH88" s="1799"/>
    </row>
    <row r="89" spans="1:86" ht="55.5" customHeight="1" x14ac:dyDescent="0.2">
      <c r="A89" s="1807" t="s">
        <v>77</v>
      </c>
      <c r="B89" s="1808"/>
      <c r="C89" s="1808"/>
      <c r="D89" s="1809"/>
      <c r="E89" s="1807"/>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c r="AL89" s="1808"/>
      <c r="AM89" s="1808"/>
      <c r="AN89" s="1808"/>
      <c r="AO89" s="1808"/>
      <c r="AP89" s="1808"/>
      <c r="AQ89" s="1808"/>
      <c r="AR89" s="1809"/>
      <c r="AS89" s="1807"/>
      <c r="AT89" s="1808"/>
      <c r="AU89" s="1808"/>
      <c r="AV89" s="1808"/>
      <c r="AW89" s="1808"/>
      <c r="AX89" s="1808"/>
      <c r="AY89" s="1808"/>
      <c r="AZ89" s="1808"/>
      <c r="BA89" s="1808"/>
      <c r="BB89" s="1809"/>
      <c r="BC89" s="1807" t="s">
        <v>165</v>
      </c>
      <c r="BD89" s="1808"/>
      <c r="BE89" s="1808"/>
      <c r="BF89" s="1808"/>
      <c r="BG89" s="1808"/>
      <c r="BH89" s="1808"/>
      <c r="BI89" s="1808"/>
      <c r="BJ89" s="1808"/>
      <c r="BK89" s="1808"/>
      <c r="BL89" s="1808"/>
      <c r="BM89" s="1809"/>
      <c r="BN89" s="1807"/>
      <c r="BO89" s="1808"/>
      <c r="BP89" s="1808"/>
      <c r="BQ89" s="1808"/>
      <c r="BR89" s="1808"/>
      <c r="BS89" s="1808"/>
      <c r="BT89" s="1808"/>
      <c r="BU89" s="1808"/>
      <c r="BV89" s="1808"/>
      <c r="BW89" s="1808"/>
      <c r="BX89" s="1808"/>
      <c r="BY89" s="1808"/>
      <c r="BZ89" s="1808"/>
      <c r="CA89" s="1808"/>
      <c r="CB89" s="1809"/>
      <c r="CC89" s="1788" t="s">
        <v>35</v>
      </c>
      <c r="CD89" s="1789"/>
      <c r="CE89" s="1788" t="s">
        <v>45</v>
      </c>
      <c r="CF89" s="1790"/>
      <c r="CG89" s="1789"/>
      <c r="CH89" s="1778" t="s">
        <v>46</v>
      </c>
    </row>
    <row r="90" spans="1:86" ht="12.75" customHeight="1" x14ac:dyDescent="0.2">
      <c r="A90" s="1807"/>
      <c r="B90" s="1808"/>
      <c r="C90" s="1808"/>
      <c r="D90" s="1809"/>
      <c r="E90" s="1807"/>
      <c r="F90" s="1808"/>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c r="AL90" s="1808"/>
      <c r="AM90" s="1808"/>
      <c r="AN90" s="1808"/>
      <c r="AO90" s="1808"/>
      <c r="AP90" s="1808"/>
      <c r="AQ90" s="1808"/>
      <c r="AR90" s="1809"/>
      <c r="AS90" s="1807"/>
      <c r="AT90" s="1808"/>
      <c r="AU90" s="1808"/>
      <c r="AV90" s="1808"/>
      <c r="AW90" s="1808"/>
      <c r="AX90" s="1808"/>
      <c r="AY90" s="1808"/>
      <c r="AZ90" s="1808"/>
      <c r="BA90" s="1808"/>
      <c r="BB90" s="1809"/>
      <c r="BC90" s="1807" t="s">
        <v>111</v>
      </c>
      <c r="BD90" s="1808"/>
      <c r="BE90" s="1808"/>
      <c r="BF90" s="1808"/>
      <c r="BG90" s="1808"/>
      <c r="BH90" s="1808"/>
      <c r="BI90" s="1808"/>
      <c r="BJ90" s="1808"/>
      <c r="BK90" s="1808"/>
      <c r="BL90" s="1808"/>
      <c r="BM90" s="1809"/>
      <c r="BN90" s="1807"/>
      <c r="BO90" s="1808"/>
      <c r="BP90" s="1808"/>
      <c r="BQ90" s="1808"/>
      <c r="BR90" s="1808"/>
      <c r="BS90" s="1808"/>
      <c r="BT90" s="1808"/>
      <c r="BU90" s="1808"/>
      <c r="BV90" s="1808"/>
      <c r="BW90" s="1808"/>
      <c r="BX90" s="1808"/>
      <c r="BY90" s="1808"/>
      <c r="BZ90" s="1808"/>
      <c r="CA90" s="1808"/>
      <c r="CB90" s="1809"/>
      <c r="CC90" s="1812" t="s">
        <v>43</v>
      </c>
      <c r="CD90" s="1812" t="s">
        <v>44</v>
      </c>
      <c r="CE90" s="1812" t="s">
        <v>55</v>
      </c>
      <c r="CF90" s="1812" t="s">
        <v>43</v>
      </c>
      <c r="CG90" s="1812" t="s">
        <v>44</v>
      </c>
      <c r="CH90" s="1779"/>
    </row>
    <row r="91" spans="1:86" ht="12.75" customHeight="1" x14ac:dyDescent="0.2">
      <c r="A91" s="246"/>
      <c r="B91" s="247"/>
      <c r="C91" s="247"/>
      <c r="D91" s="248"/>
      <c r="E91" s="1814"/>
      <c r="F91" s="1815"/>
      <c r="G91" s="1815"/>
      <c r="H91" s="1815"/>
      <c r="I91" s="1815"/>
      <c r="J91" s="1815"/>
      <c r="K91" s="1815"/>
      <c r="L91" s="1815"/>
      <c r="M91" s="1815"/>
      <c r="N91" s="1815"/>
      <c r="O91" s="1815"/>
      <c r="P91" s="1815"/>
      <c r="Q91" s="1815"/>
      <c r="R91" s="1815"/>
      <c r="S91" s="1815"/>
      <c r="T91" s="1815"/>
      <c r="U91" s="1815"/>
      <c r="V91" s="1815"/>
      <c r="W91" s="1815"/>
      <c r="X91" s="1815"/>
      <c r="Y91" s="1815"/>
      <c r="Z91" s="1815"/>
      <c r="AA91" s="1815"/>
      <c r="AB91" s="1815"/>
      <c r="AC91" s="1815"/>
      <c r="AD91" s="1815"/>
      <c r="AE91" s="1815"/>
      <c r="AF91" s="1815"/>
      <c r="AG91" s="1815"/>
      <c r="AH91" s="1815"/>
      <c r="AI91" s="1815"/>
      <c r="AJ91" s="1815"/>
      <c r="AK91" s="1815"/>
      <c r="AL91" s="1815"/>
      <c r="AM91" s="1815"/>
      <c r="AN91" s="1815"/>
      <c r="AO91" s="1815"/>
      <c r="AP91" s="1815"/>
      <c r="AQ91" s="1815"/>
      <c r="AR91" s="1816"/>
      <c r="AS91" s="1814"/>
      <c r="AT91" s="1815"/>
      <c r="AU91" s="1815"/>
      <c r="AV91" s="1815"/>
      <c r="AW91" s="1815"/>
      <c r="AX91" s="1815"/>
      <c r="AY91" s="1815"/>
      <c r="AZ91" s="1815"/>
      <c r="BA91" s="1815"/>
      <c r="BB91" s="1816"/>
      <c r="BC91" s="1814"/>
      <c r="BD91" s="1815"/>
      <c r="BE91" s="1815"/>
      <c r="BF91" s="1815"/>
      <c r="BG91" s="1815"/>
      <c r="BH91" s="1815"/>
      <c r="BI91" s="1815"/>
      <c r="BJ91" s="1815"/>
      <c r="BK91" s="1815"/>
      <c r="BL91" s="1815"/>
      <c r="BM91" s="1816"/>
      <c r="BN91" s="1814"/>
      <c r="BO91" s="1815"/>
      <c r="BP91" s="1815"/>
      <c r="BQ91" s="1815"/>
      <c r="BR91" s="1815"/>
      <c r="BS91" s="1815"/>
      <c r="BT91" s="1815"/>
      <c r="BU91" s="1815"/>
      <c r="BV91" s="1815"/>
      <c r="BW91" s="1815"/>
      <c r="BX91" s="1815"/>
      <c r="BY91" s="1815"/>
      <c r="BZ91" s="1815"/>
      <c r="CA91" s="1815"/>
      <c r="CB91" s="1816"/>
      <c r="CC91" s="1813"/>
      <c r="CD91" s="1813"/>
      <c r="CE91" s="1813"/>
      <c r="CF91" s="1813"/>
      <c r="CG91" s="1813"/>
      <c r="CH91" s="1780"/>
    </row>
    <row r="92" spans="1:86" x14ac:dyDescent="0.2">
      <c r="A92" s="1770">
        <v>1</v>
      </c>
      <c r="B92" s="1787"/>
      <c r="C92" s="1787"/>
      <c r="D92" s="1771"/>
      <c r="E92" s="1770">
        <v>2</v>
      </c>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71"/>
      <c r="AS92" s="1770">
        <v>3</v>
      </c>
      <c r="AT92" s="1787"/>
      <c r="AU92" s="1787"/>
      <c r="AV92" s="1787"/>
      <c r="AW92" s="1787"/>
      <c r="AX92" s="1787"/>
      <c r="AY92" s="1787"/>
      <c r="AZ92" s="1787"/>
      <c r="BA92" s="1787"/>
      <c r="BB92" s="1771"/>
      <c r="BC92" s="1770">
        <v>4</v>
      </c>
      <c r="BD92" s="1787"/>
      <c r="BE92" s="1787"/>
      <c r="BF92" s="1787"/>
      <c r="BG92" s="1787"/>
      <c r="BH92" s="1787"/>
      <c r="BI92" s="1787"/>
      <c r="BJ92" s="1787"/>
      <c r="BK92" s="1787"/>
      <c r="BL92" s="1787"/>
      <c r="BM92" s="1771"/>
      <c r="BN92" s="1770" t="s">
        <v>49</v>
      </c>
      <c r="BO92" s="1787"/>
      <c r="BP92" s="1787"/>
      <c r="BQ92" s="1787"/>
      <c r="BR92" s="1787"/>
      <c r="BS92" s="1787"/>
      <c r="BT92" s="1787"/>
      <c r="BU92" s="1787"/>
      <c r="BV92" s="1787"/>
      <c r="BW92" s="1787"/>
      <c r="BX92" s="1787"/>
      <c r="BY92" s="1787"/>
      <c r="BZ92" s="1787"/>
      <c r="CA92" s="1787"/>
      <c r="CB92" s="1771"/>
      <c r="CC92" s="15">
        <v>6</v>
      </c>
      <c r="CD92" s="15">
        <v>7</v>
      </c>
      <c r="CE92" s="15">
        <v>8</v>
      </c>
      <c r="CF92" s="15">
        <v>9</v>
      </c>
      <c r="CG92" s="15">
        <v>10</v>
      </c>
      <c r="CH92" s="15">
        <v>11</v>
      </c>
    </row>
    <row r="93" spans="1:86" ht="33" customHeight="1" x14ac:dyDescent="0.2">
      <c r="A93" s="243"/>
      <c r="B93" s="244"/>
      <c r="C93" s="244"/>
      <c r="D93" s="245"/>
      <c r="E93" s="1772" t="s">
        <v>793</v>
      </c>
      <c r="F93" s="1882"/>
      <c r="G93" s="1882"/>
      <c r="H93" s="1882"/>
      <c r="I93" s="1882"/>
      <c r="J93" s="1882"/>
      <c r="K93" s="1882"/>
      <c r="L93" s="1882"/>
      <c r="M93" s="1882"/>
      <c r="N93" s="1882"/>
      <c r="O93" s="1882"/>
      <c r="P93" s="1882"/>
      <c r="Q93" s="1882"/>
      <c r="R93" s="1882"/>
      <c r="S93" s="1882"/>
      <c r="T93" s="1882"/>
      <c r="U93" s="1882"/>
      <c r="V93" s="1882"/>
      <c r="W93" s="1882"/>
      <c r="X93" s="1882"/>
      <c r="Y93" s="1882"/>
      <c r="Z93" s="1882"/>
      <c r="AA93" s="1882"/>
      <c r="AB93" s="1882"/>
      <c r="AC93" s="1882"/>
      <c r="AD93" s="1882"/>
      <c r="AE93" s="1882"/>
      <c r="AF93" s="1882"/>
      <c r="AG93" s="1882"/>
      <c r="AH93" s="1882"/>
      <c r="AI93" s="1882"/>
      <c r="AJ93" s="1882"/>
      <c r="AK93" s="1882"/>
      <c r="AL93" s="1882"/>
      <c r="AM93" s="1882"/>
      <c r="AN93" s="1882"/>
      <c r="AO93" s="1882"/>
      <c r="AP93" s="1882"/>
      <c r="AQ93" s="1882"/>
      <c r="AR93" s="1773"/>
      <c r="AS93" s="1895"/>
      <c r="AT93" s="1896"/>
      <c r="AU93" s="1896"/>
      <c r="AV93" s="1896"/>
      <c r="AW93" s="1896"/>
      <c r="AX93" s="1896"/>
      <c r="AY93" s="1896"/>
      <c r="AZ93" s="1896"/>
      <c r="BA93" s="1896"/>
      <c r="BB93" s="1897"/>
      <c r="BC93" s="1898"/>
      <c r="BD93" s="1899"/>
      <c r="BE93" s="1899"/>
      <c r="BF93" s="1899"/>
      <c r="BG93" s="1899"/>
      <c r="BH93" s="1899"/>
      <c r="BI93" s="1899"/>
      <c r="BJ93" s="1899"/>
      <c r="BK93" s="1899"/>
      <c r="BL93" s="1899"/>
      <c r="BM93" s="1900"/>
      <c r="BN93" s="1949" t="e">
        <f>CC93</f>
        <v>#REF!</v>
      </c>
      <c r="BO93" s="1950"/>
      <c r="BP93" s="1950"/>
      <c r="BQ93" s="1950"/>
      <c r="BR93" s="1950"/>
      <c r="BS93" s="1950"/>
      <c r="BT93" s="1950"/>
      <c r="BU93" s="1950"/>
      <c r="BV93" s="1950"/>
      <c r="BW93" s="1950"/>
      <c r="BX93" s="1950"/>
      <c r="BY93" s="1950"/>
      <c r="BZ93" s="1950"/>
      <c r="CA93" s="1950"/>
      <c r="CB93" s="1951"/>
      <c r="CC93" s="277" t="e">
        <f>#REF!</f>
        <v>#REF!</v>
      </c>
      <c r="CD93" s="270"/>
      <c r="CE93" s="17"/>
      <c r="CF93" s="17"/>
      <c r="CG93" s="17"/>
      <c r="CH93" s="17"/>
    </row>
    <row r="94" spans="1:86" ht="20.25" customHeight="1" x14ac:dyDescent="0.2">
      <c r="A94" s="243"/>
      <c r="B94" s="244"/>
      <c r="C94" s="244"/>
      <c r="D94" s="245"/>
      <c r="E94" s="1892" t="s">
        <v>168</v>
      </c>
      <c r="F94" s="1893"/>
      <c r="G94" s="1893"/>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3"/>
      <c r="AK94" s="1893"/>
      <c r="AL94" s="1893"/>
      <c r="AM94" s="1893"/>
      <c r="AN94" s="1893"/>
      <c r="AO94" s="1893"/>
      <c r="AP94" s="1893"/>
      <c r="AQ94" s="1893"/>
      <c r="AR94" s="1894"/>
      <c r="AS94" s="1895"/>
      <c r="AT94" s="1896"/>
      <c r="AU94" s="1896"/>
      <c r="AV94" s="1896"/>
      <c r="AW94" s="1896"/>
      <c r="AX94" s="1896"/>
      <c r="AY94" s="1896"/>
      <c r="AZ94" s="1896"/>
      <c r="BA94" s="1896"/>
      <c r="BB94" s="1897"/>
      <c r="BC94" s="1898"/>
      <c r="BD94" s="1899"/>
      <c r="BE94" s="1899"/>
      <c r="BF94" s="1899"/>
      <c r="BG94" s="1899"/>
      <c r="BH94" s="1899"/>
      <c r="BI94" s="1899"/>
      <c r="BJ94" s="1899"/>
      <c r="BK94" s="1899"/>
      <c r="BL94" s="1899"/>
      <c r="BM94" s="1900"/>
      <c r="BN94" s="1959" t="e">
        <f>SUM(BN93:BN93)</f>
        <v>#REF!</v>
      </c>
      <c r="BO94" s="1960"/>
      <c r="BP94" s="1960"/>
      <c r="BQ94" s="1960"/>
      <c r="BR94" s="1960"/>
      <c r="BS94" s="1960"/>
      <c r="BT94" s="1960"/>
      <c r="BU94" s="1960"/>
      <c r="BV94" s="1960"/>
      <c r="BW94" s="1960"/>
      <c r="BX94" s="1960"/>
      <c r="BY94" s="1960"/>
      <c r="BZ94" s="1960"/>
      <c r="CA94" s="1960"/>
      <c r="CB94" s="1961"/>
      <c r="CC94" s="278" t="e">
        <f>CC93</f>
        <v>#REF!</v>
      </c>
      <c r="CD94" s="279"/>
      <c r="CE94" s="17"/>
      <c r="CF94" s="17"/>
      <c r="CG94" s="17"/>
      <c r="CH94" s="280"/>
    </row>
    <row r="95" spans="1:86" x14ac:dyDescent="0.2">
      <c r="A95" s="1843"/>
      <c r="B95" s="1844"/>
      <c r="C95" s="1844"/>
      <c r="D95" s="1845"/>
      <c r="E95" s="2063" t="s">
        <v>102</v>
      </c>
      <c r="F95" s="2064"/>
      <c r="G95" s="2064"/>
      <c r="H95" s="2064"/>
      <c r="I95" s="2064"/>
      <c r="J95" s="2064"/>
      <c r="K95" s="2064"/>
      <c r="L95" s="2064"/>
      <c r="M95" s="2064"/>
      <c r="N95" s="2064"/>
      <c r="O95" s="2064"/>
      <c r="P95" s="2064"/>
      <c r="Q95" s="2064"/>
      <c r="R95" s="2064"/>
      <c r="S95" s="2064"/>
      <c r="T95" s="2064"/>
      <c r="U95" s="2064"/>
      <c r="V95" s="2064"/>
      <c r="W95" s="2064"/>
      <c r="X95" s="2064"/>
      <c r="Y95" s="2064"/>
      <c r="Z95" s="2064"/>
      <c r="AA95" s="2064"/>
      <c r="AB95" s="2064"/>
      <c r="AC95" s="2064"/>
      <c r="AD95" s="2064"/>
      <c r="AE95" s="2064"/>
      <c r="AF95" s="2064"/>
      <c r="AG95" s="2064"/>
      <c r="AH95" s="2064"/>
      <c r="AI95" s="2064"/>
      <c r="AJ95" s="2064"/>
      <c r="AK95" s="2064"/>
      <c r="AL95" s="2064"/>
      <c r="AM95" s="2064"/>
      <c r="AN95" s="2064"/>
      <c r="AO95" s="2064"/>
      <c r="AP95" s="2064"/>
      <c r="AQ95" s="2064"/>
      <c r="AR95" s="2065"/>
      <c r="AS95" s="1770" t="s">
        <v>3</v>
      </c>
      <c r="AT95" s="1787"/>
      <c r="AU95" s="1787"/>
      <c r="AV95" s="1787"/>
      <c r="AW95" s="1787"/>
      <c r="AX95" s="1787"/>
      <c r="AY95" s="1787"/>
      <c r="AZ95" s="1787"/>
      <c r="BA95" s="1787"/>
      <c r="BB95" s="1771"/>
      <c r="BC95" s="1770" t="s">
        <v>3</v>
      </c>
      <c r="BD95" s="1787"/>
      <c r="BE95" s="1787"/>
      <c r="BF95" s="1787"/>
      <c r="BG95" s="1787"/>
      <c r="BH95" s="1787"/>
      <c r="BI95" s="1787"/>
      <c r="BJ95" s="1787"/>
      <c r="BK95" s="1787"/>
      <c r="BL95" s="1787"/>
      <c r="BM95" s="1771"/>
      <c r="BN95" s="2296" t="e">
        <f>BN94</f>
        <v>#REF!</v>
      </c>
      <c r="BO95" s="2297"/>
      <c r="BP95" s="2297"/>
      <c r="BQ95" s="2297"/>
      <c r="BR95" s="2297"/>
      <c r="BS95" s="2297"/>
      <c r="BT95" s="2297"/>
      <c r="BU95" s="2297"/>
      <c r="BV95" s="2297"/>
      <c r="BW95" s="2297"/>
      <c r="BX95" s="2297"/>
      <c r="BY95" s="2297"/>
      <c r="BZ95" s="2297"/>
      <c r="CA95" s="2297"/>
      <c r="CB95" s="2298"/>
      <c r="CC95" s="257" t="e">
        <f>CC94</f>
        <v>#REF!</v>
      </c>
      <c r="CD95" s="272"/>
      <c r="CE95" s="257">
        <f>SUM(CE93:CE94)</f>
        <v>0</v>
      </c>
      <c r="CF95" s="257">
        <f>SUM(CF93:CF94)</f>
        <v>0</v>
      </c>
      <c r="CG95" s="257">
        <f>SUM(CG93:CG94)</f>
        <v>0</v>
      </c>
      <c r="CH95" s="257"/>
    </row>
    <row r="97" spans="1:84" s="4" customFormat="1" ht="13.5"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 t="s">
        <v>177</v>
      </c>
      <c r="CD97" s="281" t="e">
        <f>CD83+CD46+CD26+'0701 221,223'!CD12+'0701 221,223'!CD35+'0701 221,223'!CD60+#REF!+'0701 211, 266'!#REF!-CD81</f>
        <v>#REF!</v>
      </c>
    </row>
    <row r="98" spans="1:84" x14ac:dyDescent="0.2">
      <c r="CD98" s="52" t="e">
        <f>#REF!</f>
        <v>#REF!</v>
      </c>
    </row>
    <row r="99" spans="1:84" x14ac:dyDescent="0.2">
      <c r="CD99" s="52" t="e">
        <f>CD98-CD97</f>
        <v>#REF!</v>
      </c>
    </row>
    <row r="100" spans="1:84" x14ac:dyDescent="0.2">
      <c r="CD100" s="258"/>
      <c r="CF100" s="52"/>
    </row>
    <row r="101" spans="1:84" x14ac:dyDescent="0.2">
      <c r="CC101" s="8" t="s">
        <v>841</v>
      </c>
      <c r="CD101" s="142" t="e">
        <f>#REF!</f>
        <v>#REF!</v>
      </c>
    </row>
    <row r="102" spans="1:84" x14ac:dyDescent="0.2">
      <c r="CD102" s="8" t="e">
        <f>'0701 211, 266'!#REF!+#REF!</f>
        <v>#REF!</v>
      </c>
    </row>
    <row r="103" spans="1:84" x14ac:dyDescent="0.2">
      <c r="CD103" s="142" t="e">
        <f>CD102-CD101</f>
        <v>#REF!</v>
      </c>
    </row>
  </sheetData>
  <mergeCells count="415">
    <mergeCell ref="E94:AR94"/>
    <mergeCell ref="AS94:BB94"/>
    <mergeCell ref="BC94:BM94"/>
    <mergeCell ref="BN94:CB94"/>
    <mergeCell ref="A95:D95"/>
    <mergeCell ref="E95:AR95"/>
    <mergeCell ref="AS95:BB95"/>
    <mergeCell ref="BC95:BM95"/>
    <mergeCell ref="BN95:CB95"/>
    <mergeCell ref="A92:D92"/>
    <mergeCell ref="E92:AR92"/>
    <mergeCell ref="AS92:BB92"/>
    <mergeCell ref="BC92:BM92"/>
    <mergeCell ref="BN92:CB92"/>
    <mergeCell ref="E93:AR93"/>
    <mergeCell ref="AS93:BB93"/>
    <mergeCell ref="BC93:BM93"/>
    <mergeCell ref="BN93:CB93"/>
    <mergeCell ref="CF90:CF91"/>
    <mergeCell ref="CG90:CG91"/>
    <mergeCell ref="E91:AR91"/>
    <mergeCell ref="AS91:BB91"/>
    <mergeCell ref="BC91:BM91"/>
    <mergeCell ref="BN91:CB91"/>
    <mergeCell ref="CE89:CG89"/>
    <mergeCell ref="CH89:CH91"/>
    <mergeCell ref="A90:D90"/>
    <mergeCell ref="E90:AR90"/>
    <mergeCell ref="AS90:BB90"/>
    <mergeCell ref="BC90:BM90"/>
    <mergeCell ref="BN90:CB90"/>
    <mergeCell ref="CC90:CC91"/>
    <mergeCell ref="CD90:CD91"/>
    <mergeCell ref="CE90:CE91"/>
    <mergeCell ref="A89:D89"/>
    <mergeCell ref="E89:AR89"/>
    <mergeCell ref="AS89:BB89"/>
    <mergeCell ref="BC89:BM89"/>
    <mergeCell ref="BN89:CB89"/>
    <mergeCell ref="CC89:CD89"/>
    <mergeCell ref="A85:CH85"/>
    <mergeCell ref="A88:D88"/>
    <mergeCell ref="E88:AR88"/>
    <mergeCell ref="AS88:BB88"/>
    <mergeCell ref="BC88:BM88"/>
    <mergeCell ref="BN88:CB88"/>
    <mergeCell ref="CC88:CH88"/>
    <mergeCell ref="A82:D82"/>
    <mergeCell ref="E82:AR82"/>
    <mergeCell ref="AS82:BB82"/>
    <mergeCell ref="BC82:BM82"/>
    <mergeCell ref="BN82:CB82"/>
    <mergeCell ref="A83:D83"/>
    <mergeCell ref="E83:AR83"/>
    <mergeCell ref="AS83:BB83"/>
    <mergeCell ref="BC83:BM83"/>
    <mergeCell ref="BN83:CB83"/>
    <mergeCell ref="A80:D80"/>
    <mergeCell ref="E80:AR80"/>
    <mergeCell ref="AS80:BB80"/>
    <mergeCell ref="BC80:BM80"/>
    <mergeCell ref="BN80:CB80"/>
    <mergeCell ref="A81:D81"/>
    <mergeCell ref="E81:AR81"/>
    <mergeCell ref="AS81:BB81"/>
    <mergeCell ref="BC81:BM81"/>
    <mergeCell ref="BN81:CB81"/>
    <mergeCell ref="A78:D78"/>
    <mergeCell ref="E78:AR78"/>
    <mergeCell ref="AS78:BB78"/>
    <mergeCell ref="BC78:BM78"/>
    <mergeCell ref="BN78:CB78"/>
    <mergeCell ref="A79:D79"/>
    <mergeCell ref="E79:AR79"/>
    <mergeCell ref="AS79:BB79"/>
    <mergeCell ref="BC79:BM79"/>
    <mergeCell ref="BN79:CB79"/>
    <mergeCell ref="A76:D76"/>
    <mergeCell ref="E76:AR76"/>
    <mergeCell ref="AS76:BB76"/>
    <mergeCell ref="BC76:BM76"/>
    <mergeCell ref="BN76:CB76"/>
    <mergeCell ref="A77:D77"/>
    <mergeCell ref="E77:AR77"/>
    <mergeCell ref="AS77:BB77"/>
    <mergeCell ref="BC77:BM77"/>
    <mergeCell ref="BN77:CB77"/>
    <mergeCell ref="A74:D74"/>
    <mergeCell ref="E74:AR74"/>
    <mergeCell ref="AS74:BB74"/>
    <mergeCell ref="BC74:BM74"/>
    <mergeCell ref="BN74:CB74"/>
    <mergeCell ref="A75:D75"/>
    <mergeCell ref="E75:AR75"/>
    <mergeCell ref="AS75:BB75"/>
    <mergeCell ref="BC75:BM75"/>
    <mergeCell ref="BN75:CB75"/>
    <mergeCell ref="A72:D72"/>
    <mergeCell ref="E72:AR72"/>
    <mergeCell ref="AS72:BB72"/>
    <mergeCell ref="BC72:BM72"/>
    <mergeCell ref="BN72:CB72"/>
    <mergeCell ref="E73:AR73"/>
    <mergeCell ref="AS73:BB73"/>
    <mergeCell ref="BC73:BM73"/>
    <mergeCell ref="BN73:CB73"/>
    <mergeCell ref="A70:D70"/>
    <mergeCell ref="E70:AR70"/>
    <mergeCell ref="AS70:BB70"/>
    <mergeCell ref="BC70:BM70"/>
    <mergeCell ref="BN70:CB70"/>
    <mergeCell ref="E71:AR71"/>
    <mergeCell ref="AS71:BB71"/>
    <mergeCell ref="BC71:BM71"/>
    <mergeCell ref="BN71:CB71"/>
    <mergeCell ref="A68:D68"/>
    <mergeCell ref="E68:AR68"/>
    <mergeCell ref="AS68:BB68"/>
    <mergeCell ref="BC68:BM68"/>
    <mergeCell ref="BN68:CB68"/>
    <mergeCell ref="A69:D69"/>
    <mergeCell ref="E69:AR69"/>
    <mergeCell ref="AS69:BB69"/>
    <mergeCell ref="BC69:BM69"/>
    <mergeCell ref="BN69:CB69"/>
    <mergeCell ref="A66:D66"/>
    <mergeCell ref="E66:AR66"/>
    <mergeCell ref="AS66:BB66"/>
    <mergeCell ref="BC66:BM66"/>
    <mergeCell ref="BN66:CB66"/>
    <mergeCell ref="A67:D67"/>
    <mergeCell ref="E67:AR67"/>
    <mergeCell ref="AS67:BB67"/>
    <mergeCell ref="BC67:BM67"/>
    <mergeCell ref="BN67:CB67"/>
    <mergeCell ref="CC62:CH62"/>
    <mergeCell ref="A63:D63"/>
    <mergeCell ref="E63:AR63"/>
    <mergeCell ref="AS63:BB63"/>
    <mergeCell ref="BC63:BM63"/>
    <mergeCell ref="BN63:CB63"/>
    <mergeCell ref="CC63:CD63"/>
    <mergeCell ref="CE63:CG63"/>
    <mergeCell ref="CH63:CH65"/>
    <mergeCell ref="A64:D64"/>
    <mergeCell ref="CE64:CE65"/>
    <mergeCell ref="CF64:CF65"/>
    <mergeCell ref="CG64:CG65"/>
    <mergeCell ref="E65:AR65"/>
    <mergeCell ref="AS65:BB65"/>
    <mergeCell ref="BC65:BM65"/>
    <mergeCell ref="BN65:CB65"/>
    <mergeCell ref="E64:AR64"/>
    <mergeCell ref="AS64:BB64"/>
    <mergeCell ref="BC64:BM64"/>
    <mergeCell ref="BN64:CB64"/>
    <mergeCell ref="CC64:CC65"/>
    <mergeCell ref="CD64:CD65"/>
    <mergeCell ref="A57:AR57"/>
    <mergeCell ref="AS57:BB57"/>
    <mergeCell ref="BC57:BM57"/>
    <mergeCell ref="BN57:CB57"/>
    <mergeCell ref="A62:D62"/>
    <mergeCell ref="E62:AR62"/>
    <mergeCell ref="AS62:BB62"/>
    <mergeCell ref="BC62:BM62"/>
    <mergeCell ref="BN62:CB62"/>
    <mergeCell ref="A55:D55"/>
    <mergeCell ref="E55:AR55"/>
    <mergeCell ref="AS55:BB55"/>
    <mergeCell ref="BC55:BM55"/>
    <mergeCell ref="BN55:CB55"/>
    <mergeCell ref="A56:D56"/>
    <mergeCell ref="E56:AR56"/>
    <mergeCell ref="AS56:BB56"/>
    <mergeCell ref="BC56:BM56"/>
    <mergeCell ref="BN56:CB56"/>
    <mergeCell ref="A46:D46"/>
    <mergeCell ref="E46:BC46"/>
    <mergeCell ref="BD46:BM46"/>
    <mergeCell ref="BN46:CB46"/>
    <mergeCell ref="CD52:CD53"/>
    <mergeCell ref="CE52:CE53"/>
    <mergeCell ref="CF52:CF53"/>
    <mergeCell ref="CG52:CG53"/>
    <mergeCell ref="A54:D54"/>
    <mergeCell ref="E54:AR54"/>
    <mergeCell ref="AS54:BB54"/>
    <mergeCell ref="BC54:BM54"/>
    <mergeCell ref="BN54:CB54"/>
    <mergeCell ref="A50:D53"/>
    <mergeCell ref="E50:AR53"/>
    <mergeCell ref="AS50:BB53"/>
    <mergeCell ref="BC50:BM53"/>
    <mergeCell ref="BN50:CB53"/>
    <mergeCell ref="CC50:CH50"/>
    <mergeCell ref="CC51:CD51"/>
    <mergeCell ref="CE51:CG51"/>
    <mergeCell ref="CH51:CH53"/>
    <mergeCell ref="CC52:CC53"/>
    <mergeCell ref="A44:D44"/>
    <mergeCell ref="E44:AM44"/>
    <mergeCell ref="AN44:BC44"/>
    <mergeCell ref="BD44:BM44"/>
    <mergeCell ref="BN44:CB44"/>
    <mergeCell ref="A45:D45"/>
    <mergeCell ref="E45:AM45"/>
    <mergeCell ref="AN45:BC45"/>
    <mergeCell ref="BD45:BM45"/>
    <mergeCell ref="BN45:CB45"/>
    <mergeCell ref="A42:D42"/>
    <mergeCell ref="E42:AM42"/>
    <mergeCell ref="AN42:BC42"/>
    <mergeCell ref="BD42:BM42"/>
    <mergeCell ref="BN42:CB42"/>
    <mergeCell ref="A43:D43"/>
    <mergeCell ref="E43:AM43"/>
    <mergeCell ref="AN43:BC43"/>
    <mergeCell ref="BD43:BM43"/>
    <mergeCell ref="BN43:CB43"/>
    <mergeCell ref="A40:D40"/>
    <mergeCell ref="E40:AM40"/>
    <mergeCell ref="AN40:BC40"/>
    <mergeCell ref="BD40:BM40"/>
    <mergeCell ref="BN40:CB40"/>
    <mergeCell ref="A41:D41"/>
    <mergeCell ref="E41:AM41"/>
    <mergeCell ref="AN41:BC41"/>
    <mergeCell ref="BD41:BM41"/>
    <mergeCell ref="BN41:CB41"/>
    <mergeCell ref="A38:D38"/>
    <mergeCell ref="E38:AM38"/>
    <mergeCell ref="AN38:BC38"/>
    <mergeCell ref="BD38:BM38"/>
    <mergeCell ref="BN38:CB38"/>
    <mergeCell ref="A39:D39"/>
    <mergeCell ref="E39:AM39"/>
    <mergeCell ref="AN39:BC39"/>
    <mergeCell ref="BD39:BM39"/>
    <mergeCell ref="BN39:CB39"/>
    <mergeCell ref="A36:D36"/>
    <mergeCell ref="E36:AM36"/>
    <mergeCell ref="AN36:BC36"/>
    <mergeCell ref="BD36:BM36"/>
    <mergeCell ref="BN36:CB36"/>
    <mergeCell ref="A37:D37"/>
    <mergeCell ref="E37:AM37"/>
    <mergeCell ref="AN37:BC37"/>
    <mergeCell ref="BD37:BM37"/>
    <mergeCell ref="BN37:CB37"/>
    <mergeCell ref="A34:D34"/>
    <mergeCell ref="E34:AM34"/>
    <mergeCell ref="AN34:BC34"/>
    <mergeCell ref="BD34:BM34"/>
    <mergeCell ref="BN34:CB34"/>
    <mergeCell ref="A35:D35"/>
    <mergeCell ref="E35:AM35"/>
    <mergeCell ref="AN35:BC35"/>
    <mergeCell ref="BD35:BM35"/>
    <mergeCell ref="BN35:CB35"/>
    <mergeCell ref="A32:D32"/>
    <mergeCell ref="E32:AM32"/>
    <mergeCell ref="AN32:BC32"/>
    <mergeCell ref="BD32:BM32"/>
    <mergeCell ref="BN32:CB32"/>
    <mergeCell ref="A33:D33"/>
    <mergeCell ref="E33:AM33"/>
    <mergeCell ref="AN33:BC33"/>
    <mergeCell ref="BD33:BM33"/>
    <mergeCell ref="BN33:CB33"/>
    <mergeCell ref="CC28:CH28"/>
    <mergeCell ref="A29:D29"/>
    <mergeCell ref="BN29:CB29"/>
    <mergeCell ref="CC29:CD29"/>
    <mergeCell ref="CE29:CG29"/>
    <mergeCell ref="CH29:CH31"/>
    <mergeCell ref="A30:D30"/>
    <mergeCell ref="BN30:CB30"/>
    <mergeCell ref="CC30:CC31"/>
    <mergeCell ref="CD30:CD31"/>
    <mergeCell ref="CE30:CE31"/>
    <mergeCell ref="CF30:CF31"/>
    <mergeCell ref="CG30:CG31"/>
    <mergeCell ref="A31:D31"/>
    <mergeCell ref="BN31:CB31"/>
    <mergeCell ref="A27:CB27"/>
    <mergeCell ref="A28:D28"/>
    <mergeCell ref="E28:AM31"/>
    <mergeCell ref="AN28:BC31"/>
    <mergeCell ref="BD28:BM31"/>
    <mergeCell ref="BN28:CB28"/>
    <mergeCell ref="A25:D25"/>
    <mergeCell ref="E25:AM25"/>
    <mergeCell ref="AN25:BC25"/>
    <mergeCell ref="BD25:BM25"/>
    <mergeCell ref="BN25:CB25"/>
    <mergeCell ref="A26:D26"/>
    <mergeCell ref="E26:AM26"/>
    <mergeCell ref="AN26:BC26"/>
    <mergeCell ref="BD26:BM26"/>
    <mergeCell ref="BN26:CB26"/>
    <mergeCell ref="A23:D23"/>
    <mergeCell ref="E23:AM23"/>
    <mergeCell ref="AN23:BC23"/>
    <mergeCell ref="BD23:BM23"/>
    <mergeCell ref="BN23:CB23"/>
    <mergeCell ref="A24:D24"/>
    <mergeCell ref="E24:AM24"/>
    <mergeCell ref="AN24:BC24"/>
    <mergeCell ref="BD24:BM24"/>
    <mergeCell ref="BN24:CB24"/>
    <mergeCell ref="A21:D21"/>
    <mergeCell ref="E21:AM21"/>
    <mergeCell ref="AN21:BC21"/>
    <mergeCell ref="BD21:BM21"/>
    <mergeCell ref="BN21:CB21"/>
    <mergeCell ref="A22:D22"/>
    <mergeCell ref="E22:AM22"/>
    <mergeCell ref="AN22:BC22"/>
    <mergeCell ref="BD22:BM22"/>
    <mergeCell ref="BN22:CB22"/>
    <mergeCell ref="A19:D19"/>
    <mergeCell ref="E19:AM19"/>
    <mergeCell ref="AN19:BC19"/>
    <mergeCell ref="BD19:BM19"/>
    <mergeCell ref="BN19:CB19"/>
    <mergeCell ref="A20:D20"/>
    <mergeCell ref="E20:AM20"/>
    <mergeCell ref="AN20:BC20"/>
    <mergeCell ref="BD20:BM20"/>
    <mergeCell ref="BN20:CB20"/>
    <mergeCell ref="A17:D17"/>
    <mergeCell ref="E17:AM17"/>
    <mergeCell ref="AN17:BC17"/>
    <mergeCell ref="BD17:BM17"/>
    <mergeCell ref="BN17:CB17"/>
    <mergeCell ref="A18:D18"/>
    <mergeCell ref="E18:AM18"/>
    <mergeCell ref="AN18:BC18"/>
    <mergeCell ref="BD18:BM18"/>
    <mergeCell ref="BN18:CB18"/>
    <mergeCell ref="A15:D15"/>
    <mergeCell ref="E15:AM15"/>
    <mergeCell ref="AN15:BC15"/>
    <mergeCell ref="BD15:BM15"/>
    <mergeCell ref="BN15:CB15"/>
    <mergeCell ref="A16:D16"/>
    <mergeCell ref="E16:AM16"/>
    <mergeCell ref="AN16:BC16"/>
    <mergeCell ref="BD16:BM16"/>
    <mergeCell ref="BN16:CB16"/>
    <mergeCell ref="A13:D13"/>
    <mergeCell ref="E13:AM13"/>
    <mergeCell ref="AN13:BC13"/>
    <mergeCell ref="BD13:BM13"/>
    <mergeCell ref="BN13:CB13"/>
    <mergeCell ref="A14:D14"/>
    <mergeCell ref="E14:AM14"/>
    <mergeCell ref="AN14:BC14"/>
    <mergeCell ref="BD14:BM14"/>
    <mergeCell ref="BN14:CB14"/>
    <mergeCell ref="A11:D11"/>
    <mergeCell ref="E11:AM11"/>
    <mergeCell ref="AN11:BC11"/>
    <mergeCell ref="BD11:BM11"/>
    <mergeCell ref="BN11:CB11"/>
    <mergeCell ref="A12:D12"/>
    <mergeCell ref="E12:AM12"/>
    <mergeCell ref="AN12:BC12"/>
    <mergeCell ref="BD12:BM12"/>
    <mergeCell ref="BN12:CB12"/>
    <mergeCell ref="A9:D9"/>
    <mergeCell ref="E9:AM9"/>
    <mergeCell ref="AN9:BC9"/>
    <mergeCell ref="BD9:BM9"/>
    <mergeCell ref="BN9:CB9"/>
    <mergeCell ref="A10:D10"/>
    <mergeCell ref="E10:AM10"/>
    <mergeCell ref="AN10:BC10"/>
    <mergeCell ref="BD10:BM10"/>
    <mergeCell ref="BN10:CB10"/>
    <mergeCell ref="A7:D7"/>
    <mergeCell ref="E7:AM7"/>
    <mergeCell ref="AN7:BC7"/>
    <mergeCell ref="BD7:BM7"/>
    <mergeCell ref="BN7:CB7"/>
    <mergeCell ref="A8:D8"/>
    <mergeCell ref="E8:AM8"/>
    <mergeCell ref="AN8:BC8"/>
    <mergeCell ref="BD8:BM8"/>
    <mergeCell ref="BN8:CB8"/>
    <mergeCell ref="CF5:CF6"/>
    <mergeCell ref="CG5:CG6"/>
    <mergeCell ref="A6:D6"/>
    <mergeCell ref="E6:AM6"/>
    <mergeCell ref="BN6:CB6"/>
    <mergeCell ref="CC3:CH3"/>
    <mergeCell ref="A4:D4"/>
    <mergeCell ref="E4:AM4"/>
    <mergeCell ref="BN4:CB4"/>
    <mergeCell ref="CC4:CD4"/>
    <mergeCell ref="CE4:CG4"/>
    <mergeCell ref="CH4:CH6"/>
    <mergeCell ref="A5:D5"/>
    <mergeCell ref="E5:AM5"/>
    <mergeCell ref="BN5:CB5"/>
    <mergeCell ref="A1:CB1"/>
    <mergeCell ref="A3:D3"/>
    <mergeCell ref="E3:AM3"/>
    <mergeCell ref="AN3:BC6"/>
    <mergeCell ref="BD3:BM6"/>
    <mergeCell ref="BN3:CB3"/>
    <mergeCell ref="CC5:CC6"/>
    <mergeCell ref="CD5:CD6"/>
    <mergeCell ref="CE5:CE6"/>
  </mergeCells>
  <pageMargins left="0.25" right="0.25" top="0.75" bottom="0.75" header="0.3" footer="0.3"/>
  <pageSetup paperSize="9" scale="76" fitToHeight="0" orientation="landscape"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pageSetUpPr fitToPage="1"/>
  </sheetPr>
  <dimension ref="A1:N161"/>
  <sheetViews>
    <sheetView zoomScaleNormal="100" workbookViewId="0">
      <selection sqref="A1:N19"/>
    </sheetView>
  </sheetViews>
  <sheetFormatPr defaultColWidth="1.140625" defaultRowHeight="15.75" x14ac:dyDescent="0.25"/>
  <cols>
    <col min="1" max="1" width="4" style="1" customWidth="1"/>
    <col min="2" max="2" width="19.85546875" style="1" customWidth="1"/>
    <col min="3" max="3" width="12.85546875" style="1" customWidth="1"/>
    <col min="4" max="4" width="11.140625" style="1" customWidth="1"/>
    <col min="5" max="5" width="12.85546875" style="1" customWidth="1"/>
    <col min="6" max="6" width="16.28515625" style="1" customWidth="1"/>
    <col min="7" max="7" width="15" style="1" customWidth="1"/>
    <col min="8" max="8" width="14" style="1" customWidth="1"/>
    <col min="9" max="9" width="10.85546875" style="1" customWidth="1"/>
    <col min="10" max="10" width="12" style="1" customWidth="1"/>
    <col min="11" max="11" width="8.85546875" style="1" customWidth="1"/>
    <col min="12" max="12" width="12.5703125" style="1" customWidth="1"/>
    <col min="13" max="13" width="13.5703125" style="1" customWidth="1"/>
    <col min="14" max="14" width="19.140625" style="1" customWidth="1"/>
    <col min="15" max="15" width="13.5703125" style="1" customWidth="1"/>
    <col min="16" max="16384" width="1.140625" style="1"/>
  </cols>
  <sheetData>
    <row r="1" spans="1:14" s="2" customFormat="1" x14ac:dyDescent="0.2">
      <c r="N1" s="20" t="s">
        <v>33</v>
      </c>
    </row>
    <row r="2" spans="1:14" s="2" customFormat="1" x14ac:dyDescent="0.2">
      <c r="N2" s="20" t="s">
        <v>59</v>
      </c>
    </row>
    <row r="3" spans="1:14" s="2" customFormat="1" ht="11.25" x14ac:dyDescent="0.2">
      <c r="N3" s="3"/>
    </row>
    <row r="4" spans="1:14" s="10" customFormat="1" ht="12.75" customHeight="1" x14ac:dyDescent="0.2">
      <c r="N4" s="3"/>
    </row>
    <row r="6" spans="1:14" s="4" customFormat="1" x14ac:dyDescent="0.25">
      <c r="A6" s="1817" t="s">
        <v>760</v>
      </c>
      <c r="B6" s="1817"/>
      <c r="C6" s="1817"/>
      <c r="D6" s="1817"/>
      <c r="E6" s="1817"/>
      <c r="F6" s="1817"/>
      <c r="G6" s="1817"/>
      <c r="H6" s="1817"/>
      <c r="I6" s="1817"/>
      <c r="J6" s="1817"/>
      <c r="K6" s="1817"/>
      <c r="L6" s="1817"/>
      <c r="M6" s="1817"/>
      <c r="N6" s="1817"/>
    </row>
    <row r="7" spans="1:14" s="7" customFormat="1" ht="9.75" x14ac:dyDescent="0.2">
      <c r="A7" s="6"/>
      <c r="B7" s="6"/>
      <c r="C7" s="6"/>
      <c r="D7" s="6"/>
      <c r="E7" s="6"/>
      <c r="F7" s="6"/>
      <c r="G7" s="6"/>
      <c r="H7" s="6"/>
    </row>
    <row r="8" spans="1:14" s="7" customFormat="1" ht="17.25" customHeight="1" x14ac:dyDescent="0.25">
      <c r="A8" s="4" t="s">
        <v>58</v>
      </c>
      <c r="B8" s="6"/>
      <c r="C8" s="6"/>
      <c r="D8" s="6"/>
      <c r="E8" s="6"/>
      <c r="F8" s="21" t="s">
        <v>691</v>
      </c>
      <c r="G8" s="2198" t="s">
        <v>692</v>
      </c>
      <c r="H8" s="2198"/>
      <c r="I8" s="2198"/>
      <c r="J8" s="2198"/>
      <c r="K8" s="2198"/>
      <c r="L8" s="2198"/>
      <c r="M8" s="2198"/>
      <c r="N8" s="2198"/>
    </row>
    <row r="9" spans="1:14" s="7" customFormat="1" ht="15.75" customHeight="1" x14ac:dyDescent="0.2">
      <c r="A9" s="6"/>
      <c r="B9" s="6"/>
      <c r="C9" s="6"/>
      <c r="D9" s="6"/>
      <c r="E9" s="6"/>
      <c r="F9" s="6"/>
      <c r="G9" s="6"/>
      <c r="H9" s="6"/>
    </row>
    <row r="10" spans="1:14" s="4" customFormat="1" x14ac:dyDescent="0.25">
      <c r="A10" s="19" t="s">
        <v>34</v>
      </c>
      <c r="B10" s="19"/>
      <c r="C10" s="19"/>
      <c r="D10" s="19"/>
      <c r="E10" s="19"/>
      <c r="F10" s="19"/>
      <c r="G10" s="19"/>
      <c r="H10" s="19"/>
    </row>
    <row r="11" spans="1:14" s="8" customFormat="1" ht="12.75" x14ac:dyDescent="0.2"/>
    <row r="12" spans="1:14" x14ac:dyDescent="0.25">
      <c r="A12" s="19" t="s">
        <v>48</v>
      </c>
      <c r="B12" s="19"/>
      <c r="C12" s="19"/>
      <c r="D12" s="19"/>
      <c r="E12" s="19"/>
      <c r="F12" s="19"/>
      <c r="G12" s="19"/>
      <c r="H12" s="19"/>
      <c r="I12" s="19"/>
      <c r="J12" s="19"/>
      <c r="K12" s="19"/>
      <c r="L12" s="19"/>
      <c r="M12" s="19"/>
      <c r="N12" s="19"/>
    </row>
    <row r="13" spans="1:14" s="8" customFormat="1" ht="12.75" x14ac:dyDescent="0.2"/>
    <row r="14" spans="1:14" s="8" customFormat="1" ht="12.75" customHeight="1" x14ac:dyDescent="0.2">
      <c r="A14" s="1810" t="s">
        <v>38</v>
      </c>
      <c r="B14" s="2200" t="s">
        <v>36</v>
      </c>
      <c r="C14" s="1810" t="s">
        <v>37</v>
      </c>
      <c r="D14" s="1806" t="s">
        <v>0</v>
      </c>
      <c r="E14" s="1806"/>
      <c r="F14" s="1806"/>
      <c r="G14" s="1806"/>
      <c r="H14" s="1810" t="s">
        <v>42</v>
      </c>
      <c r="I14" s="1806" t="s">
        <v>52</v>
      </c>
      <c r="J14" s="1806"/>
      <c r="K14" s="1806"/>
      <c r="L14" s="1806"/>
      <c r="M14" s="1806"/>
      <c r="N14" s="1806"/>
    </row>
    <row r="15" spans="1:14" s="8" customFormat="1" ht="76.5" customHeight="1" x14ac:dyDescent="0.2">
      <c r="A15" s="1810"/>
      <c r="B15" s="2200"/>
      <c r="C15" s="1810"/>
      <c r="D15" s="1810" t="s">
        <v>1</v>
      </c>
      <c r="E15" s="1810" t="s">
        <v>39</v>
      </c>
      <c r="F15" s="1810" t="s">
        <v>40</v>
      </c>
      <c r="G15" s="1810" t="s">
        <v>41</v>
      </c>
      <c r="H15" s="1810"/>
      <c r="I15" s="1810" t="s">
        <v>35</v>
      </c>
      <c r="J15" s="1810"/>
      <c r="K15" s="1788" t="s">
        <v>45</v>
      </c>
      <c r="L15" s="1790"/>
      <c r="M15" s="1789"/>
      <c r="N15" s="1811" t="s">
        <v>46</v>
      </c>
    </row>
    <row r="16" spans="1:14" s="8" customFormat="1" ht="39" customHeight="1" x14ac:dyDescent="0.2">
      <c r="A16" s="1810"/>
      <c r="B16" s="2200"/>
      <c r="C16" s="1810"/>
      <c r="D16" s="1810"/>
      <c r="E16" s="1810"/>
      <c r="F16" s="1810"/>
      <c r="G16" s="1810"/>
      <c r="H16" s="1810"/>
      <c r="I16" s="14" t="s">
        <v>43</v>
      </c>
      <c r="J16" s="14" t="s">
        <v>44</v>
      </c>
      <c r="K16" s="14" t="s">
        <v>55</v>
      </c>
      <c r="L16" s="14" t="s">
        <v>43</v>
      </c>
      <c r="M16" s="14" t="s">
        <v>44</v>
      </c>
      <c r="N16" s="1811"/>
    </row>
    <row r="17" spans="1:14" s="8" customFormat="1" ht="12.75" x14ac:dyDescent="0.2">
      <c r="A17" s="16">
        <v>1</v>
      </c>
      <c r="B17" s="16">
        <v>2</v>
      </c>
      <c r="C17" s="16">
        <v>3</v>
      </c>
      <c r="D17" s="16" t="s">
        <v>47</v>
      </c>
      <c r="E17" s="16">
        <v>5</v>
      </c>
      <c r="F17" s="16">
        <v>6</v>
      </c>
      <c r="G17" s="16">
        <v>7</v>
      </c>
      <c r="H17" s="16" t="s">
        <v>63</v>
      </c>
      <c r="I17" s="15">
        <v>9</v>
      </c>
      <c r="J17" s="15">
        <v>10</v>
      </c>
      <c r="K17" s="15">
        <v>11</v>
      </c>
      <c r="L17" s="15">
        <v>12</v>
      </c>
      <c r="M17" s="15">
        <v>13</v>
      </c>
      <c r="N17" s="15">
        <v>14</v>
      </c>
    </row>
    <row r="18" spans="1:14" s="8" customFormat="1" ht="12.75" x14ac:dyDescent="0.2">
      <c r="A18" s="17">
        <v>1</v>
      </c>
      <c r="B18" s="17" t="s">
        <v>693</v>
      </c>
      <c r="C18" s="18">
        <v>1</v>
      </c>
      <c r="D18" s="351">
        <f>H18</f>
        <v>49122.58</v>
      </c>
      <c r="E18" s="351">
        <f>H18</f>
        <v>49122.58</v>
      </c>
      <c r="F18" s="18"/>
      <c r="G18" s="18"/>
      <c r="H18" s="22">
        <f>I18+J18+N18</f>
        <v>49122.58</v>
      </c>
      <c r="I18" s="222">
        <v>4946.49</v>
      </c>
      <c r="J18" s="222">
        <v>36990.620000000003</v>
      </c>
      <c r="K18" s="17"/>
      <c r="L18" s="17"/>
      <c r="M18" s="23"/>
      <c r="N18" s="232">
        <v>7185.47</v>
      </c>
    </row>
    <row r="19" spans="1:14" s="29" customFormat="1" ht="12.75" x14ac:dyDescent="0.2">
      <c r="A19" s="2199" t="s">
        <v>54</v>
      </c>
      <c r="B19" s="2199"/>
      <c r="C19" s="25" t="s">
        <v>3</v>
      </c>
      <c r="D19" s="24"/>
      <c r="E19" s="25" t="s">
        <v>3</v>
      </c>
      <c r="F19" s="25" t="s">
        <v>3</v>
      </c>
      <c r="G19" s="25" t="s">
        <v>3</v>
      </c>
      <c r="H19" s="26">
        <f>H18</f>
        <v>49122.58</v>
      </c>
      <c r="I19" s="28">
        <f>I18</f>
        <v>4946.49</v>
      </c>
      <c r="J19" s="28">
        <f>J18</f>
        <v>36990.620000000003</v>
      </c>
      <c r="K19" s="27"/>
      <c r="L19" s="27"/>
      <c r="M19" s="28">
        <f>M18</f>
        <v>0</v>
      </c>
      <c r="N19" s="28">
        <f>N18</f>
        <v>7185.47</v>
      </c>
    </row>
    <row r="20" spans="1:14" s="8" customFormat="1" ht="12.75" x14ac:dyDescent="0.2"/>
    <row r="21" spans="1:14" s="8" customFormat="1" ht="12.75" x14ac:dyDescent="0.2"/>
    <row r="22" spans="1:14" s="8" customFormat="1" ht="12.75" x14ac:dyDescent="0.2"/>
    <row r="23" spans="1:14" s="8" customFormat="1" ht="12.75" x14ac:dyDescent="0.2"/>
    <row r="24" spans="1:14" s="8" customFormat="1" ht="12.75" x14ac:dyDescent="0.2"/>
    <row r="25" spans="1:14" s="8" customFormat="1" ht="12.75" x14ac:dyDescent="0.2"/>
    <row r="26" spans="1:14" s="8" customFormat="1" ht="12.75" x14ac:dyDescent="0.2"/>
    <row r="27" spans="1:14" s="8" customFormat="1" ht="12.75" x14ac:dyDescent="0.2"/>
    <row r="28" spans="1:14" s="8" customFormat="1" ht="12.75" x14ac:dyDescent="0.2"/>
    <row r="29" spans="1:14" s="8" customFormat="1" ht="12.75" x14ac:dyDescent="0.2"/>
    <row r="30" spans="1:14" s="8" customFormat="1" ht="12.75" x14ac:dyDescent="0.2"/>
    <row r="31" spans="1:14" s="8" customFormat="1" ht="12.75" x14ac:dyDescent="0.2"/>
    <row r="32" spans="1:14" s="8" customFormat="1" ht="12.75" x14ac:dyDescent="0.2"/>
    <row r="33" s="8" customFormat="1" ht="12.75" x14ac:dyDescent="0.2"/>
    <row r="34" s="8" customFormat="1" ht="12.75" x14ac:dyDescent="0.2"/>
    <row r="35" s="8" customFormat="1" ht="12.75" x14ac:dyDescent="0.2"/>
    <row r="36" s="8" customFormat="1" ht="12.75" x14ac:dyDescent="0.2"/>
    <row r="37" s="8" customFormat="1" ht="12.75" x14ac:dyDescent="0.2"/>
    <row r="38" s="8" customFormat="1" ht="12.75" x14ac:dyDescent="0.2"/>
    <row r="39" s="8" customFormat="1" ht="12.75" x14ac:dyDescent="0.2"/>
    <row r="40" s="8" customFormat="1" ht="12.75" x14ac:dyDescent="0.2"/>
    <row r="41" s="8" customFormat="1" ht="12.75" x14ac:dyDescent="0.2"/>
    <row r="42" s="8" customFormat="1" ht="12.75" x14ac:dyDescent="0.2"/>
    <row r="43" s="8" customFormat="1" ht="12.75" x14ac:dyDescent="0.2"/>
    <row r="44" s="8" customFormat="1" ht="12.75" x14ac:dyDescent="0.2"/>
    <row r="45" s="8" customFormat="1" ht="12.75" x14ac:dyDescent="0.2"/>
    <row r="46" s="8" customFormat="1" ht="12.75" x14ac:dyDescent="0.2"/>
    <row r="47" s="8" customFormat="1" ht="12.75" x14ac:dyDescent="0.2"/>
    <row r="48" s="8" customFormat="1" ht="12.75" x14ac:dyDescent="0.2"/>
    <row r="49" s="8" customFormat="1" ht="12.75" x14ac:dyDescent="0.2"/>
    <row r="50" s="8" customFormat="1" ht="12.75" x14ac:dyDescent="0.2"/>
    <row r="51" s="8" customFormat="1" ht="12.75" x14ac:dyDescent="0.2"/>
    <row r="52" s="8" customFormat="1" ht="12.75" x14ac:dyDescent="0.2"/>
    <row r="53" s="8" customFormat="1" ht="12.75" x14ac:dyDescent="0.2"/>
    <row r="54" s="8" customFormat="1" ht="12.75" x14ac:dyDescent="0.2"/>
    <row r="55" s="8" customFormat="1" ht="12.75" x14ac:dyDescent="0.2"/>
    <row r="56" s="8" customFormat="1" ht="12.75" x14ac:dyDescent="0.2"/>
    <row r="57" s="8" customFormat="1" ht="12.75" x14ac:dyDescent="0.2"/>
    <row r="58" s="8" customFormat="1" ht="12.75" x14ac:dyDescent="0.2"/>
    <row r="59" s="8" customFormat="1" ht="12.75" x14ac:dyDescent="0.2"/>
    <row r="60" s="8" customFormat="1" ht="12.75" x14ac:dyDescent="0.2"/>
    <row r="61" s="8" customFormat="1" ht="12.75" x14ac:dyDescent="0.2"/>
    <row r="62" s="8" customFormat="1" ht="12.75" x14ac:dyDescent="0.2"/>
    <row r="63" s="8" customFormat="1" ht="12.75" x14ac:dyDescent="0.2"/>
    <row r="64" s="8" customFormat="1" ht="12.75" x14ac:dyDescent="0.2"/>
    <row r="65" s="8" customFormat="1" ht="12.75" x14ac:dyDescent="0.2"/>
    <row r="66" s="8" customFormat="1" ht="12.75" x14ac:dyDescent="0.2"/>
    <row r="67" s="8" customFormat="1" ht="12.75" x14ac:dyDescent="0.2"/>
    <row r="68" s="8" customFormat="1" ht="12.75" x14ac:dyDescent="0.2"/>
    <row r="69" s="8" customFormat="1" ht="12.75" x14ac:dyDescent="0.2"/>
    <row r="70" s="8" customFormat="1" ht="12.75" x14ac:dyDescent="0.2"/>
    <row r="71" s="8" customFormat="1" ht="12.75" x14ac:dyDescent="0.2"/>
    <row r="72" s="8" customFormat="1" ht="12.75" x14ac:dyDescent="0.2"/>
    <row r="73" s="8" customFormat="1" ht="12.75" x14ac:dyDescent="0.2"/>
    <row r="74" s="8" customFormat="1" ht="12.75" x14ac:dyDescent="0.2"/>
    <row r="75" s="8" customFormat="1" ht="12.75" x14ac:dyDescent="0.2"/>
    <row r="76" s="8" customFormat="1" ht="12.75" x14ac:dyDescent="0.2"/>
    <row r="77" s="8" customFormat="1" ht="12.75" x14ac:dyDescent="0.2"/>
    <row r="78" s="8" customFormat="1" ht="12.75" x14ac:dyDescent="0.2"/>
    <row r="79" s="8" customFormat="1" ht="12.75" x14ac:dyDescent="0.2"/>
    <row r="80" s="8" customFormat="1" ht="12.75" x14ac:dyDescent="0.2"/>
    <row r="81" s="8" customFormat="1" ht="12.75" x14ac:dyDescent="0.2"/>
    <row r="82" s="8" customFormat="1" ht="12.75" x14ac:dyDescent="0.2"/>
    <row r="83" s="8" customFormat="1" ht="12.75" x14ac:dyDescent="0.2"/>
    <row r="84" s="8" customFormat="1" ht="12.75" x14ac:dyDescent="0.2"/>
    <row r="85" s="8" customFormat="1" ht="12.75" x14ac:dyDescent="0.2"/>
    <row r="86" s="8" customFormat="1" ht="12.75" x14ac:dyDescent="0.2"/>
    <row r="87" s="8" customFormat="1" ht="12.75" x14ac:dyDescent="0.2"/>
    <row r="88" s="8" customFormat="1" ht="12.75" x14ac:dyDescent="0.2"/>
    <row r="89" s="8" customFormat="1" ht="12.75" x14ac:dyDescent="0.2"/>
    <row r="90" s="8" customFormat="1" ht="12.75" x14ac:dyDescent="0.2"/>
    <row r="91" s="8" customFormat="1" ht="12.75" x14ac:dyDescent="0.2"/>
    <row r="92" s="8" customFormat="1" ht="12.75" x14ac:dyDescent="0.2"/>
    <row r="93" s="8" customFormat="1" ht="12.75" x14ac:dyDescent="0.2"/>
    <row r="94" s="8" customFormat="1" ht="12.75" x14ac:dyDescent="0.2"/>
    <row r="95" s="8" customFormat="1" ht="12.75" x14ac:dyDescent="0.2"/>
    <row r="96" s="8" customFormat="1" ht="12.75" x14ac:dyDescent="0.2"/>
    <row r="97" s="8" customFormat="1" ht="12.75" x14ac:dyDescent="0.2"/>
    <row r="98" s="8" customFormat="1" ht="12.75" x14ac:dyDescent="0.2"/>
    <row r="99" s="8" customFormat="1" ht="12.75" x14ac:dyDescent="0.2"/>
    <row r="100" s="8" customFormat="1" ht="12.75" x14ac:dyDescent="0.2"/>
    <row r="101" s="8" customFormat="1" ht="12.75" x14ac:dyDescent="0.2"/>
    <row r="102" s="8" customFormat="1" ht="12.75" x14ac:dyDescent="0.2"/>
    <row r="103" s="8" customFormat="1" ht="12.75" x14ac:dyDescent="0.2"/>
    <row r="104" s="8" customFormat="1" ht="12.75" x14ac:dyDescent="0.2"/>
    <row r="105" s="8" customFormat="1" ht="12.75" x14ac:dyDescent="0.2"/>
    <row r="106" s="8" customFormat="1" ht="12.75" x14ac:dyDescent="0.2"/>
    <row r="107" s="8" customFormat="1" ht="12.75" x14ac:dyDescent="0.2"/>
    <row r="108" s="8" customFormat="1" ht="12.75" x14ac:dyDescent="0.2"/>
    <row r="109" s="8" customFormat="1" ht="12.75" x14ac:dyDescent="0.2"/>
    <row r="110" s="8" customFormat="1" ht="12.75" x14ac:dyDescent="0.2"/>
    <row r="111" s="8" customFormat="1" ht="12.75" x14ac:dyDescent="0.2"/>
    <row r="112" s="8" customFormat="1" ht="12.75" x14ac:dyDescent="0.2"/>
    <row r="113" s="8" customFormat="1" ht="12.75" x14ac:dyDescent="0.2"/>
    <row r="114" s="8" customFormat="1" ht="12.75" x14ac:dyDescent="0.2"/>
    <row r="115" s="8" customFormat="1" ht="12.75" x14ac:dyDescent="0.2"/>
    <row r="116" s="8" customFormat="1" ht="12.75" x14ac:dyDescent="0.2"/>
    <row r="117" s="8" customFormat="1" ht="12.75" x14ac:dyDescent="0.2"/>
    <row r="118" s="8" customFormat="1" ht="12.75" x14ac:dyDescent="0.2"/>
    <row r="119" s="8" customFormat="1" ht="12.75" x14ac:dyDescent="0.2"/>
    <row r="120" s="8" customFormat="1" ht="12.75" x14ac:dyDescent="0.2"/>
    <row r="121" s="8" customFormat="1" ht="12.75" x14ac:dyDescent="0.2"/>
    <row r="122" s="8" customFormat="1" ht="12.75" x14ac:dyDescent="0.2"/>
    <row r="123" s="8" customFormat="1" ht="12.75" x14ac:dyDescent="0.2"/>
    <row r="124" s="8" customFormat="1" ht="12.75" x14ac:dyDescent="0.2"/>
    <row r="125" s="8" customFormat="1" ht="12.75" x14ac:dyDescent="0.2"/>
    <row r="126" s="8" customFormat="1" ht="12.75" x14ac:dyDescent="0.2"/>
    <row r="127" s="8" customFormat="1" ht="12.75" x14ac:dyDescent="0.2"/>
    <row r="128" s="8" customFormat="1" ht="12.75" x14ac:dyDescent="0.2"/>
    <row r="129" s="8" customFormat="1" ht="12.75" x14ac:dyDescent="0.2"/>
    <row r="130" s="8" customFormat="1" ht="12.75" x14ac:dyDescent="0.2"/>
    <row r="131" s="8" customFormat="1" ht="12.75" x14ac:dyDescent="0.2"/>
    <row r="132" s="8" customFormat="1" ht="12.75" x14ac:dyDescent="0.2"/>
    <row r="133" s="8" customFormat="1" ht="12.75" x14ac:dyDescent="0.2"/>
    <row r="134" s="8" customFormat="1" ht="12.75" x14ac:dyDescent="0.2"/>
    <row r="135" s="8" customFormat="1" ht="12.75" x14ac:dyDescent="0.2"/>
    <row r="136" s="8" customFormat="1" ht="12.75" x14ac:dyDescent="0.2"/>
    <row r="137" s="8" customFormat="1" ht="12.75" x14ac:dyDescent="0.2"/>
    <row r="138" s="8" customFormat="1" ht="12.75" x14ac:dyDescent="0.2"/>
    <row r="139" s="8" customFormat="1" ht="12.75" x14ac:dyDescent="0.2"/>
    <row r="140" s="8" customFormat="1" ht="12.75" x14ac:dyDescent="0.2"/>
    <row r="141" s="8" customFormat="1" ht="12.75" x14ac:dyDescent="0.2"/>
    <row r="142" s="8" customFormat="1" ht="12.75" x14ac:dyDescent="0.2"/>
    <row r="143" s="8" customFormat="1" ht="12.75" x14ac:dyDescent="0.2"/>
    <row r="144" s="8" customFormat="1" ht="12.75" x14ac:dyDescent="0.2"/>
    <row r="145" s="8" customFormat="1" ht="12.75" x14ac:dyDescent="0.2"/>
    <row r="146" s="8" customFormat="1" ht="12.75" x14ac:dyDescent="0.2"/>
    <row r="147" s="8" customFormat="1" ht="12.75" x14ac:dyDescent="0.2"/>
    <row r="148" s="8" customFormat="1" ht="12.75" x14ac:dyDescent="0.2"/>
    <row r="149" s="8" customFormat="1" ht="12.75" x14ac:dyDescent="0.2"/>
    <row r="150" s="8" customFormat="1" ht="12.75" x14ac:dyDescent="0.2"/>
    <row r="151" s="8" customFormat="1" ht="12.75" x14ac:dyDescent="0.2"/>
    <row r="152" s="8" customFormat="1" ht="12.75" x14ac:dyDescent="0.2"/>
    <row r="153" s="8" customFormat="1" ht="12.75" x14ac:dyDescent="0.2"/>
    <row r="154" s="8" customFormat="1" ht="12.75" x14ac:dyDescent="0.2"/>
    <row r="155" s="8" customFormat="1" ht="12.75" x14ac:dyDescent="0.2"/>
    <row r="156" s="8" customFormat="1" ht="12.75" x14ac:dyDescent="0.2"/>
    <row r="157" s="8" customFormat="1" ht="12.75" x14ac:dyDescent="0.2"/>
    <row r="158" s="8" customFormat="1" ht="12.75" x14ac:dyDescent="0.2"/>
    <row r="159" s="8" customFormat="1" ht="12.75" x14ac:dyDescent="0.2"/>
    <row r="160" s="8" customFormat="1" ht="12.75" x14ac:dyDescent="0.2"/>
    <row r="161" s="8" customFormat="1" ht="12.75" x14ac:dyDescent="0.2"/>
  </sheetData>
  <mergeCells count="16">
    <mergeCell ref="A19:B19"/>
    <mergeCell ref="A6:N6"/>
    <mergeCell ref="G8:N8"/>
    <mergeCell ref="A14:A16"/>
    <mergeCell ref="B14:B16"/>
    <mergeCell ref="C14:C16"/>
    <mergeCell ref="D14:G14"/>
    <mergeCell ref="H14:H16"/>
    <mergeCell ref="I14:N14"/>
    <mergeCell ref="D15:D16"/>
    <mergeCell ref="E15:E16"/>
    <mergeCell ref="F15:F16"/>
    <mergeCell ref="G15:G16"/>
    <mergeCell ref="I15:J15"/>
    <mergeCell ref="K15:M15"/>
    <mergeCell ref="N15:N16"/>
  </mergeCells>
  <pageMargins left="0.25" right="0.25" top="0.75" bottom="0.75" header="0.3" footer="0.3"/>
  <pageSetup paperSize="9" scale="7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EO115"/>
  <sheetViews>
    <sheetView view="pageBreakPreview" topLeftCell="A4" zoomScale="60" zoomScaleNormal="70" workbookViewId="0">
      <selection activeCell="DU100" sqref="DU100"/>
    </sheetView>
  </sheetViews>
  <sheetFormatPr defaultColWidth="1.140625" defaultRowHeight="15.75" x14ac:dyDescent="0.25"/>
  <cols>
    <col min="1" max="19" width="1.140625" style="41"/>
    <col min="20" max="20" width="18.140625" style="41" customWidth="1"/>
    <col min="21" max="45" width="1.140625" style="41"/>
    <col min="46" max="46" width="3.5703125" style="41" customWidth="1"/>
    <col min="47" max="88" width="1.140625" style="41"/>
    <col min="89" max="109" width="0" style="41" hidden="1" customWidth="1"/>
    <col min="110" max="122" width="1.140625" style="41"/>
    <col min="123" max="123" width="4" style="41" customWidth="1"/>
    <col min="124" max="124" width="20.42578125" style="41" customWidth="1"/>
    <col min="125" max="125" width="19.85546875" style="41" customWidth="1"/>
    <col min="126" max="126" width="19.5703125" style="41" customWidth="1"/>
    <col min="127" max="127" width="16.28515625" style="41" customWidth="1"/>
    <col min="128" max="128" width="15.42578125" style="41" customWidth="1"/>
    <col min="129" max="129" width="15.5703125" style="41" customWidth="1"/>
    <col min="130" max="139" width="1.140625" style="41"/>
    <col min="140" max="140" width="19.42578125" style="41" customWidth="1"/>
    <col min="141" max="16384" width="1.140625" style="41"/>
  </cols>
  <sheetData>
    <row r="1" spans="1:134" s="472" customFormat="1" x14ac:dyDescent="0.2">
      <c r="DY1" s="124" t="s">
        <v>68</v>
      </c>
      <c r="ED1" s="124"/>
    </row>
    <row r="2" spans="1:134" s="472" customFormat="1" x14ac:dyDescent="0.2">
      <c r="DY2" s="124" t="s">
        <v>59</v>
      </c>
      <c r="ED2" s="124"/>
    </row>
    <row r="3" spans="1:134" s="36" customFormat="1" ht="45" customHeight="1" x14ac:dyDescent="0.25">
      <c r="A3" s="1632" t="s">
        <v>1305</v>
      </c>
      <c r="B3" s="1632"/>
      <c r="C3" s="1632"/>
      <c r="D3" s="1632"/>
      <c r="E3" s="1632"/>
      <c r="F3" s="1632"/>
      <c r="G3" s="1632"/>
      <c r="H3" s="1632"/>
      <c r="I3" s="1632"/>
      <c r="J3" s="1632"/>
      <c r="K3" s="1632"/>
      <c r="L3" s="1632"/>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1632"/>
      <c r="AO3" s="1632"/>
      <c r="AP3" s="1632"/>
      <c r="AQ3" s="1632"/>
      <c r="AR3" s="1632"/>
      <c r="AS3" s="1632"/>
      <c r="AT3" s="1632"/>
      <c r="AU3" s="1632"/>
      <c r="AV3" s="1632"/>
      <c r="AW3" s="1632"/>
      <c r="AX3" s="1632"/>
      <c r="AY3" s="1632"/>
      <c r="AZ3" s="1632"/>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c r="CF3" s="1632"/>
      <c r="CG3" s="1632"/>
      <c r="CH3" s="1632"/>
      <c r="CI3" s="1632"/>
      <c r="CJ3" s="1632"/>
      <c r="CK3" s="1632"/>
      <c r="CL3" s="1632"/>
      <c r="CM3" s="1632"/>
      <c r="CN3" s="1632"/>
      <c r="CO3" s="1632"/>
      <c r="CP3" s="1632"/>
      <c r="CQ3" s="1632"/>
      <c r="CR3" s="1632"/>
      <c r="CS3" s="1632"/>
      <c r="CT3" s="1632"/>
      <c r="CU3" s="1632"/>
      <c r="CV3" s="1632"/>
      <c r="CW3" s="1632"/>
      <c r="CX3" s="1632"/>
      <c r="CY3" s="1632"/>
      <c r="CZ3" s="1632"/>
      <c r="DA3" s="1632"/>
      <c r="DB3" s="1632"/>
      <c r="DC3" s="1632"/>
      <c r="DD3" s="1632"/>
      <c r="DE3" s="1632"/>
      <c r="DF3" s="1632"/>
      <c r="DG3" s="1632"/>
      <c r="DH3" s="1632"/>
      <c r="DI3" s="1632"/>
      <c r="DJ3" s="1632"/>
      <c r="DK3" s="1632"/>
      <c r="DL3" s="1632"/>
      <c r="DM3" s="1632"/>
      <c r="DN3" s="1632"/>
      <c r="DO3" s="1632"/>
      <c r="DP3" s="1632"/>
      <c r="DQ3" s="1632"/>
      <c r="DR3" s="1632"/>
      <c r="DS3" s="1632"/>
      <c r="DT3" s="1633"/>
      <c r="DU3" s="1633"/>
      <c r="DV3" s="1633"/>
      <c r="DW3" s="1633"/>
      <c r="DX3" s="1633"/>
      <c r="DY3" s="1633"/>
    </row>
    <row r="4" spans="1:134" s="37" customFormat="1" ht="17.25" customHeight="1" x14ac:dyDescent="0.2">
      <c r="B4" s="471"/>
      <c r="C4" s="1634" t="s">
        <v>69</v>
      </c>
      <c r="D4" s="1634"/>
      <c r="E4" s="1634"/>
      <c r="F4" s="1634"/>
      <c r="G4" s="1634"/>
      <c r="H4" s="1634"/>
      <c r="I4" s="1634"/>
      <c r="J4" s="1634"/>
      <c r="K4" s="1634"/>
      <c r="L4" s="1634"/>
      <c r="M4" s="1634"/>
      <c r="N4" s="1634"/>
      <c r="O4" s="1634"/>
      <c r="P4" s="1634"/>
      <c r="Q4" s="1634"/>
      <c r="R4" s="1634"/>
      <c r="S4" s="1634"/>
      <c r="T4" s="1634"/>
      <c r="U4" s="1634"/>
      <c r="V4" s="1634"/>
      <c r="W4" s="1634"/>
      <c r="X4" s="1634"/>
      <c r="Y4" s="1634"/>
      <c r="Z4" s="1634"/>
      <c r="AA4" s="1634"/>
      <c r="AB4" s="1634"/>
      <c r="AC4" s="1634"/>
      <c r="AD4" s="1634"/>
      <c r="AE4" s="1634"/>
      <c r="AF4" s="1634"/>
      <c r="AG4" s="1634"/>
      <c r="AH4" s="1634"/>
      <c r="AI4" s="1634"/>
      <c r="AJ4" s="1634"/>
      <c r="AK4" s="1634"/>
      <c r="AL4" s="1634"/>
      <c r="AM4" s="1634"/>
      <c r="AN4" s="1634"/>
      <c r="AO4" s="1634"/>
      <c r="AP4" s="1634"/>
      <c r="AQ4" s="1634"/>
      <c r="AR4" s="1634"/>
      <c r="AS4" s="1634"/>
      <c r="AT4" s="1634"/>
      <c r="AU4" s="1634"/>
      <c r="AV4" s="1634"/>
      <c r="AW4" s="1634"/>
      <c r="AX4" s="1634"/>
      <c r="AY4" s="1634"/>
      <c r="AZ4" s="1634"/>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c r="CF4" s="1634"/>
      <c r="CG4" s="1634"/>
      <c r="CH4" s="1634"/>
      <c r="CI4" s="1634"/>
      <c r="CJ4" s="1634"/>
      <c r="CK4" s="1634"/>
      <c r="CL4" s="1634"/>
      <c r="CM4" s="1634"/>
      <c r="CN4" s="1634"/>
      <c r="CO4" s="1634"/>
      <c r="CP4" s="1634"/>
      <c r="CQ4" s="1634"/>
      <c r="CR4" s="1634"/>
      <c r="CS4" s="1634"/>
      <c r="CT4" s="1634"/>
      <c r="CU4" s="1634"/>
      <c r="CV4" s="1634"/>
      <c r="CW4" s="1634"/>
      <c r="CX4" s="1634"/>
      <c r="CY4" s="1634"/>
      <c r="CZ4" s="1634"/>
      <c r="DA4" s="1634"/>
      <c r="DB4" s="1634"/>
      <c r="DC4" s="1634"/>
      <c r="DD4" s="1634"/>
      <c r="DE4" s="1634"/>
      <c r="DF4" s="1634"/>
      <c r="DG4" s="1634"/>
      <c r="DH4" s="1634"/>
      <c r="DI4" s="1634"/>
      <c r="DJ4" s="1634"/>
      <c r="DK4" s="1634"/>
      <c r="DL4" s="1634"/>
      <c r="DM4" s="1634"/>
      <c r="DN4" s="1634"/>
      <c r="DO4" s="1634"/>
      <c r="DP4" s="1634"/>
      <c r="DQ4" s="1634"/>
      <c r="DR4" s="1634"/>
      <c r="DS4" s="1634"/>
      <c r="DT4" s="1634"/>
      <c r="DU4" s="1634"/>
      <c r="DV4" s="1634"/>
      <c r="DW4" s="1634"/>
      <c r="DX4" s="1634"/>
      <c r="DY4" s="1634"/>
    </row>
    <row r="5" spans="1:134" s="36" customFormat="1" x14ac:dyDescent="0.25">
      <c r="A5" s="1635" t="s">
        <v>34</v>
      </c>
      <c r="B5" s="1635"/>
      <c r="C5" s="1635"/>
      <c r="D5" s="1635"/>
      <c r="E5" s="1635"/>
      <c r="F5" s="1635"/>
      <c r="G5" s="1635"/>
      <c r="H5" s="1635"/>
      <c r="I5" s="1635"/>
      <c r="J5" s="1635"/>
      <c r="K5" s="1635"/>
      <c r="L5" s="1635"/>
      <c r="M5" s="1635"/>
      <c r="N5" s="1635"/>
      <c r="O5" s="1635"/>
      <c r="P5" s="1635"/>
      <c r="Q5" s="1635"/>
      <c r="R5" s="1635"/>
      <c r="S5" s="1635"/>
      <c r="T5" s="1635"/>
      <c r="U5" s="1635"/>
      <c r="V5" s="1635"/>
      <c r="W5" s="1635"/>
      <c r="X5" s="1635"/>
      <c r="Y5" s="1635"/>
      <c r="Z5" s="1635"/>
      <c r="AA5" s="1635"/>
      <c r="AB5" s="1635"/>
      <c r="AC5" s="1635"/>
      <c r="AD5" s="1635"/>
      <c r="AE5" s="1635"/>
      <c r="AF5" s="1635"/>
      <c r="AG5" s="1635"/>
      <c r="AH5" s="1635"/>
      <c r="AI5" s="1635"/>
      <c r="AJ5" s="1635"/>
      <c r="AK5" s="1635"/>
      <c r="AL5" s="1635"/>
      <c r="AM5" s="1635"/>
      <c r="AN5" s="1635"/>
      <c r="AO5" s="1635"/>
      <c r="AP5" s="1635"/>
      <c r="AQ5" s="1635"/>
      <c r="AR5" s="1635"/>
      <c r="AS5" s="1635"/>
      <c r="AT5" s="1635"/>
      <c r="AU5" s="1635"/>
      <c r="AV5" s="1635"/>
      <c r="AW5" s="1635"/>
      <c r="AX5" s="1635"/>
      <c r="AY5" s="1635"/>
      <c r="AZ5" s="1635"/>
      <c r="BA5" s="1635"/>
      <c r="BB5" s="1635"/>
      <c r="BC5" s="1635"/>
      <c r="BD5" s="1635"/>
      <c r="BE5" s="1635"/>
      <c r="BF5" s="1635"/>
      <c r="BG5" s="1635"/>
      <c r="BH5" s="1635"/>
      <c r="BI5" s="1635"/>
      <c r="BJ5" s="1635"/>
      <c r="BK5" s="1635"/>
      <c r="BL5" s="1635"/>
      <c r="BM5" s="1635"/>
      <c r="BN5" s="1635"/>
      <c r="BO5" s="1635"/>
      <c r="BP5" s="1635"/>
      <c r="BQ5" s="1635"/>
      <c r="BR5" s="1635"/>
      <c r="BS5" s="1635"/>
      <c r="BT5" s="1635"/>
      <c r="BU5" s="1635"/>
      <c r="BV5" s="1635"/>
      <c r="BW5" s="1635"/>
      <c r="BX5" s="1635"/>
      <c r="BY5" s="1635"/>
      <c r="BZ5" s="1635"/>
      <c r="CA5" s="1635"/>
      <c r="CB5" s="1635"/>
      <c r="CC5" s="1635"/>
      <c r="CD5" s="1635"/>
      <c r="CE5" s="1635"/>
      <c r="CF5" s="1635"/>
      <c r="CG5" s="1635"/>
      <c r="CH5" s="1635"/>
      <c r="CI5" s="1635"/>
      <c r="CJ5" s="1635"/>
      <c r="CK5" s="1635"/>
      <c r="CL5" s="1635"/>
      <c r="CM5" s="1635"/>
      <c r="CN5" s="1635"/>
      <c r="CO5" s="1635"/>
      <c r="CP5" s="1635"/>
      <c r="CQ5" s="1635"/>
      <c r="CR5" s="1635"/>
      <c r="CS5" s="1635"/>
      <c r="CT5" s="1635"/>
      <c r="CU5" s="1635"/>
      <c r="CV5" s="1635"/>
      <c r="CW5" s="1635"/>
      <c r="CX5" s="1635"/>
      <c r="CY5" s="1635"/>
      <c r="CZ5" s="1635"/>
      <c r="DA5" s="1635"/>
      <c r="DB5" s="1635"/>
      <c r="DC5" s="1635"/>
      <c r="DD5" s="1635"/>
      <c r="DE5" s="1635"/>
      <c r="DF5" s="1635"/>
      <c r="DG5" s="1635"/>
      <c r="DH5" s="1635"/>
      <c r="DI5" s="1635"/>
      <c r="DJ5" s="1635"/>
      <c r="DK5" s="1635"/>
      <c r="DL5" s="1635"/>
      <c r="DM5" s="1635"/>
      <c r="DN5" s="1635"/>
      <c r="DO5" s="1635"/>
      <c r="DP5" s="1635"/>
      <c r="DQ5" s="1635"/>
      <c r="DR5" s="1635"/>
      <c r="DS5" s="1635"/>
    </row>
    <row r="7" spans="1:134" x14ac:dyDescent="0.25">
      <c r="A7" s="1588" t="s">
        <v>70</v>
      </c>
      <c r="B7" s="1636"/>
      <c r="C7" s="1636"/>
      <c r="D7" s="1636"/>
      <c r="E7" s="1636"/>
      <c r="F7" s="1636"/>
      <c r="G7" s="1636"/>
      <c r="H7" s="1636"/>
      <c r="I7" s="1636"/>
      <c r="J7" s="1636"/>
      <c r="K7" s="1636"/>
      <c r="L7" s="1636"/>
      <c r="M7" s="1636"/>
      <c r="N7" s="1636"/>
      <c r="O7" s="1636"/>
      <c r="P7" s="1636"/>
      <c r="Q7" s="1636"/>
      <c r="R7" s="1636"/>
      <c r="S7" s="1636"/>
      <c r="T7" s="1636"/>
      <c r="U7" s="1636"/>
      <c r="V7" s="1636"/>
      <c r="W7" s="1636"/>
      <c r="X7" s="1636"/>
      <c r="Y7" s="1636"/>
      <c r="Z7" s="1636"/>
      <c r="AA7" s="1636"/>
      <c r="AB7" s="1636"/>
      <c r="AC7" s="1636"/>
      <c r="AD7" s="1636"/>
      <c r="AE7" s="1636"/>
      <c r="AF7" s="1636"/>
      <c r="AG7" s="1636"/>
      <c r="AH7" s="1636"/>
      <c r="AI7" s="1636"/>
      <c r="AJ7" s="1636"/>
      <c r="AK7" s="1636"/>
      <c r="AL7" s="1636"/>
      <c r="AM7" s="1636"/>
      <c r="AN7" s="1636"/>
      <c r="AO7" s="1636"/>
      <c r="AP7" s="1636"/>
      <c r="AQ7" s="1636"/>
      <c r="AR7" s="1636"/>
      <c r="AS7" s="1636"/>
      <c r="AT7" s="1636"/>
      <c r="AU7" s="1636"/>
      <c r="AV7" s="1636"/>
      <c r="AW7" s="1636"/>
      <c r="AX7" s="1636"/>
      <c r="AY7" s="1636"/>
      <c r="AZ7" s="1636"/>
      <c r="BA7" s="1636"/>
      <c r="BB7" s="1636"/>
      <c r="BC7" s="1636"/>
      <c r="BD7" s="1636"/>
      <c r="BE7" s="1636"/>
      <c r="BF7" s="1636"/>
      <c r="BG7" s="1636"/>
      <c r="BH7" s="1636"/>
      <c r="BI7" s="1636"/>
      <c r="BJ7" s="1636"/>
      <c r="BK7" s="1636"/>
      <c r="BL7" s="1636"/>
      <c r="BM7" s="1636"/>
      <c r="BN7" s="1636"/>
      <c r="BO7" s="1636"/>
      <c r="BP7" s="1636"/>
      <c r="BQ7" s="1636"/>
      <c r="BR7" s="1636"/>
      <c r="BS7" s="1636"/>
      <c r="BT7" s="1636"/>
      <c r="BU7" s="1636"/>
      <c r="BV7" s="1636"/>
      <c r="BW7" s="1636"/>
      <c r="BX7" s="1636"/>
      <c r="BY7" s="1636"/>
      <c r="BZ7" s="1636"/>
      <c r="CA7" s="1636"/>
      <c r="CB7" s="1636"/>
      <c r="CC7" s="1636"/>
      <c r="CD7" s="1636"/>
      <c r="CE7" s="1636"/>
      <c r="CF7" s="1636"/>
      <c r="CG7" s="1636"/>
      <c r="CH7" s="1636"/>
      <c r="CI7" s="1636"/>
      <c r="CJ7" s="1636"/>
      <c r="CK7" s="1636"/>
      <c r="CL7" s="1636"/>
      <c r="CM7" s="1636"/>
      <c r="CN7" s="1636"/>
      <c r="CO7" s="1636"/>
      <c r="CP7" s="1636"/>
      <c r="CQ7" s="1636"/>
      <c r="CR7" s="1636"/>
      <c r="CS7" s="1636"/>
      <c r="CT7" s="1636"/>
      <c r="CU7" s="1636"/>
      <c r="CV7" s="1636"/>
      <c r="CW7" s="1636"/>
      <c r="CX7" s="1636"/>
      <c r="CY7" s="1636"/>
      <c r="CZ7" s="1636"/>
      <c r="DA7" s="1636"/>
      <c r="DB7" s="1636"/>
      <c r="DC7" s="1636"/>
      <c r="DD7" s="1636"/>
      <c r="DE7" s="1636"/>
      <c r="DF7" s="1636"/>
      <c r="DG7" s="1636"/>
      <c r="DH7" s="1636"/>
      <c r="DI7" s="1636"/>
      <c r="DJ7" s="1636"/>
      <c r="DK7" s="1636"/>
      <c r="DL7" s="1636"/>
      <c r="DM7" s="1636"/>
      <c r="DN7" s="1636"/>
      <c r="DO7" s="1636"/>
      <c r="DP7" s="1636"/>
      <c r="DQ7" s="1636"/>
      <c r="DR7" s="1636"/>
      <c r="DS7" s="1636"/>
    </row>
    <row r="8" spans="1:134" x14ac:dyDescent="0.25">
      <c r="A8" s="36"/>
      <c r="T8" s="473"/>
      <c r="U8" s="473"/>
      <c r="V8" s="473"/>
      <c r="W8" s="473"/>
      <c r="X8" s="473"/>
      <c r="Y8" s="473"/>
      <c r="Z8" s="473"/>
      <c r="AA8" s="473"/>
      <c r="AB8" s="473"/>
      <c r="AC8" s="473"/>
      <c r="AD8" s="473"/>
      <c r="AE8" s="473"/>
      <c r="AF8" s="473"/>
      <c r="AG8" s="473"/>
      <c r="AH8" s="473"/>
      <c r="AI8" s="473"/>
      <c r="AJ8" s="473"/>
      <c r="AK8" s="473"/>
      <c r="AL8" s="473"/>
      <c r="AM8" s="473"/>
      <c r="AN8" s="473"/>
      <c r="AO8" s="473"/>
      <c r="AP8" s="473"/>
      <c r="AQ8" s="473"/>
      <c r="AR8" s="473"/>
      <c r="AS8" s="473"/>
      <c r="AT8" s="473"/>
      <c r="AU8" s="473"/>
      <c r="AV8" s="473"/>
      <c r="AW8" s="473"/>
      <c r="AX8" s="473"/>
      <c r="AY8" s="473"/>
      <c r="AZ8" s="473"/>
      <c r="BA8" s="473"/>
      <c r="BB8" s="473"/>
      <c r="BC8" s="473"/>
      <c r="BD8" s="473"/>
      <c r="BE8" s="473"/>
      <c r="BF8" s="473"/>
      <c r="BG8" s="473"/>
      <c r="BH8" s="473"/>
      <c r="BI8" s="473"/>
      <c r="BJ8" s="473"/>
      <c r="BK8" s="473"/>
      <c r="BL8" s="473"/>
      <c r="BM8" s="473"/>
      <c r="BN8" s="473"/>
      <c r="BO8" s="473"/>
      <c r="BP8" s="473"/>
      <c r="BQ8" s="473"/>
      <c r="BR8" s="473"/>
      <c r="BS8" s="473"/>
      <c r="BT8" s="473"/>
      <c r="BU8" s="473"/>
      <c r="BV8" s="473"/>
      <c r="BW8" s="473"/>
      <c r="BX8" s="473"/>
      <c r="BY8" s="473"/>
      <c r="BZ8" s="473"/>
      <c r="CA8" s="473"/>
      <c r="CB8" s="473"/>
      <c r="CC8" s="473"/>
      <c r="CD8" s="473"/>
      <c r="CE8" s="473"/>
      <c r="CF8" s="473"/>
      <c r="CG8" s="473"/>
      <c r="CH8" s="473"/>
      <c r="CI8" s="473"/>
      <c r="CJ8" s="473"/>
      <c r="CK8" s="473"/>
      <c r="CL8" s="473"/>
      <c r="CM8" s="473"/>
      <c r="CN8" s="473"/>
      <c r="CO8" s="473"/>
      <c r="CP8" s="473"/>
      <c r="CQ8" s="473"/>
      <c r="CR8" s="473"/>
      <c r="CS8" s="473"/>
      <c r="CT8" s="473"/>
      <c r="CU8" s="473"/>
      <c r="CV8" s="473"/>
      <c r="CW8" s="473"/>
      <c r="CX8" s="473"/>
      <c r="CY8" s="473"/>
      <c r="CZ8" s="473"/>
      <c r="DA8" s="473"/>
      <c r="DB8" s="473"/>
      <c r="DC8" s="473"/>
      <c r="DD8" s="473"/>
      <c r="DE8" s="473"/>
      <c r="DF8" s="473"/>
      <c r="DG8" s="473"/>
      <c r="DH8" s="473"/>
      <c r="DI8" s="473"/>
      <c r="DJ8" s="473"/>
      <c r="DK8" s="473"/>
      <c r="DL8" s="473"/>
      <c r="DM8" s="473"/>
      <c r="DN8" s="473"/>
      <c r="DO8" s="473"/>
      <c r="DP8" s="473"/>
      <c r="DQ8" s="473"/>
      <c r="DR8" s="473"/>
      <c r="DS8" s="473"/>
    </row>
    <row r="9" spans="1:134" x14ac:dyDescent="0.25">
      <c r="A9" s="1637" t="s">
        <v>1389</v>
      </c>
      <c r="B9" s="1637"/>
      <c r="C9" s="1637"/>
      <c r="D9" s="1637"/>
      <c r="E9" s="1637"/>
      <c r="F9" s="1637"/>
      <c r="G9" s="1637"/>
      <c r="H9" s="1637"/>
      <c r="I9" s="1637"/>
      <c r="J9" s="1637"/>
      <c r="K9" s="1637"/>
      <c r="L9" s="1637"/>
      <c r="M9" s="1637"/>
      <c r="N9" s="1637"/>
      <c r="O9" s="1637"/>
      <c r="P9" s="1637"/>
      <c r="Q9" s="1637"/>
      <c r="R9" s="1637"/>
      <c r="S9" s="1637"/>
      <c r="T9" s="1637"/>
      <c r="U9" s="1637"/>
      <c r="V9" s="1637"/>
      <c r="W9" s="1637"/>
      <c r="X9" s="1637"/>
      <c r="Y9" s="1637"/>
      <c r="Z9" s="1637"/>
      <c r="AA9" s="1637"/>
      <c r="AB9" s="1637"/>
      <c r="AC9" s="1637"/>
      <c r="AD9" s="1637"/>
      <c r="AE9" s="1637"/>
      <c r="AF9" s="1637"/>
      <c r="AG9" s="1637"/>
      <c r="AH9" s="1637"/>
      <c r="AI9" s="1637"/>
      <c r="AJ9" s="1637"/>
      <c r="AK9" s="1637"/>
      <c r="AL9" s="1637"/>
      <c r="AM9" s="1637"/>
      <c r="AN9" s="1637"/>
      <c r="AO9" s="1637"/>
      <c r="AP9" s="1637"/>
      <c r="AQ9" s="1637"/>
    </row>
    <row r="10" spans="1:134" x14ac:dyDescent="0.25">
      <c r="A10" s="1622" t="s">
        <v>71</v>
      </c>
      <c r="B10" s="1623"/>
      <c r="C10" s="1623"/>
      <c r="D10" s="1624"/>
      <c r="E10" s="1622" t="s">
        <v>72</v>
      </c>
      <c r="F10" s="1623"/>
      <c r="G10" s="1623"/>
      <c r="H10" s="1623"/>
      <c r="I10" s="1623"/>
      <c r="J10" s="1623"/>
      <c r="K10" s="1623"/>
      <c r="L10" s="1623"/>
      <c r="M10" s="1623"/>
      <c r="N10" s="1623"/>
      <c r="O10" s="1623"/>
      <c r="P10" s="1623"/>
      <c r="Q10" s="1623"/>
      <c r="R10" s="1623"/>
      <c r="S10" s="1623"/>
      <c r="T10" s="1624"/>
      <c r="U10" s="1622" t="s">
        <v>73</v>
      </c>
      <c r="V10" s="1623"/>
      <c r="W10" s="1623"/>
      <c r="X10" s="1623"/>
      <c r="Y10" s="1623"/>
      <c r="Z10" s="1623"/>
      <c r="AA10" s="1623"/>
      <c r="AB10" s="1623"/>
      <c r="AC10" s="1623"/>
      <c r="AD10" s="1623"/>
      <c r="AE10" s="1623"/>
      <c r="AF10" s="1624"/>
      <c r="AG10" s="1607" t="s">
        <v>0</v>
      </c>
      <c r="AH10" s="1608"/>
      <c r="AI10" s="1608"/>
      <c r="AJ10" s="1608"/>
      <c r="AK10" s="1608"/>
      <c r="AL10" s="1608"/>
      <c r="AM10" s="1608"/>
      <c r="AN10" s="1608"/>
      <c r="AO10" s="1608"/>
      <c r="AP10" s="1608"/>
      <c r="AQ10" s="1608"/>
      <c r="AR10" s="1608"/>
      <c r="AS10" s="1608"/>
      <c r="AT10" s="1608"/>
      <c r="AU10" s="1608"/>
      <c r="AV10" s="1608"/>
      <c r="AW10" s="1608"/>
      <c r="AX10" s="1608"/>
      <c r="AY10" s="1608"/>
      <c r="AZ10" s="1608"/>
      <c r="BA10" s="1608"/>
      <c r="BB10" s="1608"/>
      <c r="BC10" s="1608"/>
      <c r="BD10" s="1608"/>
      <c r="BE10" s="1608"/>
      <c r="BF10" s="1608"/>
      <c r="BG10" s="1608"/>
      <c r="BH10" s="1608"/>
      <c r="BI10" s="1608"/>
      <c r="BJ10" s="1608"/>
      <c r="BK10" s="1608"/>
      <c r="BL10" s="1608"/>
      <c r="BM10" s="1608"/>
      <c r="BN10" s="1608"/>
      <c r="BO10" s="1608"/>
      <c r="BP10" s="1608"/>
      <c r="BQ10" s="1608"/>
      <c r="BR10" s="1608"/>
      <c r="BS10" s="1608"/>
      <c r="BT10" s="1608"/>
      <c r="BU10" s="1608"/>
      <c r="BV10" s="1608"/>
      <c r="BW10" s="1608"/>
      <c r="BX10" s="1608"/>
      <c r="BY10" s="1608"/>
      <c r="BZ10" s="1608"/>
      <c r="CA10" s="1608"/>
      <c r="CB10" s="1608"/>
      <c r="CC10" s="1608"/>
      <c r="CD10" s="1608"/>
      <c r="CE10" s="1608"/>
      <c r="CF10" s="1608"/>
      <c r="CG10" s="1608"/>
      <c r="CH10" s="1608"/>
      <c r="CI10" s="1608"/>
      <c r="CJ10" s="1609"/>
      <c r="CK10" s="1622" t="s">
        <v>74</v>
      </c>
      <c r="CL10" s="1623"/>
      <c r="CM10" s="1623"/>
      <c r="CN10" s="1623"/>
      <c r="CO10" s="1623"/>
      <c r="CP10" s="1623"/>
      <c r="CQ10" s="1623"/>
      <c r="CR10" s="1623"/>
      <c r="CS10" s="1623"/>
      <c r="CT10" s="1623"/>
      <c r="CU10" s="1624"/>
      <c r="CV10" s="1622" t="s">
        <v>75</v>
      </c>
      <c r="CW10" s="1623"/>
      <c r="CX10" s="1623"/>
      <c r="CY10" s="1623"/>
      <c r="CZ10" s="1623"/>
      <c r="DA10" s="1623"/>
      <c r="DB10" s="1623"/>
      <c r="DC10" s="1623"/>
      <c r="DD10" s="1623"/>
      <c r="DE10" s="1624"/>
      <c r="DF10" s="1622" t="s">
        <v>76</v>
      </c>
      <c r="DG10" s="1623"/>
      <c r="DH10" s="1623"/>
      <c r="DI10" s="1623"/>
      <c r="DJ10" s="1623"/>
      <c r="DK10" s="1623"/>
      <c r="DL10" s="1623"/>
      <c r="DM10" s="1623"/>
      <c r="DN10" s="1623"/>
      <c r="DO10" s="1623"/>
      <c r="DP10" s="1623"/>
      <c r="DQ10" s="1623"/>
      <c r="DR10" s="1623"/>
      <c r="DS10" s="1624"/>
      <c r="DT10" s="1638" t="s">
        <v>52</v>
      </c>
      <c r="DU10" s="1638"/>
      <c r="DV10" s="1638"/>
      <c r="DW10" s="1638"/>
      <c r="DX10" s="1638"/>
      <c r="DY10" s="1638"/>
    </row>
    <row r="11" spans="1:134" x14ac:dyDescent="0.25">
      <c r="A11" s="1613" t="s">
        <v>77</v>
      </c>
      <c r="B11" s="1614"/>
      <c r="C11" s="1614"/>
      <c r="D11" s="1615"/>
      <c r="E11" s="1613" t="s">
        <v>78</v>
      </c>
      <c r="F11" s="1614"/>
      <c r="G11" s="1614"/>
      <c r="H11" s="1614"/>
      <c r="I11" s="1614"/>
      <c r="J11" s="1614"/>
      <c r="K11" s="1614"/>
      <c r="L11" s="1614"/>
      <c r="M11" s="1614"/>
      <c r="N11" s="1614"/>
      <c r="O11" s="1614"/>
      <c r="P11" s="1614"/>
      <c r="Q11" s="1614"/>
      <c r="R11" s="1614"/>
      <c r="S11" s="1614"/>
      <c r="T11" s="1615"/>
      <c r="U11" s="1613" t="s">
        <v>79</v>
      </c>
      <c r="V11" s="1614"/>
      <c r="W11" s="1614"/>
      <c r="X11" s="1614"/>
      <c r="Y11" s="1614"/>
      <c r="Z11" s="1614"/>
      <c r="AA11" s="1614"/>
      <c r="AB11" s="1614"/>
      <c r="AC11" s="1614"/>
      <c r="AD11" s="1614"/>
      <c r="AE11" s="1614"/>
      <c r="AF11" s="1615"/>
      <c r="AG11" s="1622" t="s">
        <v>1</v>
      </c>
      <c r="AH11" s="1623"/>
      <c r="AI11" s="1623"/>
      <c r="AJ11" s="1623"/>
      <c r="AK11" s="1623"/>
      <c r="AL11" s="1623"/>
      <c r="AM11" s="1623"/>
      <c r="AN11" s="1623"/>
      <c r="AO11" s="1623"/>
      <c r="AP11" s="1623"/>
      <c r="AQ11" s="1623"/>
      <c r="AR11" s="1623"/>
      <c r="AS11" s="1623"/>
      <c r="AT11" s="1624"/>
      <c r="AU11" s="1607" t="s">
        <v>2</v>
      </c>
      <c r="AV11" s="1608"/>
      <c r="AW11" s="1608"/>
      <c r="AX11" s="1608"/>
      <c r="AY11" s="1608"/>
      <c r="AZ11" s="1608"/>
      <c r="BA11" s="1608"/>
      <c r="BB11" s="1608"/>
      <c r="BC11" s="1608"/>
      <c r="BD11" s="1608"/>
      <c r="BE11" s="1608"/>
      <c r="BF11" s="1608"/>
      <c r="BG11" s="1608"/>
      <c r="BH11" s="1608"/>
      <c r="BI11" s="1608"/>
      <c r="BJ11" s="1608"/>
      <c r="BK11" s="1608"/>
      <c r="BL11" s="1608"/>
      <c r="BM11" s="1608"/>
      <c r="BN11" s="1608"/>
      <c r="BO11" s="1608"/>
      <c r="BP11" s="1608"/>
      <c r="BQ11" s="1608"/>
      <c r="BR11" s="1608"/>
      <c r="BS11" s="1608"/>
      <c r="BT11" s="1608"/>
      <c r="BU11" s="1608"/>
      <c r="BV11" s="1608"/>
      <c r="BW11" s="1608"/>
      <c r="BX11" s="1608"/>
      <c r="BY11" s="1608"/>
      <c r="BZ11" s="1608"/>
      <c r="CA11" s="1608"/>
      <c r="CB11" s="1608"/>
      <c r="CC11" s="1608"/>
      <c r="CD11" s="1608"/>
      <c r="CE11" s="1608"/>
      <c r="CF11" s="1608"/>
      <c r="CG11" s="1608"/>
      <c r="CH11" s="1608"/>
      <c r="CI11" s="1608"/>
      <c r="CJ11" s="1609"/>
      <c r="CK11" s="1613" t="s">
        <v>80</v>
      </c>
      <c r="CL11" s="1614"/>
      <c r="CM11" s="1614"/>
      <c r="CN11" s="1614"/>
      <c r="CO11" s="1614"/>
      <c r="CP11" s="1614"/>
      <c r="CQ11" s="1614"/>
      <c r="CR11" s="1614"/>
      <c r="CS11" s="1614"/>
      <c r="CT11" s="1614"/>
      <c r="CU11" s="1615"/>
      <c r="CV11" s="1613" t="s">
        <v>81</v>
      </c>
      <c r="CW11" s="1614"/>
      <c r="CX11" s="1614"/>
      <c r="CY11" s="1614"/>
      <c r="CZ11" s="1614"/>
      <c r="DA11" s="1614"/>
      <c r="DB11" s="1614"/>
      <c r="DC11" s="1614"/>
      <c r="DD11" s="1614"/>
      <c r="DE11" s="1615"/>
      <c r="DF11" s="1613" t="s">
        <v>82</v>
      </c>
      <c r="DG11" s="1614"/>
      <c r="DH11" s="1614"/>
      <c r="DI11" s="1614"/>
      <c r="DJ11" s="1614"/>
      <c r="DK11" s="1614"/>
      <c r="DL11" s="1614"/>
      <c r="DM11" s="1614"/>
      <c r="DN11" s="1614"/>
      <c r="DO11" s="1614"/>
      <c r="DP11" s="1614"/>
      <c r="DQ11" s="1614"/>
      <c r="DR11" s="1614"/>
      <c r="DS11" s="1615"/>
      <c r="DT11" s="1639" t="s">
        <v>35</v>
      </c>
      <c r="DU11" s="1639"/>
      <c r="DV11" s="1625" t="s">
        <v>45</v>
      </c>
      <c r="DW11" s="1627"/>
      <c r="DX11" s="1626"/>
      <c r="DY11" s="1628" t="s">
        <v>46</v>
      </c>
    </row>
    <row r="12" spans="1:134" x14ac:dyDescent="0.25">
      <c r="A12" s="1613"/>
      <c r="B12" s="1614"/>
      <c r="C12" s="1614"/>
      <c r="D12" s="1615"/>
      <c r="E12" s="1613" t="s">
        <v>83</v>
      </c>
      <c r="F12" s="1614"/>
      <c r="G12" s="1614"/>
      <c r="H12" s="1614"/>
      <c r="I12" s="1614"/>
      <c r="J12" s="1614"/>
      <c r="K12" s="1614"/>
      <c r="L12" s="1614"/>
      <c r="M12" s="1614"/>
      <c r="N12" s="1614"/>
      <c r="O12" s="1614"/>
      <c r="P12" s="1614"/>
      <c r="Q12" s="1614"/>
      <c r="R12" s="1614"/>
      <c r="S12" s="1614"/>
      <c r="T12" s="1615"/>
      <c r="U12" s="1613" t="s">
        <v>84</v>
      </c>
      <c r="V12" s="1614"/>
      <c r="W12" s="1614"/>
      <c r="X12" s="1614"/>
      <c r="Y12" s="1614"/>
      <c r="Z12" s="1614"/>
      <c r="AA12" s="1614"/>
      <c r="AB12" s="1614"/>
      <c r="AC12" s="1614"/>
      <c r="AD12" s="1614"/>
      <c r="AE12" s="1614"/>
      <c r="AF12" s="1615"/>
      <c r="AG12" s="1613"/>
      <c r="AH12" s="1614"/>
      <c r="AI12" s="1614"/>
      <c r="AJ12" s="1614"/>
      <c r="AK12" s="1614"/>
      <c r="AL12" s="1614"/>
      <c r="AM12" s="1614"/>
      <c r="AN12" s="1614"/>
      <c r="AO12" s="1614"/>
      <c r="AP12" s="1614"/>
      <c r="AQ12" s="1614"/>
      <c r="AR12" s="1614"/>
      <c r="AS12" s="1614"/>
      <c r="AT12" s="1615"/>
      <c r="AU12" s="1622" t="s">
        <v>85</v>
      </c>
      <c r="AV12" s="1623"/>
      <c r="AW12" s="1623"/>
      <c r="AX12" s="1623"/>
      <c r="AY12" s="1623"/>
      <c r="AZ12" s="1623"/>
      <c r="BA12" s="1623"/>
      <c r="BB12" s="1623"/>
      <c r="BC12" s="1623"/>
      <c r="BD12" s="1623"/>
      <c r="BE12" s="1623"/>
      <c r="BF12" s="1623"/>
      <c r="BG12" s="1623"/>
      <c r="BH12" s="1624"/>
      <c r="BI12" s="1622" t="s">
        <v>86</v>
      </c>
      <c r="BJ12" s="1623"/>
      <c r="BK12" s="1623"/>
      <c r="BL12" s="1623"/>
      <c r="BM12" s="1623"/>
      <c r="BN12" s="1623"/>
      <c r="BO12" s="1623"/>
      <c r="BP12" s="1623"/>
      <c r="BQ12" s="1623"/>
      <c r="BR12" s="1623"/>
      <c r="BS12" s="1623"/>
      <c r="BT12" s="1623"/>
      <c r="BU12" s="1623"/>
      <c r="BV12" s="1624"/>
      <c r="BW12" s="1622" t="s">
        <v>86</v>
      </c>
      <c r="BX12" s="1623"/>
      <c r="BY12" s="1623"/>
      <c r="BZ12" s="1623"/>
      <c r="CA12" s="1623"/>
      <c r="CB12" s="1623"/>
      <c r="CC12" s="1623"/>
      <c r="CD12" s="1623"/>
      <c r="CE12" s="1623"/>
      <c r="CF12" s="1623"/>
      <c r="CG12" s="1623"/>
      <c r="CH12" s="1623"/>
      <c r="CI12" s="1623"/>
      <c r="CJ12" s="1624"/>
      <c r="CK12" s="1613" t="s">
        <v>87</v>
      </c>
      <c r="CL12" s="1614"/>
      <c r="CM12" s="1614"/>
      <c r="CN12" s="1614"/>
      <c r="CO12" s="1614"/>
      <c r="CP12" s="1614"/>
      <c r="CQ12" s="1614"/>
      <c r="CR12" s="1614"/>
      <c r="CS12" s="1614"/>
      <c r="CT12" s="1614"/>
      <c r="CU12" s="1615"/>
      <c r="CV12" s="1613"/>
      <c r="CW12" s="1614"/>
      <c r="CX12" s="1614"/>
      <c r="CY12" s="1614"/>
      <c r="CZ12" s="1614"/>
      <c r="DA12" s="1614"/>
      <c r="DB12" s="1614"/>
      <c r="DC12" s="1614"/>
      <c r="DD12" s="1614"/>
      <c r="DE12" s="1615"/>
      <c r="DF12" s="1613" t="s">
        <v>88</v>
      </c>
      <c r="DG12" s="1614"/>
      <c r="DH12" s="1614"/>
      <c r="DI12" s="1614"/>
      <c r="DJ12" s="1614"/>
      <c r="DK12" s="1614"/>
      <c r="DL12" s="1614"/>
      <c r="DM12" s="1614"/>
      <c r="DN12" s="1614"/>
      <c r="DO12" s="1614"/>
      <c r="DP12" s="1614"/>
      <c r="DQ12" s="1614"/>
      <c r="DR12" s="1614"/>
      <c r="DS12" s="1615"/>
      <c r="DT12" s="1610" t="s">
        <v>43</v>
      </c>
      <c r="DU12" s="1610" t="s">
        <v>44</v>
      </c>
      <c r="DV12" s="1610" t="s">
        <v>55</v>
      </c>
      <c r="DW12" s="1610" t="s">
        <v>43</v>
      </c>
      <c r="DX12" s="1610" t="s">
        <v>44</v>
      </c>
      <c r="DY12" s="1629"/>
    </row>
    <row r="13" spans="1:134" x14ac:dyDescent="0.25">
      <c r="A13" s="1613"/>
      <c r="B13" s="1614"/>
      <c r="C13" s="1614"/>
      <c r="D13" s="1615"/>
      <c r="E13" s="1613"/>
      <c r="F13" s="1614"/>
      <c r="G13" s="1614"/>
      <c r="H13" s="1614"/>
      <c r="I13" s="1614"/>
      <c r="J13" s="1614"/>
      <c r="K13" s="1614"/>
      <c r="L13" s="1614"/>
      <c r="M13" s="1614"/>
      <c r="N13" s="1614"/>
      <c r="O13" s="1614"/>
      <c r="P13" s="1614"/>
      <c r="Q13" s="1614"/>
      <c r="R13" s="1614"/>
      <c r="S13" s="1614"/>
      <c r="T13" s="1615"/>
      <c r="U13" s="1613"/>
      <c r="V13" s="1614"/>
      <c r="W13" s="1614"/>
      <c r="X13" s="1614"/>
      <c r="Y13" s="1614"/>
      <c r="Z13" s="1614"/>
      <c r="AA13" s="1614"/>
      <c r="AB13" s="1614"/>
      <c r="AC13" s="1614"/>
      <c r="AD13" s="1614"/>
      <c r="AE13" s="1614"/>
      <c r="AF13" s="1615"/>
      <c r="AG13" s="1613"/>
      <c r="AH13" s="1614"/>
      <c r="AI13" s="1614"/>
      <c r="AJ13" s="1614"/>
      <c r="AK13" s="1614"/>
      <c r="AL13" s="1614"/>
      <c r="AM13" s="1614"/>
      <c r="AN13" s="1614"/>
      <c r="AO13" s="1614"/>
      <c r="AP13" s="1614"/>
      <c r="AQ13" s="1614"/>
      <c r="AR13" s="1614"/>
      <c r="AS13" s="1614"/>
      <c r="AT13" s="1615"/>
      <c r="AU13" s="1613" t="s">
        <v>87</v>
      </c>
      <c r="AV13" s="1614"/>
      <c r="AW13" s="1614"/>
      <c r="AX13" s="1614"/>
      <c r="AY13" s="1614"/>
      <c r="AZ13" s="1614"/>
      <c r="BA13" s="1614"/>
      <c r="BB13" s="1614"/>
      <c r="BC13" s="1614"/>
      <c r="BD13" s="1614"/>
      <c r="BE13" s="1614"/>
      <c r="BF13" s="1614"/>
      <c r="BG13" s="1614"/>
      <c r="BH13" s="1615"/>
      <c r="BI13" s="1613" t="s">
        <v>89</v>
      </c>
      <c r="BJ13" s="1614"/>
      <c r="BK13" s="1614"/>
      <c r="BL13" s="1614"/>
      <c r="BM13" s="1614"/>
      <c r="BN13" s="1614"/>
      <c r="BO13" s="1614"/>
      <c r="BP13" s="1614"/>
      <c r="BQ13" s="1614"/>
      <c r="BR13" s="1614"/>
      <c r="BS13" s="1614"/>
      <c r="BT13" s="1614"/>
      <c r="BU13" s="1614"/>
      <c r="BV13" s="1615"/>
      <c r="BW13" s="1613" t="s">
        <v>90</v>
      </c>
      <c r="BX13" s="1614"/>
      <c r="BY13" s="1614"/>
      <c r="BZ13" s="1614"/>
      <c r="CA13" s="1614"/>
      <c r="CB13" s="1614"/>
      <c r="CC13" s="1614"/>
      <c r="CD13" s="1614"/>
      <c r="CE13" s="1614"/>
      <c r="CF13" s="1614"/>
      <c r="CG13" s="1614"/>
      <c r="CH13" s="1614"/>
      <c r="CI13" s="1614"/>
      <c r="CJ13" s="1615"/>
      <c r="CK13" s="1613" t="s">
        <v>91</v>
      </c>
      <c r="CL13" s="1614"/>
      <c r="CM13" s="1614"/>
      <c r="CN13" s="1614"/>
      <c r="CO13" s="1614"/>
      <c r="CP13" s="1614"/>
      <c r="CQ13" s="1614"/>
      <c r="CR13" s="1614"/>
      <c r="CS13" s="1614"/>
      <c r="CT13" s="1614"/>
      <c r="CU13" s="1615"/>
      <c r="CV13" s="1613"/>
      <c r="CW13" s="1614"/>
      <c r="CX13" s="1614"/>
      <c r="CY13" s="1614"/>
      <c r="CZ13" s="1614"/>
      <c r="DA13" s="1614"/>
      <c r="DB13" s="1614"/>
      <c r="DC13" s="1614"/>
      <c r="DD13" s="1614"/>
      <c r="DE13" s="1615"/>
      <c r="DF13" s="1613" t="s">
        <v>92</v>
      </c>
      <c r="DG13" s="1614"/>
      <c r="DH13" s="1614"/>
      <c r="DI13" s="1614"/>
      <c r="DJ13" s="1614"/>
      <c r="DK13" s="1614"/>
      <c r="DL13" s="1614"/>
      <c r="DM13" s="1614"/>
      <c r="DN13" s="1614"/>
      <c r="DO13" s="1614"/>
      <c r="DP13" s="1614"/>
      <c r="DQ13" s="1614"/>
      <c r="DR13" s="1614"/>
      <c r="DS13" s="1615"/>
      <c r="DT13" s="1640"/>
      <c r="DU13" s="1640"/>
      <c r="DV13" s="1640"/>
      <c r="DW13" s="1640"/>
      <c r="DX13" s="1640"/>
      <c r="DY13" s="1640"/>
    </row>
    <row r="14" spans="1:134" x14ac:dyDescent="0.25">
      <c r="A14" s="1613"/>
      <c r="B14" s="1614"/>
      <c r="C14" s="1614"/>
      <c r="D14" s="1615"/>
      <c r="E14" s="1613"/>
      <c r="F14" s="1614"/>
      <c r="G14" s="1614"/>
      <c r="H14" s="1614"/>
      <c r="I14" s="1614"/>
      <c r="J14" s="1614"/>
      <c r="K14" s="1614"/>
      <c r="L14" s="1614"/>
      <c r="M14" s="1614"/>
      <c r="N14" s="1614"/>
      <c r="O14" s="1614"/>
      <c r="P14" s="1614"/>
      <c r="Q14" s="1614"/>
      <c r="R14" s="1614"/>
      <c r="S14" s="1614"/>
      <c r="T14" s="1615"/>
      <c r="U14" s="1613"/>
      <c r="V14" s="1614"/>
      <c r="W14" s="1614"/>
      <c r="X14" s="1614"/>
      <c r="Y14" s="1614"/>
      <c r="Z14" s="1614"/>
      <c r="AA14" s="1614"/>
      <c r="AB14" s="1614"/>
      <c r="AC14" s="1614"/>
      <c r="AD14" s="1614"/>
      <c r="AE14" s="1614"/>
      <c r="AF14" s="1615"/>
      <c r="AG14" s="1613"/>
      <c r="AH14" s="1614"/>
      <c r="AI14" s="1614"/>
      <c r="AJ14" s="1614"/>
      <c r="AK14" s="1614"/>
      <c r="AL14" s="1614"/>
      <c r="AM14" s="1614"/>
      <c r="AN14" s="1614"/>
      <c r="AO14" s="1614"/>
      <c r="AP14" s="1614"/>
      <c r="AQ14" s="1614"/>
      <c r="AR14" s="1614"/>
      <c r="AS14" s="1614"/>
      <c r="AT14" s="1615"/>
      <c r="AU14" s="1613" t="s">
        <v>93</v>
      </c>
      <c r="AV14" s="1614"/>
      <c r="AW14" s="1614"/>
      <c r="AX14" s="1614"/>
      <c r="AY14" s="1614"/>
      <c r="AZ14" s="1614"/>
      <c r="BA14" s="1614"/>
      <c r="BB14" s="1614"/>
      <c r="BC14" s="1614"/>
      <c r="BD14" s="1614"/>
      <c r="BE14" s="1614"/>
      <c r="BF14" s="1614"/>
      <c r="BG14" s="1614"/>
      <c r="BH14" s="1615"/>
      <c r="BI14" s="1613" t="s">
        <v>94</v>
      </c>
      <c r="BJ14" s="1614"/>
      <c r="BK14" s="1614"/>
      <c r="BL14" s="1614"/>
      <c r="BM14" s="1614"/>
      <c r="BN14" s="1614"/>
      <c r="BO14" s="1614"/>
      <c r="BP14" s="1614"/>
      <c r="BQ14" s="1614"/>
      <c r="BR14" s="1614"/>
      <c r="BS14" s="1614"/>
      <c r="BT14" s="1614"/>
      <c r="BU14" s="1614"/>
      <c r="BV14" s="1615"/>
      <c r="BW14" s="1613" t="s">
        <v>94</v>
      </c>
      <c r="BX14" s="1614"/>
      <c r="BY14" s="1614"/>
      <c r="BZ14" s="1614"/>
      <c r="CA14" s="1614"/>
      <c r="CB14" s="1614"/>
      <c r="CC14" s="1614"/>
      <c r="CD14" s="1614"/>
      <c r="CE14" s="1614"/>
      <c r="CF14" s="1614"/>
      <c r="CG14" s="1614"/>
      <c r="CH14" s="1614"/>
      <c r="CI14" s="1614"/>
      <c r="CJ14" s="1615"/>
      <c r="CK14" s="1616"/>
      <c r="CL14" s="1617"/>
      <c r="CM14" s="1617"/>
      <c r="CN14" s="1617"/>
      <c r="CO14" s="1617"/>
      <c r="CP14" s="1617"/>
      <c r="CQ14" s="1617"/>
      <c r="CR14" s="1617"/>
      <c r="CS14" s="1617"/>
      <c r="CT14" s="1617"/>
      <c r="CU14" s="1618"/>
      <c r="CV14" s="1616"/>
      <c r="CW14" s="1617"/>
      <c r="CX14" s="1617"/>
      <c r="CY14" s="1617"/>
      <c r="CZ14" s="1617"/>
      <c r="DA14" s="1617"/>
      <c r="DB14" s="1617"/>
      <c r="DC14" s="1617"/>
      <c r="DD14" s="1617"/>
      <c r="DE14" s="1618"/>
      <c r="DF14" s="1613" t="s">
        <v>95</v>
      </c>
      <c r="DG14" s="1614"/>
      <c r="DH14" s="1614"/>
      <c r="DI14" s="1614"/>
      <c r="DJ14" s="1614"/>
      <c r="DK14" s="1614"/>
      <c r="DL14" s="1614"/>
      <c r="DM14" s="1614"/>
      <c r="DN14" s="1614"/>
      <c r="DO14" s="1614"/>
      <c r="DP14" s="1614"/>
      <c r="DQ14" s="1614"/>
      <c r="DR14" s="1614"/>
      <c r="DS14" s="1615"/>
      <c r="DT14" s="1641"/>
      <c r="DU14" s="1641"/>
      <c r="DV14" s="1641"/>
      <c r="DW14" s="1641"/>
      <c r="DX14" s="1641"/>
      <c r="DY14" s="1641"/>
    </row>
    <row r="15" spans="1:134" x14ac:dyDescent="0.25">
      <c r="A15" s="1607">
        <v>1</v>
      </c>
      <c r="B15" s="1608"/>
      <c r="C15" s="1608"/>
      <c r="D15" s="1609"/>
      <c r="E15" s="1607">
        <v>2</v>
      </c>
      <c r="F15" s="1608"/>
      <c r="G15" s="1608"/>
      <c r="H15" s="1608"/>
      <c r="I15" s="1608"/>
      <c r="J15" s="1608"/>
      <c r="K15" s="1608"/>
      <c r="L15" s="1608"/>
      <c r="M15" s="1608"/>
      <c r="N15" s="1608"/>
      <c r="O15" s="1608"/>
      <c r="P15" s="1608"/>
      <c r="Q15" s="1608"/>
      <c r="R15" s="1608"/>
      <c r="S15" s="1608"/>
      <c r="T15" s="1609"/>
      <c r="U15" s="1607">
        <v>3</v>
      </c>
      <c r="V15" s="1608"/>
      <c r="W15" s="1608"/>
      <c r="X15" s="1608"/>
      <c r="Y15" s="1608"/>
      <c r="Z15" s="1608"/>
      <c r="AA15" s="1608"/>
      <c r="AB15" s="1608"/>
      <c r="AC15" s="1608"/>
      <c r="AD15" s="1608"/>
      <c r="AE15" s="1608"/>
      <c r="AF15" s="1609"/>
      <c r="AG15" s="1607" t="s">
        <v>47</v>
      </c>
      <c r="AH15" s="1608"/>
      <c r="AI15" s="1608"/>
      <c r="AJ15" s="1608"/>
      <c r="AK15" s="1608"/>
      <c r="AL15" s="1608"/>
      <c r="AM15" s="1608"/>
      <c r="AN15" s="1608"/>
      <c r="AO15" s="1608"/>
      <c r="AP15" s="1608"/>
      <c r="AQ15" s="1608"/>
      <c r="AR15" s="1608"/>
      <c r="AS15" s="1608"/>
      <c r="AT15" s="1609"/>
      <c r="AU15" s="1607">
        <v>5</v>
      </c>
      <c r="AV15" s="1608"/>
      <c r="AW15" s="1608"/>
      <c r="AX15" s="1608"/>
      <c r="AY15" s="1608"/>
      <c r="AZ15" s="1608"/>
      <c r="BA15" s="1608"/>
      <c r="BB15" s="1608"/>
      <c r="BC15" s="1608"/>
      <c r="BD15" s="1608"/>
      <c r="BE15" s="1608"/>
      <c r="BF15" s="1608"/>
      <c r="BG15" s="1608"/>
      <c r="BH15" s="1609"/>
      <c r="BI15" s="1607">
        <v>6</v>
      </c>
      <c r="BJ15" s="1608"/>
      <c r="BK15" s="1608"/>
      <c r="BL15" s="1608"/>
      <c r="BM15" s="1608"/>
      <c r="BN15" s="1608"/>
      <c r="BO15" s="1608"/>
      <c r="BP15" s="1608"/>
      <c r="BQ15" s="1608"/>
      <c r="BR15" s="1608"/>
      <c r="BS15" s="1608"/>
      <c r="BT15" s="1608"/>
      <c r="BU15" s="1608"/>
      <c r="BV15" s="1609"/>
      <c r="BW15" s="1607">
        <v>7</v>
      </c>
      <c r="BX15" s="1608"/>
      <c r="BY15" s="1608"/>
      <c r="BZ15" s="1608"/>
      <c r="CA15" s="1608"/>
      <c r="CB15" s="1608"/>
      <c r="CC15" s="1608"/>
      <c r="CD15" s="1608"/>
      <c r="CE15" s="1608"/>
      <c r="CF15" s="1608"/>
      <c r="CG15" s="1608"/>
      <c r="CH15" s="1608"/>
      <c r="CI15" s="1608"/>
      <c r="CJ15" s="1609"/>
      <c r="CK15" s="1607">
        <v>8</v>
      </c>
      <c r="CL15" s="1608"/>
      <c r="CM15" s="1608"/>
      <c r="CN15" s="1608"/>
      <c r="CO15" s="1608"/>
      <c r="CP15" s="1608"/>
      <c r="CQ15" s="1608"/>
      <c r="CR15" s="1608"/>
      <c r="CS15" s="1608"/>
      <c r="CT15" s="1608"/>
      <c r="CU15" s="1609"/>
      <c r="CV15" s="1607">
        <v>9</v>
      </c>
      <c r="CW15" s="1608"/>
      <c r="CX15" s="1608"/>
      <c r="CY15" s="1608"/>
      <c r="CZ15" s="1608"/>
      <c r="DA15" s="1608"/>
      <c r="DB15" s="1608"/>
      <c r="DC15" s="1608"/>
      <c r="DD15" s="1608"/>
      <c r="DE15" s="1609"/>
      <c r="DF15" s="1607" t="s">
        <v>96</v>
      </c>
      <c r="DG15" s="1608"/>
      <c r="DH15" s="1608"/>
      <c r="DI15" s="1608"/>
      <c r="DJ15" s="1608"/>
      <c r="DK15" s="1608"/>
      <c r="DL15" s="1608"/>
      <c r="DM15" s="1608"/>
      <c r="DN15" s="1608"/>
      <c r="DO15" s="1608"/>
      <c r="DP15" s="1608"/>
      <c r="DQ15" s="1608"/>
      <c r="DR15" s="1608"/>
      <c r="DS15" s="1609"/>
      <c r="DT15" s="474">
        <v>9</v>
      </c>
      <c r="DU15" s="474">
        <v>10</v>
      </c>
      <c r="DV15" s="474">
        <v>11</v>
      </c>
      <c r="DW15" s="474">
        <v>12</v>
      </c>
      <c r="DX15" s="474">
        <v>13</v>
      </c>
      <c r="DY15" s="474">
        <v>14</v>
      </c>
    </row>
    <row r="16" spans="1:134" s="477" customFormat="1" ht="37.5" customHeight="1" x14ac:dyDescent="0.25">
      <c r="A16" s="1592">
        <v>1</v>
      </c>
      <c r="B16" s="1593"/>
      <c r="C16" s="1593"/>
      <c r="D16" s="1594"/>
      <c r="E16" s="1595" t="s">
        <v>840</v>
      </c>
      <c r="F16" s="1596"/>
      <c r="G16" s="1596"/>
      <c r="H16" s="1596"/>
      <c r="I16" s="1596"/>
      <c r="J16" s="1596"/>
      <c r="K16" s="1596"/>
      <c r="L16" s="1596"/>
      <c r="M16" s="1596"/>
      <c r="N16" s="1596"/>
      <c r="O16" s="1596"/>
      <c r="P16" s="1596"/>
      <c r="Q16" s="1596"/>
      <c r="R16" s="1596"/>
      <c r="S16" s="1596"/>
      <c r="T16" s="1597"/>
      <c r="U16" s="1601">
        <f>'расч  ФОТ обл до с 01.01.-30.06'!C6</f>
        <v>1</v>
      </c>
      <c r="V16" s="1602"/>
      <c r="W16" s="1602"/>
      <c r="X16" s="1602"/>
      <c r="Y16" s="1602"/>
      <c r="Z16" s="1602"/>
      <c r="AA16" s="1602"/>
      <c r="AB16" s="1602"/>
      <c r="AC16" s="1602"/>
      <c r="AD16" s="1602"/>
      <c r="AE16" s="1602"/>
      <c r="AF16" s="1603"/>
      <c r="AG16" s="1601">
        <f>AU16+BI16+BW16</f>
        <v>44104.94</v>
      </c>
      <c r="AH16" s="1602"/>
      <c r="AI16" s="1602"/>
      <c r="AJ16" s="1602"/>
      <c r="AK16" s="1602"/>
      <c r="AL16" s="1602"/>
      <c r="AM16" s="1602"/>
      <c r="AN16" s="1602"/>
      <c r="AO16" s="1602"/>
      <c r="AP16" s="1602"/>
      <c r="AQ16" s="1602"/>
      <c r="AR16" s="1602"/>
      <c r="AS16" s="1602"/>
      <c r="AT16" s="1603"/>
      <c r="AU16" s="1601">
        <f>'расч  ФОТ обл до с 01.01.-30.06'!L6</f>
        <v>35568.5</v>
      </c>
      <c r="AV16" s="1602"/>
      <c r="AW16" s="1602"/>
      <c r="AX16" s="1602"/>
      <c r="AY16" s="1602"/>
      <c r="AZ16" s="1602"/>
      <c r="BA16" s="1602"/>
      <c r="BB16" s="1602"/>
      <c r="BC16" s="1602"/>
      <c r="BD16" s="1602"/>
      <c r="BE16" s="1602"/>
      <c r="BF16" s="1602"/>
      <c r="BG16" s="1602"/>
      <c r="BH16" s="1603"/>
      <c r="BI16" s="1601">
        <f>'расч  ФОТ обл до с 01.01.-30.06'!R6</f>
        <v>0</v>
      </c>
      <c r="BJ16" s="1602"/>
      <c r="BK16" s="1602"/>
      <c r="BL16" s="1602"/>
      <c r="BM16" s="1602"/>
      <c r="BN16" s="1602"/>
      <c r="BO16" s="1602"/>
      <c r="BP16" s="1602"/>
      <c r="BQ16" s="1602"/>
      <c r="BR16" s="1602"/>
      <c r="BS16" s="1602"/>
      <c r="BT16" s="1602"/>
      <c r="BU16" s="1602"/>
      <c r="BV16" s="1603"/>
      <c r="BW16" s="1589">
        <f>'расч  ФОТ обл до с 01.01.-30.06'!T6</f>
        <v>8536.44</v>
      </c>
      <c r="BX16" s="1590"/>
      <c r="BY16" s="1590"/>
      <c r="BZ16" s="1590"/>
      <c r="CA16" s="1590"/>
      <c r="CB16" s="1590"/>
      <c r="CC16" s="1590"/>
      <c r="CD16" s="1590"/>
      <c r="CE16" s="1590"/>
      <c r="CF16" s="1590"/>
      <c r="CG16" s="1590"/>
      <c r="CH16" s="1590"/>
      <c r="CI16" s="1590"/>
      <c r="CJ16" s="1591"/>
      <c r="CK16" s="1589"/>
      <c r="CL16" s="1590"/>
      <c r="CM16" s="1590"/>
      <c r="CN16" s="1590"/>
      <c r="CO16" s="1590"/>
      <c r="CP16" s="1590"/>
      <c r="CQ16" s="1590"/>
      <c r="CR16" s="1590"/>
      <c r="CS16" s="1590"/>
      <c r="CT16" s="1590"/>
      <c r="CU16" s="1591"/>
      <c r="CV16" s="1589"/>
      <c r="CW16" s="1590"/>
      <c r="CX16" s="1590"/>
      <c r="CY16" s="1590"/>
      <c r="CZ16" s="1590"/>
      <c r="DA16" s="1590"/>
      <c r="DB16" s="1590"/>
      <c r="DC16" s="1590"/>
      <c r="DD16" s="1590"/>
      <c r="DE16" s="1591"/>
      <c r="DF16" s="1589">
        <f>DT16</f>
        <v>264629.64</v>
      </c>
      <c r="DG16" s="1590"/>
      <c r="DH16" s="1590"/>
      <c r="DI16" s="1590"/>
      <c r="DJ16" s="1590"/>
      <c r="DK16" s="1590"/>
      <c r="DL16" s="1590"/>
      <c r="DM16" s="1590"/>
      <c r="DN16" s="1590"/>
      <c r="DO16" s="1590"/>
      <c r="DP16" s="1590"/>
      <c r="DQ16" s="1590"/>
      <c r="DR16" s="1590"/>
      <c r="DS16" s="1591"/>
      <c r="DT16" s="475">
        <f>'расч  ФОТ обл до с 01.01.-30.06'!W6</f>
        <v>264629.64</v>
      </c>
      <c r="DU16" s="475"/>
      <c r="DV16" s="476"/>
      <c r="DW16" s="475"/>
      <c r="DX16" s="475"/>
      <c r="DY16" s="475"/>
    </row>
    <row r="17" spans="1:129" s="477" customFormat="1" ht="37.5" customHeight="1" x14ac:dyDescent="0.25">
      <c r="A17" s="1592">
        <v>2</v>
      </c>
      <c r="B17" s="1593"/>
      <c r="C17" s="1593"/>
      <c r="D17" s="1594"/>
      <c r="E17" s="1595" t="s">
        <v>564</v>
      </c>
      <c r="F17" s="1596"/>
      <c r="G17" s="1596"/>
      <c r="H17" s="1596"/>
      <c r="I17" s="1596"/>
      <c r="J17" s="1596"/>
      <c r="K17" s="1596"/>
      <c r="L17" s="1596"/>
      <c r="M17" s="1596"/>
      <c r="N17" s="1596"/>
      <c r="O17" s="1596"/>
      <c r="P17" s="1596"/>
      <c r="Q17" s="1596"/>
      <c r="R17" s="1596"/>
      <c r="S17" s="1596"/>
      <c r="T17" s="1597"/>
      <c r="U17" s="1601">
        <f>'расч  ФОТ обл до с 01.01.-30.06'!C7</f>
        <v>0.5</v>
      </c>
      <c r="V17" s="1602"/>
      <c r="W17" s="1602"/>
      <c r="X17" s="1602"/>
      <c r="Y17" s="1602"/>
      <c r="Z17" s="1602"/>
      <c r="AA17" s="1602"/>
      <c r="AB17" s="1602"/>
      <c r="AC17" s="1602"/>
      <c r="AD17" s="1602"/>
      <c r="AE17" s="1602"/>
      <c r="AF17" s="1603"/>
      <c r="AG17" s="1601">
        <f t="shared" ref="AG17:AG28" si="0">AU17+BI17+BW17</f>
        <v>28227.459200000001</v>
      </c>
      <c r="AH17" s="1602"/>
      <c r="AI17" s="1602"/>
      <c r="AJ17" s="1602"/>
      <c r="AK17" s="1602"/>
      <c r="AL17" s="1602"/>
      <c r="AM17" s="1602"/>
      <c r="AN17" s="1602"/>
      <c r="AO17" s="1602"/>
      <c r="AP17" s="1602"/>
      <c r="AQ17" s="1602"/>
      <c r="AR17" s="1602"/>
      <c r="AS17" s="1602"/>
      <c r="AT17" s="1603"/>
      <c r="AU17" s="1601">
        <f>'расч  ФОТ обл до с 01.01.-30.06'!L7</f>
        <v>22764.080000000002</v>
      </c>
      <c r="AV17" s="1602"/>
      <c r="AW17" s="1602"/>
      <c r="AX17" s="1602"/>
      <c r="AY17" s="1602"/>
      <c r="AZ17" s="1602"/>
      <c r="BA17" s="1602"/>
      <c r="BB17" s="1602"/>
      <c r="BC17" s="1602"/>
      <c r="BD17" s="1602"/>
      <c r="BE17" s="1602"/>
      <c r="BF17" s="1602"/>
      <c r="BG17" s="1602"/>
      <c r="BH17" s="1603"/>
      <c r="BI17" s="1601">
        <f>'расч  ФОТ обл до с 01.01.-30.06'!R7</f>
        <v>0</v>
      </c>
      <c r="BJ17" s="1602"/>
      <c r="BK17" s="1602"/>
      <c r="BL17" s="1602"/>
      <c r="BM17" s="1602"/>
      <c r="BN17" s="1602"/>
      <c r="BO17" s="1602"/>
      <c r="BP17" s="1602"/>
      <c r="BQ17" s="1602"/>
      <c r="BR17" s="1602"/>
      <c r="BS17" s="1602"/>
      <c r="BT17" s="1602"/>
      <c r="BU17" s="1602"/>
      <c r="BV17" s="1603"/>
      <c r="BW17" s="1589">
        <f>'расч  ФОТ обл до с 01.01.-30.06'!T7</f>
        <v>5463.3792000000003</v>
      </c>
      <c r="BX17" s="1590"/>
      <c r="BY17" s="1590"/>
      <c r="BZ17" s="1590"/>
      <c r="CA17" s="1590"/>
      <c r="CB17" s="1590"/>
      <c r="CC17" s="1590"/>
      <c r="CD17" s="1590"/>
      <c r="CE17" s="1590"/>
      <c r="CF17" s="1590"/>
      <c r="CG17" s="1590"/>
      <c r="CH17" s="1590"/>
      <c r="CI17" s="1590"/>
      <c r="CJ17" s="1591"/>
      <c r="CK17" s="1589"/>
      <c r="CL17" s="1590"/>
      <c r="CM17" s="1590"/>
      <c r="CN17" s="1590"/>
      <c r="CO17" s="1590"/>
      <c r="CP17" s="1590"/>
      <c r="CQ17" s="1590"/>
      <c r="CR17" s="1590"/>
      <c r="CS17" s="1590"/>
      <c r="CT17" s="1590"/>
      <c r="CU17" s="1591"/>
      <c r="CV17" s="1589"/>
      <c r="CW17" s="1590"/>
      <c r="CX17" s="1590"/>
      <c r="CY17" s="1590"/>
      <c r="CZ17" s="1590"/>
      <c r="DA17" s="1590"/>
      <c r="DB17" s="1590"/>
      <c r="DC17" s="1590"/>
      <c r="DD17" s="1590"/>
      <c r="DE17" s="1591"/>
      <c r="DF17" s="1589">
        <f t="shared" ref="DF17:DF28" si="1">DT17</f>
        <v>169364.75520000001</v>
      </c>
      <c r="DG17" s="1590"/>
      <c r="DH17" s="1590"/>
      <c r="DI17" s="1590"/>
      <c r="DJ17" s="1590"/>
      <c r="DK17" s="1590"/>
      <c r="DL17" s="1590"/>
      <c r="DM17" s="1590"/>
      <c r="DN17" s="1590"/>
      <c r="DO17" s="1590"/>
      <c r="DP17" s="1590"/>
      <c r="DQ17" s="1590"/>
      <c r="DR17" s="1590"/>
      <c r="DS17" s="1591"/>
      <c r="DT17" s="475">
        <f>'расч  ФОТ обл до с 01.01.-30.06'!W7</f>
        <v>169364.75520000001</v>
      </c>
      <c r="DU17" s="475"/>
      <c r="DV17" s="476"/>
      <c r="DW17" s="475"/>
      <c r="DX17" s="475"/>
      <c r="DY17" s="475"/>
    </row>
    <row r="18" spans="1:129" s="477" customFormat="1" ht="37.5" customHeight="1" x14ac:dyDescent="0.25">
      <c r="A18" s="1592">
        <v>3</v>
      </c>
      <c r="B18" s="1593"/>
      <c r="C18" s="1593"/>
      <c r="D18" s="1594"/>
      <c r="E18" s="1595" t="s">
        <v>821</v>
      </c>
      <c r="F18" s="1596"/>
      <c r="G18" s="1596"/>
      <c r="H18" s="1596"/>
      <c r="I18" s="1596"/>
      <c r="J18" s="1596"/>
      <c r="K18" s="1596"/>
      <c r="L18" s="1596"/>
      <c r="M18" s="1596"/>
      <c r="N18" s="1596"/>
      <c r="O18" s="1596"/>
      <c r="P18" s="1596"/>
      <c r="Q18" s="1596"/>
      <c r="R18" s="1596"/>
      <c r="S18" s="1596"/>
      <c r="T18" s="1597"/>
      <c r="U18" s="1601">
        <f>'расч  ФОТ обл до с 01.01.-30.06'!C8</f>
        <v>6.61</v>
      </c>
      <c r="V18" s="1602"/>
      <c r="W18" s="1602"/>
      <c r="X18" s="1602"/>
      <c r="Y18" s="1602"/>
      <c r="Z18" s="1602"/>
      <c r="AA18" s="1602"/>
      <c r="AB18" s="1602"/>
      <c r="AC18" s="1602"/>
      <c r="AD18" s="1602"/>
      <c r="AE18" s="1602"/>
      <c r="AF18" s="1603"/>
      <c r="AG18" s="1601">
        <f t="shared" si="0"/>
        <v>188555.24159999998</v>
      </c>
      <c r="AH18" s="1602"/>
      <c r="AI18" s="1602"/>
      <c r="AJ18" s="1602"/>
      <c r="AK18" s="1602"/>
      <c r="AL18" s="1602"/>
      <c r="AM18" s="1602"/>
      <c r="AN18" s="1602"/>
      <c r="AO18" s="1602"/>
      <c r="AP18" s="1602"/>
      <c r="AQ18" s="1602"/>
      <c r="AR18" s="1602"/>
      <c r="AS18" s="1602"/>
      <c r="AT18" s="1603"/>
      <c r="AU18" s="1601">
        <f>'расч  ФОТ обл до с 01.01.-30.06'!L8</f>
        <v>145413.84</v>
      </c>
      <c r="AV18" s="1602"/>
      <c r="AW18" s="1602"/>
      <c r="AX18" s="1602"/>
      <c r="AY18" s="1602"/>
      <c r="AZ18" s="1602"/>
      <c r="BA18" s="1602"/>
      <c r="BB18" s="1602"/>
      <c r="BC18" s="1602"/>
      <c r="BD18" s="1602"/>
      <c r="BE18" s="1602"/>
      <c r="BF18" s="1602"/>
      <c r="BG18" s="1602"/>
      <c r="BH18" s="1603"/>
      <c r="BI18" s="1601">
        <f>'расч  ФОТ обл до с 01.01.-30.06'!R8</f>
        <v>8242.08</v>
      </c>
      <c r="BJ18" s="1602"/>
      <c r="BK18" s="1602"/>
      <c r="BL18" s="1602"/>
      <c r="BM18" s="1602"/>
      <c r="BN18" s="1602"/>
      <c r="BO18" s="1602"/>
      <c r="BP18" s="1602"/>
      <c r="BQ18" s="1602"/>
      <c r="BR18" s="1602"/>
      <c r="BS18" s="1602"/>
      <c r="BT18" s="1602"/>
      <c r="BU18" s="1602"/>
      <c r="BV18" s="1603"/>
      <c r="BW18" s="1589">
        <f>'расч  ФОТ обл до с 01.01.-30.06'!T8</f>
        <v>34899.321599999996</v>
      </c>
      <c r="BX18" s="1590"/>
      <c r="BY18" s="1590"/>
      <c r="BZ18" s="1590"/>
      <c r="CA18" s="1590"/>
      <c r="CB18" s="1590"/>
      <c r="CC18" s="1590"/>
      <c r="CD18" s="1590"/>
      <c r="CE18" s="1590"/>
      <c r="CF18" s="1590"/>
      <c r="CG18" s="1590"/>
      <c r="CH18" s="1590"/>
      <c r="CI18" s="1590"/>
      <c r="CJ18" s="1591"/>
      <c r="CK18" s="1589"/>
      <c r="CL18" s="1590"/>
      <c r="CM18" s="1590"/>
      <c r="CN18" s="1590"/>
      <c r="CO18" s="1590"/>
      <c r="CP18" s="1590"/>
      <c r="CQ18" s="1590"/>
      <c r="CR18" s="1590"/>
      <c r="CS18" s="1590"/>
      <c r="CT18" s="1590"/>
      <c r="CU18" s="1591"/>
      <c r="CV18" s="1589"/>
      <c r="CW18" s="1590"/>
      <c r="CX18" s="1590"/>
      <c r="CY18" s="1590"/>
      <c r="CZ18" s="1590"/>
      <c r="DA18" s="1590"/>
      <c r="DB18" s="1590"/>
      <c r="DC18" s="1590"/>
      <c r="DD18" s="1590"/>
      <c r="DE18" s="1591"/>
      <c r="DF18" s="1589">
        <f t="shared" si="1"/>
        <v>1776968.8991999999</v>
      </c>
      <c r="DG18" s="1590"/>
      <c r="DH18" s="1590"/>
      <c r="DI18" s="1590"/>
      <c r="DJ18" s="1590"/>
      <c r="DK18" s="1590"/>
      <c r="DL18" s="1590"/>
      <c r="DM18" s="1590"/>
      <c r="DN18" s="1590"/>
      <c r="DO18" s="1590"/>
      <c r="DP18" s="1590"/>
      <c r="DQ18" s="1590"/>
      <c r="DR18" s="1590"/>
      <c r="DS18" s="1591"/>
      <c r="DT18" s="475">
        <f>'расч  ФОТ обл до с 01.01.-30.06'!W8</f>
        <v>1776968.8991999999</v>
      </c>
      <c r="DU18" s="475"/>
      <c r="DV18" s="476"/>
      <c r="DW18" s="475"/>
      <c r="DX18" s="475"/>
      <c r="DY18" s="475"/>
    </row>
    <row r="19" spans="1:129" s="477" customFormat="1" ht="37.5" customHeight="1" x14ac:dyDescent="0.25">
      <c r="A19" s="1592">
        <v>4</v>
      </c>
      <c r="B19" s="1593"/>
      <c r="C19" s="1593"/>
      <c r="D19" s="1594"/>
      <c r="E19" s="1595" t="s">
        <v>822</v>
      </c>
      <c r="F19" s="1596"/>
      <c r="G19" s="1596"/>
      <c r="H19" s="1596"/>
      <c r="I19" s="1596"/>
      <c r="J19" s="1596"/>
      <c r="K19" s="1596"/>
      <c r="L19" s="1596"/>
      <c r="M19" s="1596"/>
      <c r="N19" s="1596"/>
      <c r="O19" s="1596"/>
      <c r="P19" s="1596"/>
      <c r="Q19" s="1596"/>
      <c r="R19" s="1596"/>
      <c r="S19" s="1596"/>
      <c r="T19" s="1597"/>
      <c r="U19" s="1601">
        <f>'расч  ФОТ обл до с 01.01.-30.06'!C9</f>
        <v>3</v>
      </c>
      <c r="V19" s="1602"/>
      <c r="W19" s="1602"/>
      <c r="X19" s="1602"/>
      <c r="Y19" s="1602"/>
      <c r="Z19" s="1602"/>
      <c r="AA19" s="1602"/>
      <c r="AB19" s="1602"/>
      <c r="AC19" s="1602"/>
      <c r="AD19" s="1602"/>
      <c r="AE19" s="1602"/>
      <c r="AF19" s="1603"/>
      <c r="AG19" s="1601">
        <f t="shared" si="0"/>
        <v>95357.922000000006</v>
      </c>
      <c r="AH19" s="1602"/>
      <c r="AI19" s="1602"/>
      <c r="AJ19" s="1602"/>
      <c r="AK19" s="1602"/>
      <c r="AL19" s="1602"/>
      <c r="AM19" s="1602"/>
      <c r="AN19" s="1602"/>
      <c r="AO19" s="1602"/>
      <c r="AP19" s="1602"/>
      <c r="AQ19" s="1602"/>
      <c r="AR19" s="1602"/>
      <c r="AS19" s="1602"/>
      <c r="AT19" s="1603"/>
      <c r="AU19" s="1601">
        <f>'расч  ФОТ обл до с 01.01.-30.06'!L9</f>
        <v>76901.55</v>
      </c>
      <c r="AV19" s="1602"/>
      <c r="AW19" s="1602"/>
      <c r="AX19" s="1602"/>
      <c r="AY19" s="1602"/>
      <c r="AZ19" s="1602"/>
      <c r="BA19" s="1602"/>
      <c r="BB19" s="1602"/>
      <c r="BC19" s="1602"/>
      <c r="BD19" s="1602"/>
      <c r="BE19" s="1602"/>
      <c r="BF19" s="1602"/>
      <c r="BG19" s="1602"/>
      <c r="BH19" s="1603"/>
      <c r="BI19" s="1601">
        <f>'расч  ФОТ обл до с 01.01.-30.06'!R9</f>
        <v>0</v>
      </c>
      <c r="BJ19" s="1602"/>
      <c r="BK19" s="1602"/>
      <c r="BL19" s="1602"/>
      <c r="BM19" s="1602"/>
      <c r="BN19" s="1602"/>
      <c r="BO19" s="1602"/>
      <c r="BP19" s="1602"/>
      <c r="BQ19" s="1602"/>
      <c r="BR19" s="1602"/>
      <c r="BS19" s="1602"/>
      <c r="BT19" s="1602"/>
      <c r="BU19" s="1602"/>
      <c r="BV19" s="1603"/>
      <c r="BW19" s="1589">
        <f>'расч  ФОТ обл до с 01.01.-30.06'!T9</f>
        <v>18456.371999999999</v>
      </c>
      <c r="BX19" s="1590"/>
      <c r="BY19" s="1590"/>
      <c r="BZ19" s="1590"/>
      <c r="CA19" s="1590"/>
      <c r="CB19" s="1590"/>
      <c r="CC19" s="1590"/>
      <c r="CD19" s="1590"/>
      <c r="CE19" s="1590"/>
      <c r="CF19" s="1590"/>
      <c r="CG19" s="1590"/>
      <c r="CH19" s="1590"/>
      <c r="CI19" s="1590"/>
      <c r="CJ19" s="1591"/>
      <c r="CK19" s="1589"/>
      <c r="CL19" s="1590"/>
      <c r="CM19" s="1590"/>
      <c r="CN19" s="1590"/>
      <c r="CO19" s="1590"/>
      <c r="CP19" s="1590"/>
      <c r="CQ19" s="1590"/>
      <c r="CR19" s="1590"/>
      <c r="CS19" s="1590"/>
      <c r="CT19" s="1590"/>
      <c r="CU19" s="1591"/>
      <c r="CV19" s="1589"/>
      <c r="CW19" s="1590"/>
      <c r="CX19" s="1590"/>
      <c r="CY19" s="1590"/>
      <c r="CZ19" s="1590"/>
      <c r="DA19" s="1590"/>
      <c r="DB19" s="1590"/>
      <c r="DC19" s="1590"/>
      <c r="DD19" s="1590"/>
      <c r="DE19" s="1591"/>
      <c r="DF19" s="1589">
        <f t="shared" si="1"/>
        <v>913590.41400000011</v>
      </c>
      <c r="DG19" s="1590"/>
      <c r="DH19" s="1590"/>
      <c r="DI19" s="1590"/>
      <c r="DJ19" s="1590"/>
      <c r="DK19" s="1590"/>
      <c r="DL19" s="1590"/>
      <c r="DM19" s="1590"/>
      <c r="DN19" s="1590"/>
      <c r="DO19" s="1590"/>
      <c r="DP19" s="1590"/>
      <c r="DQ19" s="1590"/>
      <c r="DR19" s="1590"/>
      <c r="DS19" s="1591"/>
      <c r="DT19" s="475">
        <f>'расч  ФОТ обл до с 01.01.-30.06'!W9</f>
        <v>913590.41400000011</v>
      </c>
      <c r="DU19" s="475"/>
      <c r="DV19" s="476"/>
      <c r="DW19" s="475"/>
      <c r="DX19" s="475"/>
      <c r="DY19" s="475"/>
    </row>
    <row r="20" spans="1:129" s="477" customFormat="1" ht="37.5" customHeight="1" x14ac:dyDescent="0.25">
      <c r="A20" s="1592">
        <v>5</v>
      </c>
      <c r="B20" s="1593"/>
      <c r="C20" s="1593"/>
      <c r="D20" s="1594"/>
      <c r="E20" s="1595" t="s">
        <v>823</v>
      </c>
      <c r="F20" s="1596"/>
      <c r="G20" s="1596"/>
      <c r="H20" s="1596"/>
      <c r="I20" s="1596"/>
      <c r="J20" s="1596"/>
      <c r="K20" s="1596"/>
      <c r="L20" s="1596"/>
      <c r="M20" s="1596"/>
      <c r="N20" s="1596"/>
      <c r="O20" s="1596"/>
      <c r="P20" s="1596"/>
      <c r="Q20" s="1596"/>
      <c r="R20" s="1596"/>
      <c r="S20" s="1596"/>
      <c r="T20" s="1597"/>
      <c r="U20" s="1601">
        <f>'расч  ФОТ обл до с 01.01.-30.06'!C10</f>
        <v>0.5</v>
      </c>
      <c r="V20" s="1602"/>
      <c r="W20" s="1602"/>
      <c r="X20" s="1602"/>
      <c r="Y20" s="1602"/>
      <c r="Z20" s="1602"/>
      <c r="AA20" s="1602"/>
      <c r="AB20" s="1602"/>
      <c r="AC20" s="1602"/>
      <c r="AD20" s="1602"/>
      <c r="AE20" s="1602"/>
      <c r="AF20" s="1603"/>
      <c r="AG20" s="1601">
        <f t="shared" si="0"/>
        <v>19059.821199999998</v>
      </c>
      <c r="AH20" s="1602"/>
      <c r="AI20" s="1602"/>
      <c r="AJ20" s="1602"/>
      <c r="AK20" s="1602"/>
      <c r="AL20" s="1602"/>
      <c r="AM20" s="1602"/>
      <c r="AN20" s="1602"/>
      <c r="AO20" s="1602"/>
      <c r="AP20" s="1602"/>
      <c r="AQ20" s="1602"/>
      <c r="AR20" s="1602"/>
      <c r="AS20" s="1602"/>
      <c r="AT20" s="1603"/>
      <c r="AU20" s="1601">
        <f>'расч  ФОТ обл до с 01.01.-30.06'!L10</f>
        <v>15024.63</v>
      </c>
      <c r="AV20" s="1602"/>
      <c r="AW20" s="1602"/>
      <c r="AX20" s="1602"/>
      <c r="AY20" s="1602"/>
      <c r="AZ20" s="1602"/>
      <c r="BA20" s="1602"/>
      <c r="BB20" s="1602"/>
      <c r="BC20" s="1602"/>
      <c r="BD20" s="1602"/>
      <c r="BE20" s="1602"/>
      <c r="BF20" s="1602"/>
      <c r="BG20" s="1602"/>
      <c r="BH20" s="1603"/>
      <c r="BI20" s="1601">
        <f>'расч  ФОТ обл до с 01.01.-30.06'!R10</f>
        <v>429.28</v>
      </c>
      <c r="BJ20" s="1602"/>
      <c r="BK20" s="1602"/>
      <c r="BL20" s="1602"/>
      <c r="BM20" s="1602"/>
      <c r="BN20" s="1602"/>
      <c r="BO20" s="1602"/>
      <c r="BP20" s="1602"/>
      <c r="BQ20" s="1602"/>
      <c r="BR20" s="1602"/>
      <c r="BS20" s="1602"/>
      <c r="BT20" s="1602"/>
      <c r="BU20" s="1602"/>
      <c r="BV20" s="1603"/>
      <c r="BW20" s="1589">
        <f>'расч  ФОТ обл до с 01.01.-30.06'!T10</f>
        <v>3605.9111999999996</v>
      </c>
      <c r="BX20" s="1590"/>
      <c r="BY20" s="1590"/>
      <c r="BZ20" s="1590"/>
      <c r="CA20" s="1590"/>
      <c r="CB20" s="1590"/>
      <c r="CC20" s="1590"/>
      <c r="CD20" s="1590"/>
      <c r="CE20" s="1590"/>
      <c r="CF20" s="1590"/>
      <c r="CG20" s="1590"/>
      <c r="CH20" s="1590"/>
      <c r="CI20" s="1590"/>
      <c r="CJ20" s="1591"/>
      <c r="CK20" s="1589"/>
      <c r="CL20" s="1590"/>
      <c r="CM20" s="1590"/>
      <c r="CN20" s="1590"/>
      <c r="CO20" s="1590"/>
      <c r="CP20" s="1590"/>
      <c r="CQ20" s="1590"/>
      <c r="CR20" s="1590"/>
      <c r="CS20" s="1590"/>
      <c r="CT20" s="1590"/>
      <c r="CU20" s="1591"/>
      <c r="CV20" s="1589"/>
      <c r="CW20" s="1590"/>
      <c r="CX20" s="1590"/>
      <c r="CY20" s="1590"/>
      <c r="CZ20" s="1590"/>
      <c r="DA20" s="1590"/>
      <c r="DB20" s="1590"/>
      <c r="DC20" s="1590"/>
      <c r="DD20" s="1590"/>
      <c r="DE20" s="1591"/>
      <c r="DF20" s="1589">
        <f t="shared" si="1"/>
        <v>181068.28439999997</v>
      </c>
      <c r="DG20" s="1590"/>
      <c r="DH20" s="1590"/>
      <c r="DI20" s="1590"/>
      <c r="DJ20" s="1590"/>
      <c r="DK20" s="1590"/>
      <c r="DL20" s="1590"/>
      <c r="DM20" s="1590"/>
      <c r="DN20" s="1590"/>
      <c r="DO20" s="1590"/>
      <c r="DP20" s="1590"/>
      <c r="DQ20" s="1590"/>
      <c r="DR20" s="1590"/>
      <c r="DS20" s="1591"/>
      <c r="DT20" s="475">
        <f>'расч  ФОТ обл до с 01.01.-30.06'!W10</f>
        <v>181068.28439999997</v>
      </c>
      <c r="DU20" s="475"/>
      <c r="DV20" s="476"/>
      <c r="DW20" s="475"/>
      <c r="DX20" s="475"/>
      <c r="DY20" s="475"/>
    </row>
    <row r="21" spans="1:129" s="477" customFormat="1" ht="37.5" customHeight="1" x14ac:dyDescent="0.25">
      <c r="A21" s="1592">
        <v>6</v>
      </c>
      <c r="B21" s="1593"/>
      <c r="C21" s="1593"/>
      <c r="D21" s="1594"/>
      <c r="E21" s="1595" t="s">
        <v>824</v>
      </c>
      <c r="F21" s="1596"/>
      <c r="G21" s="1596"/>
      <c r="H21" s="1596"/>
      <c r="I21" s="1596"/>
      <c r="J21" s="1596"/>
      <c r="K21" s="1596"/>
      <c r="L21" s="1596"/>
      <c r="M21" s="1596"/>
      <c r="N21" s="1596"/>
      <c r="O21" s="1596"/>
      <c r="P21" s="1596"/>
      <c r="Q21" s="1596"/>
      <c r="R21" s="1596"/>
      <c r="S21" s="1596"/>
      <c r="T21" s="1597"/>
      <c r="U21" s="1601">
        <f>'расч  ФОТ обл до с 01.01.-30.06'!C11</f>
        <v>1.5</v>
      </c>
      <c r="V21" s="1602"/>
      <c r="W21" s="1602"/>
      <c r="X21" s="1602"/>
      <c r="Y21" s="1602"/>
      <c r="Z21" s="1602"/>
      <c r="AA21" s="1602"/>
      <c r="AB21" s="1602"/>
      <c r="AC21" s="1602"/>
      <c r="AD21" s="1602"/>
      <c r="AE21" s="1602"/>
      <c r="AF21" s="1603"/>
      <c r="AG21" s="1601">
        <f t="shared" si="0"/>
        <v>33967.921199999997</v>
      </c>
      <c r="AH21" s="1602"/>
      <c r="AI21" s="1602"/>
      <c r="AJ21" s="1602"/>
      <c r="AK21" s="1602"/>
      <c r="AL21" s="1602"/>
      <c r="AM21" s="1602"/>
      <c r="AN21" s="1602"/>
      <c r="AO21" s="1602"/>
      <c r="AP21" s="1602"/>
      <c r="AQ21" s="1602"/>
      <c r="AR21" s="1602"/>
      <c r="AS21" s="1602"/>
      <c r="AT21" s="1603"/>
      <c r="AU21" s="1601">
        <f>'расч  ФОТ обл до с 01.01.-30.06'!L11</f>
        <v>26676.38</v>
      </c>
      <c r="AV21" s="1602"/>
      <c r="AW21" s="1602"/>
      <c r="AX21" s="1602"/>
      <c r="AY21" s="1602"/>
      <c r="AZ21" s="1602"/>
      <c r="BA21" s="1602"/>
      <c r="BB21" s="1602"/>
      <c r="BC21" s="1602"/>
      <c r="BD21" s="1602"/>
      <c r="BE21" s="1602"/>
      <c r="BF21" s="1602"/>
      <c r="BG21" s="1602"/>
      <c r="BH21" s="1603"/>
      <c r="BI21" s="1601">
        <f>'расч  ФОТ обл до с 01.01.-30.06'!R11</f>
        <v>889.21</v>
      </c>
      <c r="BJ21" s="1602"/>
      <c r="BK21" s="1602"/>
      <c r="BL21" s="1602"/>
      <c r="BM21" s="1602"/>
      <c r="BN21" s="1602"/>
      <c r="BO21" s="1602"/>
      <c r="BP21" s="1602"/>
      <c r="BQ21" s="1602"/>
      <c r="BR21" s="1602"/>
      <c r="BS21" s="1602"/>
      <c r="BT21" s="1602"/>
      <c r="BU21" s="1602"/>
      <c r="BV21" s="1603"/>
      <c r="BW21" s="1589">
        <f>'расч  ФОТ обл до с 01.01.-30.06'!T11</f>
        <v>6402.3311999999996</v>
      </c>
      <c r="BX21" s="1590"/>
      <c r="BY21" s="1590"/>
      <c r="BZ21" s="1590"/>
      <c r="CA21" s="1590"/>
      <c r="CB21" s="1590"/>
      <c r="CC21" s="1590"/>
      <c r="CD21" s="1590"/>
      <c r="CE21" s="1590"/>
      <c r="CF21" s="1590"/>
      <c r="CG21" s="1590"/>
      <c r="CH21" s="1590"/>
      <c r="CI21" s="1590"/>
      <c r="CJ21" s="1591"/>
      <c r="CK21" s="1589"/>
      <c r="CL21" s="1590"/>
      <c r="CM21" s="1590"/>
      <c r="CN21" s="1590"/>
      <c r="CO21" s="1590"/>
      <c r="CP21" s="1590"/>
      <c r="CQ21" s="1590"/>
      <c r="CR21" s="1590"/>
      <c r="CS21" s="1590"/>
      <c r="CT21" s="1590"/>
      <c r="CU21" s="1591"/>
      <c r="CV21" s="1589"/>
      <c r="CW21" s="1590"/>
      <c r="CX21" s="1590"/>
      <c r="CY21" s="1590"/>
      <c r="CZ21" s="1590"/>
      <c r="DA21" s="1590"/>
      <c r="DB21" s="1590"/>
      <c r="DC21" s="1590"/>
      <c r="DD21" s="1590"/>
      <c r="DE21" s="1591"/>
      <c r="DF21" s="1589">
        <f t="shared" si="1"/>
        <v>322250.6544</v>
      </c>
      <c r="DG21" s="1590"/>
      <c r="DH21" s="1590"/>
      <c r="DI21" s="1590"/>
      <c r="DJ21" s="1590"/>
      <c r="DK21" s="1590"/>
      <c r="DL21" s="1590"/>
      <c r="DM21" s="1590"/>
      <c r="DN21" s="1590"/>
      <c r="DO21" s="1590"/>
      <c r="DP21" s="1590"/>
      <c r="DQ21" s="1590"/>
      <c r="DR21" s="1590"/>
      <c r="DS21" s="1591"/>
      <c r="DT21" s="475">
        <f>'расч  ФОТ обл до с 01.01.-30.06'!W11</f>
        <v>322250.6544</v>
      </c>
      <c r="DU21" s="475"/>
      <c r="DV21" s="476"/>
      <c r="DW21" s="475"/>
      <c r="DX21" s="475"/>
      <c r="DY21" s="475"/>
    </row>
    <row r="22" spans="1:129" s="477" customFormat="1" ht="37.5" customHeight="1" x14ac:dyDescent="0.25">
      <c r="A22" s="1592">
        <v>7</v>
      </c>
      <c r="B22" s="1593"/>
      <c r="C22" s="1593"/>
      <c r="D22" s="1594"/>
      <c r="E22" s="1595" t="s">
        <v>825</v>
      </c>
      <c r="F22" s="1596"/>
      <c r="G22" s="1596"/>
      <c r="H22" s="1596"/>
      <c r="I22" s="1596"/>
      <c r="J22" s="1596"/>
      <c r="K22" s="1596"/>
      <c r="L22" s="1596"/>
      <c r="M22" s="1596"/>
      <c r="N22" s="1596"/>
      <c r="O22" s="1596"/>
      <c r="P22" s="1596"/>
      <c r="Q22" s="1596"/>
      <c r="R22" s="1596"/>
      <c r="S22" s="1596"/>
      <c r="T22" s="1597"/>
      <c r="U22" s="1601">
        <f>'расч  ФОТ обл до с 01.01.-30.06'!C12</f>
        <v>0.5</v>
      </c>
      <c r="V22" s="1602"/>
      <c r="W22" s="1602"/>
      <c r="X22" s="1602"/>
      <c r="Y22" s="1602"/>
      <c r="Z22" s="1602"/>
      <c r="AA22" s="1602"/>
      <c r="AB22" s="1602"/>
      <c r="AC22" s="1602"/>
      <c r="AD22" s="1602"/>
      <c r="AE22" s="1602"/>
      <c r="AF22" s="1603"/>
      <c r="AG22" s="1601">
        <f t="shared" si="0"/>
        <v>16778.52</v>
      </c>
      <c r="AH22" s="1602"/>
      <c r="AI22" s="1602"/>
      <c r="AJ22" s="1602"/>
      <c r="AK22" s="1602"/>
      <c r="AL22" s="1602"/>
      <c r="AM22" s="1602"/>
      <c r="AN22" s="1602"/>
      <c r="AO22" s="1602"/>
      <c r="AP22" s="1602"/>
      <c r="AQ22" s="1602"/>
      <c r="AR22" s="1602"/>
      <c r="AS22" s="1602"/>
      <c r="AT22" s="1603"/>
      <c r="AU22" s="1601">
        <f>'расч  ФОТ обл до с 01.01.-30.06'!L12</f>
        <v>11651.75</v>
      </c>
      <c r="AV22" s="1602"/>
      <c r="AW22" s="1602"/>
      <c r="AX22" s="1602"/>
      <c r="AY22" s="1602"/>
      <c r="AZ22" s="1602"/>
      <c r="BA22" s="1602"/>
      <c r="BB22" s="1602"/>
      <c r="BC22" s="1602"/>
      <c r="BD22" s="1602"/>
      <c r="BE22" s="1602"/>
      <c r="BF22" s="1602"/>
      <c r="BG22" s="1602"/>
      <c r="BH22" s="1603"/>
      <c r="BI22" s="1601">
        <f>'расч  ФОТ обл до с 01.01.-30.06'!R12</f>
        <v>2330.35</v>
      </c>
      <c r="BJ22" s="1602"/>
      <c r="BK22" s="1602"/>
      <c r="BL22" s="1602"/>
      <c r="BM22" s="1602"/>
      <c r="BN22" s="1602"/>
      <c r="BO22" s="1602"/>
      <c r="BP22" s="1602"/>
      <c r="BQ22" s="1602"/>
      <c r="BR22" s="1602"/>
      <c r="BS22" s="1602"/>
      <c r="BT22" s="1602"/>
      <c r="BU22" s="1602"/>
      <c r="BV22" s="1603"/>
      <c r="BW22" s="1589">
        <f>'расч  ФОТ обл до с 01.01.-30.06'!T12</f>
        <v>2796.42</v>
      </c>
      <c r="BX22" s="1590"/>
      <c r="BY22" s="1590"/>
      <c r="BZ22" s="1590"/>
      <c r="CA22" s="1590"/>
      <c r="CB22" s="1590"/>
      <c r="CC22" s="1590"/>
      <c r="CD22" s="1590"/>
      <c r="CE22" s="1590"/>
      <c r="CF22" s="1590"/>
      <c r="CG22" s="1590"/>
      <c r="CH22" s="1590"/>
      <c r="CI22" s="1590"/>
      <c r="CJ22" s="1591"/>
      <c r="CK22" s="1589"/>
      <c r="CL22" s="1590"/>
      <c r="CM22" s="1590"/>
      <c r="CN22" s="1590"/>
      <c r="CO22" s="1590"/>
      <c r="CP22" s="1590"/>
      <c r="CQ22" s="1590"/>
      <c r="CR22" s="1590"/>
      <c r="CS22" s="1590"/>
      <c r="CT22" s="1590"/>
      <c r="CU22" s="1591"/>
      <c r="CV22" s="1589"/>
      <c r="CW22" s="1590"/>
      <c r="CX22" s="1590"/>
      <c r="CY22" s="1590"/>
      <c r="CZ22" s="1590"/>
      <c r="DA22" s="1590"/>
      <c r="DB22" s="1590"/>
      <c r="DC22" s="1590"/>
      <c r="DD22" s="1590"/>
      <c r="DE22" s="1591"/>
      <c r="DF22" s="1589">
        <f t="shared" si="1"/>
        <v>152404.89000000001</v>
      </c>
      <c r="DG22" s="1590"/>
      <c r="DH22" s="1590"/>
      <c r="DI22" s="1590"/>
      <c r="DJ22" s="1590"/>
      <c r="DK22" s="1590"/>
      <c r="DL22" s="1590"/>
      <c r="DM22" s="1590"/>
      <c r="DN22" s="1590"/>
      <c r="DO22" s="1590"/>
      <c r="DP22" s="1590"/>
      <c r="DQ22" s="1590"/>
      <c r="DR22" s="1590"/>
      <c r="DS22" s="1591"/>
      <c r="DT22" s="475">
        <f>'расч  ФОТ обл до с 01.01.-30.06'!W12</f>
        <v>152404.89000000001</v>
      </c>
      <c r="DU22" s="475"/>
      <c r="DV22" s="476"/>
      <c r="DW22" s="475"/>
      <c r="DX22" s="475"/>
      <c r="DY22" s="475"/>
    </row>
    <row r="23" spans="1:129" s="477" customFormat="1" ht="37.5" customHeight="1" x14ac:dyDescent="0.25">
      <c r="A23" s="1592">
        <v>8</v>
      </c>
      <c r="B23" s="1593"/>
      <c r="C23" s="1593"/>
      <c r="D23" s="1594"/>
      <c r="E23" s="1595" t="s">
        <v>826</v>
      </c>
      <c r="F23" s="1596"/>
      <c r="G23" s="1596"/>
      <c r="H23" s="1596"/>
      <c r="I23" s="1596"/>
      <c r="J23" s="1596"/>
      <c r="K23" s="1596"/>
      <c r="L23" s="1596"/>
      <c r="M23" s="1596"/>
      <c r="N23" s="1596"/>
      <c r="O23" s="1596"/>
      <c r="P23" s="1596"/>
      <c r="Q23" s="1596"/>
      <c r="R23" s="1596"/>
      <c r="S23" s="1596"/>
      <c r="T23" s="1597"/>
      <c r="U23" s="1601">
        <f>'расч  ФОТ обл до с 01.01.-30.06'!C13</f>
        <v>1.5</v>
      </c>
      <c r="V23" s="1602"/>
      <c r="W23" s="1602"/>
      <c r="X23" s="1602"/>
      <c r="Y23" s="1602"/>
      <c r="Z23" s="1602"/>
      <c r="AA23" s="1602"/>
      <c r="AB23" s="1602"/>
      <c r="AC23" s="1602"/>
      <c r="AD23" s="1602"/>
      <c r="AE23" s="1602"/>
      <c r="AF23" s="1603"/>
      <c r="AG23" s="1601">
        <f t="shared" si="0"/>
        <v>52984.800000000003</v>
      </c>
      <c r="AH23" s="1602"/>
      <c r="AI23" s="1602"/>
      <c r="AJ23" s="1602"/>
      <c r="AK23" s="1602"/>
      <c r="AL23" s="1602"/>
      <c r="AM23" s="1602"/>
      <c r="AN23" s="1602"/>
      <c r="AO23" s="1602"/>
      <c r="AP23" s="1602"/>
      <c r="AQ23" s="1602"/>
      <c r="AR23" s="1602"/>
      <c r="AS23" s="1602"/>
      <c r="AT23" s="1603"/>
      <c r="AU23" s="1601">
        <f>'расч  ФОТ обл до с 01.01.-30.06'!L13</f>
        <v>36795</v>
      </c>
      <c r="AV23" s="1602"/>
      <c r="AW23" s="1602"/>
      <c r="AX23" s="1602"/>
      <c r="AY23" s="1602"/>
      <c r="AZ23" s="1602"/>
      <c r="BA23" s="1602"/>
      <c r="BB23" s="1602"/>
      <c r="BC23" s="1602"/>
      <c r="BD23" s="1602"/>
      <c r="BE23" s="1602"/>
      <c r="BF23" s="1602"/>
      <c r="BG23" s="1602"/>
      <c r="BH23" s="1603"/>
      <c r="BI23" s="1601">
        <f>'расч  ФОТ обл до с 01.01.-30.06'!R13</f>
        <v>7359</v>
      </c>
      <c r="BJ23" s="1602"/>
      <c r="BK23" s="1602"/>
      <c r="BL23" s="1602"/>
      <c r="BM23" s="1602"/>
      <c r="BN23" s="1602"/>
      <c r="BO23" s="1602"/>
      <c r="BP23" s="1602"/>
      <c r="BQ23" s="1602"/>
      <c r="BR23" s="1602"/>
      <c r="BS23" s="1602"/>
      <c r="BT23" s="1602"/>
      <c r="BU23" s="1602"/>
      <c r="BV23" s="1603"/>
      <c r="BW23" s="1589">
        <f>'расч  ФОТ обл до с 01.01.-30.06'!T13</f>
        <v>8830.7999999999993</v>
      </c>
      <c r="BX23" s="1590"/>
      <c r="BY23" s="1590"/>
      <c r="BZ23" s="1590"/>
      <c r="CA23" s="1590"/>
      <c r="CB23" s="1590"/>
      <c r="CC23" s="1590"/>
      <c r="CD23" s="1590"/>
      <c r="CE23" s="1590"/>
      <c r="CF23" s="1590"/>
      <c r="CG23" s="1590"/>
      <c r="CH23" s="1590"/>
      <c r="CI23" s="1590"/>
      <c r="CJ23" s="1591"/>
      <c r="CK23" s="1589"/>
      <c r="CL23" s="1590"/>
      <c r="CM23" s="1590"/>
      <c r="CN23" s="1590"/>
      <c r="CO23" s="1590"/>
      <c r="CP23" s="1590"/>
      <c r="CQ23" s="1590"/>
      <c r="CR23" s="1590"/>
      <c r="CS23" s="1590"/>
      <c r="CT23" s="1590"/>
      <c r="CU23" s="1591"/>
      <c r="CV23" s="1589"/>
      <c r="CW23" s="1590"/>
      <c r="CX23" s="1590"/>
      <c r="CY23" s="1590"/>
      <c r="CZ23" s="1590"/>
      <c r="DA23" s="1590"/>
      <c r="DB23" s="1590"/>
      <c r="DC23" s="1590"/>
      <c r="DD23" s="1590"/>
      <c r="DE23" s="1591"/>
      <c r="DF23" s="1589">
        <f t="shared" si="1"/>
        <v>482118.60000000003</v>
      </c>
      <c r="DG23" s="1590"/>
      <c r="DH23" s="1590"/>
      <c r="DI23" s="1590"/>
      <c r="DJ23" s="1590"/>
      <c r="DK23" s="1590"/>
      <c r="DL23" s="1590"/>
      <c r="DM23" s="1590"/>
      <c r="DN23" s="1590"/>
      <c r="DO23" s="1590"/>
      <c r="DP23" s="1590"/>
      <c r="DQ23" s="1590"/>
      <c r="DR23" s="1590"/>
      <c r="DS23" s="1591"/>
      <c r="DT23" s="475">
        <f>'расч  ФОТ обл до с 01.01.-30.06'!W13</f>
        <v>482118.60000000003</v>
      </c>
      <c r="DU23" s="475"/>
      <c r="DV23" s="476"/>
      <c r="DW23" s="475"/>
      <c r="DX23" s="475"/>
      <c r="DY23" s="475"/>
    </row>
    <row r="24" spans="1:129" s="477" customFormat="1" ht="37.5" customHeight="1" x14ac:dyDescent="0.25">
      <c r="A24" s="1592">
        <v>9</v>
      </c>
      <c r="B24" s="1593"/>
      <c r="C24" s="1593"/>
      <c r="D24" s="1594"/>
      <c r="E24" s="1595" t="s">
        <v>827</v>
      </c>
      <c r="F24" s="1596"/>
      <c r="G24" s="1596"/>
      <c r="H24" s="1596"/>
      <c r="I24" s="1596"/>
      <c r="J24" s="1596"/>
      <c r="K24" s="1596"/>
      <c r="L24" s="1596"/>
      <c r="M24" s="1596"/>
      <c r="N24" s="1596"/>
      <c r="O24" s="1596"/>
      <c r="P24" s="1596"/>
      <c r="Q24" s="1596"/>
      <c r="R24" s="1596"/>
      <c r="S24" s="1596"/>
      <c r="T24" s="1597"/>
      <c r="U24" s="1601">
        <f>'расч  ФОТ обл до с 01.01.-30.06'!C14</f>
        <v>1</v>
      </c>
      <c r="V24" s="1602"/>
      <c r="W24" s="1602"/>
      <c r="X24" s="1602"/>
      <c r="Y24" s="1602"/>
      <c r="Z24" s="1602"/>
      <c r="AA24" s="1602"/>
      <c r="AB24" s="1602"/>
      <c r="AC24" s="1602"/>
      <c r="AD24" s="1602"/>
      <c r="AE24" s="1602"/>
      <c r="AF24" s="1603"/>
      <c r="AG24" s="1601">
        <f t="shared" si="0"/>
        <v>29656.77</v>
      </c>
      <c r="AH24" s="1602"/>
      <c r="AI24" s="1602"/>
      <c r="AJ24" s="1602"/>
      <c r="AK24" s="1602"/>
      <c r="AL24" s="1602"/>
      <c r="AM24" s="1602"/>
      <c r="AN24" s="1602"/>
      <c r="AO24" s="1602"/>
      <c r="AP24" s="1602"/>
      <c r="AQ24" s="1602"/>
      <c r="AR24" s="1602"/>
      <c r="AS24" s="1602"/>
      <c r="AT24" s="1603"/>
      <c r="AU24" s="1601">
        <f>'расч  ФОТ обл до с 01.01.-30.06'!L14</f>
        <v>23916.75</v>
      </c>
      <c r="AV24" s="1602"/>
      <c r="AW24" s="1602"/>
      <c r="AX24" s="1602"/>
      <c r="AY24" s="1602"/>
      <c r="AZ24" s="1602"/>
      <c r="BA24" s="1602"/>
      <c r="BB24" s="1602"/>
      <c r="BC24" s="1602"/>
      <c r="BD24" s="1602"/>
      <c r="BE24" s="1602"/>
      <c r="BF24" s="1602"/>
      <c r="BG24" s="1602"/>
      <c r="BH24" s="1603"/>
      <c r="BI24" s="1601">
        <f>'расч  ФОТ обл до с 01.01.-30.06'!R14</f>
        <v>0</v>
      </c>
      <c r="BJ24" s="1602"/>
      <c r="BK24" s="1602"/>
      <c r="BL24" s="1602"/>
      <c r="BM24" s="1602"/>
      <c r="BN24" s="1602"/>
      <c r="BO24" s="1602"/>
      <c r="BP24" s="1602"/>
      <c r="BQ24" s="1602"/>
      <c r="BR24" s="1602"/>
      <c r="BS24" s="1602"/>
      <c r="BT24" s="1602"/>
      <c r="BU24" s="1602"/>
      <c r="BV24" s="1603"/>
      <c r="BW24" s="1589">
        <f>'расч  ФОТ обл до с 01.01.-30.06'!T14</f>
        <v>5740.0199999999995</v>
      </c>
      <c r="BX24" s="1590"/>
      <c r="BY24" s="1590"/>
      <c r="BZ24" s="1590"/>
      <c r="CA24" s="1590"/>
      <c r="CB24" s="1590"/>
      <c r="CC24" s="1590"/>
      <c r="CD24" s="1590"/>
      <c r="CE24" s="1590"/>
      <c r="CF24" s="1590"/>
      <c r="CG24" s="1590"/>
      <c r="CH24" s="1590"/>
      <c r="CI24" s="1590"/>
      <c r="CJ24" s="1591"/>
      <c r="CK24" s="1589"/>
      <c r="CL24" s="1590"/>
      <c r="CM24" s="1590"/>
      <c r="CN24" s="1590"/>
      <c r="CO24" s="1590"/>
      <c r="CP24" s="1590"/>
      <c r="CQ24" s="1590"/>
      <c r="CR24" s="1590"/>
      <c r="CS24" s="1590"/>
      <c r="CT24" s="1590"/>
      <c r="CU24" s="1591"/>
      <c r="CV24" s="1589"/>
      <c r="CW24" s="1590"/>
      <c r="CX24" s="1590"/>
      <c r="CY24" s="1590"/>
      <c r="CZ24" s="1590"/>
      <c r="DA24" s="1590"/>
      <c r="DB24" s="1590"/>
      <c r="DC24" s="1590"/>
      <c r="DD24" s="1590"/>
      <c r="DE24" s="1591"/>
      <c r="DF24" s="1589">
        <f t="shared" si="1"/>
        <v>177940.62</v>
      </c>
      <c r="DG24" s="1590"/>
      <c r="DH24" s="1590"/>
      <c r="DI24" s="1590"/>
      <c r="DJ24" s="1590"/>
      <c r="DK24" s="1590"/>
      <c r="DL24" s="1590"/>
      <c r="DM24" s="1590"/>
      <c r="DN24" s="1590"/>
      <c r="DO24" s="1590"/>
      <c r="DP24" s="1590"/>
      <c r="DQ24" s="1590"/>
      <c r="DR24" s="1590"/>
      <c r="DS24" s="1591"/>
      <c r="DT24" s="475">
        <f>'расч  ФОТ обл до с 01.01.-30.06'!W14</f>
        <v>177940.62</v>
      </c>
      <c r="DU24" s="475"/>
      <c r="DV24" s="476"/>
      <c r="DW24" s="475"/>
      <c r="DX24" s="475"/>
      <c r="DY24" s="475"/>
    </row>
    <row r="25" spans="1:129" s="477" customFormat="1" ht="37.5" customHeight="1" x14ac:dyDescent="0.25">
      <c r="A25" s="1592">
        <v>10</v>
      </c>
      <c r="B25" s="1593"/>
      <c r="C25" s="1593"/>
      <c r="D25" s="1594"/>
      <c r="E25" s="1595" t="s">
        <v>828</v>
      </c>
      <c r="F25" s="1596"/>
      <c r="G25" s="1596"/>
      <c r="H25" s="1596"/>
      <c r="I25" s="1596"/>
      <c r="J25" s="1596"/>
      <c r="K25" s="1596"/>
      <c r="L25" s="1596"/>
      <c r="M25" s="1596"/>
      <c r="N25" s="1596"/>
      <c r="O25" s="1596"/>
      <c r="P25" s="1596"/>
      <c r="Q25" s="1596"/>
      <c r="R25" s="1596"/>
      <c r="S25" s="1596"/>
      <c r="T25" s="1597"/>
      <c r="U25" s="1601">
        <f>'расч  ФОТ обл до с 01.01.-30.06'!C15</f>
        <v>8.0500000000000007</v>
      </c>
      <c r="V25" s="1602"/>
      <c r="W25" s="1602"/>
      <c r="X25" s="1602"/>
      <c r="Y25" s="1602"/>
      <c r="Z25" s="1602"/>
      <c r="AA25" s="1602"/>
      <c r="AB25" s="1602"/>
      <c r="AC25" s="1602"/>
      <c r="AD25" s="1602"/>
      <c r="AE25" s="1602"/>
      <c r="AF25" s="1603"/>
      <c r="AG25" s="1601">
        <f t="shared" si="0"/>
        <v>170611.05920000002</v>
      </c>
      <c r="AH25" s="1602"/>
      <c r="AI25" s="1602"/>
      <c r="AJ25" s="1602"/>
      <c r="AK25" s="1602"/>
      <c r="AL25" s="1602"/>
      <c r="AM25" s="1602"/>
      <c r="AN25" s="1602"/>
      <c r="AO25" s="1602"/>
      <c r="AP25" s="1602"/>
      <c r="AQ25" s="1602"/>
      <c r="AR25" s="1602"/>
      <c r="AS25" s="1602"/>
      <c r="AT25" s="1603"/>
      <c r="AU25" s="1601">
        <f>'расч  ФОТ обл до с 01.01.-30.06'!L15</f>
        <v>133289.89000000001</v>
      </c>
      <c r="AV25" s="1602"/>
      <c r="AW25" s="1602"/>
      <c r="AX25" s="1602"/>
      <c r="AY25" s="1602"/>
      <c r="AZ25" s="1602"/>
      <c r="BA25" s="1602"/>
      <c r="BB25" s="1602"/>
      <c r="BC25" s="1602"/>
      <c r="BD25" s="1602"/>
      <c r="BE25" s="1602"/>
      <c r="BF25" s="1602"/>
      <c r="BG25" s="1602"/>
      <c r="BH25" s="1603"/>
      <c r="BI25" s="1601">
        <f>'расч  ФОТ обл до с 01.01.-30.06'!R15</f>
        <v>5331.5956000000006</v>
      </c>
      <c r="BJ25" s="1602"/>
      <c r="BK25" s="1602"/>
      <c r="BL25" s="1602"/>
      <c r="BM25" s="1602"/>
      <c r="BN25" s="1602"/>
      <c r="BO25" s="1602"/>
      <c r="BP25" s="1602"/>
      <c r="BQ25" s="1602"/>
      <c r="BR25" s="1602"/>
      <c r="BS25" s="1602"/>
      <c r="BT25" s="1602"/>
      <c r="BU25" s="1602"/>
      <c r="BV25" s="1603"/>
      <c r="BW25" s="1589">
        <f>'расч  ФОТ обл до с 01.01.-30.06'!T15</f>
        <v>31989.573600000003</v>
      </c>
      <c r="BX25" s="1590"/>
      <c r="BY25" s="1590"/>
      <c r="BZ25" s="1590"/>
      <c r="CA25" s="1590"/>
      <c r="CB25" s="1590"/>
      <c r="CC25" s="1590"/>
      <c r="CD25" s="1590"/>
      <c r="CE25" s="1590"/>
      <c r="CF25" s="1590"/>
      <c r="CG25" s="1590"/>
      <c r="CH25" s="1590"/>
      <c r="CI25" s="1590"/>
      <c r="CJ25" s="1591"/>
      <c r="CK25" s="1589"/>
      <c r="CL25" s="1590"/>
      <c r="CM25" s="1590"/>
      <c r="CN25" s="1590"/>
      <c r="CO25" s="1590"/>
      <c r="CP25" s="1590"/>
      <c r="CQ25" s="1590"/>
      <c r="CR25" s="1590"/>
      <c r="CS25" s="1590"/>
      <c r="CT25" s="1590"/>
      <c r="CU25" s="1591"/>
      <c r="CV25" s="1589"/>
      <c r="CW25" s="1590"/>
      <c r="CX25" s="1590"/>
      <c r="CY25" s="1590"/>
      <c r="CZ25" s="1590"/>
      <c r="DA25" s="1590"/>
      <c r="DB25" s="1590"/>
      <c r="DC25" s="1590"/>
      <c r="DD25" s="1590"/>
      <c r="DE25" s="1591"/>
      <c r="DF25" s="1589">
        <f t="shared" si="1"/>
        <v>1023666.3552000001</v>
      </c>
      <c r="DG25" s="1590"/>
      <c r="DH25" s="1590"/>
      <c r="DI25" s="1590"/>
      <c r="DJ25" s="1590"/>
      <c r="DK25" s="1590"/>
      <c r="DL25" s="1590"/>
      <c r="DM25" s="1590"/>
      <c r="DN25" s="1590"/>
      <c r="DO25" s="1590"/>
      <c r="DP25" s="1590"/>
      <c r="DQ25" s="1590"/>
      <c r="DR25" s="1590"/>
      <c r="DS25" s="1591"/>
      <c r="DT25" s="475">
        <f>'расч  ФОТ обл до с 01.01.-30.06'!W15</f>
        <v>1023666.3552000001</v>
      </c>
      <c r="DU25" s="475"/>
      <c r="DV25" s="476"/>
      <c r="DW25" s="475"/>
      <c r="DX25" s="475"/>
      <c r="DY25" s="475"/>
    </row>
    <row r="26" spans="1:129" s="477" customFormat="1" ht="37.5" customHeight="1" x14ac:dyDescent="0.25">
      <c r="A26" s="1592">
        <v>11</v>
      </c>
      <c r="B26" s="1593"/>
      <c r="C26" s="1593"/>
      <c r="D26" s="1594"/>
      <c r="E26" s="1595" t="s">
        <v>1273</v>
      </c>
      <c r="F26" s="1596"/>
      <c r="G26" s="1596"/>
      <c r="H26" s="1596"/>
      <c r="I26" s="1596"/>
      <c r="J26" s="1596"/>
      <c r="K26" s="1596"/>
      <c r="L26" s="1596"/>
      <c r="M26" s="1596"/>
      <c r="N26" s="1596"/>
      <c r="O26" s="1596"/>
      <c r="P26" s="1596"/>
      <c r="Q26" s="1596"/>
      <c r="R26" s="1596"/>
      <c r="S26" s="1596"/>
      <c r="T26" s="1597"/>
      <c r="U26" s="1601">
        <f>'расч  ФОТ обл до с 01.01.-30.06'!C16</f>
        <v>1.2</v>
      </c>
      <c r="V26" s="1602"/>
      <c r="W26" s="1602"/>
      <c r="X26" s="1602"/>
      <c r="Y26" s="1602"/>
      <c r="Z26" s="1602"/>
      <c r="AA26" s="1602"/>
      <c r="AB26" s="1602"/>
      <c r="AC26" s="1602"/>
      <c r="AD26" s="1602"/>
      <c r="AE26" s="1602"/>
      <c r="AF26" s="1603"/>
      <c r="AG26" s="1601">
        <f t="shared" si="0"/>
        <v>19162.835999999999</v>
      </c>
      <c r="AH26" s="1602"/>
      <c r="AI26" s="1602"/>
      <c r="AJ26" s="1602"/>
      <c r="AK26" s="1602"/>
      <c r="AL26" s="1602"/>
      <c r="AM26" s="1602"/>
      <c r="AN26" s="1602"/>
      <c r="AO26" s="1602"/>
      <c r="AP26" s="1602"/>
      <c r="AQ26" s="1602"/>
      <c r="AR26" s="1602"/>
      <c r="AS26" s="1602"/>
      <c r="AT26" s="1603"/>
      <c r="AU26" s="1601">
        <f>'расч  ФОТ обл до с 01.01.-30.06'!L16</f>
        <v>15453.9</v>
      </c>
      <c r="AV26" s="1602"/>
      <c r="AW26" s="1602"/>
      <c r="AX26" s="1602"/>
      <c r="AY26" s="1602"/>
      <c r="AZ26" s="1602"/>
      <c r="BA26" s="1602"/>
      <c r="BB26" s="1602"/>
      <c r="BC26" s="1602"/>
      <c r="BD26" s="1602"/>
      <c r="BE26" s="1602"/>
      <c r="BF26" s="1602"/>
      <c r="BG26" s="1602"/>
      <c r="BH26" s="1603"/>
      <c r="BI26" s="1601">
        <f>'расч  ФОТ обл до с 01.01.-30.06'!R16</f>
        <v>0</v>
      </c>
      <c r="BJ26" s="1602"/>
      <c r="BK26" s="1602"/>
      <c r="BL26" s="1602"/>
      <c r="BM26" s="1602"/>
      <c r="BN26" s="1602"/>
      <c r="BO26" s="1602"/>
      <c r="BP26" s="1602"/>
      <c r="BQ26" s="1602"/>
      <c r="BR26" s="1602"/>
      <c r="BS26" s="1602"/>
      <c r="BT26" s="1602"/>
      <c r="BU26" s="1602"/>
      <c r="BV26" s="1603"/>
      <c r="BW26" s="1589">
        <f>'расч  ФОТ обл до с 01.01.-30.06'!T16</f>
        <v>3708.9359999999997</v>
      </c>
      <c r="BX26" s="1590"/>
      <c r="BY26" s="1590"/>
      <c r="BZ26" s="1590"/>
      <c r="CA26" s="1590"/>
      <c r="CB26" s="1590"/>
      <c r="CC26" s="1590"/>
      <c r="CD26" s="1590"/>
      <c r="CE26" s="1590"/>
      <c r="CF26" s="1590"/>
      <c r="CG26" s="1590"/>
      <c r="CH26" s="1590"/>
      <c r="CI26" s="1590"/>
      <c r="CJ26" s="1591"/>
      <c r="CK26" s="1589"/>
      <c r="CL26" s="1590"/>
      <c r="CM26" s="1590"/>
      <c r="CN26" s="1590"/>
      <c r="CO26" s="1590"/>
      <c r="CP26" s="1590"/>
      <c r="CQ26" s="1590"/>
      <c r="CR26" s="1590"/>
      <c r="CS26" s="1590"/>
      <c r="CT26" s="1590"/>
      <c r="CU26" s="1591"/>
      <c r="CV26" s="1589"/>
      <c r="CW26" s="1590"/>
      <c r="CX26" s="1590"/>
      <c r="CY26" s="1590"/>
      <c r="CZ26" s="1590"/>
      <c r="DA26" s="1590"/>
      <c r="DB26" s="1590"/>
      <c r="DC26" s="1590"/>
      <c r="DD26" s="1590"/>
      <c r="DE26" s="1591"/>
      <c r="DF26" s="1589">
        <f t="shared" si="1"/>
        <v>114977.016</v>
      </c>
      <c r="DG26" s="1590"/>
      <c r="DH26" s="1590"/>
      <c r="DI26" s="1590"/>
      <c r="DJ26" s="1590"/>
      <c r="DK26" s="1590"/>
      <c r="DL26" s="1590"/>
      <c r="DM26" s="1590"/>
      <c r="DN26" s="1590"/>
      <c r="DO26" s="1590"/>
      <c r="DP26" s="1590"/>
      <c r="DQ26" s="1590"/>
      <c r="DR26" s="1590"/>
      <c r="DS26" s="1591"/>
      <c r="DT26" s="475">
        <f>'расч  ФОТ обл до с 01.01.-30.06'!W16</f>
        <v>114977.016</v>
      </c>
      <c r="DU26" s="475"/>
      <c r="DV26" s="476"/>
      <c r="DW26" s="475"/>
      <c r="DX26" s="475"/>
      <c r="DY26" s="475"/>
    </row>
    <row r="27" spans="1:129" s="477" customFormat="1" ht="37.5" customHeight="1" x14ac:dyDescent="0.25">
      <c r="A27" s="1592">
        <v>12</v>
      </c>
      <c r="B27" s="1593"/>
      <c r="C27" s="1593"/>
      <c r="D27" s="1594"/>
      <c r="E27" s="1595" t="s">
        <v>839</v>
      </c>
      <c r="F27" s="1596"/>
      <c r="G27" s="1596"/>
      <c r="H27" s="1596"/>
      <c r="I27" s="1596"/>
      <c r="J27" s="1596"/>
      <c r="K27" s="1596"/>
      <c r="L27" s="1596"/>
      <c r="M27" s="1596"/>
      <c r="N27" s="1596"/>
      <c r="O27" s="1596"/>
      <c r="P27" s="1596"/>
      <c r="Q27" s="1596"/>
      <c r="R27" s="1596"/>
      <c r="S27" s="1596"/>
      <c r="T27" s="1597"/>
      <c r="U27" s="1601">
        <f>'расч  ФОТ обл до с 01.01.-30.06'!C17</f>
        <v>1.5</v>
      </c>
      <c r="V27" s="1602"/>
      <c r="W27" s="1602"/>
      <c r="X27" s="1602"/>
      <c r="Y27" s="1602"/>
      <c r="Z27" s="1602"/>
      <c r="AA27" s="1602"/>
      <c r="AB27" s="1602"/>
      <c r="AC27" s="1602"/>
      <c r="AD27" s="1602"/>
      <c r="AE27" s="1602"/>
      <c r="AF27" s="1603"/>
      <c r="AG27" s="1601">
        <f t="shared" si="0"/>
        <v>35360.001199999999</v>
      </c>
      <c r="AH27" s="1602"/>
      <c r="AI27" s="1602"/>
      <c r="AJ27" s="1602"/>
      <c r="AK27" s="1602"/>
      <c r="AL27" s="1602"/>
      <c r="AM27" s="1602"/>
      <c r="AN27" s="1602"/>
      <c r="AO27" s="1602"/>
      <c r="AP27" s="1602"/>
      <c r="AQ27" s="1602"/>
      <c r="AR27" s="1602"/>
      <c r="AS27" s="1602"/>
      <c r="AT27" s="1603"/>
      <c r="AU27" s="1601">
        <f>'расч  ФОТ обл до с 01.01.-30.06'!L17</f>
        <v>28516.13</v>
      </c>
      <c r="AV27" s="1602"/>
      <c r="AW27" s="1602"/>
      <c r="AX27" s="1602"/>
      <c r="AY27" s="1602"/>
      <c r="AZ27" s="1602"/>
      <c r="BA27" s="1602"/>
      <c r="BB27" s="1602"/>
      <c r="BC27" s="1602"/>
      <c r="BD27" s="1602"/>
      <c r="BE27" s="1602"/>
      <c r="BF27" s="1602"/>
      <c r="BG27" s="1602"/>
      <c r="BH27" s="1603"/>
      <c r="BI27" s="1601">
        <f>'расч  ФОТ обл до с 01.01.-30.06'!R17</f>
        <v>0</v>
      </c>
      <c r="BJ27" s="1602"/>
      <c r="BK27" s="1602"/>
      <c r="BL27" s="1602"/>
      <c r="BM27" s="1602"/>
      <c r="BN27" s="1602"/>
      <c r="BO27" s="1602"/>
      <c r="BP27" s="1602"/>
      <c r="BQ27" s="1602"/>
      <c r="BR27" s="1602"/>
      <c r="BS27" s="1602"/>
      <c r="BT27" s="1602"/>
      <c r="BU27" s="1602"/>
      <c r="BV27" s="1603"/>
      <c r="BW27" s="1589">
        <f>'расч  ФОТ обл до с 01.01.-30.06'!T17</f>
        <v>6843.8711999999996</v>
      </c>
      <c r="BX27" s="1590"/>
      <c r="BY27" s="1590"/>
      <c r="BZ27" s="1590"/>
      <c r="CA27" s="1590"/>
      <c r="CB27" s="1590"/>
      <c r="CC27" s="1590"/>
      <c r="CD27" s="1590"/>
      <c r="CE27" s="1590"/>
      <c r="CF27" s="1590"/>
      <c r="CG27" s="1590"/>
      <c r="CH27" s="1590"/>
      <c r="CI27" s="1590"/>
      <c r="CJ27" s="1591"/>
      <c r="CK27" s="1589"/>
      <c r="CL27" s="1590"/>
      <c r="CM27" s="1590"/>
      <c r="CN27" s="1590"/>
      <c r="CO27" s="1590"/>
      <c r="CP27" s="1590"/>
      <c r="CQ27" s="1590"/>
      <c r="CR27" s="1590"/>
      <c r="CS27" s="1590"/>
      <c r="CT27" s="1590"/>
      <c r="CU27" s="1591"/>
      <c r="CV27" s="1589"/>
      <c r="CW27" s="1590"/>
      <c r="CX27" s="1590"/>
      <c r="CY27" s="1590"/>
      <c r="CZ27" s="1590"/>
      <c r="DA27" s="1590"/>
      <c r="DB27" s="1590"/>
      <c r="DC27" s="1590"/>
      <c r="DD27" s="1590"/>
      <c r="DE27" s="1591"/>
      <c r="DF27" s="1589">
        <f t="shared" si="1"/>
        <v>212160.00719999999</v>
      </c>
      <c r="DG27" s="1590"/>
      <c r="DH27" s="1590"/>
      <c r="DI27" s="1590"/>
      <c r="DJ27" s="1590"/>
      <c r="DK27" s="1590"/>
      <c r="DL27" s="1590"/>
      <c r="DM27" s="1590"/>
      <c r="DN27" s="1590"/>
      <c r="DO27" s="1590"/>
      <c r="DP27" s="1590"/>
      <c r="DQ27" s="1590"/>
      <c r="DR27" s="1590"/>
      <c r="DS27" s="1591"/>
      <c r="DT27" s="475">
        <f>'расч  ФОТ обл до с 01.01.-30.06'!W17</f>
        <v>212160.00719999999</v>
      </c>
      <c r="DU27" s="475"/>
      <c r="DV27" s="476"/>
      <c r="DW27" s="475"/>
      <c r="DX27" s="475"/>
      <c r="DY27" s="475"/>
    </row>
    <row r="28" spans="1:129" s="477" customFormat="1" ht="37.5" customHeight="1" x14ac:dyDescent="0.25">
      <c r="A28" s="1592">
        <v>13</v>
      </c>
      <c r="B28" s="1593"/>
      <c r="C28" s="1593"/>
      <c r="D28" s="1594"/>
      <c r="E28" s="1595" t="s">
        <v>830</v>
      </c>
      <c r="F28" s="1596"/>
      <c r="G28" s="1596"/>
      <c r="H28" s="1596"/>
      <c r="I28" s="1596"/>
      <c r="J28" s="1596"/>
      <c r="K28" s="1596"/>
      <c r="L28" s="1596"/>
      <c r="M28" s="1596"/>
      <c r="N28" s="1596"/>
      <c r="O28" s="1596"/>
      <c r="P28" s="1596"/>
      <c r="Q28" s="1596"/>
      <c r="R28" s="1596"/>
      <c r="S28" s="1596"/>
      <c r="T28" s="1597"/>
      <c r="U28" s="1601">
        <f>'расч  ФОТ обл до с 01.01.-30.06'!C18</f>
        <v>2</v>
      </c>
      <c r="V28" s="1602"/>
      <c r="W28" s="1602"/>
      <c r="X28" s="1602"/>
      <c r="Y28" s="1602"/>
      <c r="Z28" s="1602"/>
      <c r="AA28" s="1602"/>
      <c r="AB28" s="1602"/>
      <c r="AC28" s="1602"/>
      <c r="AD28" s="1602"/>
      <c r="AE28" s="1602"/>
      <c r="AF28" s="1603"/>
      <c r="AG28" s="1601">
        <f t="shared" si="0"/>
        <v>40250.002800000002</v>
      </c>
      <c r="AH28" s="1602"/>
      <c r="AI28" s="1602"/>
      <c r="AJ28" s="1602"/>
      <c r="AK28" s="1602"/>
      <c r="AL28" s="1602"/>
      <c r="AM28" s="1602"/>
      <c r="AN28" s="1602"/>
      <c r="AO28" s="1602"/>
      <c r="AP28" s="1602"/>
      <c r="AQ28" s="1602"/>
      <c r="AR28" s="1602"/>
      <c r="AS28" s="1602"/>
      <c r="AT28" s="1603"/>
      <c r="AU28" s="1601">
        <f>'расч  ФОТ обл до с 01.01.-30.06'!L18</f>
        <v>26786.760000000002</v>
      </c>
      <c r="AV28" s="1602"/>
      <c r="AW28" s="1602"/>
      <c r="AX28" s="1602"/>
      <c r="AY28" s="1602"/>
      <c r="AZ28" s="1602"/>
      <c r="BA28" s="1602"/>
      <c r="BB28" s="1602"/>
      <c r="BC28" s="1602"/>
      <c r="BD28" s="1602"/>
      <c r="BE28" s="1602"/>
      <c r="BF28" s="1602"/>
      <c r="BG28" s="1602"/>
      <c r="BH28" s="1603"/>
      <c r="BI28" s="1601">
        <f>'расч  ФОТ обл до с 01.01.-30.06'!R18</f>
        <v>1071.4704000000002</v>
      </c>
      <c r="BJ28" s="1602"/>
      <c r="BK28" s="1602"/>
      <c r="BL28" s="1602"/>
      <c r="BM28" s="1602"/>
      <c r="BN28" s="1602"/>
      <c r="BO28" s="1602"/>
      <c r="BP28" s="1602"/>
      <c r="BQ28" s="1602"/>
      <c r="BR28" s="1602"/>
      <c r="BS28" s="1602"/>
      <c r="BT28" s="1602"/>
      <c r="BU28" s="1602"/>
      <c r="BV28" s="1603"/>
      <c r="BW28" s="1589">
        <f>'расч  ФОТ обл до с 01.01.-30.06'!T18</f>
        <v>12391.7724</v>
      </c>
      <c r="BX28" s="1590"/>
      <c r="BY28" s="1590"/>
      <c r="BZ28" s="1590"/>
      <c r="CA28" s="1590"/>
      <c r="CB28" s="1590"/>
      <c r="CC28" s="1590"/>
      <c r="CD28" s="1590"/>
      <c r="CE28" s="1590"/>
      <c r="CF28" s="1590"/>
      <c r="CG28" s="1590"/>
      <c r="CH28" s="1590"/>
      <c r="CI28" s="1590"/>
      <c r="CJ28" s="1591"/>
      <c r="CK28" s="1589"/>
      <c r="CL28" s="1590"/>
      <c r="CM28" s="1590"/>
      <c r="CN28" s="1590"/>
      <c r="CO28" s="1590"/>
      <c r="CP28" s="1590"/>
      <c r="CQ28" s="1590"/>
      <c r="CR28" s="1590"/>
      <c r="CS28" s="1590"/>
      <c r="CT28" s="1590"/>
      <c r="CU28" s="1591"/>
      <c r="CV28" s="1589"/>
      <c r="CW28" s="1590"/>
      <c r="CX28" s="1590"/>
      <c r="CY28" s="1590"/>
      <c r="CZ28" s="1590"/>
      <c r="DA28" s="1590"/>
      <c r="DB28" s="1590"/>
      <c r="DC28" s="1590"/>
      <c r="DD28" s="1590"/>
      <c r="DE28" s="1591"/>
      <c r="DF28" s="1589">
        <f t="shared" si="1"/>
        <v>241500.01680000001</v>
      </c>
      <c r="DG28" s="1590"/>
      <c r="DH28" s="1590"/>
      <c r="DI28" s="1590"/>
      <c r="DJ28" s="1590"/>
      <c r="DK28" s="1590"/>
      <c r="DL28" s="1590"/>
      <c r="DM28" s="1590"/>
      <c r="DN28" s="1590"/>
      <c r="DO28" s="1590"/>
      <c r="DP28" s="1590"/>
      <c r="DQ28" s="1590"/>
      <c r="DR28" s="1590"/>
      <c r="DS28" s="1591"/>
      <c r="DT28" s="475">
        <f>'расч  ФОТ обл до с 01.01.-30.06'!W18</f>
        <v>241500.01680000001</v>
      </c>
      <c r="DU28" s="475"/>
      <c r="DV28" s="476"/>
      <c r="DW28" s="475"/>
      <c r="DX28" s="475"/>
      <c r="DY28" s="475"/>
    </row>
    <row r="29" spans="1:129" s="477" customFormat="1" ht="37.5" customHeight="1" x14ac:dyDescent="0.25">
      <c r="A29" s="1592">
        <v>14</v>
      </c>
      <c r="B29" s="1593"/>
      <c r="C29" s="1593"/>
      <c r="D29" s="1594"/>
      <c r="E29" s="1595" t="s">
        <v>97</v>
      </c>
      <c r="F29" s="1596"/>
      <c r="G29" s="1596"/>
      <c r="H29" s="1596"/>
      <c r="I29" s="1596"/>
      <c r="J29" s="1596"/>
      <c r="K29" s="1596"/>
      <c r="L29" s="1596"/>
      <c r="M29" s="1596"/>
      <c r="N29" s="1596"/>
      <c r="O29" s="1596"/>
      <c r="P29" s="1596"/>
      <c r="Q29" s="1596"/>
      <c r="R29" s="1596"/>
      <c r="S29" s="1596"/>
      <c r="T29" s="1597"/>
      <c r="U29" s="1598">
        <v>1</v>
      </c>
      <c r="V29" s="1599"/>
      <c r="W29" s="1599"/>
      <c r="X29" s="1599"/>
      <c r="Y29" s="1599"/>
      <c r="Z29" s="1599"/>
      <c r="AA29" s="1599"/>
      <c r="AB29" s="1599"/>
      <c r="AC29" s="1599"/>
      <c r="AD29" s="1599"/>
      <c r="AE29" s="1599"/>
      <c r="AF29" s="1600"/>
      <c r="AG29" s="1601">
        <f t="shared" ref="AG29:AG35" si="2">AU29+BI29+BW29</f>
        <v>38561.159999999996</v>
      </c>
      <c r="AH29" s="1602"/>
      <c r="AI29" s="1602"/>
      <c r="AJ29" s="1602"/>
      <c r="AK29" s="1602"/>
      <c r="AL29" s="1602"/>
      <c r="AM29" s="1602"/>
      <c r="AN29" s="1602"/>
      <c r="AO29" s="1602"/>
      <c r="AP29" s="1602"/>
      <c r="AQ29" s="1602"/>
      <c r="AR29" s="1602"/>
      <c r="AS29" s="1602"/>
      <c r="AT29" s="1603"/>
      <c r="AU29" s="1601">
        <f>'расч ФОТмест с 01.01-30.06'!L6</f>
        <v>29436</v>
      </c>
      <c r="AV29" s="1602"/>
      <c r="AW29" s="1602"/>
      <c r="AX29" s="1602"/>
      <c r="AY29" s="1602"/>
      <c r="AZ29" s="1602"/>
      <c r="BA29" s="1602"/>
      <c r="BB29" s="1602"/>
      <c r="BC29" s="1602"/>
      <c r="BD29" s="1602"/>
      <c r="BE29" s="1602"/>
      <c r="BF29" s="1602"/>
      <c r="BG29" s="1602"/>
      <c r="BH29" s="1603"/>
      <c r="BI29" s="1601">
        <f>'расч ФОТмест с 01.01-30.06'!R6</f>
        <v>1177.44</v>
      </c>
      <c r="BJ29" s="1602"/>
      <c r="BK29" s="1602"/>
      <c r="BL29" s="1602"/>
      <c r="BM29" s="1602"/>
      <c r="BN29" s="1602"/>
      <c r="BO29" s="1602"/>
      <c r="BP29" s="1602"/>
      <c r="BQ29" s="1602"/>
      <c r="BR29" s="1602"/>
      <c r="BS29" s="1602"/>
      <c r="BT29" s="1602"/>
      <c r="BU29" s="1602"/>
      <c r="BV29" s="1603"/>
      <c r="BW29" s="1589">
        <f>'расч ФОТмест с 01.01-30.06'!T6</f>
        <v>7947.72</v>
      </c>
      <c r="BX29" s="1590"/>
      <c r="BY29" s="1590"/>
      <c r="BZ29" s="1590"/>
      <c r="CA29" s="1590"/>
      <c r="CB29" s="1590"/>
      <c r="CC29" s="1590"/>
      <c r="CD29" s="1590"/>
      <c r="CE29" s="1590"/>
      <c r="CF29" s="1590"/>
      <c r="CG29" s="1590"/>
      <c r="CH29" s="1590"/>
      <c r="CI29" s="1590"/>
      <c r="CJ29" s="1591"/>
      <c r="CK29" s="1589"/>
      <c r="CL29" s="1590"/>
      <c r="CM29" s="1590"/>
      <c r="CN29" s="1590"/>
      <c r="CO29" s="1590"/>
      <c r="CP29" s="1590"/>
      <c r="CQ29" s="1590"/>
      <c r="CR29" s="1590"/>
      <c r="CS29" s="1590"/>
      <c r="CT29" s="1590"/>
      <c r="CU29" s="1591"/>
      <c r="CV29" s="1589"/>
      <c r="CW29" s="1590"/>
      <c r="CX29" s="1590"/>
      <c r="CY29" s="1590"/>
      <c r="CZ29" s="1590"/>
      <c r="DA29" s="1590"/>
      <c r="DB29" s="1590"/>
      <c r="DC29" s="1590"/>
      <c r="DD29" s="1590"/>
      <c r="DE29" s="1591"/>
      <c r="DF29" s="1589">
        <f>DU29</f>
        <v>231366.95999999996</v>
      </c>
      <c r="DG29" s="1590"/>
      <c r="DH29" s="1590"/>
      <c r="DI29" s="1590"/>
      <c r="DJ29" s="1590"/>
      <c r="DK29" s="1590"/>
      <c r="DL29" s="1590"/>
      <c r="DM29" s="1590"/>
      <c r="DN29" s="1590"/>
      <c r="DO29" s="1590"/>
      <c r="DP29" s="1590"/>
      <c r="DQ29" s="1590"/>
      <c r="DR29" s="1590"/>
      <c r="DS29" s="1591"/>
      <c r="DT29" s="475"/>
      <c r="DU29" s="475">
        <f>'расч ФОТмест с 01.01-30.06'!V6</f>
        <v>231366.95999999996</v>
      </c>
      <c r="DV29" s="476"/>
      <c r="DW29" s="475"/>
      <c r="DX29" s="475"/>
      <c r="DY29" s="475"/>
    </row>
    <row r="30" spans="1:129" s="477" customFormat="1" ht="37.5" customHeight="1" x14ac:dyDescent="0.25">
      <c r="A30" s="1592">
        <v>15</v>
      </c>
      <c r="B30" s="1593"/>
      <c r="C30" s="1593"/>
      <c r="D30" s="1594"/>
      <c r="E30" s="1595" t="s">
        <v>98</v>
      </c>
      <c r="F30" s="1596"/>
      <c r="G30" s="1596"/>
      <c r="H30" s="1596"/>
      <c r="I30" s="1596"/>
      <c r="J30" s="1596"/>
      <c r="K30" s="1596"/>
      <c r="L30" s="1596"/>
      <c r="M30" s="1596"/>
      <c r="N30" s="1596"/>
      <c r="O30" s="1596"/>
      <c r="P30" s="1596"/>
      <c r="Q30" s="1596"/>
      <c r="R30" s="1596"/>
      <c r="S30" s="1596"/>
      <c r="T30" s="1597"/>
      <c r="U30" s="1598">
        <v>2</v>
      </c>
      <c r="V30" s="1599"/>
      <c r="W30" s="1599"/>
      <c r="X30" s="1599"/>
      <c r="Y30" s="1599"/>
      <c r="Z30" s="1599"/>
      <c r="AA30" s="1599"/>
      <c r="AB30" s="1599"/>
      <c r="AC30" s="1599"/>
      <c r="AD30" s="1599"/>
      <c r="AE30" s="1599"/>
      <c r="AF30" s="1600"/>
      <c r="AG30" s="1601">
        <f t="shared" si="2"/>
        <v>33741.014999999999</v>
      </c>
      <c r="AH30" s="1602"/>
      <c r="AI30" s="1602"/>
      <c r="AJ30" s="1602"/>
      <c r="AK30" s="1602"/>
      <c r="AL30" s="1602"/>
      <c r="AM30" s="1602"/>
      <c r="AN30" s="1602"/>
      <c r="AO30" s="1602"/>
      <c r="AP30" s="1602"/>
      <c r="AQ30" s="1602"/>
      <c r="AR30" s="1602"/>
      <c r="AS30" s="1602"/>
      <c r="AT30" s="1603"/>
      <c r="AU30" s="1601">
        <f>'расч ФОТмест с 01.01-30.06'!L7</f>
        <v>25756.5</v>
      </c>
      <c r="AV30" s="1602"/>
      <c r="AW30" s="1602"/>
      <c r="AX30" s="1602"/>
      <c r="AY30" s="1602"/>
      <c r="AZ30" s="1602"/>
      <c r="BA30" s="1602"/>
      <c r="BB30" s="1602"/>
      <c r="BC30" s="1602"/>
      <c r="BD30" s="1602"/>
      <c r="BE30" s="1602"/>
      <c r="BF30" s="1602"/>
      <c r="BG30" s="1602"/>
      <c r="BH30" s="1603"/>
      <c r="BI30" s="1601">
        <f>'расч ФОТмест с 01.01-30.06'!R7</f>
        <v>1030.26</v>
      </c>
      <c r="BJ30" s="1602"/>
      <c r="BK30" s="1602"/>
      <c r="BL30" s="1602"/>
      <c r="BM30" s="1602"/>
      <c r="BN30" s="1602"/>
      <c r="BO30" s="1602"/>
      <c r="BP30" s="1602"/>
      <c r="BQ30" s="1602"/>
      <c r="BR30" s="1602"/>
      <c r="BS30" s="1602"/>
      <c r="BT30" s="1602"/>
      <c r="BU30" s="1602"/>
      <c r="BV30" s="1603"/>
      <c r="BW30" s="1589">
        <f>'расч ФОТмест с 01.01-30.06'!T7</f>
        <v>6954.2550000000001</v>
      </c>
      <c r="BX30" s="1590"/>
      <c r="BY30" s="1590"/>
      <c r="BZ30" s="1590"/>
      <c r="CA30" s="1590"/>
      <c r="CB30" s="1590"/>
      <c r="CC30" s="1590"/>
      <c r="CD30" s="1590"/>
      <c r="CE30" s="1590"/>
      <c r="CF30" s="1590"/>
      <c r="CG30" s="1590"/>
      <c r="CH30" s="1590"/>
      <c r="CI30" s="1590"/>
      <c r="CJ30" s="1591"/>
      <c r="CK30" s="1589"/>
      <c r="CL30" s="1590"/>
      <c r="CM30" s="1590"/>
      <c r="CN30" s="1590"/>
      <c r="CO30" s="1590"/>
      <c r="CP30" s="1590"/>
      <c r="CQ30" s="1590"/>
      <c r="CR30" s="1590"/>
      <c r="CS30" s="1590"/>
      <c r="CT30" s="1590"/>
      <c r="CU30" s="1591"/>
      <c r="CV30" s="1589"/>
      <c r="CW30" s="1590"/>
      <c r="CX30" s="1590"/>
      <c r="CY30" s="1590"/>
      <c r="CZ30" s="1590"/>
      <c r="DA30" s="1590"/>
      <c r="DB30" s="1590"/>
      <c r="DC30" s="1590"/>
      <c r="DD30" s="1590"/>
      <c r="DE30" s="1591"/>
      <c r="DF30" s="1589">
        <f t="shared" ref="DF30:DF35" si="3">DU30</f>
        <v>202446.09</v>
      </c>
      <c r="DG30" s="1590"/>
      <c r="DH30" s="1590"/>
      <c r="DI30" s="1590"/>
      <c r="DJ30" s="1590"/>
      <c r="DK30" s="1590"/>
      <c r="DL30" s="1590"/>
      <c r="DM30" s="1590"/>
      <c r="DN30" s="1590"/>
      <c r="DO30" s="1590"/>
      <c r="DP30" s="1590"/>
      <c r="DQ30" s="1590"/>
      <c r="DR30" s="1590"/>
      <c r="DS30" s="1591"/>
      <c r="DT30" s="475"/>
      <c r="DU30" s="475">
        <f>'расч ФОТмест с 01.01-30.06'!V7</f>
        <v>202446.09</v>
      </c>
      <c r="DV30" s="476"/>
      <c r="DW30" s="475"/>
      <c r="DX30" s="475"/>
      <c r="DY30" s="475"/>
    </row>
    <row r="31" spans="1:129" s="477" customFormat="1" ht="37.5" customHeight="1" x14ac:dyDescent="0.25">
      <c r="A31" s="1592">
        <v>16</v>
      </c>
      <c r="B31" s="1593"/>
      <c r="C31" s="1593"/>
      <c r="D31" s="1594"/>
      <c r="E31" s="1595" t="s">
        <v>1272</v>
      </c>
      <c r="F31" s="1596"/>
      <c r="G31" s="1596"/>
      <c r="H31" s="1596"/>
      <c r="I31" s="1596"/>
      <c r="J31" s="1596"/>
      <c r="K31" s="1596"/>
      <c r="L31" s="1596"/>
      <c r="M31" s="1596"/>
      <c r="N31" s="1596"/>
      <c r="O31" s="1596"/>
      <c r="P31" s="1596"/>
      <c r="Q31" s="1596"/>
      <c r="R31" s="1596"/>
      <c r="S31" s="1596"/>
      <c r="T31" s="1597"/>
      <c r="U31" s="1598">
        <v>1</v>
      </c>
      <c r="V31" s="1599"/>
      <c r="W31" s="1599"/>
      <c r="X31" s="1599"/>
      <c r="Y31" s="1599"/>
      <c r="Z31" s="1599"/>
      <c r="AA31" s="1599"/>
      <c r="AB31" s="1599"/>
      <c r="AC31" s="1599"/>
      <c r="AD31" s="1599"/>
      <c r="AE31" s="1599"/>
      <c r="AF31" s="1600"/>
      <c r="AG31" s="1601">
        <f t="shared" si="2"/>
        <v>18691.86</v>
      </c>
      <c r="AH31" s="1602"/>
      <c r="AI31" s="1602"/>
      <c r="AJ31" s="1602"/>
      <c r="AK31" s="1602"/>
      <c r="AL31" s="1602"/>
      <c r="AM31" s="1602"/>
      <c r="AN31" s="1602"/>
      <c r="AO31" s="1602"/>
      <c r="AP31" s="1602"/>
      <c r="AQ31" s="1602"/>
      <c r="AR31" s="1602"/>
      <c r="AS31" s="1602"/>
      <c r="AT31" s="1603"/>
      <c r="AU31" s="1601">
        <f>'расч ФОТмест с 01.01-30.06'!L8</f>
        <v>14718</v>
      </c>
      <c r="AV31" s="1602"/>
      <c r="AW31" s="1602"/>
      <c r="AX31" s="1602"/>
      <c r="AY31" s="1602"/>
      <c r="AZ31" s="1602"/>
      <c r="BA31" s="1602"/>
      <c r="BB31" s="1602"/>
      <c r="BC31" s="1602"/>
      <c r="BD31" s="1602"/>
      <c r="BE31" s="1602"/>
      <c r="BF31" s="1602"/>
      <c r="BG31" s="1602"/>
      <c r="BH31" s="1603"/>
      <c r="BI31" s="1601">
        <f>'расч ФОТмест с 01.01-30.06'!R8</f>
        <v>0</v>
      </c>
      <c r="BJ31" s="1602"/>
      <c r="BK31" s="1602"/>
      <c r="BL31" s="1602"/>
      <c r="BM31" s="1602"/>
      <c r="BN31" s="1602"/>
      <c r="BO31" s="1602"/>
      <c r="BP31" s="1602"/>
      <c r="BQ31" s="1602"/>
      <c r="BR31" s="1602"/>
      <c r="BS31" s="1602"/>
      <c r="BT31" s="1602"/>
      <c r="BU31" s="1602"/>
      <c r="BV31" s="1603"/>
      <c r="BW31" s="1589">
        <f>'расч ФОТмест с 01.01-30.06'!T8</f>
        <v>3973.86</v>
      </c>
      <c r="BX31" s="1590"/>
      <c r="BY31" s="1590"/>
      <c r="BZ31" s="1590"/>
      <c r="CA31" s="1590"/>
      <c r="CB31" s="1590"/>
      <c r="CC31" s="1590"/>
      <c r="CD31" s="1590"/>
      <c r="CE31" s="1590"/>
      <c r="CF31" s="1590"/>
      <c r="CG31" s="1590"/>
      <c r="CH31" s="1590"/>
      <c r="CI31" s="1590"/>
      <c r="CJ31" s="1591"/>
      <c r="CK31" s="1589"/>
      <c r="CL31" s="1590"/>
      <c r="CM31" s="1590"/>
      <c r="CN31" s="1590"/>
      <c r="CO31" s="1590"/>
      <c r="CP31" s="1590"/>
      <c r="CQ31" s="1590"/>
      <c r="CR31" s="1590"/>
      <c r="CS31" s="1590"/>
      <c r="CT31" s="1590"/>
      <c r="CU31" s="1591"/>
      <c r="CV31" s="1589"/>
      <c r="CW31" s="1590"/>
      <c r="CX31" s="1590"/>
      <c r="CY31" s="1590"/>
      <c r="CZ31" s="1590"/>
      <c r="DA31" s="1590"/>
      <c r="DB31" s="1590"/>
      <c r="DC31" s="1590"/>
      <c r="DD31" s="1590"/>
      <c r="DE31" s="1591"/>
      <c r="DF31" s="1589">
        <f t="shared" si="3"/>
        <v>112151.16</v>
      </c>
      <c r="DG31" s="1590"/>
      <c r="DH31" s="1590"/>
      <c r="DI31" s="1590"/>
      <c r="DJ31" s="1590"/>
      <c r="DK31" s="1590"/>
      <c r="DL31" s="1590"/>
      <c r="DM31" s="1590"/>
      <c r="DN31" s="1590"/>
      <c r="DO31" s="1590"/>
      <c r="DP31" s="1590"/>
      <c r="DQ31" s="1590"/>
      <c r="DR31" s="1590"/>
      <c r="DS31" s="1591"/>
      <c r="DT31" s="475"/>
      <c r="DU31" s="475">
        <f>'расч ФОТмест с 01.01-30.06'!V8</f>
        <v>112151.16</v>
      </c>
      <c r="DV31" s="475"/>
      <c r="DW31" s="475"/>
      <c r="DX31" s="475"/>
      <c r="DY31" s="475"/>
    </row>
    <row r="32" spans="1:129" s="477" customFormat="1" ht="37.5" customHeight="1" x14ac:dyDescent="0.25">
      <c r="A32" s="1592">
        <v>17</v>
      </c>
      <c r="B32" s="1593"/>
      <c r="C32" s="1593"/>
      <c r="D32" s="1594"/>
      <c r="E32" s="1595" t="s">
        <v>99</v>
      </c>
      <c r="F32" s="1596"/>
      <c r="G32" s="1596"/>
      <c r="H32" s="1596"/>
      <c r="I32" s="1596"/>
      <c r="J32" s="1596"/>
      <c r="K32" s="1596"/>
      <c r="L32" s="1596"/>
      <c r="M32" s="1596"/>
      <c r="N32" s="1596"/>
      <c r="O32" s="1596"/>
      <c r="P32" s="1596"/>
      <c r="Q32" s="1596"/>
      <c r="R32" s="1596"/>
      <c r="S32" s="1596"/>
      <c r="T32" s="1597"/>
      <c r="U32" s="1598">
        <v>0.5</v>
      </c>
      <c r="V32" s="1599"/>
      <c r="W32" s="1599"/>
      <c r="X32" s="1599"/>
      <c r="Y32" s="1599"/>
      <c r="Z32" s="1599"/>
      <c r="AA32" s="1599"/>
      <c r="AB32" s="1599"/>
      <c r="AC32" s="1599"/>
      <c r="AD32" s="1599"/>
      <c r="AE32" s="1599"/>
      <c r="AF32" s="1600"/>
      <c r="AG32" s="1601">
        <f t="shared" si="2"/>
        <v>8177.6951000000008</v>
      </c>
      <c r="AH32" s="1602"/>
      <c r="AI32" s="1602"/>
      <c r="AJ32" s="1602"/>
      <c r="AK32" s="1602"/>
      <c r="AL32" s="1602"/>
      <c r="AM32" s="1602"/>
      <c r="AN32" s="1602"/>
      <c r="AO32" s="1602"/>
      <c r="AP32" s="1602"/>
      <c r="AQ32" s="1602"/>
      <c r="AR32" s="1602"/>
      <c r="AS32" s="1602"/>
      <c r="AT32" s="1603"/>
      <c r="AU32" s="1601">
        <f>'расч ФОТмест с 01.01-30.06'!L9</f>
        <v>6439.13</v>
      </c>
      <c r="AV32" s="1602"/>
      <c r="AW32" s="1602"/>
      <c r="AX32" s="1602"/>
      <c r="AY32" s="1602"/>
      <c r="AZ32" s="1602"/>
      <c r="BA32" s="1602"/>
      <c r="BB32" s="1602"/>
      <c r="BC32" s="1602"/>
      <c r="BD32" s="1602"/>
      <c r="BE32" s="1602"/>
      <c r="BF32" s="1602"/>
      <c r="BG32" s="1602"/>
      <c r="BH32" s="1603"/>
      <c r="BI32" s="1601">
        <f>'расч ФОТмест с 01.01-30.06'!R9</f>
        <v>0</v>
      </c>
      <c r="BJ32" s="1602"/>
      <c r="BK32" s="1602"/>
      <c r="BL32" s="1602"/>
      <c r="BM32" s="1602"/>
      <c r="BN32" s="1602"/>
      <c r="BO32" s="1602"/>
      <c r="BP32" s="1602"/>
      <c r="BQ32" s="1602"/>
      <c r="BR32" s="1602"/>
      <c r="BS32" s="1602"/>
      <c r="BT32" s="1602"/>
      <c r="BU32" s="1602"/>
      <c r="BV32" s="1603"/>
      <c r="BW32" s="1589">
        <f>'расч ФОТмест с 01.01-30.06'!T9</f>
        <v>1738.5651000000003</v>
      </c>
      <c r="BX32" s="1590"/>
      <c r="BY32" s="1590"/>
      <c r="BZ32" s="1590"/>
      <c r="CA32" s="1590"/>
      <c r="CB32" s="1590"/>
      <c r="CC32" s="1590"/>
      <c r="CD32" s="1590"/>
      <c r="CE32" s="1590"/>
      <c r="CF32" s="1590"/>
      <c r="CG32" s="1590"/>
      <c r="CH32" s="1590"/>
      <c r="CI32" s="1590"/>
      <c r="CJ32" s="1591"/>
      <c r="CK32" s="1589"/>
      <c r="CL32" s="1590"/>
      <c r="CM32" s="1590"/>
      <c r="CN32" s="1590"/>
      <c r="CO32" s="1590"/>
      <c r="CP32" s="1590"/>
      <c r="CQ32" s="1590"/>
      <c r="CR32" s="1590"/>
      <c r="CS32" s="1590"/>
      <c r="CT32" s="1590"/>
      <c r="CU32" s="1591"/>
      <c r="CV32" s="1589"/>
      <c r="CW32" s="1590"/>
      <c r="CX32" s="1590"/>
      <c r="CY32" s="1590"/>
      <c r="CZ32" s="1590"/>
      <c r="DA32" s="1590"/>
      <c r="DB32" s="1590"/>
      <c r="DC32" s="1590"/>
      <c r="DD32" s="1590"/>
      <c r="DE32" s="1591"/>
      <c r="DF32" s="1589">
        <f t="shared" si="3"/>
        <v>49066.170600000005</v>
      </c>
      <c r="DG32" s="1590"/>
      <c r="DH32" s="1590"/>
      <c r="DI32" s="1590"/>
      <c r="DJ32" s="1590"/>
      <c r="DK32" s="1590"/>
      <c r="DL32" s="1590"/>
      <c r="DM32" s="1590"/>
      <c r="DN32" s="1590"/>
      <c r="DO32" s="1590"/>
      <c r="DP32" s="1590"/>
      <c r="DQ32" s="1590"/>
      <c r="DR32" s="1590"/>
      <c r="DS32" s="1591"/>
      <c r="DT32" s="475"/>
      <c r="DU32" s="475">
        <f>'расч ФОТмест с 01.01-30.06'!V9</f>
        <v>49066.170600000005</v>
      </c>
      <c r="DV32" s="475"/>
      <c r="DW32" s="475"/>
      <c r="DX32" s="475"/>
      <c r="DY32" s="475"/>
    </row>
    <row r="33" spans="1:145" s="477" customFormat="1" ht="37.5" customHeight="1" x14ac:dyDescent="0.25">
      <c r="A33" s="1592">
        <v>18</v>
      </c>
      <c r="B33" s="1593"/>
      <c r="C33" s="1593"/>
      <c r="D33" s="1594"/>
      <c r="E33" s="1595" t="s">
        <v>1209</v>
      </c>
      <c r="F33" s="1596"/>
      <c r="G33" s="1596"/>
      <c r="H33" s="1596"/>
      <c r="I33" s="1596"/>
      <c r="J33" s="1596"/>
      <c r="K33" s="1596"/>
      <c r="L33" s="1596"/>
      <c r="M33" s="1596"/>
      <c r="N33" s="1596"/>
      <c r="O33" s="1596"/>
      <c r="P33" s="1596"/>
      <c r="Q33" s="1596"/>
      <c r="R33" s="1596"/>
      <c r="S33" s="1596"/>
      <c r="T33" s="1597"/>
      <c r="U33" s="1598">
        <v>1.5</v>
      </c>
      <c r="V33" s="1599"/>
      <c r="W33" s="1599"/>
      <c r="X33" s="1599"/>
      <c r="Y33" s="1599"/>
      <c r="Z33" s="1599"/>
      <c r="AA33" s="1599"/>
      <c r="AB33" s="1599"/>
      <c r="AC33" s="1599"/>
      <c r="AD33" s="1599"/>
      <c r="AE33" s="1599"/>
      <c r="AF33" s="1600"/>
      <c r="AG33" s="1601">
        <f t="shared" si="2"/>
        <v>24533.0726</v>
      </c>
      <c r="AH33" s="1602"/>
      <c r="AI33" s="1602"/>
      <c r="AJ33" s="1602"/>
      <c r="AK33" s="1602"/>
      <c r="AL33" s="1602"/>
      <c r="AM33" s="1602"/>
      <c r="AN33" s="1602"/>
      <c r="AO33" s="1602"/>
      <c r="AP33" s="1602"/>
      <c r="AQ33" s="1602"/>
      <c r="AR33" s="1602"/>
      <c r="AS33" s="1602"/>
      <c r="AT33" s="1603"/>
      <c r="AU33" s="1601">
        <f>'расч ФОТмест с 01.01-30.06'!L10</f>
        <v>19317.38</v>
      </c>
      <c r="AV33" s="1602"/>
      <c r="AW33" s="1602"/>
      <c r="AX33" s="1602"/>
      <c r="AY33" s="1602"/>
      <c r="AZ33" s="1602"/>
      <c r="BA33" s="1602"/>
      <c r="BB33" s="1602"/>
      <c r="BC33" s="1602"/>
      <c r="BD33" s="1602"/>
      <c r="BE33" s="1602"/>
      <c r="BF33" s="1602"/>
      <c r="BG33" s="1602"/>
      <c r="BH33" s="1603"/>
      <c r="BI33" s="1601">
        <f>'расч ФОТмест с 01.01-30.06'!R10</f>
        <v>0</v>
      </c>
      <c r="BJ33" s="1602"/>
      <c r="BK33" s="1602"/>
      <c r="BL33" s="1602"/>
      <c r="BM33" s="1602"/>
      <c r="BN33" s="1602"/>
      <c r="BO33" s="1602"/>
      <c r="BP33" s="1602"/>
      <c r="BQ33" s="1602"/>
      <c r="BR33" s="1602"/>
      <c r="BS33" s="1602"/>
      <c r="BT33" s="1602"/>
      <c r="BU33" s="1602"/>
      <c r="BV33" s="1603"/>
      <c r="BW33" s="1589">
        <f>'расч ФОТмест с 01.01-30.06'!T10</f>
        <v>5215.6926000000003</v>
      </c>
      <c r="BX33" s="1590"/>
      <c r="BY33" s="1590"/>
      <c r="BZ33" s="1590"/>
      <c r="CA33" s="1590"/>
      <c r="CB33" s="1590"/>
      <c r="CC33" s="1590"/>
      <c r="CD33" s="1590"/>
      <c r="CE33" s="1590"/>
      <c r="CF33" s="1590"/>
      <c r="CG33" s="1590"/>
      <c r="CH33" s="1590"/>
      <c r="CI33" s="1590"/>
      <c r="CJ33" s="1591"/>
      <c r="CK33" s="1589"/>
      <c r="CL33" s="1590"/>
      <c r="CM33" s="1590"/>
      <c r="CN33" s="1590"/>
      <c r="CO33" s="1590"/>
      <c r="CP33" s="1590"/>
      <c r="CQ33" s="1590"/>
      <c r="CR33" s="1590"/>
      <c r="CS33" s="1590"/>
      <c r="CT33" s="1590"/>
      <c r="CU33" s="1591"/>
      <c r="CV33" s="1589"/>
      <c r="CW33" s="1590"/>
      <c r="CX33" s="1590"/>
      <c r="CY33" s="1590"/>
      <c r="CZ33" s="1590"/>
      <c r="DA33" s="1590"/>
      <c r="DB33" s="1590"/>
      <c r="DC33" s="1590"/>
      <c r="DD33" s="1590"/>
      <c r="DE33" s="1591"/>
      <c r="DF33" s="1589">
        <f t="shared" si="3"/>
        <v>147198.4356</v>
      </c>
      <c r="DG33" s="1590"/>
      <c r="DH33" s="1590"/>
      <c r="DI33" s="1590"/>
      <c r="DJ33" s="1590"/>
      <c r="DK33" s="1590"/>
      <c r="DL33" s="1590"/>
      <c r="DM33" s="1590"/>
      <c r="DN33" s="1590"/>
      <c r="DO33" s="1590"/>
      <c r="DP33" s="1590"/>
      <c r="DQ33" s="1590"/>
      <c r="DR33" s="1590"/>
      <c r="DS33" s="1591"/>
      <c r="DT33" s="475"/>
      <c r="DU33" s="475">
        <f>'расч ФОТмест с 01.01-30.06'!V10</f>
        <v>147198.4356</v>
      </c>
      <c r="DV33" s="475"/>
      <c r="DW33" s="475"/>
      <c r="DX33" s="475"/>
      <c r="DY33" s="475"/>
    </row>
    <row r="34" spans="1:145" s="477" customFormat="1" ht="37.5" customHeight="1" x14ac:dyDescent="0.25">
      <c r="A34" s="1592">
        <v>19</v>
      </c>
      <c r="B34" s="1593"/>
      <c r="C34" s="1593"/>
      <c r="D34" s="1594"/>
      <c r="E34" s="1595" t="s">
        <v>100</v>
      </c>
      <c r="F34" s="1596"/>
      <c r="G34" s="1596"/>
      <c r="H34" s="1596"/>
      <c r="I34" s="1596"/>
      <c r="J34" s="1596"/>
      <c r="K34" s="1596"/>
      <c r="L34" s="1596"/>
      <c r="M34" s="1596"/>
      <c r="N34" s="1596"/>
      <c r="O34" s="1596"/>
      <c r="P34" s="1596"/>
      <c r="Q34" s="1596"/>
      <c r="R34" s="1596"/>
      <c r="S34" s="1596"/>
      <c r="T34" s="1597"/>
      <c r="U34" s="1598">
        <v>1</v>
      </c>
      <c r="V34" s="1599"/>
      <c r="W34" s="1599"/>
      <c r="X34" s="1599"/>
      <c r="Y34" s="1599"/>
      <c r="Z34" s="1599"/>
      <c r="AA34" s="1599"/>
      <c r="AB34" s="1599"/>
      <c r="AC34" s="1599"/>
      <c r="AD34" s="1599"/>
      <c r="AE34" s="1599"/>
      <c r="AF34" s="1600"/>
      <c r="AG34" s="1601">
        <f t="shared" si="2"/>
        <v>16355.377500000001</v>
      </c>
      <c r="AH34" s="1602"/>
      <c r="AI34" s="1602"/>
      <c r="AJ34" s="1602"/>
      <c r="AK34" s="1602"/>
      <c r="AL34" s="1602"/>
      <c r="AM34" s="1602"/>
      <c r="AN34" s="1602"/>
      <c r="AO34" s="1602"/>
      <c r="AP34" s="1602"/>
      <c r="AQ34" s="1602"/>
      <c r="AR34" s="1602"/>
      <c r="AS34" s="1602"/>
      <c r="AT34" s="1603"/>
      <c r="AU34" s="1601">
        <f>'расч ФОТмест с 01.01-30.06'!L11</f>
        <v>12878.25</v>
      </c>
      <c r="AV34" s="1602"/>
      <c r="AW34" s="1602"/>
      <c r="AX34" s="1602"/>
      <c r="AY34" s="1602"/>
      <c r="AZ34" s="1602"/>
      <c r="BA34" s="1602"/>
      <c r="BB34" s="1602"/>
      <c r="BC34" s="1602"/>
      <c r="BD34" s="1602"/>
      <c r="BE34" s="1602"/>
      <c r="BF34" s="1602"/>
      <c r="BG34" s="1602"/>
      <c r="BH34" s="1603"/>
      <c r="BI34" s="1601">
        <f>'расч ФОТмест с 01.01-30.06'!R11</f>
        <v>0</v>
      </c>
      <c r="BJ34" s="1602"/>
      <c r="BK34" s="1602"/>
      <c r="BL34" s="1602"/>
      <c r="BM34" s="1602"/>
      <c r="BN34" s="1602"/>
      <c r="BO34" s="1602"/>
      <c r="BP34" s="1602"/>
      <c r="BQ34" s="1602"/>
      <c r="BR34" s="1602"/>
      <c r="BS34" s="1602"/>
      <c r="BT34" s="1602"/>
      <c r="BU34" s="1602"/>
      <c r="BV34" s="1603"/>
      <c r="BW34" s="1589">
        <f>'расч ФОТмест с 01.01-30.06'!T11</f>
        <v>3477.1275000000001</v>
      </c>
      <c r="BX34" s="1590"/>
      <c r="BY34" s="1590"/>
      <c r="BZ34" s="1590"/>
      <c r="CA34" s="1590"/>
      <c r="CB34" s="1590"/>
      <c r="CC34" s="1590"/>
      <c r="CD34" s="1590"/>
      <c r="CE34" s="1590"/>
      <c r="CF34" s="1590"/>
      <c r="CG34" s="1590"/>
      <c r="CH34" s="1590"/>
      <c r="CI34" s="1590"/>
      <c r="CJ34" s="1591"/>
      <c r="CK34" s="1589"/>
      <c r="CL34" s="1590"/>
      <c r="CM34" s="1590"/>
      <c r="CN34" s="1590"/>
      <c r="CO34" s="1590"/>
      <c r="CP34" s="1590"/>
      <c r="CQ34" s="1590"/>
      <c r="CR34" s="1590"/>
      <c r="CS34" s="1590"/>
      <c r="CT34" s="1590"/>
      <c r="CU34" s="1591"/>
      <c r="CV34" s="1589"/>
      <c r="CW34" s="1590"/>
      <c r="CX34" s="1590"/>
      <c r="CY34" s="1590"/>
      <c r="CZ34" s="1590"/>
      <c r="DA34" s="1590"/>
      <c r="DB34" s="1590"/>
      <c r="DC34" s="1590"/>
      <c r="DD34" s="1590"/>
      <c r="DE34" s="1591"/>
      <c r="DF34" s="1589">
        <f t="shared" si="3"/>
        <v>98132.264999999999</v>
      </c>
      <c r="DG34" s="1590"/>
      <c r="DH34" s="1590"/>
      <c r="DI34" s="1590"/>
      <c r="DJ34" s="1590"/>
      <c r="DK34" s="1590"/>
      <c r="DL34" s="1590"/>
      <c r="DM34" s="1590"/>
      <c r="DN34" s="1590"/>
      <c r="DO34" s="1590"/>
      <c r="DP34" s="1590"/>
      <c r="DQ34" s="1590"/>
      <c r="DR34" s="1590"/>
      <c r="DS34" s="1591"/>
      <c r="DT34" s="475"/>
      <c r="DU34" s="475">
        <f>'расч ФОТмест с 01.01-30.06'!V11</f>
        <v>98132.264999999999</v>
      </c>
      <c r="DV34" s="475"/>
      <c r="DW34" s="475"/>
      <c r="DX34" s="475"/>
      <c r="DY34" s="475"/>
    </row>
    <row r="35" spans="1:145" s="477" customFormat="1" ht="37.5" customHeight="1" x14ac:dyDescent="0.25">
      <c r="A35" s="1592">
        <v>20</v>
      </c>
      <c r="B35" s="1593"/>
      <c r="C35" s="1593"/>
      <c r="D35" s="1594"/>
      <c r="E35" s="1595" t="s">
        <v>101</v>
      </c>
      <c r="F35" s="1596"/>
      <c r="G35" s="1596"/>
      <c r="H35" s="1596"/>
      <c r="I35" s="1596"/>
      <c r="J35" s="1596"/>
      <c r="K35" s="1596"/>
      <c r="L35" s="1596"/>
      <c r="M35" s="1596"/>
      <c r="N35" s="1596"/>
      <c r="O35" s="1596"/>
      <c r="P35" s="1596"/>
      <c r="Q35" s="1596"/>
      <c r="R35" s="1596"/>
      <c r="S35" s="1596"/>
      <c r="T35" s="1597"/>
      <c r="U35" s="1598">
        <v>3</v>
      </c>
      <c r="V35" s="1599"/>
      <c r="W35" s="1599"/>
      <c r="X35" s="1599"/>
      <c r="Y35" s="1599"/>
      <c r="Z35" s="1599"/>
      <c r="AA35" s="1599"/>
      <c r="AB35" s="1599"/>
      <c r="AC35" s="1599"/>
      <c r="AD35" s="1599"/>
      <c r="AE35" s="1599"/>
      <c r="AF35" s="1600"/>
      <c r="AG35" s="1601">
        <f t="shared" si="2"/>
        <v>55134.880000000005</v>
      </c>
      <c r="AH35" s="1602"/>
      <c r="AI35" s="1602"/>
      <c r="AJ35" s="1602"/>
      <c r="AK35" s="1602"/>
      <c r="AL35" s="1602"/>
      <c r="AM35" s="1602"/>
      <c r="AN35" s="1602"/>
      <c r="AO35" s="1602"/>
      <c r="AP35" s="1602"/>
      <c r="AQ35" s="1602"/>
      <c r="AR35" s="1602"/>
      <c r="AS35" s="1602"/>
      <c r="AT35" s="1603"/>
      <c r="AU35" s="1601">
        <f>'расч ФОТмест с 01.01-30.06'!L12</f>
        <v>38634.75</v>
      </c>
      <c r="AV35" s="1602"/>
      <c r="AW35" s="1602"/>
      <c r="AX35" s="1602"/>
      <c r="AY35" s="1602"/>
      <c r="AZ35" s="1602"/>
      <c r="BA35" s="1602"/>
      <c r="BB35" s="1602"/>
      <c r="BC35" s="1602"/>
      <c r="BD35" s="1602"/>
      <c r="BE35" s="1602"/>
      <c r="BF35" s="1602"/>
      <c r="BG35" s="1602"/>
      <c r="BH35" s="1603"/>
      <c r="BI35" s="1601">
        <f>'расч ФОТмест с 01.01-30.06'!R12</f>
        <v>6339.19</v>
      </c>
      <c r="BJ35" s="1602"/>
      <c r="BK35" s="1602"/>
      <c r="BL35" s="1602"/>
      <c r="BM35" s="1602"/>
      <c r="BN35" s="1602"/>
      <c r="BO35" s="1602"/>
      <c r="BP35" s="1602"/>
      <c r="BQ35" s="1602"/>
      <c r="BR35" s="1602"/>
      <c r="BS35" s="1602"/>
      <c r="BT35" s="1602"/>
      <c r="BU35" s="1602"/>
      <c r="BV35" s="1603"/>
      <c r="BW35" s="1589">
        <f>'расч ФОТмест с 01.01-30.06'!T12</f>
        <v>10160.94</v>
      </c>
      <c r="BX35" s="1590"/>
      <c r="BY35" s="1590"/>
      <c r="BZ35" s="1590"/>
      <c r="CA35" s="1590"/>
      <c r="CB35" s="1590"/>
      <c r="CC35" s="1590"/>
      <c r="CD35" s="1590"/>
      <c r="CE35" s="1590"/>
      <c r="CF35" s="1590"/>
      <c r="CG35" s="1590"/>
      <c r="CH35" s="1590"/>
      <c r="CI35" s="1590"/>
      <c r="CJ35" s="1591"/>
      <c r="CK35" s="1589"/>
      <c r="CL35" s="1590"/>
      <c r="CM35" s="1590"/>
      <c r="CN35" s="1590"/>
      <c r="CO35" s="1590"/>
      <c r="CP35" s="1590"/>
      <c r="CQ35" s="1590"/>
      <c r="CR35" s="1590"/>
      <c r="CS35" s="1590"/>
      <c r="CT35" s="1590"/>
      <c r="CU35" s="1591"/>
      <c r="CV35" s="1589"/>
      <c r="CW35" s="1590"/>
      <c r="CX35" s="1590"/>
      <c r="CY35" s="1590"/>
      <c r="CZ35" s="1590"/>
      <c r="DA35" s="1590"/>
      <c r="DB35" s="1590"/>
      <c r="DC35" s="1590"/>
      <c r="DD35" s="1590"/>
      <c r="DE35" s="1591"/>
      <c r="DF35" s="1589">
        <f t="shared" si="3"/>
        <v>330809.28000000003</v>
      </c>
      <c r="DG35" s="1590"/>
      <c r="DH35" s="1590"/>
      <c r="DI35" s="1590"/>
      <c r="DJ35" s="1590"/>
      <c r="DK35" s="1590"/>
      <c r="DL35" s="1590"/>
      <c r="DM35" s="1590"/>
      <c r="DN35" s="1590"/>
      <c r="DO35" s="1590"/>
      <c r="DP35" s="1590"/>
      <c r="DQ35" s="1590"/>
      <c r="DR35" s="1590"/>
      <c r="DS35" s="1591"/>
      <c r="DT35" s="475"/>
      <c r="DU35" s="475">
        <f>'расч ФОТмест с 01.01-30.06'!V12</f>
        <v>330809.28000000003</v>
      </c>
      <c r="DV35" s="475"/>
      <c r="DW35" s="475"/>
      <c r="DX35" s="475"/>
      <c r="DY35" s="475"/>
    </row>
    <row r="36" spans="1:145" s="479" customFormat="1" x14ac:dyDescent="0.25">
      <c r="A36" s="1585" t="s">
        <v>102</v>
      </c>
      <c r="B36" s="1586"/>
      <c r="C36" s="1586"/>
      <c r="D36" s="1586"/>
      <c r="E36" s="1586"/>
      <c r="F36" s="1586"/>
      <c r="G36" s="1586"/>
      <c r="H36" s="1586"/>
      <c r="I36" s="1586"/>
      <c r="J36" s="1586"/>
      <c r="K36" s="1586"/>
      <c r="L36" s="1586"/>
      <c r="M36" s="1586"/>
      <c r="N36" s="1586"/>
      <c r="O36" s="1586"/>
      <c r="P36" s="1586"/>
      <c r="Q36" s="1586"/>
      <c r="R36" s="1586"/>
      <c r="S36" s="1586"/>
      <c r="T36" s="1587"/>
      <c r="U36" s="1582" t="s">
        <v>3</v>
      </c>
      <c r="V36" s="1583"/>
      <c r="W36" s="1583"/>
      <c r="X36" s="1583"/>
      <c r="Y36" s="1583"/>
      <c r="Z36" s="1583"/>
      <c r="AA36" s="1583"/>
      <c r="AB36" s="1583"/>
      <c r="AC36" s="1583"/>
      <c r="AD36" s="1583"/>
      <c r="AE36" s="1583"/>
      <c r="AF36" s="1584"/>
      <c r="AG36" s="1582" t="s">
        <v>3</v>
      </c>
      <c r="AH36" s="1583"/>
      <c r="AI36" s="1583"/>
      <c r="AJ36" s="1583"/>
      <c r="AK36" s="1583"/>
      <c r="AL36" s="1583"/>
      <c r="AM36" s="1583"/>
      <c r="AN36" s="1583"/>
      <c r="AO36" s="1583"/>
      <c r="AP36" s="1583"/>
      <c r="AQ36" s="1583"/>
      <c r="AR36" s="1583"/>
      <c r="AS36" s="1583"/>
      <c r="AT36" s="1584"/>
      <c r="AU36" s="1582" t="s">
        <v>3</v>
      </c>
      <c r="AV36" s="1583"/>
      <c r="AW36" s="1583"/>
      <c r="AX36" s="1583"/>
      <c r="AY36" s="1583"/>
      <c r="AZ36" s="1583"/>
      <c r="BA36" s="1583"/>
      <c r="BB36" s="1583"/>
      <c r="BC36" s="1583"/>
      <c r="BD36" s="1583"/>
      <c r="BE36" s="1583"/>
      <c r="BF36" s="1583"/>
      <c r="BG36" s="1583"/>
      <c r="BH36" s="1584"/>
      <c r="BI36" s="1582" t="s">
        <v>3</v>
      </c>
      <c r="BJ36" s="1583"/>
      <c r="BK36" s="1583"/>
      <c r="BL36" s="1583"/>
      <c r="BM36" s="1583"/>
      <c r="BN36" s="1583"/>
      <c r="BO36" s="1583"/>
      <c r="BP36" s="1583"/>
      <c r="BQ36" s="1583"/>
      <c r="BR36" s="1583"/>
      <c r="BS36" s="1583"/>
      <c r="BT36" s="1583"/>
      <c r="BU36" s="1583"/>
      <c r="BV36" s="1584"/>
      <c r="BW36" s="1582" t="s">
        <v>3</v>
      </c>
      <c r="BX36" s="1583"/>
      <c r="BY36" s="1583"/>
      <c r="BZ36" s="1583"/>
      <c r="CA36" s="1583"/>
      <c r="CB36" s="1583"/>
      <c r="CC36" s="1583"/>
      <c r="CD36" s="1583"/>
      <c r="CE36" s="1583"/>
      <c r="CF36" s="1583"/>
      <c r="CG36" s="1583"/>
      <c r="CH36" s="1583"/>
      <c r="CI36" s="1583"/>
      <c r="CJ36" s="1584"/>
      <c r="CK36" s="1582" t="s">
        <v>3</v>
      </c>
      <c r="CL36" s="1583"/>
      <c r="CM36" s="1583"/>
      <c r="CN36" s="1583"/>
      <c r="CO36" s="1583"/>
      <c r="CP36" s="1583"/>
      <c r="CQ36" s="1583"/>
      <c r="CR36" s="1583"/>
      <c r="CS36" s="1583"/>
      <c r="CT36" s="1583"/>
      <c r="CU36" s="1584"/>
      <c r="CV36" s="1582" t="s">
        <v>3</v>
      </c>
      <c r="CW36" s="1583"/>
      <c r="CX36" s="1583"/>
      <c r="CY36" s="1583"/>
      <c r="CZ36" s="1583"/>
      <c r="DA36" s="1583"/>
      <c r="DB36" s="1583"/>
      <c r="DC36" s="1583"/>
      <c r="DD36" s="1583"/>
      <c r="DE36" s="1584"/>
      <c r="DF36" s="1585">
        <f>SUM(DF16:DS35)</f>
        <v>7203810.5136000002</v>
      </c>
      <c r="DG36" s="1586"/>
      <c r="DH36" s="1586"/>
      <c r="DI36" s="1586"/>
      <c r="DJ36" s="1586"/>
      <c r="DK36" s="1586"/>
      <c r="DL36" s="1586"/>
      <c r="DM36" s="1586"/>
      <c r="DN36" s="1586"/>
      <c r="DO36" s="1586"/>
      <c r="DP36" s="1586"/>
      <c r="DQ36" s="1586"/>
      <c r="DR36" s="1586"/>
      <c r="DS36" s="1587"/>
      <c r="DT36" s="478">
        <f>SUM(DT16:DT35)</f>
        <v>6032640.1524</v>
      </c>
      <c r="DU36" s="478">
        <f>SUM(DU16:DU35)</f>
        <v>1171170.3611999999</v>
      </c>
      <c r="DV36" s="478"/>
      <c r="DW36" s="478">
        <f>SUM(DW29:DW35)</f>
        <v>0</v>
      </c>
      <c r="DX36" s="478">
        <f>SUM(DX29:DX35)</f>
        <v>0</v>
      </c>
      <c r="DY36" s="478">
        <f>SUM(DY29:DY35)</f>
        <v>0</v>
      </c>
      <c r="EF36" s="1631" t="e">
        <f>'расч  ФОТ обл до с 01.01.-30.06'!W19+#REF!</f>
        <v>#REF!</v>
      </c>
      <c r="EG36" s="1631"/>
      <c r="EH36" s="1631"/>
      <c r="EI36" s="1631"/>
      <c r="EJ36" s="1631"/>
      <c r="EK36" s="1631"/>
      <c r="EL36" s="1631"/>
      <c r="EM36" s="1631"/>
      <c r="EN36" s="1631"/>
      <c r="EO36" s="1631"/>
    </row>
    <row r="37" spans="1:145" s="479" customFormat="1" ht="57.75" customHeight="1" x14ac:dyDescent="0.25">
      <c r="A37" s="1579" t="s">
        <v>845</v>
      </c>
      <c r="B37" s="1580"/>
      <c r="C37" s="1580"/>
      <c r="D37" s="1580"/>
      <c r="E37" s="1580"/>
      <c r="F37" s="1580"/>
      <c r="G37" s="1580"/>
      <c r="H37" s="1580"/>
      <c r="I37" s="1580"/>
      <c r="J37" s="1580"/>
      <c r="K37" s="1580"/>
      <c r="L37" s="1580"/>
      <c r="M37" s="1580"/>
      <c r="N37" s="1580"/>
      <c r="O37" s="1580"/>
      <c r="P37" s="1580"/>
      <c r="Q37" s="1580"/>
      <c r="R37" s="1580"/>
      <c r="S37" s="1580"/>
      <c r="T37" s="1581"/>
      <c r="U37" s="604"/>
      <c r="V37" s="605"/>
      <c r="W37" s="605"/>
      <c r="X37" s="605"/>
      <c r="Y37" s="605"/>
      <c r="Z37" s="605"/>
      <c r="AA37" s="605"/>
      <c r="AB37" s="605"/>
      <c r="AC37" s="605"/>
      <c r="AD37" s="605"/>
      <c r="AE37" s="605"/>
      <c r="AF37" s="606"/>
      <c r="AG37" s="604"/>
      <c r="AH37" s="605"/>
      <c r="AI37" s="605"/>
      <c r="AJ37" s="605"/>
      <c r="AK37" s="605"/>
      <c r="AL37" s="605"/>
      <c r="AM37" s="605"/>
      <c r="AN37" s="605"/>
      <c r="AO37" s="605"/>
      <c r="AP37" s="605"/>
      <c r="AQ37" s="605"/>
      <c r="AR37" s="605"/>
      <c r="AS37" s="605"/>
      <c r="AT37" s="606"/>
      <c r="AU37" s="604"/>
      <c r="AV37" s="605"/>
      <c r="AW37" s="605"/>
      <c r="AX37" s="605"/>
      <c r="AY37" s="605"/>
      <c r="AZ37" s="605"/>
      <c r="BA37" s="605"/>
      <c r="BB37" s="605"/>
      <c r="BC37" s="605"/>
      <c r="BD37" s="605"/>
      <c r="BE37" s="605"/>
      <c r="BF37" s="605"/>
      <c r="BG37" s="605"/>
      <c r="BH37" s="606"/>
      <c r="BI37" s="604"/>
      <c r="BJ37" s="605"/>
      <c r="BK37" s="605"/>
      <c r="BL37" s="605"/>
      <c r="BM37" s="605"/>
      <c r="BN37" s="605"/>
      <c r="BO37" s="605"/>
      <c r="BP37" s="605"/>
      <c r="BQ37" s="605"/>
      <c r="BR37" s="605"/>
      <c r="BS37" s="605"/>
      <c r="BT37" s="605"/>
      <c r="BU37" s="605"/>
      <c r="BV37" s="606"/>
      <c r="BW37" s="604"/>
      <c r="BX37" s="605"/>
      <c r="BY37" s="605"/>
      <c r="BZ37" s="605"/>
      <c r="CA37" s="605"/>
      <c r="CB37" s="605"/>
      <c r="CC37" s="605"/>
      <c r="CD37" s="605"/>
      <c r="CE37" s="605"/>
      <c r="CF37" s="605"/>
      <c r="CG37" s="605"/>
      <c r="CH37" s="605"/>
      <c r="CI37" s="605"/>
      <c r="CJ37" s="606"/>
      <c r="CK37" s="604"/>
      <c r="CL37" s="605"/>
      <c r="CM37" s="605"/>
      <c r="CN37" s="605"/>
      <c r="CO37" s="605"/>
      <c r="CP37" s="605"/>
      <c r="CQ37" s="605"/>
      <c r="CR37" s="605"/>
      <c r="CS37" s="605"/>
      <c r="CT37" s="605"/>
      <c r="CU37" s="606"/>
      <c r="CV37" s="604"/>
      <c r="CW37" s="605"/>
      <c r="CX37" s="605"/>
      <c r="CY37" s="605"/>
      <c r="CZ37" s="605"/>
      <c r="DA37" s="605"/>
      <c r="DB37" s="605"/>
      <c r="DC37" s="605"/>
      <c r="DD37" s="605"/>
      <c r="DE37" s="606"/>
      <c r="DF37" s="1582">
        <v>50000</v>
      </c>
      <c r="DG37" s="1583"/>
      <c r="DH37" s="1583"/>
      <c r="DI37" s="1583"/>
      <c r="DJ37" s="1583"/>
      <c r="DK37" s="1583"/>
      <c r="DL37" s="1583"/>
      <c r="DM37" s="1583"/>
      <c r="DN37" s="1583"/>
      <c r="DO37" s="1583"/>
      <c r="DP37" s="1583"/>
      <c r="DQ37" s="1583"/>
      <c r="DR37" s="1583"/>
      <c r="DS37" s="1584"/>
      <c r="DT37" s="478">
        <v>50000</v>
      </c>
      <c r="DU37" s="478">
        <v>0</v>
      </c>
      <c r="DV37" s="478"/>
      <c r="DW37" s="478"/>
      <c r="DX37" s="478"/>
      <c r="DY37" s="478"/>
      <c r="EF37" s="607"/>
      <c r="EG37" s="607"/>
      <c r="EH37" s="607"/>
      <c r="EI37" s="607"/>
      <c r="EJ37" s="607"/>
      <c r="EK37" s="607"/>
      <c r="EL37" s="607"/>
      <c r="EM37" s="607"/>
      <c r="EN37" s="607"/>
      <c r="EO37" s="607"/>
    </row>
    <row r="38" spans="1:145" s="479" customFormat="1" x14ac:dyDescent="0.25">
      <c r="A38" s="1585" t="s">
        <v>102</v>
      </c>
      <c r="B38" s="1586"/>
      <c r="C38" s="1586"/>
      <c r="D38" s="1586"/>
      <c r="E38" s="1586"/>
      <c r="F38" s="1586"/>
      <c r="G38" s="1586"/>
      <c r="H38" s="1586"/>
      <c r="I38" s="1586"/>
      <c r="J38" s="1586"/>
      <c r="K38" s="1586"/>
      <c r="L38" s="1586"/>
      <c r="M38" s="1586"/>
      <c r="N38" s="1586"/>
      <c r="O38" s="1586"/>
      <c r="P38" s="1586"/>
      <c r="Q38" s="1586"/>
      <c r="R38" s="1586"/>
      <c r="S38" s="1586"/>
      <c r="T38" s="1587"/>
      <c r="U38" s="1582" t="s">
        <v>3</v>
      </c>
      <c r="V38" s="1583"/>
      <c r="W38" s="1583"/>
      <c r="X38" s="1583"/>
      <c r="Y38" s="1583"/>
      <c r="Z38" s="1583"/>
      <c r="AA38" s="1583"/>
      <c r="AB38" s="1583"/>
      <c r="AC38" s="1583"/>
      <c r="AD38" s="1583"/>
      <c r="AE38" s="1583"/>
      <c r="AF38" s="1584"/>
      <c r="AG38" s="1582" t="s">
        <v>3</v>
      </c>
      <c r="AH38" s="1583"/>
      <c r="AI38" s="1583"/>
      <c r="AJ38" s="1583"/>
      <c r="AK38" s="1583"/>
      <c r="AL38" s="1583"/>
      <c r="AM38" s="1583"/>
      <c r="AN38" s="1583"/>
      <c r="AO38" s="1583"/>
      <c r="AP38" s="1583"/>
      <c r="AQ38" s="1583"/>
      <c r="AR38" s="1583"/>
      <c r="AS38" s="1583"/>
      <c r="AT38" s="1584"/>
      <c r="AU38" s="1582" t="s">
        <v>3</v>
      </c>
      <c r="AV38" s="1583"/>
      <c r="AW38" s="1583"/>
      <c r="AX38" s="1583"/>
      <c r="AY38" s="1583"/>
      <c r="AZ38" s="1583"/>
      <c r="BA38" s="1583"/>
      <c r="BB38" s="1583"/>
      <c r="BC38" s="1583"/>
      <c r="BD38" s="1583"/>
      <c r="BE38" s="1583"/>
      <c r="BF38" s="1583"/>
      <c r="BG38" s="1583"/>
      <c r="BH38" s="1584"/>
      <c r="BI38" s="1582" t="s">
        <v>3</v>
      </c>
      <c r="BJ38" s="1583"/>
      <c r="BK38" s="1583"/>
      <c r="BL38" s="1583"/>
      <c r="BM38" s="1583"/>
      <c r="BN38" s="1583"/>
      <c r="BO38" s="1583"/>
      <c r="BP38" s="1583"/>
      <c r="BQ38" s="1583"/>
      <c r="BR38" s="1583"/>
      <c r="BS38" s="1583"/>
      <c r="BT38" s="1583"/>
      <c r="BU38" s="1583"/>
      <c r="BV38" s="1584"/>
      <c r="BW38" s="1582" t="s">
        <v>3</v>
      </c>
      <c r="BX38" s="1583"/>
      <c r="BY38" s="1583"/>
      <c r="BZ38" s="1583"/>
      <c r="CA38" s="1583"/>
      <c r="CB38" s="1583"/>
      <c r="CC38" s="1583"/>
      <c r="CD38" s="1583"/>
      <c r="CE38" s="1583"/>
      <c r="CF38" s="1583"/>
      <c r="CG38" s="1583"/>
      <c r="CH38" s="1583"/>
      <c r="CI38" s="1583"/>
      <c r="CJ38" s="1584"/>
      <c r="CK38" s="1582" t="s">
        <v>3</v>
      </c>
      <c r="CL38" s="1583"/>
      <c r="CM38" s="1583"/>
      <c r="CN38" s="1583"/>
      <c r="CO38" s="1583"/>
      <c r="CP38" s="1583"/>
      <c r="CQ38" s="1583"/>
      <c r="CR38" s="1583"/>
      <c r="CS38" s="1583"/>
      <c r="CT38" s="1583"/>
      <c r="CU38" s="1584"/>
      <c r="CV38" s="1582" t="s">
        <v>3</v>
      </c>
      <c r="CW38" s="1583"/>
      <c r="CX38" s="1583"/>
      <c r="CY38" s="1583"/>
      <c r="CZ38" s="1583"/>
      <c r="DA38" s="1583"/>
      <c r="DB38" s="1583"/>
      <c r="DC38" s="1583"/>
      <c r="DD38" s="1583"/>
      <c r="DE38" s="1584"/>
      <c r="DF38" s="1585">
        <f>DF36-DF37</f>
        <v>7153810.5136000002</v>
      </c>
      <c r="DG38" s="1586"/>
      <c r="DH38" s="1586"/>
      <c r="DI38" s="1586"/>
      <c r="DJ38" s="1586"/>
      <c r="DK38" s="1586"/>
      <c r="DL38" s="1586"/>
      <c r="DM38" s="1586"/>
      <c r="DN38" s="1586"/>
      <c r="DO38" s="1586"/>
      <c r="DP38" s="1586"/>
      <c r="DQ38" s="1586"/>
      <c r="DR38" s="1586"/>
      <c r="DS38" s="1587"/>
      <c r="DT38" s="478">
        <f>DT36-DT37</f>
        <v>5982640.1524</v>
      </c>
      <c r="DU38" s="478">
        <f>DU36-DU37</f>
        <v>1171170.3611999999</v>
      </c>
      <c r="DV38" s="478"/>
      <c r="DW38" s="478">
        <f>SUM(DW30:DW36)</f>
        <v>0</v>
      </c>
      <c r="DX38" s="478">
        <f>SUM(DX30:DX36)</f>
        <v>0</v>
      </c>
      <c r="DY38" s="478">
        <f>SUM(DY30:DY36)</f>
        <v>0</v>
      </c>
      <c r="EF38" s="1631"/>
      <c r="EG38" s="1631"/>
      <c r="EH38" s="1631"/>
      <c r="EI38" s="1631"/>
      <c r="EJ38" s="1631"/>
      <c r="EK38" s="1631"/>
      <c r="EL38" s="1631"/>
      <c r="EM38" s="1631"/>
      <c r="EN38" s="1631"/>
      <c r="EO38" s="1631"/>
    </row>
    <row r="39" spans="1:145" s="479" customFormat="1" ht="32.450000000000003" customHeight="1" x14ac:dyDescent="0.25">
      <c r="A39" s="1637" t="s">
        <v>1404</v>
      </c>
      <c r="B39" s="1637"/>
      <c r="C39" s="1637"/>
      <c r="D39" s="1637"/>
      <c r="E39" s="1637"/>
      <c r="F39" s="1637"/>
      <c r="G39" s="1637"/>
      <c r="H39" s="1637"/>
      <c r="I39" s="1637"/>
      <c r="J39" s="1637"/>
      <c r="K39" s="1637"/>
      <c r="L39" s="1637"/>
      <c r="M39" s="1637"/>
      <c r="N39" s="1637"/>
      <c r="O39" s="1637"/>
      <c r="P39" s="1637"/>
      <c r="Q39" s="1637"/>
      <c r="R39" s="1637"/>
      <c r="S39" s="1637"/>
      <c r="T39" s="1637"/>
      <c r="U39" s="1637"/>
      <c r="V39" s="1637"/>
      <c r="W39" s="1637"/>
      <c r="X39" s="1637"/>
      <c r="Y39" s="1637"/>
      <c r="Z39" s="1637"/>
      <c r="AA39" s="1637"/>
      <c r="AB39" s="1637"/>
      <c r="AC39" s="1637"/>
      <c r="AD39" s="1637"/>
      <c r="AE39" s="1637"/>
      <c r="AF39" s="1637"/>
      <c r="AG39" s="1637"/>
      <c r="AH39" s="1637"/>
      <c r="AI39" s="1637"/>
      <c r="AJ39" s="1637"/>
      <c r="AK39" s="1637"/>
      <c r="AL39" s="1637"/>
      <c r="AM39" s="1637"/>
      <c r="AN39" s="1637"/>
      <c r="AO39" s="1637"/>
      <c r="AP39" s="1637"/>
      <c r="AQ39" s="1637"/>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1"/>
      <c r="BZ39" s="41"/>
      <c r="CA39" s="41"/>
      <c r="CB39" s="41"/>
      <c r="CC39" s="41"/>
      <c r="CD39" s="41"/>
      <c r="CE39" s="41"/>
      <c r="CF39" s="41"/>
      <c r="CG39" s="41"/>
      <c r="CH39" s="41"/>
      <c r="CI39" s="41"/>
      <c r="CJ39" s="41"/>
      <c r="CK39" s="41"/>
      <c r="CL39" s="41"/>
      <c r="CM39" s="41"/>
      <c r="CN39" s="41"/>
      <c r="CO39" s="41"/>
      <c r="CP39" s="41"/>
      <c r="CQ39" s="41"/>
      <c r="CR39" s="41"/>
      <c r="CS39" s="41"/>
      <c r="CT39" s="41"/>
      <c r="CU39" s="41"/>
      <c r="CV39" s="41"/>
      <c r="CW39" s="41"/>
      <c r="CX39" s="41"/>
      <c r="CY39" s="41"/>
      <c r="CZ39" s="41"/>
      <c r="DA39" s="41"/>
      <c r="DB39" s="41"/>
      <c r="DC39" s="41"/>
      <c r="DD39" s="41"/>
      <c r="DE39" s="41"/>
      <c r="DF39" s="41"/>
      <c r="DG39" s="41"/>
      <c r="DH39" s="41"/>
      <c r="DI39" s="41"/>
      <c r="DJ39" s="41"/>
      <c r="DK39" s="41"/>
      <c r="DL39" s="41"/>
      <c r="DM39" s="41"/>
      <c r="DN39" s="41"/>
      <c r="DO39" s="41"/>
      <c r="DP39" s="41"/>
      <c r="DQ39" s="41"/>
      <c r="DR39" s="41"/>
      <c r="DS39" s="41"/>
      <c r="DT39" s="41"/>
      <c r="DU39" s="41"/>
      <c r="DV39" s="41"/>
      <c r="DW39" s="41"/>
      <c r="DX39" s="41"/>
      <c r="DY39" s="41"/>
      <c r="EF39" s="607"/>
      <c r="EG39" s="607"/>
      <c r="EH39" s="607"/>
      <c r="EI39" s="607"/>
      <c r="EJ39" s="607"/>
      <c r="EK39" s="607"/>
      <c r="EL39" s="607"/>
      <c r="EM39" s="607"/>
      <c r="EN39" s="607"/>
      <c r="EO39" s="607"/>
    </row>
    <row r="40" spans="1:145" s="479" customFormat="1" x14ac:dyDescent="0.25">
      <c r="A40" s="1622" t="s">
        <v>71</v>
      </c>
      <c r="B40" s="1623"/>
      <c r="C40" s="1623"/>
      <c r="D40" s="1624"/>
      <c r="E40" s="1622" t="s">
        <v>72</v>
      </c>
      <c r="F40" s="1623"/>
      <c r="G40" s="1623"/>
      <c r="H40" s="1623"/>
      <c r="I40" s="1623"/>
      <c r="J40" s="1623"/>
      <c r="K40" s="1623"/>
      <c r="L40" s="1623"/>
      <c r="M40" s="1623"/>
      <c r="N40" s="1623"/>
      <c r="O40" s="1623"/>
      <c r="P40" s="1623"/>
      <c r="Q40" s="1623"/>
      <c r="R40" s="1623"/>
      <c r="S40" s="1623"/>
      <c r="T40" s="1624"/>
      <c r="U40" s="1622" t="s">
        <v>73</v>
      </c>
      <c r="V40" s="1623"/>
      <c r="W40" s="1623"/>
      <c r="X40" s="1623"/>
      <c r="Y40" s="1623"/>
      <c r="Z40" s="1623"/>
      <c r="AA40" s="1623"/>
      <c r="AB40" s="1623"/>
      <c r="AC40" s="1623"/>
      <c r="AD40" s="1623"/>
      <c r="AE40" s="1623"/>
      <c r="AF40" s="1624"/>
      <c r="AG40" s="1607" t="s">
        <v>0</v>
      </c>
      <c r="AH40" s="1608"/>
      <c r="AI40" s="1608"/>
      <c r="AJ40" s="1608"/>
      <c r="AK40" s="1608"/>
      <c r="AL40" s="1608"/>
      <c r="AM40" s="1608"/>
      <c r="AN40" s="1608"/>
      <c r="AO40" s="1608"/>
      <c r="AP40" s="1608"/>
      <c r="AQ40" s="1608"/>
      <c r="AR40" s="1608"/>
      <c r="AS40" s="1608"/>
      <c r="AT40" s="1608"/>
      <c r="AU40" s="1608"/>
      <c r="AV40" s="1608"/>
      <c r="AW40" s="1608"/>
      <c r="AX40" s="1608"/>
      <c r="AY40" s="1608"/>
      <c r="AZ40" s="1608"/>
      <c r="BA40" s="1608"/>
      <c r="BB40" s="1608"/>
      <c r="BC40" s="1608"/>
      <c r="BD40" s="1608"/>
      <c r="BE40" s="1608"/>
      <c r="BF40" s="1608"/>
      <c r="BG40" s="1608"/>
      <c r="BH40" s="1608"/>
      <c r="BI40" s="1608"/>
      <c r="BJ40" s="1608"/>
      <c r="BK40" s="1608"/>
      <c r="BL40" s="1608"/>
      <c r="BM40" s="1608"/>
      <c r="BN40" s="1608"/>
      <c r="BO40" s="1608"/>
      <c r="BP40" s="1608"/>
      <c r="BQ40" s="1608"/>
      <c r="BR40" s="1608"/>
      <c r="BS40" s="1608"/>
      <c r="BT40" s="1608"/>
      <c r="BU40" s="1608"/>
      <c r="BV40" s="1608"/>
      <c r="BW40" s="1608"/>
      <c r="BX40" s="1608"/>
      <c r="BY40" s="1608"/>
      <c r="BZ40" s="1608"/>
      <c r="CA40" s="1608"/>
      <c r="CB40" s="1608"/>
      <c r="CC40" s="1608"/>
      <c r="CD40" s="1608"/>
      <c r="CE40" s="1608"/>
      <c r="CF40" s="1608"/>
      <c r="CG40" s="1608"/>
      <c r="CH40" s="1608"/>
      <c r="CI40" s="1608"/>
      <c r="CJ40" s="1609"/>
      <c r="CK40" s="1622" t="s">
        <v>74</v>
      </c>
      <c r="CL40" s="1623"/>
      <c r="CM40" s="1623"/>
      <c r="CN40" s="1623"/>
      <c r="CO40" s="1623"/>
      <c r="CP40" s="1623"/>
      <c r="CQ40" s="1623"/>
      <c r="CR40" s="1623"/>
      <c r="CS40" s="1623"/>
      <c r="CT40" s="1623"/>
      <c r="CU40" s="1624"/>
      <c r="CV40" s="1622" t="s">
        <v>75</v>
      </c>
      <c r="CW40" s="1623"/>
      <c r="CX40" s="1623"/>
      <c r="CY40" s="1623"/>
      <c r="CZ40" s="1623"/>
      <c r="DA40" s="1623"/>
      <c r="DB40" s="1623"/>
      <c r="DC40" s="1623"/>
      <c r="DD40" s="1623"/>
      <c r="DE40" s="1624"/>
      <c r="DF40" s="1622" t="s">
        <v>76</v>
      </c>
      <c r="DG40" s="1623"/>
      <c r="DH40" s="1623"/>
      <c r="DI40" s="1623"/>
      <c r="DJ40" s="1623"/>
      <c r="DK40" s="1623"/>
      <c r="DL40" s="1623"/>
      <c r="DM40" s="1623"/>
      <c r="DN40" s="1623"/>
      <c r="DO40" s="1623"/>
      <c r="DP40" s="1623"/>
      <c r="DQ40" s="1623"/>
      <c r="DR40" s="1623"/>
      <c r="DS40" s="1624"/>
      <c r="DT40" s="1638" t="s">
        <v>52</v>
      </c>
      <c r="DU40" s="1638"/>
      <c r="DV40" s="1638"/>
      <c r="DW40" s="1638"/>
      <c r="DX40" s="1638"/>
      <c r="DY40" s="1638"/>
      <c r="EF40" s="607"/>
      <c r="EG40" s="607"/>
      <c r="EH40" s="607"/>
      <c r="EI40" s="607"/>
      <c r="EJ40" s="607"/>
      <c r="EK40" s="607"/>
      <c r="EL40" s="607"/>
      <c r="EM40" s="607"/>
      <c r="EN40" s="607"/>
      <c r="EO40" s="607"/>
    </row>
    <row r="41" spans="1:145" s="479" customFormat="1" x14ac:dyDescent="0.25">
      <c r="A41" s="1613" t="s">
        <v>77</v>
      </c>
      <c r="B41" s="1614"/>
      <c r="C41" s="1614"/>
      <c r="D41" s="1615"/>
      <c r="E41" s="1613" t="s">
        <v>78</v>
      </c>
      <c r="F41" s="1614"/>
      <c r="G41" s="1614"/>
      <c r="H41" s="1614"/>
      <c r="I41" s="1614"/>
      <c r="J41" s="1614"/>
      <c r="K41" s="1614"/>
      <c r="L41" s="1614"/>
      <c r="M41" s="1614"/>
      <c r="N41" s="1614"/>
      <c r="O41" s="1614"/>
      <c r="P41" s="1614"/>
      <c r="Q41" s="1614"/>
      <c r="R41" s="1614"/>
      <c r="S41" s="1614"/>
      <c r="T41" s="1615"/>
      <c r="U41" s="1613" t="s">
        <v>79</v>
      </c>
      <c r="V41" s="1614"/>
      <c r="W41" s="1614"/>
      <c r="X41" s="1614"/>
      <c r="Y41" s="1614"/>
      <c r="Z41" s="1614"/>
      <c r="AA41" s="1614"/>
      <c r="AB41" s="1614"/>
      <c r="AC41" s="1614"/>
      <c r="AD41" s="1614"/>
      <c r="AE41" s="1614"/>
      <c r="AF41" s="1615"/>
      <c r="AG41" s="1622" t="s">
        <v>1</v>
      </c>
      <c r="AH41" s="1623"/>
      <c r="AI41" s="1623"/>
      <c r="AJ41" s="1623"/>
      <c r="AK41" s="1623"/>
      <c r="AL41" s="1623"/>
      <c r="AM41" s="1623"/>
      <c r="AN41" s="1623"/>
      <c r="AO41" s="1623"/>
      <c r="AP41" s="1623"/>
      <c r="AQ41" s="1623"/>
      <c r="AR41" s="1623"/>
      <c r="AS41" s="1623"/>
      <c r="AT41" s="1624"/>
      <c r="AU41" s="1607" t="s">
        <v>2</v>
      </c>
      <c r="AV41" s="1608"/>
      <c r="AW41" s="1608"/>
      <c r="AX41" s="1608"/>
      <c r="AY41" s="1608"/>
      <c r="AZ41" s="1608"/>
      <c r="BA41" s="1608"/>
      <c r="BB41" s="1608"/>
      <c r="BC41" s="1608"/>
      <c r="BD41" s="1608"/>
      <c r="BE41" s="1608"/>
      <c r="BF41" s="1608"/>
      <c r="BG41" s="1608"/>
      <c r="BH41" s="1608"/>
      <c r="BI41" s="1608"/>
      <c r="BJ41" s="1608"/>
      <c r="BK41" s="1608"/>
      <c r="BL41" s="1608"/>
      <c r="BM41" s="1608"/>
      <c r="BN41" s="1608"/>
      <c r="BO41" s="1608"/>
      <c r="BP41" s="1608"/>
      <c r="BQ41" s="1608"/>
      <c r="BR41" s="1608"/>
      <c r="BS41" s="1608"/>
      <c r="BT41" s="1608"/>
      <c r="BU41" s="1608"/>
      <c r="BV41" s="1608"/>
      <c r="BW41" s="1608"/>
      <c r="BX41" s="1608"/>
      <c r="BY41" s="1608"/>
      <c r="BZ41" s="1608"/>
      <c r="CA41" s="1608"/>
      <c r="CB41" s="1608"/>
      <c r="CC41" s="1608"/>
      <c r="CD41" s="1608"/>
      <c r="CE41" s="1608"/>
      <c r="CF41" s="1608"/>
      <c r="CG41" s="1608"/>
      <c r="CH41" s="1608"/>
      <c r="CI41" s="1608"/>
      <c r="CJ41" s="1609"/>
      <c r="CK41" s="1613" t="s">
        <v>80</v>
      </c>
      <c r="CL41" s="1614"/>
      <c r="CM41" s="1614"/>
      <c r="CN41" s="1614"/>
      <c r="CO41" s="1614"/>
      <c r="CP41" s="1614"/>
      <c r="CQ41" s="1614"/>
      <c r="CR41" s="1614"/>
      <c r="CS41" s="1614"/>
      <c r="CT41" s="1614"/>
      <c r="CU41" s="1615"/>
      <c r="CV41" s="1613" t="s">
        <v>81</v>
      </c>
      <c r="CW41" s="1614"/>
      <c r="CX41" s="1614"/>
      <c r="CY41" s="1614"/>
      <c r="CZ41" s="1614"/>
      <c r="DA41" s="1614"/>
      <c r="DB41" s="1614"/>
      <c r="DC41" s="1614"/>
      <c r="DD41" s="1614"/>
      <c r="DE41" s="1615"/>
      <c r="DF41" s="1613" t="s">
        <v>82</v>
      </c>
      <c r="DG41" s="1614"/>
      <c r="DH41" s="1614"/>
      <c r="DI41" s="1614"/>
      <c r="DJ41" s="1614"/>
      <c r="DK41" s="1614"/>
      <c r="DL41" s="1614"/>
      <c r="DM41" s="1614"/>
      <c r="DN41" s="1614"/>
      <c r="DO41" s="1614"/>
      <c r="DP41" s="1614"/>
      <c r="DQ41" s="1614"/>
      <c r="DR41" s="1614"/>
      <c r="DS41" s="1615"/>
      <c r="DT41" s="1639" t="s">
        <v>35</v>
      </c>
      <c r="DU41" s="1639"/>
      <c r="DV41" s="1625" t="s">
        <v>45</v>
      </c>
      <c r="DW41" s="1627"/>
      <c r="DX41" s="1626"/>
      <c r="DY41" s="1628" t="s">
        <v>46</v>
      </c>
      <c r="EF41" s="607"/>
      <c r="EG41" s="607"/>
      <c r="EH41" s="607"/>
      <c r="EI41" s="607"/>
      <c r="EJ41" s="607"/>
      <c r="EK41" s="607"/>
      <c r="EL41" s="607"/>
      <c r="EM41" s="607"/>
      <c r="EN41" s="607"/>
      <c r="EO41" s="607"/>
    </row>
    <row r="42" spans="1:145" s="479" customFormat="1" x14ac:dyDescent="0.25">
      <c r="A42" s="1613"/>
      <c r="B42" s="1614"/>
      <c r="C42" s="1614"/>
      <c r="D42" s="1615"/>
      <c r="E42" s="1613" t="s">
        <v>83</v>
      </c>
      <c r="F42" s="1614"/>
      <c r="G42" s="1614"/>
      <c r="H42" s="1614"/>
      <c r="I42" s="1614"/>
      <c r="J42" s="1614"/>
      <c r="K42" s="1614"/>
      <c r="L42" s="1614"/>
      <c r="M42" s="1614"/>
      <c r="N42" s="1614"/>
      <c r="O42" s="1614"/>
      <c r="P42" s="1614"/>
      <c r="Q42" s="1614"/>
      <c r="R42" s="1614"/>
      <c r="S42" s="1614"/>
      <c r="T42" s="1615"/>
      <c r="U42" s="1613" t="s">
        <v>84</v>
      </c>
      <c r="V42" s="1614"/>
      <c r="W42" s="1614"/>
      <c r="X42" s="1614"/>
      <c r="Y42" s="1614"/>
      <c r="Z42" s="1614"/>
      <c r="AA42" s="1614"/>
      <c r="AB42" s="1614"/>
      <c r="AC42" s="1614"/>
      <c r="AD42" s="1614"/>
      <c r="AE42" s="1614"/>
      <c r="AF42" s="1615"/>
      <c r="AG42" s="1613"/>
      <c r="AH42" s="1614"/>
      <c r="AI42" s="1614"/>
      <c r="AJ42" s="1614"/>
      <c r="AK42" s="1614"/>
      <c r="AL42" s="1614"/>
      <c r="AM42" s="1614"/>
      <c r="AN42" s="1614"/>
      <c r="AO42" s="1614"/>
      <c r="AP42" s="1614"/>
      <c r="AQ42" s="1614"/>
      <c r="AR42" s="1614"/>
      <c r="AS42" s="1614"/>
      <c r="AT42" s="1615"/>
      <c r="AU42" s="1622" t="s">
        <v>85</v>
      </c>
      <c r="AV42" s="1623"/>
      <c r="AW42" s="1623"/>
      <c r="AX42" s="1623"/>
      <c r="AY42" s="1623"/>
      <c r="AZ42" s="1623"/>
      <c r="BA42" s="1623"/>
      <c r="BB42" s="1623"/>
      <c r="BC42" s="1623"/>
      <c r="BD42" s="1623"/>
      <c r="BE42" s="1623"/>
      <c r="BF42" s="1623"/>
      <c r="BG42" s="1623"/>
      <c r="BH42" s="1624"/>
      <c r="BI42" s="1622" t="s">
        <v>86</v>
      </c>
      <c r="BJ42" s="1623"/>
      <c r="BK42" s="1623"/>
      <c r="BL42" s="1623"/>
      <c r="BM42" s="1623"/>
      <c r="BN42" s="1623"/>
      <c r="BO42" s="1623"/>
      <c r="BP42" s="1623"/>
      <c r="BQ42" s="1623"/>
      <c r="BR42" s="1623"/>
      <c r="BS42" s="1623"/>
      <c r="BT42" s="1623"/>
      <c r="BU42" s="1623"/>
      <c r="BV42" s="1624"/>
      <c r="BW42" s="1622" t="s">
        <v>86</v>
      </c>
      <c r="BX42" s="1623"/>
      <c r="BY42" s="1623"/>
      <c r="BZ42" s="1623"/>
      <c r="CA42" s="1623"/>
      <c r="CB42" s="1623"/>
      <c r="CC42" s="1623"/>
      <c r="CD42" s="1623"/>
      <c r="CE42" s="1623"/>
      <c r="CF42" s="1623"/>
      <c r="CG42" s="1623"/>
      <c r="CH42" s="1623"/>
      <c r="CI42" s="1623"/>
      <c r="CJ42" s="1624"/>
      <c r="CK42" s="1613" t="s">
        <v>87</v>
      </c>
      <c r="CL42" s="1614"/>
      <c r="CM42" s="1614"/>
      <c r="CN42" s="1614"/>
      <c r="CO42" s="1614"/>
      <c r="CP42" s="1614"/>
      <c r="CQ42" s="1614"/>
      <c r="CR42" s="1614"/>
      <c r="CS42" s="1614"/>
      <c r="CT42" s="1614"/>
      <c r="CU42" s="1615"/>
      <c r="CV42" s="1613"/>
      <c r="CW42" s="1614"/>
      <c r="CX42" s="1614"/>
      <c r="CY42" s="1614"/>
      <c r="CZ42" s="1614"/>
      <c r="DA42" s="1614"/>
      <c r="DB42" s="1614"/>
      <c r="DC42" s="1614"/>
      <c r="DD42" s="1614"/>
      <c r="DE42" s="1615"/>
      <c r="DF42" s="1613" t="s">
        <v>88</v>
      </c>
      <c r="DG42" s="1614"/>
      <c r="DH42" s="1614"/>
      <c r="DI42" s="1614"/>
      <c r="DJ42" s="1614"/>
      <c r="DK42" s="1614"/>
      <c r="DL42" s="1614"/>
      <c r="DM42" s="1614"/>
      <c r="DN42" s="1614"/>
      <c r="DO42" s="1614"/>
      <c r="DP42" s="1614"/>
      <c r="DQ42" s="1614"/>
      <c r="DR42" s="1614"/>
      <c r="DS42" s="1615"/>
      <c r="DT42" s="1610" t="s">
        <v>43</v>
      </c>
      <c r="DU42" s="1610" t="s">
        <v>44</v>
      </c>
      <c r="DV42" s="1610" t="s">
        <v>55</v>
      </c>
      <c r="DW42" s="1610" t="s">
        <v>43</v>
      </c>
      <c r="DX42" s="1610" t="s">
        <v>44</v>
      </c>
      <c r="DY42" s="1629"/>
      <c r="EF42" s="607"/>
      <c r="EG42" s="607"/>
      <c r="EH42" s="607"/>
      <c r="EI42" s="607"/>
      <c r="EJ42" s="607"/>
      <c r="EK42" s="607"/>
      <c r="EL42" s="607"/>
      <c r="EM42" s="607"/>
      <c r="EN42" s="607"/>
      <c r="EO42" s="607"/>
    </row>
    <row r="43" spans="1:145" s="479" customFormat="1" x14ac:dyDescent="0.25">
      <c r="A43" s="1613"/>
      <c r="B43" s="1614"/>
      <c r="C43" s="1614"/>
      <c r="D43" s="1615"/>
      <c r="E43" s="1613"/>
      <c r="F43" s="1614"/>
      <c r="G43" s="1614"/>
      <c r="H43" s="1614"/>
      <c r="I43" s="1614"/>
      <c r="J43" s="1614"/>
      <c r="K43" s="1614"/>
      <c r="L43" s="1614"/>
      <c r="M43" s="1614"/>
      <c r="N43" s="1614"/>
      <c r="O43" s="1614"/>
      <c r="P43" s="1614"/>
      <c r="Q43" s="1614"/>
      <c r="R43" s="1614"/>
      <c r="S43" s="1614"/>
      <c r="T43" s="1615"/>
      <c r="U43" s="1613"/>
      <c r="V43" s="1614"/>
      <c r="W43" s="1614"/>
      <c r="X43" s="1614"/>
      <c r="Y43" s="1614"/>
      <c r="Z43" s="1614"/>
      <c r="AA43" s="1614"/>
      <c r="AB43" s="1614"/>
      <c r="AC43" s="1614"/>
      <c r="AD43" s="1614"/>
      <c r="AE43" s="1614"/>
      <c r="AF43" s="1615"/>
      <c r="AG43" s="1613"/>
      <c r="AH43" s="1614"/>
      <c r="AI43" s="1614"/>
      <c r="AJ43" s="1614"/>
      <c r="AK43" s="1614"/>
      <c r="AL43" s="1614"/>
      <c r="AM43" s="1614"/>
      <c r="AN43" s="1614"/>
      <c r="AO43" s="1614"/>
      <c r="AP43" s="1614"/>
      <c r="AQ43" s="1614"/>
      <c r="AR43" s="1614"/>
      <c r="AS43" s="1614"/>
      <c r="AT43" s="1615"/>
      <c r="AU43" s="1613" t="s">
        <v>87</v>
      </c>
      <c r="AV43" s="1614"/>
      <c r="AW43" s="1614"/>
      <c r="AX43" s="1614"/>
      <c r="AY43" s="1614"/>
      <c r="AZ43" s="1614"/>
      <c r="BA43" s="1614"/>
      <c r="BB43" s="1614"/>
      <c r="BC43" s="1614"/>
      <c r="BD43" s="1614"/>
      <c r="BE43" s="1614"/>
      <c r="BF43" s="1614"/>
      <c r="BG43" s="1614"/>
      <c r="BH43" s="1615"/>
      <c r="BI43" s="1613" t="s">
        <v>89</v>
      </c>
      <c r="BJ43" s="1614"/>
      <c r="BK43" s="1614"/>
      <c r="BL43" s="1614"/>
      <c r="BM43" s="1614"/>
      <c r="BN43" s="1614"/>
      <c r="BO43" s="1614"/>
      <c r="BP43" s="1614"/>
      <c r="BQ43" s="1614"/>
      <c r="BR43" s="1614"/>
      <c r="BS43" s="1614"/>
      <c r="BT43" s="1614"/>
      <c r="BU43" s="1614"/>
      <c r="BV43" s="1615"/>
      <c r="BW43" s="1613" t="s">
        <v>90</v>
      </c>
      <c r="BX43" s="1614"/>
      <c r="BY43" s="1614"/>
      <c r="BZ43" s="1614"/>
      <c r="CA43" s="1614"/>
      <c r="CB43" s="1614"/>
      <c r="CC43" s="1614"/>
      <c r="CD43" s="1614"/>
      <c r="CE43" s="1614"/>
      <c r="CF43" s="1614"/>
      <c r="CG43" s="1614"/>
      <c r="CH43" s="1614"/>
      <c r="CI43" s="1614"/>
      <c r="CJ43" s="1615"/>
      <c r="CK43" s="1613" t="s">
        <v>91</v>
      </c>
      <c r="CL43" s="1614"/>
      <c r="CM43" s="1614"/>
      <c r="CN43" s="1614"/>
      <c r="CO43" s="1614"/>
      <c r="CP43" s="1614"/>
      <c r="CQ43" s="1614"/>
      <c r="CR43" s="1614"/>
      <c r="CS43" s="1614"/>
      <c r="CT43" s="1614"/>
      <c r="CU43" s="1615"/>
      <c r="CV43" s="1613"/>
      <c r="CW43" s="1614"/>
      <c r="CX43" s="1614"/>
      <c r="CY43" s="1614"/>
      <c r="CZ43" s="1614"/>
      <c r="DA43" s="1614"/>
      <c r="DB43" s="1614"/>
      <c r="DC43" s="1614"/>
      <c r="DD43" s="1614"/>
      <c r="DE43" s="1615"/>
      <c r="DF43" s="1613" t="s">
        <v>92</v>
      </c>
      <c r="DG43" s="1614"/>
      <c r="DH43" s="1614"/>
      <c r="DI43" s="1614"/>
      <c r="DJ43" s="1614"/>
      <c r="DK43" s="1614"/>
      <c r="DL43" s="1614"/>
      <c r="DM43" s="1614"/>
      <c r="DN43" s="1614"/>
      <c r="DO43" s="1614"/>
      <c r="DP43" s="1614"/>
      <c r="DQ43" s="1614"/>
      <c r="DR43" s="1614"/>
      <c r="DS43" s="1615"/>
      <c r="DT43" s="1640"/>
      <c r="DU43" s="1640"/>
      <c r="DV43" s="1640"/>
      <c r="DW43" s="1640"/>
      <c r="DX43" s="1640"/>
      <c r="DY43" s="1640"/>
      <c r="EF43" s="607"/>
      <c r="EG43" s="607"/>
      <c r="EH43" s="607"/>
      <c r="EI43" s="607"/>
      <c r="EJ43" s="607"/>
      <c r="EK43" s="607"/>
      <c r="EL43" s="607"/>
      <c r="EM43" s="607"/>
      <c r="EN43" s="607"/>
      <c r="EO43" s="607"/>
    </row>
    <row r="44" spans="1:145" s="479" customFormat="1" x14ac:dyDescent="0.25">
      <c r="A44" s="1613"/>
      <c r="B44" s="1614"/>
      <c r="C44" s="1614"/>
      <c r="D44" s="1615"/>
      <c r="E44" s="1613"/>
      <c r="F44" s="1614"/>
      <c r="G44" s="1614"/>
      <c r="H44" s="1614"/>
      <c r="I44" s="1614"/>
      <c r="J44" s="1614"/>
      <c r="K44" s="1614"/>
      <c r="L44" s="1614"/>
      <c r="M44" s="1614"/>
      <c r="N44" s="1614"/>
      <c r="O44" s="1614"/>
      <c r="P44" s="1614"/>
      <c r="Q44" s="1614"/>
      <c r="R44" s="1614"/>
      <c r="S44" s="1614"/>
      <c r="T44" s="1615"/>
      <c r="U44" s="1613"/>
      <c r="V44" s="1614"/>
      <c r="W44" s="1614"/>
      <c r="X44" s="1614"/>
      <c r="Y44" s="1614"/>
      <c r="Z44" s="1614"/>
      <c r="AA44" s="1614"/>
      <c r="AB44" s="1614"/>
      <c r="AC44" s="1614"/>
      <c r="AD44" s="1614"/>
      <c r="AE44" s="1614"/>
      <c r="AF44" s="1615"/>
      <c r="AG44" s="1613"/>
      <c r="AH44" s="1614"/>
      <c r="AI44" s="1614"/>
      <c r="AJ44" s="1614"/>
      <c r="AK44" s="1614"/>
      <c r="AL44" s="1614"/>
      <c r="AM44" s="1614"/>
      <c r="AN44" s="1614"/>
      <c r="AO44" s="1614"/>
      <c r="AP44" s="1614"/>
      <c r="AQ44" s="1614"/>
      <c r="AR44" s="1614"/>
      <c r="AS44" s="1614"/>
      <c r="AT44" s="1615"/>
      <c r="AU44" s="1613" t="s">
        <v>93</v>
      </c>
      <c r="AV44" s="1614"/>
      <c r="AW44" s="1614"/>
      <c r="AX44" s="1614"/>
      <c r="AY44" s="1614"/>
      <c r="AZ44" s="1614"/>
      <c r="BA44" s="1614"/>
      <c r="BB44" s="1614"/>
      <c r="BC44" s="1614"/>
      <c r="BD44" s="1614"/>
      <c r="BE44" s="1614"/>
      <c r="BF44" s="1614"/>
      <c r="BG44" s="1614"/>
      <c r="BH44" s="1615"/>
      <c r="BI44" s="1613" t="s">
        <v>94</v>
      </c>
      <c r="BJ44" s="1614"/>
      <c r="BK44" s="1614"/>
      <c r="BL44" s="1614"/>
      <c r="BM44" s="1614"/>
      <c r="BN44" s="1614"/>
      <c r="BO44" s="1614"/>
      <c r="BP44" s="1614"/>
      <c r="BQ44" s="1614"/>
      <c r="BR44" s="1614"/>
      <c r="BS44" s="1614"/>
      <c r="BT44" s="1614"/>
      <c r="BU44" s="1614"/>
      <c r="BV44" s="1615"/>
      <c r="BW44" s="1613" t="s">
        <v>94</v>
      </c>
      <c r="BX44" s="1614"/>
      <c r="BY44" s="1614"/>
      <c r="BZ44" s="1614"/>
      <c r="CA44" s="1614"/>
      <c r="CB44" s="1614"/>
      <c r="CC44" s="1614"/>
      <c r="CD44" s="1614"/>
      <c r="CE44" s="1614"/>
      <c r="CF44" s="1614"/>
      <c r="CG44" s="1614"/>
      <c r="CH44" s="1614"/>
      <c r="CI44" s="1614"/>
      <c r="CJ44" s="1615"/>
      <c r="CK44" s="1616"/>
      <c r="CL44" s="1617"/>
      <c r="CM44" s="1617"/>
      <c r="CN44" s="1617"/>
      <c r="CO44" s="1617"/>
      <c r="CP44" s="1617"/>
      <c r="CQ44" s="1617"/>
      <c r="CR44" s="1617"/>
      <c r="CS44" s="1617"/>
      <c r="CT44" s="1617"/>
      <c r="CU44" s="1618"/>
      <c r="CV44" s="1616"/>
      <c r="CW44" s="1617"/>
      <c r="CX44" s="1617"/>
      <c r="CY44" s="1617"/>
      <c r="CZ44" s="1617"/>
      <c r="DA44" s="1617"/>
      <c r="DB44" s="1617"/>
      <c r="DC44" s="1617"/>
      <c r="DD44" s="1617"/>
      <c r="DE44" s="1618"/>
      <c r="DF44" s="1613" t="s">
        <v>95</v>
      </c>
      <c r="DG44" s="1614"/>
      <c r="DH44" s="1614"/>
      <c r="DI44" s="1614"/>
      <c r="DJ44" s="1614"/>
      <c r="DK44" s="1614"/>
      <c r="DL44" s="1614"/>
      <c r="DM44" s="1614"/>
      <c r="DN44" s="1614"/>
      <c r="DO44" s="1614"/>
      <c r="DP44" s="1614"/>
      <c r="DQ44" s="1614"/>
      <c r="DR44" s="1614"/>
      <c r="DS44" s="1615"/>
      <c r="DT44" s="1641"/>
      <c r="DU44" s="1641"/>
      <c r="DV44" s="1641"/>
      <c r="DW44" s="1641"/>
      <c r="DX44" s="1641"/>
      <c r="DY44" s="1641"/>
      <c r="EF44" s="607"/>
      <c r="EG44" s="607"/>
      <c r="EH44" s="607"/>
      <c r="EI44" s="607"/>
      <c r="EJ44" s="607"/>
      <c r="EK44" s="607"/>
      <c r="EL44" s="607"/>
      <c r="EM44" s="607"/>
      <c r="EN44" s="607"/>
      <c r="EO44" s="607"/>
    </row>
    <row r="45" spans="1:145" s="479" customFormat="1" x14ac:dyDescent="0.25">
      <c r="A45" s="1607">
        <v>1</v>
      </c>
      <c r="B45" s="1608"/>
      <c r="C45" s="1608"/>
      <c r="D45" s="1609"/>
      <c r="E45" s="1607">
        <v>2</v>
      </c>
      <c r="F45" s="1608"/>
      <c r="G45" s="1608"/>
      <c r="H45" s="1608"/>
      <c r="I45" s="1608"/>
      <c r="J45" s="1608"/>
      <c r="K45" s="1608"/>
      <c r="L45" s="1608"/>
      <c r="M45" s="1608"/>
      <c r="N45" s="1608"/>
      <c r="O45" s="1608"/>
      <c r="P45" s="1608"/>
      <c r="Q45" s="1608"/>
      <c r="R45" s="1608"/>
      <c r="S45" s="1608"/>
      <c r="T45" s="1609"/>
      <c r="U45" s="1607">
        <v>3</v>
      </c>
      <c r="V45" s="1608"/>
      <c r="W45" s="1608"/>
      <c r="X45" s="1608"/>
      <c r="Y45" s="1608"/>
      <c r="Z45" s="1608"/>
      <c r="AA45" s="1608"/>
      <c r="AB45" s="1608"/>
      <c r="AC45" s="1608"/>
      <c r="AD45" s="1608"/>
      <c r="AE45" s="1608"/>
      <c r="AF45" s="1609"/>
      <c r="AG45" s="1607" t="s">
        <v>47</v>
      </c>
      <c r="AH45" s="1608"/>
      <c r="AI45" s="1608"/>
      <c r="AJ45" s="1608"/>
      <c r="AK45" s="1608"/>
      <c r="AL45" s="1608"/>
      <c r="AM45" s="1608"/>
      <c r="AN45" s="1608"/>
      <c r="AO45" s="1608"/>
      <c r="AP45" s="1608"/>
      <c r="AQ45" s="1608"/>
      <c r="AR45" s="1608"/>
      <c r="AS45" s="1608"/>
      <c r="AT45" s="1609"/>
      <c r="AU45" s="1607">
        <v>5</v>
      </c>
      <c r="AV45" s="1608"/>
      <c r="AW45" s="1608"/>
      <c r="AX45" s="1608"/>
      <c r="AY45" s="1608"/>
      <c r="AZ45" s="1608"/>
      <c r="BA45" s="1608"/>
      <c r="BB45" s="1608"/>
      <c r="BC45" s="1608"/>
      <c r="BD45" s="1608"/>
      <c r="BE45" s="1608"/>
      <c r="BF45" s="1608"/>
      <c r="BG45" s="1608"/>
      <c r="BH45" s="1609"/>
      <c r="BI45" s="1607">
        <v>6</v>
      </c>
      <c r="BJ45" s="1608"/>
      <c r="BK45" s="1608"/>
      <c r="BL45" s="1608"/>
      <c r="BM45" s="1608"/>
      <c r="BN45" s="1608"/>
      <c r="BO45" s="1608"/>
      <c r="BP45" s="1608"/>
      <c r="BQ45" s="1608"/>
      <c r="BR45" s="1608"/>
      <c r="BS45" s="1608"/>
      <c r="BT45" s="1608"/>
      <c r="BU45" s="1608"/>
      <c r="BV45" s="1609"/>
      <c r="BW45" s="1607">
        <v>7</v>
      </c>
      <c r="BX45" s="1608"/>
      <c r="BY45" s="1608"/>
      <c r="BZ45" s="1608"/>
      <c r="CA45" s="1608"/>
      <c r="CB45" s="1608"/>
      <c r="CC45" s="1608"/>
      <c r="CD45" s="1608"/>
      <c r="CE45" s="1608"/>
      <c r="CF45" s="1608"/>
      <c r="CG45" s="1608"/>
      <c r="CH45" s="1608"/>
      <c r="CI45" s="1608"/>
      <c r="CJ45" s="1609"/>
      <c r="CK45" s="1607">
        <v>8</v>
      </c>
      <c r="CL45" s="1608"/>
      <c r="CM45" s="1608"/>
      <c r="CN45" s="1608"/>
      <c r="CO45" s="1608"/>
      <c r="CP45" s="1608"/>
      <c r="CQ45" s="1608"/>
      <c r="CR45" s="1608"/>
      <c r="CS45" s="1608"/>
      <c r="CT45" s="1608"/>
      <c r="CU45" s="1609"/>
      <c r="CV45" s="1607">
        <v>9</v>
      </c>
      <c r="CW45" s="1608"/>
      <c r="CX45" s="1608"/>
      <c r="CY45" s="1608"/>
      <c r="CZ45" s="1608"/>
      <c r="DA45" s="1608"/>
      <c r="DB45" s="1608"/>
      <c r="DC45" s="1608"/>
      <c r="DD45" s="1608"/>
      <c r="DE45" s="1609"/>
      <c r="DF45" s="1607" t="s">
        <v>96</v>
      </c>
      <c r="DG45" s="1608"/>
      <c r="DH45" s="1608"/>
      <c r="DI45" s="1608"/>
      <c r="DJ45" s="1608"/>
      <c r="DK45" s="1608"/>
      <c r="DL45" s="1608"/>
      <c r="DM45" s="1608"/>
      <c r="DN45" s="1608"/>
      <c r="DO45" s="1608"/>
      <c r="DP45" s="1608"/>
      <c r="DQ45" s="1608"/>
      <c r="DR45" s="1608"/>
      <c r="DS45" s="1609"/>
      <c r="DT45" s="474">
        <v>9</v>
      </c>
      <c r="DU45" s="474">
        <v>10</v>
      </c>
      <c r="DV45" s="474">
        <v>11</v>
      </c>
      <c r="DW45" s="474">
        <v>12</v>
      </c>
      <c r="DX45" s="474">
        <v>13</v>
      </c>
      <c r="DY45" s="474">
        <v>14</v>
      </c>
      <c r="EF45" s="607"/>
      <c r="EG45" s="607"/>
      <c r="EH45" s="607"/>
      <c r="EI45" s="607"/>
      <c r="EJ45" s="607"/>
      <c r="EK45" s="607"/>
      <c r="EL45" s="607"/>
      <c r="EM45" s="607"/>
      <c r="EN45" s="607"/>
      <c r="EO45" s="607"/>
    </row>
    <row r="46" spans="1:145" s="479" customFormat="1" ht="37.700000000000003" customHeight="1" x14ac:dyDescent="0.25">
      <c r="A46" s="1592">
        <v>1</v>
      </c>
      <c r="B46" s="1593"/>
      <c r="C46" s="1593"/>
      <c r="D46" s="1594"/>
      <c r="E46" s="1595" t="s">
        <v>840</v>
      </c>
      <c r="F46" s="1596"/>
      <c r="G46" s="1596"/>
      <c r="H46" s="1596"/>
      <c r="I46" s="1596"/>
      <c r="J46" s="1596"/>
      <c r="K46" s="1596"/>
      <c r="L46" s="1596"/>
      <c r="M46" s="1596"/>
      <c r="N46" s="1596"/>
      <c r="O46" s="1596"/>
      <c r="P46" s="1596"/>
      <c r="Q46" s="1596"/>
      <c r="R46" s="1596"/>
      <c r="S46" s="1596"/>
      <c r="T46" s="1597"/>
      <c r="U46" s="1601">
        <f>'расч ФОТ обл с 01.07-31.08'!C6</f>
        <v>1</v>
      </c>
      <c r="V46" s="1602"/>
      <c r="W46" s="1602"/>
      <c r="X46" s="1602"/>
      <c r="Y46" s="1602"/>
      <c r="Z46" s="1602"/>
      <c r="AA46" s="1602"/>
      <c r="AB46" s="1602"/>
      <c r="AC46" s="1602"/>
      <c r="AD46" s="1602"/>
      <c r="AE46" s="1602"/>
      <c r="AF46" s="1603"/>
      <c r="AG46" s="1601">
        <f>AU46+BI46+BW46</f>
        <v>44104.94</v>
      </c>
      <c r="AH46" s="1602"/>
      <c r="AI46" s="1602"/>
      <c r="AJ46" s="1602"/>
      <c r="AK46" s="1602"/>
      <c r="AL46" s="1602"/>
      <c r="AM46" s="1602"/>
      <c r="AN46" s="1602"/>
      <c r="AO46" s="1602"/>
      <c r="AP46" s="1602"/>
      <c r="AQ46" s="1602"/>
      <c r="AR46" s="1602"/>
      <c r="AS46" s="1602"/>
      <c r="AT46" s="1603"/>
      <c r="AU46" s="1601">
        <f>'расч ФОТ обл с 01.07-31.08'!L6</f>
        <v>35568.5</v>
      </c>
      <c r="AV46" s="1602"/>
      <c r="AW46" s="1602"/>
      <c r="AX46" s="1602"/>
      <c r="AY46" s="1602"/>
      <c r="AZ46" s="1602"/>
      <c r="BA46" s="1602"/>
      <c r="BB46" s="1602"/>
      <c r="BC46" s="1602"/>
      <c r="BD46" s="1602"/>
      <c r="BE46" s="1602"/>
      <c r="BF46" s="1602"/>
      <c r="BG46" s="1602"/>
      <c r="BH46" s="1603"/>
      <c r="BI46" s="1601">
        <f>'расч ФОТ обл с 01.07-31.08'!M6</f>
        <v>0</v>
      </c>
      <c r="BJ46" s="1602"/>
      <c r="BK46" s="1602"/>
      <c r="BL46" s="1602"/>
      <c r="BM46" s="1602"/>
      <c r="BN46" s="1602"/>
      <c r="BO46" s="1602"/>
      <c r="BP46" s="1602"/>
      <c r="BQ46" s="1602"/>
      <c r="BR46" s="1602"/>
      <c r="BS46" s="1602"/>
      <c r="BT46" s="1602"/>
      <c r="BU46" s="1602"/>
      <c r="BV46" s="1603"/>
      <c r="BW46" s="1589">
        <f>'расч ФОТ обл с 01.07-31.08'!T6</f>
        <v>8536.44</v>
      </c>
      <c r="BX46" s="1590"/>
      <c r="BY46" s="1590"/>
      <c r="BZ46" s="1590"/>
      <c r="CA46" s="1590"/>
      <c r="CB46" s="1590"/>
      <c r="CC46" s="1590"/>
      <c r="CD46" s="1590"/>
      <c r="CE46" s="1590"/>
      <c r="CF46" s="1590"/>
      <c r="CG46" s="1590"/>
      <c r="CH46" s="1590"/>
      <c r="CI46" s="1590"/>
      <c r="CJ46" s="1591"/>
      <c r="CK46" s="1589"/>
      <c r="CL46" s="1590"/>
      <c r="CM46" s="1590"/>
      <c r="CN46" s="1590"/>
      <c r="CO46" s="1590"/>
      <c r="CP46" s="1590"/>
      <c r="CQ46" s="1590"/>
      <c r="CR46" s="1590"/>
      <c r="CS46" s="1590"/>
      <c r="CT46" s="1590"/>
      <c r="CU46" s="1591"/>
      <c r="CV46" s="1589"/>
      <c r="CW46" s="1590"/>
      <c r="CX46" s="1590"/>
      <c r="CY46" s="1590"/>
      <c r="CZ46" s="1590"/>
      <c r="DA46" s="1590"/>
      <c r="DB46" s="1590"/>
      <c r="DC46" s="1590"/>
      <c r="DD46" s="1590"/>
      <c r="DE46" s="1591"/>
      <c r="DF46" s="1589">
        <f>DT46</f>
        <v>88209.88</v>
      </c>
      <c r="DG46" s="1590"/>
      <c r="DH46" s="1590"/>
      <c r="DI46" s="1590"/>
      <c r="DJ46" s="1590"/>
      <c r="DK46" s="1590"/>
      <c r="DL46" s="1590"/>
      <c r="DM46" s="1590"/>
      <c r="DN46" s="1590"/>
      <c r="DO46" s="1590"/>
      <c r="DP46" s="1590"/>
      <c r="DQ46" s="1590"/>
      <c r="DR46" s="1590"/>
      <c r="DS46" s="1591"/>
      <c r="DT46" s="475">
        <f>'расч ФОТ обл с 01.07-31.08'!W6</f>
        <v>88209.88</v>
      </c>
      <c r="DU46" s="475"/>
      <c r="DV46" s="476"/>
      <c r="DW46" s="475"/>
      <c r="DX46" s="475"/>
      <c r="DY46" s="475"/>
      <c r="EF46" s="607"/>
      <c r="EG46" s="607"/>
      <c r="EH46" s="607"/>
      <c r="EI46" s="607"/>
      <c r="EJ46" s="607"/>
      <c r="EK46" s="607"/>
      <c r="EL46" s="607"/>
      <c r="EM46" s="607"/>
      <c r="EN46" s="607"/>
      <c r="EO46" s="607"/>
    </row>
    <row r="47" spans="1:145" s="479" customFormat="1" ht="37.700000000000003" customHeight="1" x14ac:dyDescent="0.25">
      <c r="A47" s="1592">
        <v>2</v>
      </c>
      <c r="B47" s="1593"/>
      <c r="C47" s="1593"/>
      <c r="D47" s="1594"/>
      <c r="E47" s="1595" t="s">
        <v>564</v>
      </c>
      <c r="F47" s="1596"/>
      <c r="G47" s="1596"/>
      <c r="H47" s="1596"/>
      <c r="I47" s="1596"/>
      <c r="J47" s="1596"/>
      <c r="K47" s="1596"/>
      <c r="L47" s="1596"/>
      <c r="M47" s="1596"/>
      <c r="N47" s="1596"/>
      <c r="O47" s="1596"/>
      <c r="P47" s="1596"/>
      <c r="Q47" s="1596"/>
      <c r="R47" s="1596"/>
      <c r="S47" s="1596"/>
      <c r="T47" s="1597"/>
      <c r="U47" s="1601">
        <f>'расч ФОТ обл с 01.07-31.08'!C7</f>
        <v>0.5</v>
      </c>
      <c r="V47" s="1602"/>
      <c r="W47" s="1602"/>
      <c r="X47" s="1602"/>
      <c r="Y47" s="1602"/>
      <c r="Z47" s="1602"/>
      <c r="AA47" s="1602"/>
      <c r="AB47" s="1602"/>
      <c r="AC47" s="1602"/>
      <c r="AD47" s="1602"/>
      <c r="AE47" s="1602"/>
      <c r="AF47" s="1603"/>
      <c r="AG47" s="1601">
        <f t="shared" ref="AG47:AG58" si="4">AU47+BI47+BW47</f>
        <v>28280.803999999996</v>
      </c>
      <c r="AH47" s="1602"/>
      <c r="AI47" s="1602"/>
      <c r="AJ47" s="1602"/>
      <c r="AK47" s="1602"/>
      <c r="AL47" s="1602"/>
      <c r="AM47" s="1602"/>
      <c r="AN47" s="1602"/>
      <c r="AO47" s="1602"/>
      <c r="AP47" s="1602"/>
      <c r="AQ47" s="1602"/>
      <c r="AR47" s="1602"/>
      <c r="AS47" s="1602"/>
      <c r="AT47" s="1603"/>
      <c r="AU47" s="1601">
        <f>'расч ФОТ обл с 01.07-31.08'!L7</f>
        <v>22807.1</v>
      </c>
      <c r="AV47" s="1602"/>
      <c r="AW47" s="1602"/>
      <c r="AX47" s="1602"/>
      <c r="AY47" s="1602"/>
      <c r="AZ47" s="1602"/>
      <c r="BA47" s="1602"/>
      <c r="BB47" s="1602"/>
      <c r="BC47" s="1602"/>
      <c r="BD47" s="1602"/>
      <c r="BE47" s="1602"/>
      <c r="BF47" s="1602"/>
      <c r="BG47" s="1602"/>
      <c r="BH47" s="1603"/>
      <c r="BI47" s="1601">
        <f>'расч ФОТ обл с 01.07-31.08'!M7</f>
        <v>0</v>
      </c>
      <c r="BJ47" s="1602"/>
      <c r="BK47" s="1602"/>
      <c r="BL47" s="1602"/>
      <c r="BM47" s="1602"/>
      <c r="BN47" s="1602"/>
      <c r="BO47" s="1602"/>
      <c r="BP47" s="1602"/>
      <c r="BQ47" s="1602"/>
      <c r="BR47" s="1602"/>
      <c r="BS47" s="1602"/>
      <c r="BT47" s="1602"/>
      <c r="BU47" s="1602"/>
      <c r="BV47" s="1603"/>
      <c r="BW47" s="1589">
        <f>'расч ФОТ обл с 01.07-31.08'!T7</f>
        <v>5473.7039999999997</v>
      </c>
      <c r="BX47" s="1590"/>
      <c r="BY47" s="1590"/>
      <c r="BZ47" s="1590"/>
      <c r="CA47" s="1590"/>
      <c r="CB47" s="1590"/>
      <c r="CC47" s="1590"/>
      <c r="CD47" s="1590"/>
      <c r="CE47" s="1590"/>
      <c r="CF47" s="1590"/>
      <c r="CG47" s="1590"/>
      <c r="CH47" s="1590"/>
      <c r="CI47" s="1590"/>
      <c r="CJ47" s="1591"/>
      <c r="CK47" s="1589"/>
      <c r="CL47" s="1590"/>
      <c r="CM47" s="1590"/>
      <c r="CN47" s="1590"/>
      <c r="CO47" s="1590"/>
      <c r="CP47" s="1590"/>
      <c r="CQ47" s="1590"/>
      <c r="CR47" s="1590"/>
      <c r="CS47" s="1590"/>
      <c r="CT47" s="1590"/>
      <c r="CU47" s="1591"/>
      <c r="CV47" s="1589"/>
      <c r="CW47" s="1590"/>
      <c r="CX47" s="1590"/>
      <c r="CY47" s="1590"/>
      <c r="CZ47" s="1590"/>
      <c r="DA47" s="1590"/>
      <c r="DB47" s="1590"/>
      <c r="DC47" s="1590"/>
      <c r="DD47" s="1590"/>
      <c r="DE47" s="1591"/>
      <c r="DF47" s="1589">
        <f t="shared" ref="DF47:DF58" si="5">DT47</f>
        <v>56561.607999999993</v>
      </c>
      <c r="DG47" s="1590"/>
      <c r="DH47" s="1590"/>
      <c r="DI47" s="1590"/>
      <c r="DJ47" s="1590"/>
      <c r="DK47" s="1590"/>
      <c r="DL47" s="1590"/>
      <c r="DM47" s="1590"/>
      <c r="DN47" s="1590"/>
      <c r="DO47" s="1590"/>
      <c r="DP47" s="1590"/>
      <c r="DQ47" s="1590"/>
      <c r="DR47" s="1590"/>
      <c r="DS47" s="1591"/>
      <c r="DT47" s="475">
        <f>'расч ФОТ обл с 01.07-31.08'!W7</f>
        <v>56561.607999999993</v>
      </c>
      <c r="DU47" s="475"/>
      <c r="DV47" s="476"/>
      <c r="DW47" s="475"/>
      <c r="DX47" s="475"/>
      <c r="DY47" s="475"/>
      <c r="EF47" s="607"/>
      <c r="EG47" s="607"/>
      <c r="EH47" s="607"/>
      <c r="EI47" s="607"/>
      <c r="EJ47" s="607"/>
      <c r="EK47" s="607"/>
      <c r="EL47" s="607"/>
      <c r="EM47" s="607"/>
      <c r="EN47" s="607"/>
      <c r="EO47" s="607"/>
    </row>
    <row r="48" spans="1:145" s="479" customFormat="1" ht="37.700000000000003" customHeight="1" x14ac:dyDescent="0.25">
      <c r="A48" s="1592">
        <v>3</v>
      </c>
      <c r="B48" s="1593"/>
      <c r="C48" s="1593"/>
      <c r="D48" s="1594"/>
      <c r="E48" s="1595" t="s">
        <v>821</v>
      </c>
      <c r="F48" s="1596"/>
      <c r="G48" s="1596"/>
      <c r="H48" s="1596"/>
      <c r="I48" s="1596"/>
      <c r="J48" s="1596"/>
      <c r="K48" s="1596"/>
      <c r="L48" s="1596"/>
      <c r="M48" s="1596"/>
      <c r="N48" s="1596"/>
      <c r="O48" s="1596"/>
      <c r="P48" s="1596"/>
      <c r="Q48" s="1596"/>
      <c r="R48" s="1596"/>
      <c r="S48" s="1596"/>
      <c r="T48" s="1597"/>
      <c r="U48" s="1601">
        <f>'расч ФОТ обл с 01.07-31.08'!C8</f>
        <v>6.15</v>
      </c>
      <c r="V48" s="1602"/>
      <c r="W48" s="1602"/>
      <c r="X48" s="1602"/>
      <c r="Y48" s="1602"/>
      <c r="Z48" s="1602"/>
      <c r="AA48" s="1602"/>
      <c r="AB48" s="1602"/>
      <c r="AC48" s="1602"/>
      <c r="AD48" s="1602"/>
      <c r="AE48" s="1602"/>
      <c r="AF48" s="1603"/>
      <c r="AG48" s="1601">
        <f t="shared" si="4"/>
        <v>177361.712</v>
      </c>
      <c r="AH48" s="1602"/>
      <c r="AI48" s="1602"/>
      <c r="AJ48" s="1602"/>
      <c r="AK48" s="1602"/>
      <c r="AL48" s="1602"/>
      <c r="AM48" s="1602"/>
      <c r="AN48" s="1602"/>
      <c r="AO48" s="1602"/>
      <c r="AP48" s="1602"/>
      <c r="AQ48" s="1602"/>
      <c r="AR48" s="1602"/>
      <c r="AS48" s="1602"/>
      <c r="AT48" s="1603"/>
      <c r="AU48" s="1601">
        <f>'расч ФОТ обл с 01.07-31.08'!L8</f>
        <v>136386.80000000002</v>
      </c>
      <c r="AV48" s="1602"/>
      <c r="AW48" s="1602"/>
      <c r="AX48" s="1602"/>
      <c r="AY48" s="1602"/>
      <c r="AZ48" s="1602"/>
      <c r="BA48" s="1602"/>
      <c r="BB48" s="1602"/>
      <c r="BC48" s="1602"/>
      <c r="BD48" s="1602"/>
      <c r="BE48" s="1602"/>
      <c r="BF48" s="1602"/>
      <c r="BG48" s="1602"/>
      <c r="BH48" s="1603"/>
      <c r="BI48" s="1601">
        <f>'расч ФОТ обл с 01.07-31.08'!M8</f>
        <v>8242.08</v>
      </c>
      <c r="BJ48" s="1602"/>
      <c r="BK48" s="1602"/>
      <c r="BL48" s="1602"/>
      <c r="BM48" s="1602"/>
      <c r="BN48" s="1602"/>
      <c r="BO48" s="1602"/>
      <c r="BP48" s="1602"/>
      <c r="BQ48" s="1602"/>
      <c r="BR48" s="1602"/>
      <c r="BS48" s="1602"/>
      <c r="BT48" s="1602"/>
      <c r="BU48" s="1602"/>
      <c r="BV48" s="1603"/>
      <c r="BW48" s="1589">
        <f>'расч ФОТ обл с 01.07-31.08'!T8</f>
        <v>32732.832000000002</v>
      </c>
      <c r="BX48" s="1590"/>
      <c r="BY48" s="1590"/>
      <c r="BZ48" s="1590"/>
      <c r="CA48" s="1590"/>
      <c r="CB48" s="1590"/>
      <c r="CC48" s="1590"/>
      <c r="CD48" s="1590"/>
      <c r="CE48" s="1590"/>
      <c r="CF48" s="1590"/>
      <c r="CG48" s="1590"/>
      <c r="CH48" s="1590"/>
      <c r="CI48" s="1590"/>
      <c r="CJ48" s="1591"/>
      <c r="CK48" s="1589"/>
      <c r="CL48" s="1590"/>
      <c r="CM48" s="1590"/>
      <c r="CN48" s="1590"/>
      <c r="CO48" s="1590"/>
      <c r="CP48" s="1590"/>
      <c r="CQ48" s="1590"/>
      <c r="CR48" s="1590"/>
      <c r="CS48" s="1590"/>
      <c r="CT48" s="1590"/>
      <c r="CU48" s="1591"/>
      <c r="CV48" s="1589"/>
      <c r="CW48" s="1590"/>
      <c r="CX48" s="1590"/>
      <c r="CY48" s="1590"/>
      <c r="CZ48" s="1590"/>
      <c r="DA48" s="1590"/>
      <c r="DB48" s="1590"/>
      <c r="DC48" s="1590"/>
      <c r="DD48" s="1590"/>
      <c r="DE48" s="1591"/>
      <c r="DF48" s="1589">
        <f t="shared" si="5"/>
        <v>621427.81140000001</v>
      </c>
      <c r="DG48" s="1590"/>
      <c r="DH48" s="1590"/>
      <c r="DI48" s="1590"/>
      <c r="DJ48" s="1590"/>
      <c r="DK48" s="1590"/>
      <c r="DL48" s="1590"/>
      <c r="DM48" s="1590"/>
      <c r="DN48" s="1590"/>
      <c r="DO48" s="1590"/>
      <c r="DP48" s="1590"/>
      <c r="DQ48" s="1590"/>
      <c r="DR48" s="1590"/>
      <c r="DS48" s="1591"/>
      <c r="DT48" s="475">
        <f>'расч ФОТ обл с 01.07-31.08'!W8</f>
        <v>621427.81140000001</v>
      </c>
      <c r="DU48" s="475"/>
      <c r="DV48" s="476"/>
      <c r="DW48" s="475"/>
      <c r="DX48" s="475"/>
      <c r="DY48" s="475"/>
      <c r="EF48" s="607"/>
      <c r="EG48" s="607"/>
      <c r="EH48" s="607"/>
      <c r="EI48" s="607"/>
      <c r="EJ48" s="607"/>
      <c r="EK48" s="607"/>
      <c r="EL48" s="607"/>
      <c r="EM48" s="607"/>
      <c r="EN48" s="607"/>
      <c r="EO48" s="607"/>
    </row>
    <row r="49" spans="1:145" s="479" customFormat="1" ht="37.700000000000003" customHeight="1" x14ac:dyDescent="0.25">
      <c r="A49" s="1592">
        <v>4</v>
      </c>
      <c r="B49" s="1593"/>
      <c r="C49" s="1593"/>
      <c r="D49" s="1594"/>
      <c r="E49" s="1595" t="s">
        <v>822</v>
      </c>
      <c r="F49" s="1596"/>
      <c r="G49" s="1596"/>
      <c r="H49" s="1596"/>
      <c r="I49" s="1596"/>
      <c r="J49" s="1596"/>
      <c r="K49" s="1596"/>
      <c r="L49" s="1596"/>
      <c r="M49" s="1596"/>
      <c r="N49" s="1596"/>
      <c r="O49" s="1596"/>
      <c r="P49" s="1596"/>
      <c r="Q49" s="1596"/>
      <c r="R49" s="1596"/>
      <c r="S49" s="1596"/>
      <c r="T49" s="1597"/>
      <c r="U49" s="1601">
        <f>'расч ФОТ обл с 01.07-31.08'!C9</f>
        <v>2</v>
      </c>
      <c r="V49" s="1602"/>
      <c r="W49" s="1602"/>
      <c r="X49" s="1602"/>
      <c r="Y49" s="1602"/>
      <c r="Z49" s="1602"/>
      <c r="AA49" s="1602"/>
      <c r="AB49" s="1602"/>
      <c r="AC49" s="1602"/>
      <c r="AD49" s="1602"/>
      <c r="AE49" s="1602"/>
      <c r="AF49" s="1603"/>
      <c r="AG49" s="1601">
        <f t="shared" si="4"/>
        <v>66461.582000000009</v>
      </c>
      <c r="AH49" s="1602"/>
      <c r="AI49" s="1602"/>
      <c r="AJ49" s="1602"/>
      <c r="AK49" s="1602"/>
      <c r="AL49" s="1602"/>
      <c r="AM49" s="1602"/>
      <c r="AN49" s="1602"/>
      <c r="AO49" s="1602"/>
      <c r="AP49" s="1602"/>
      <c r="AQ49" s="1602"/>
      <c r="AR49" s="1602"/>
      <c r="AS49" s="1602"/>
      <c r="AT49" s="1603"/>
      <c r="AU49" s="1601">
        <f>'расч ФОТ обл с 01.07-31.08'!L9</f>
        <v>53598.05</v>
      </c>
      <c r="AV49" s="1602"/>
      <c r="AW49" s="1602"/>
      <c r="AX49" s="1602"/>
      <c r="AY49" s="1602"/>
      <c r="AZ49" s="1602"/>
      <c r="BA49" s="1602"/>
      <c r="BB49" s="1602"/>
      <c r="BC49" s="1602"/>
      <c r="BD49" s="1602"/>
      <c r="BE49" s="1602"/>
      <c r="BF49" s="1602"/>
      <c r="BG49" s="1602"/>
      <c r="BH49" s="1603"/>
      <c r="BI49" s="1601">
        <f>'расч ФОТ обл с 01.07-31.08'!M9</f>
        <v>0</v>
      </c>
      <c r="BJ49" s="1602"/>
      <c r="BK49" s="1602"/>
      <c r="BL49" s="1602"/>
      <c r="BM49" s="1602"/>
      <c r="BN49" s="1602"/>
      <c r="BO49" s="1602"/>
      <c r="BP49" s="1602"/>
      <c r="BQ49" s="1602"/>
      <c r="BR49" s="1602"/>
      <c r="BS49" s="1602"/>
      <c r="BT49" s="1602"/>
      <c r="BU49" s="1602"/>
      <c r="BV49" s="1603"/>
      <c r="BW49" s="1589">
        <f>'расч ФОТ обл с 01.07-31.08'!T9</f>
        <v>12863.532000000001</v>
      </c>
      <c r="BX49" s="1590"/>
      <c r="BY49" s="1590"/>
      <c r="BZ49" s="1590"/>
      <c r="CA49" s="1590"/>
      <c r="CB49" s="1590"/>
      <c r="CC49" s="1590"/>
      <c r="CD49" s="1590"/>
      <c r="CE49" s="1590"/>
      <c r="CF49" s="1590"/>
      <c r="CG49" s="1590"/>
      <c r="CH49" s="1590"/>
      <c r="CI49" s="1590"/>
      <c r="CJ49" s="1591"/>
      <c r="CK49" s="1589"/>
      <c r="CL49" s="1590"/>
      <c r="CM49" s="1590"/>
      <c r="CN49" s="1590"/>
      <c r="CO49" s="1590"/>
      <c r="CP49" s="1590"/>
      <c r="CQ49" s="1590"/>
      <c r="CR49" s="1590"/>
      <c r="CS49" s="1590"/>
      <c r="CT49" s="1590"/>
      <c r="CU49" s="1591"/>
      <c r="CV49" s="1589"/>
      <c r="CW49" s="1590"/>
      <c r="CX49" s="1590"/>
      <c r="CY49" s="1590"/>
      <c r="CZ49" s="1590"/>
      <c r="DA49" s="1590"/>
      <c r="DB49" s="1590"/>
      <c r="DC49" s="1590"/>
      <c r="DD49" s="1590"/>
      <c r="DE49" s="1591"/>
      <c r="DF49" s="1589">
        <f t="shared" si="5"/>
        <v>236903.38100000002</v>
      </c>
      <c r="DG49" s="1590"/>
      <c r="DH49" s="1590"/>
      <c r="DI49" s="1590"/>
      <c r="DJ49" s="1590"/>
      <c r="DK49" s="1590"/>
      <c r="DL49" s="1590"/>
      <c r="DM49" s="1590"/>
      <c r="DN49" s="1590"/>
      <c r="DO49" s="1590"/>
      <c r="DP49" s="1590"/>
      <c r="DQ49" s="1590"/>
      <c r="DR49" s="1590"/>
      <c r="DS49" s="1591"/>
      <c r="DT49" s="475">
        <f>'расч ФОТ обл с 01.07-31.08'!W9</f>
        <v>236903.38100000002</v>
      </c>
      <c r="DU49" s="475"/>
      <c r="DV49" s="476"/>
      <c r="DW49" s="475"/>
      <c r="DX49" s="475"/>
      <c r="DY49" s="475"/>
      <c r="EF49" s="607"/>
      <c r="EG49" s="607"/>
      <c r="EH49" s="607"/>
      <c r="EI49" s="607"/>
      <c r="EJ49" s="607"/>
      <c r="EK49" s="607"/>
      <c r="EL49" s="607"/>
      <c r="EM49" s="607"/>
      <c r="EN49" s="607"/>
      <c r="EO49" s="607"/>
    </row>
    <row r="50" spans="1:145" s="479" customFormat="1" ht="37.700000000000003" customHeight="1" x14ac:dyDescent="0.25">
      <c r="A50" s="1592">
        <v>5</v>
      </c>
      <c r="B50" s="1593"/>
      <c r="C50" s="1593"/>
      <c r="D50" s="1594"/>
      <c r="E50" s="1595" t="s">
        <v>823</v>
      </c>
      <c r="F50" s="1596"/>
      <c r="G50" s="1596"/>
      <c r="H50" s="1596"/>
      <c r="I50" s="1596"/>
      <c r="J50" s="1596"/>
      <c r="K50" s="1596"/>
      <c r="L50" s="1596"/>
      <c r="M50" s="1596"/>
      <c r="N50" s="1596"/>
      <c r="O50" s="1596"/>
      <c r="P50" s="1596"/>
      <c r="Q50" s="1596"/>
      <c r="R50" s="1596"/>
      <c r="S50" s="1596"/>
      <c r="T50" s="1597"/>
      <c r="U50" s="1601">
        <f>'расч ФОТ обл с 01.07-31.08'!C10</f>
        <v>0.5</v>
      </c>
      <c r="V50" s="1602"/>
      <c r="W50" s="1602"/>
      <c r="X50" s="1602"/>
      <c r="Y50" s="1602"/>
      <c r="Z50" s="1602"/>
      <c r="AA50" s="1602"/>
      <c r="AB50" s="1602"/>
      <c r="AC50" s="1602"/>
      <c r="AD50" s="1602"/>
      <c r="AE50" s="1602"/>
      <c r="AF50" s="1603"/>
      <c r="AG50" s="1601">
        <f t="shared" si="4"/>
        <v>19059.821199999998</v>
      </c>
      <c r="AH50" s="1602"/>
      <c r="AI50" s="1602"/>
      <c r="AJ50" s="1602"/>
      <c r="AK50" s="1602"/>
      <c r="AL50" s="1602"/>
      <c r="AM50" s="1602"/>
      <c r="AN50" s="1602"/>
      <c r="AO50" s="1602"/>
      <c r="AP50" s="1602"/>
      <c r="AQ50" s="1602"/>
      <c r="AR50" s="1602"/>
      <c r="AS50" s="1602"/>
      <c r="AT50" s="1603"/>
      <c r="AU50" s="1601">
        <f>'расч ФОТ обл с 01.07-31.08'!L10</f>
        <v>15024.63</v>
      </c>
      <c r="AV50" s="1602"/>
      <c r="AW50" s="1602"/>
      <c r="AX50" s="1602"/>
      <c r="AY50" s="1602"/>
      <c r="AZ50" s="1602"/>
      <c r="BA50" s="1602"/>
      <c r="BB50" s="1602"/>
      <c r="BC50" s="1602"/>
      <c r="BD50" s="1602"/>
      <c r="BE50" s="1602"/>
      <c r="BF50" s="1602"/>
      <c r="BG50" s="1602"/>
      <c r="BH50" s="1603"/>
      <c r="BI50" s="1601">
        <f>'расч ФОТ обл с 01.07-31.08'!M10</f>
        <v>429.28</v>
      </c>
      <c r="BJ50" s="1602"/>
      <c r="BK50" s="1602"/>
      <c r="BL50" s="1602"/>
      <c r="BM50" s="1602"/>
      <c r="BN50" s="1602"/>
      <c r="BO50" s="1602"/>
      <c r="BP50" s="1602"/>
      <c r="BQ50" s="1602"/>
      <c r="BR50" s="1602"/>
      <c r="BS50" s="1602"/>
      <c r="BT50" s="1602"/>
      <c r="BU50" s="1602"/>
      <c r="BV50" s="1603"/>
      <c r="BW50" s="1589">
        <f>'расч ФОТ обл с 01.07-31.08'!T10</f>
        <v>3605.9111999999996</v>
      </c>
      <c r="BX50" s="1590"/>
      <c r="BY50" s="1590"/>
      <c r="BZ50" s="1590"/>
      <c r="CA50" s="1590"/>
      <c r="CB50" s="1590"/>
      <c r="CC50" s="1590"/>
      <c r="CD50" s="1590"/>
      <c r="CE50" s="1590"/>
      <c r="CF50" s="1590"/>
      <c r="CG50" s="1590"/>
      <c r="CH50" s="1590"/>
      <c r="CI50" s="1590"/>
      <c r="CJ50" s="1591"/>
      <c r="CK50" s="1589"/>
      <c r="CL50" s="1590"/>
      <c r="CM50" s="1590"/>
      <c r="CN50" s="1590"/>
      <c r="CO50" s="1590"/>
      <c r="CP50" s="1590"/>
      <c r="CQ50" s="1590"/>
      <c r="CR50" s="1590"/>
      <c r="CS50" s="1590"/>
      <c r="CT50" s="1590"/>
      <c r="CU50" s="1591"/>
      <c r="CV50" s="1589"/>
      <c r="CW50" s="1590"/>
      <c r="CX50" s="1590"/>
      <c r="CY50" s="1590"/>
      <c r="CZ50" s="1590"/>
      <c r="DA50" s="1590"/>
      <c r="DB50" s="1590"/>
      <c r="DC50" s="1590"/>
      <c r="DD50" s="1590"/>
      <c r="DE50" s="1591"/>
      <c r="DF50" s="1589">
        <f t="shared" si="5"/>
        <v>66666.439400000003</v>
      </c>
      <c r="DG50" s="1590"/>
      <c r="DH50" s="1590"/>
      <c r="DI50" s="1590"/>
      <c r="DJ50" s="1590"/>
      <c r="DK50" s="1590"/>
      <c r="DL50" s="1590"/>
      <c r="DM50" s="1590"/>
      <c r="DN50" s="1590"/>
      <c r="DO50" s="1590"/>
      <c r="DP50" s="1590"/>
      <c r="DQ50" s="1590"/>
      <c r="DR50" s="1590"/>
      <c r="DS50" s="1591"/>
      <c r="DT50" s="475">
        <f>'расч ФОТ обл с 01.07-31.08'!W10</f>
        <v>66666.439400000003</v>
      </c>
      <c r="DU50" s="475"/>
      <c r="DV50" s="476"/>
      <c r="DW50" s="475"/>
      <c r="DX50" s="475"/>
      <c r="DY50" s="475"/>
      <c r="EF50" s="607"/>
      <c r="EG50" s="607"/>
      <c r="EH50" s="607"/>
      <c r="EI50" s="607"/>
      <c r="EJ50" s="607"/>
      <c r="EK50" s="607"/>
      <c r="EL50" s="607"/>
      <c r="EM50" s="607"/>
      <c r="EN50" s="607"/>
      <c r="EO50" s="607"/>
    </row>
    <row r="51" spans="1:145" s="479" customFormat="1" ht="37.700000000000003" customHeight="1" x14ac:dyDescent="0.25">
      <c r="A51" s="1592">
        <v>6</v>
      </c>
      <c r="B51" s="1593"/>
      <c r="C51" s="1593"/>
      <c r="D51" s="1594"/>
      <c r="E51" s="1595" t="s">
        <v>824</v>
      </c>
      <c r="F51" s="1596"/>
      <c r="G51" s="1596"/>
      <c r="H51" s="1596"/>
      <c r="I51" s="1596"/>
      <c r="J51" s="1596"/>
      <c r="K51" s="1596"/>
      <c r="L51" s="1596"/>
      <c r="M51" s="1596"/>
      <c r="N51" s="1596"/>
      <c r="O51" s="1596"/>
      <c r="P51" s="1596"/>
      <c r="Q51" s="1596"/>
      <c r="R51" s="1596"/>
      <c r="S51" s="1596"/>
      <c r="T51" s="1597"/>
      <c r="U51" s="1601">
        <f>'расч ФОТ обл с 01.07-31.08'!C11</f>
        <v>1.25</v>
      </c>
      <c r="V51" s="1602"/>
      <c r="W51" s="1602"/>
      <c r="X51" s="1602"/>
      <c r="Y51" s="1602"/>
      <c r="Z51" s="1602"/>
      <c r="AA51" s="1602"/>
      <c r="AB51" s="1602"/>
      <c r="AC51" s="1602"/>
      <c r="AD51" s="1602"/>
      <c r="AE51" s="1602"/>
      <c r="AF51" s="1603"/>
      <c r="AG51" s="1601">
        <f t="shared" si="4"/>
        <v>28454.794399999999</v>
      </c>
      <c r="AH51" s="1602"/>
      <c r="AI51" s="1602"/>
      <c r="AJ51" s="1602"/>
      <c r="AK51" s="1602"/>
      <c r="AL51" s="1602"/>
      <c r="AM51" s="1602"/>
      <c r="AN51" s="1602"/>
      <c r="AO51" s="1602"/>
      <c r="AP51" s="1602"/>
      <c r="AQ51" s="1602"/>
      <c r="AR51" s="1602"/>
      <c r="AS51" s="1602"/>
      <c r="AT51" s="1603"/>
      <c r="AU51" s="1601">
        <f>'расч ФОТ обл с 01.07-31.08'!L11</f>
        <v>22230.31</v>
      </c>
      <c r="AV51" s="1602"/>
      <c r="AW51" s="1602"/>
      <c r="AX51" s="1602"/>
      <c r="AY51" s="1602"/>
      <c r="AZ51" s="1602"/>
      <c r="BA51" s="1602"/>
      <c r="BB51" s="1602"/>
      <c r="BC51" s="1602"/>
      <c r="BD51" s="1602"/>
      <c r="BE51" s="1602"/>
      <c r="BF51" s="1602"/>
      <c r="BG51" s="1602"/>
      <c r="BH51" s="1603"/>
      <c r="BI51" s="1601">
        <f>'расч ФОТ обл с 01.07-31.08'!M11</f>
        <v>889.21</v>
      </c>
      <c r="BJ51" s="1602"/>
      <c r="BK51" s="1602"/>
      <c r="BL51" s="1602"/>
      <c r="BM51" s="1602"/>
      <c r="BN51" s="1602"/>
      <c r="BO51" s="1602"/>
      <c r="BP51" s="1602"/>
      <c r="BQ51" s="1602"/>
      <c r="BR51" s="1602"/>
      <c r="BS51" s="1602"/>
      <c r="BT51" s="1602"/>
      <c r="BU51" s="1602"/>
      <c r="BV51" s="1603"/>
      <c r="BW51" s="1589">
        <f>'расч ФОТ обл с 01.07-31.08'!T11</f>
        <v>5335.2744000000002</v>
      </c>
      <c r="BX51" s="1590"/>
      <c r="BY51" s="1590"/>
      <c r="BZ51" s="1590"/>
      <c r="CA51" s="1590"/>
      <c r="CB51" s="1590"/>
      <c r="CC51" s="1590"/>
      <c r="CD51" s="1590"/>
      <c r="CE51" s="1590"/>
      <c r="CF51" s="1590"/>
      <c r="CG51" s="1590"/>
      <c r="CH51" s="1590"/>
      <c r="CI51" s="1590"/>
      <c r="CJ51" s="1591"/>
      <c r="CK51" s="1589"/>
      <c r="CL51" s="1590"/>
      <c r="CM51" s="1590"/>
      <c r="CN51" s="1590"/>
      <c r="CO51" s="1590"/>
      <c r="CP51" s="1590"/>
      <c r="CQ51" s="1590"/>
      <c r="CR51" s="1590"/>
      <c r="CS51" s="1590"/>
      <c r="CT51" s="1590"/>
      <c r="CU51" s="1591"/>
      <c r="CV51" s="1589"/>
      <c r="CW51" s="1590"/>
      <c r="CX51" s="1590"/>
      <c r="CY51" s="1590"/>
      <c r="CZ51" s="1590"/>
      <c r="DA51" s="1590"/>
      <c r="DB51" s="1590"/>
      <c r="DC51" s="1590"/>
      <c r="DD51" s="1590"/>
      <c r="DE51" s="1591"/>
      <c r="DF51" s="1589">
        <f t="shared" si="5"/>
        <v>99147.177800000005</v>
      </c>
      <c r="DG51" s="1590"/>
      <c r="DH51" s="1590"/>
      <c r="DI51" s="1590"/>
      <c r="DJ51" s="1590"/>
      <c r="DK51" s="1590"/>
      <c r="DL51" s="1590"/>
      <c r="DM51" s="1590"/>
      <c r="DN51" s="1590"/>
      <c r="DO51" s="1590"/>
      <c r="DP51" s="1590"/>
      <c r="DQ51" s="1590"/>
      <c r="DR51" s="1590"/>
      <c r="DS51" s="1591"/>
      <c r="DT51" s="475">
        <f>'расч ФОТ обл с 01.07-31.08'!W11</f>
        <v>99147.177800000005</v>
      </c>
      <c r="DU51" s="475"/>
      <c r="DV51" s="476"/>
      <c r="DW51" s="475"/>
      <c r="DX51" s="475"/>
      <c r="DY51" s="475"/>
      <c r="EF51" s="607"/>
      <c r="EG51" s="607"/>
      <c r="EH51" s="607"/>
      <c r="EI51" s="607"/>
      <c r="EJ51" s="607"/>
      <c r="EK51" s="607"/>
      <c r="EL51" s="607"/>
      <c r="EM51" s="607"/>
      <c r="EN51" s="607"/>
      <c r="EO51" s="607"/>
    </row>
    <row r="52" spans="1:145" s="479" customFormat="1" ht="37.700000000000003" customHeight="1" x14ac:dyDescent="0.25">
      <c r="A52" s="1592">
        <v>7</v>
      </c>
      <c r="B52" s="1593"/>
      <c r="C52" s="1593"/>
      <c r="D52" s="1594"/>
      <c r="E52" s="1595" t="s">
        <v>825</v>
      </c>
      <c r="F52" s="1596"/>
      <c r="G52" s="1596"/>
      <c r="H52" s="1596"/>
      <c r="I52" s="1596"/>
      <c r="J52" s="1596"/>
      <c r="K52" s="1596"/>
      <c r="L52" s="1596"/>
      <c r="M52" s="1596"/>
      <c r="N52" s="1596"/>
      <c r="O52" s="1596"/>
      <c r="P52" s="1596"/>
      <c r="Q52" s="1596"/>
      <c r="R52" s="1596"/>
      <c r="S52" s="1596"/>
      <c r="T52" s="1597"/>
      <c r="U52" s="1601">
        <f>'расч ФОТ обл с 01.07-31.08'!C12</f>
        <v>0.7</v>
      </c>
      <c r="V52" s="1602"/>
      <c r="W52" s="1602"/>
      <c r="X52" s="1602"/>
      <c r="Y52" s="1602"/>
      <c r="Z52" s="1602"/>
      <c r="AA52" s="1602"/>
      <c r="AB52" s="1602"/>
      <c r="AC52" s="1602"/>
      <c r="AD52" s="1602"/>
      <c r="AE52" s="1602"/>
      <c r="AF52" s="1603"/>
      <c r="AG52" s="1601">
        <f t="shared" si="4"/>
        <v>22557.788</v>
      </c>
      <c r="AH52" s="1602"/>
      <c r="AI52" s="1602"/>
      <c r="AJ52" s="1602"/>
      <c r="AK52" s="1602"/>
      <c r="AL52" s="1602"/>
      <c r="AM52" s="1602"/>
      <c r="AN52" s="1602"/>
      <c r="AO52" s="1602"/>
      <c r="AP52" s="1602"/>
      <c r="AQ52" s="1602"/>
      <c r="AR52" s="1602"/>
      <c r="AS52" s="1602"/>
      <c r="AT52" s="1603"/>
      <c r="AU52" s="1601">
        <f>'расч ФОТ обл с 01.07-31.08'!L12</f>
        <v>16312.45</v>
      </c>
      <c r="AV52" s="1602"/>
      <c r="AW52" s="1602"/>
      <c r="AX52" s="1602"/>
      <c r="AY52" s="1602"/>
      <c r="AZ52" s="1602"/>
      <c r="BA52" s="1602"/>
      <c r="BB52" s="1602"/>
      <c r="BC52" s="1602"/>
      <c r="BD52" s="1602"/>
      <c r="BE52" s="1602"/>
      <c r="BF52" s="1602"/>
      <c r="BG52" s="1602"/>
      <c r="BH52" s="1603"/>
      <c r="BI52" s="1601">
        <f>'расч ФОТ обл с 01.07-31.08'!M12</f>
        <v>2330.35</v>
      </c>
      <c r="BJ52" s="1602"/>
      <c r="BK52" s="1602"/>
      <c r="BL52" s="1602"/>
      <c r="BM52" s="1602"/>
      <c r="BN52" s="1602"/>
      <c r="BO52" s="1602"/>
      <c r="BP52" s="1602"/>
      <c r="BQ52" s="1602"/>
      <c r="BR52" s="1602"/>
      <c r="BS52" s="1602"/>
      <c r="BT52" s="1602"/>
      <c r="BU52" s="1602"/>
      <c r="BV52" s="1603"/>
      <c r="BW52" s="1589">
        <f>'расч ФОТ обл с 01.07-31.08'!T12</f>
        <v>3914.9879999999998</v>
      </c>
      <c r="BX52" s="1590"/>
      <c r="BY52" s="1590"/>
      <c r="BZ52" s="1590"/>
      <c r="CA52" s="1590"/>
      <c r="CB52" s="1590"/>
      <c r="CC52" s="1590"/>
      <c r="CD52" s="1590"/>
      <c r="CE52" s="1590"/>
      <c r="CF52" s="1590"/>
      <c r="CG52" s="1590"/>
      <c r="CH52" s="1590"/>
      <c r="CI52" s="1590"/>
      <c r="CJ52" s="1591"/>
      <c r="CK52" s="1589"/>
      <c r="CL52" s="1590"/>
      <c r="CM52" s="1590"/>
      <c r="CN52" s="1590"/>
      <c r="CO52" s="1590"/>
      <c r="CP52" s="1590"/>
      <c r="CQ52" s="1590"/>
      <c r="CR52" s="1590"/>
      <c r="CS52" s="1590"/>
      <c r="CT52" s="1590"/>
      <c r="CU52" s="1591"/>
      <c r="CV52" s="1589"/>
      <c r="CW52" s="1590"/>
      <c r="CX52" s="1590"/>
      <c r="CY52" s="1590"/>
      <c r="CZ52" s="1590"/>
      <c r="DA52" s="1590"/>
      <c r="DB52" s="1590"/>
      <c r="DC52" s="1590"/>
      <c r="DD52" s="1590"/>
      <c r="DE52" s="1591"/>
      <c r="DF52" s="1589">
        <f t="shared" si="5"/>
        <v>76109.231</v>
      </c>
      <c r="DG52" s="1590"/>
      <c r="DH52" s="1590"/>
      <c r="DI52" s="1590"/>
      <c r="DJ52" s="1590"/>
      <c r="DK52" s="1590"/>
      <c r="DL52" s="1590"/>
      <c r="DM52" s="1590"/>
      <c r="DN52" s="1590"/>
      <c r="DO52" s="1590"/>
      <c r="DP52" s="1590"/>
      <c r="DQ52" s="1590"/>
      <c r="DR52" s="1590"/>
      <c r="DS52" s="1591"/>
      <c r="DT52" s="475">
        <f>'расч ФОТ обл с 01.07-31.08'!W12</f>
        <v>76109.231</v>
      </c>
      <c r="DU52" s="475"/>
      <c r="DV52" s="476"/>
      <c r="DW52" s="475"/>
      <c r="DX52" s="475"/>
      <c r="DY52" s="475"/>
      <c r="EF52" s="607"/>
      <c r="EG52" s="607"/>
      <c r="EH52" s="607"/>
      <c r="EI52" s="607"/>
      <c r="EJ52" s="607"/>
      <c r="EK52" s="607"/>
      <c r="EL52" s="607"/>
      <c r="EM52" s="607"/>
      <c r="EN52" s="607"/>
      <c r="EO52" s="607"/>
    </row>
    <row r="53" spans="1:145" s="479" customFormat="1" ht="37.700000000000003" customHeight="1" x14ac:dyDescent="0.25">
      <c r="A53" s="1592">
        <v>8</v>
      </c>
      <c r="B53" s="1593"/>
      <c r="C53" s="1593"/>
      <c r="D53" s="1594"/>
      <c r="E53" s="1595" t="s">
        <v>826</v>
      </c>
      <c r="F53" s="1596"/>
      <c r="G53" s="1596"/>
      <c r="H53" s="1596"/>
      <c r="I53" s="1596"/>
      <c r="J53" s="1596"/>
      <c r="K53" s="1596"/>
      <c r="L53" s="1596"/>
      <c r="M53" s="1596"/>
      <c r="N53" s="1596"/>
      <c r="O53" s="1596"/>
      <c r="P53" s="1596"/>
      <c r="Q53" s="1596"/>
      <c r="R53" s="1596"/>
      <c r="S53" s="1596"/>
      <c r="T53" s="1597"/>
      <c r="U53" s="1601">
        <f>'расч ФОТ обл с 01.07-31.08'!C13</f>
        <v>1.5</v>
      </c>
      <c r="V53" s="1602"/>
      <c r="W53" s="1602"/>
      <c r="X53" s="1602"/>
      <c r="Y53" s="1602"/>
      <c r="Z53" s="1602"/>
      <c r="AA53" s="1602"/>
      <c r="AB53" s="1602"/>
      <c r="AC53" s="1602"/>
      <c r="AD53" s="1602"/>
      <c r="AE53" s="1602"/>
      <c r="AF53" s="1603"/>
      <c r="AG53" s="1601">
        <f t="shared" si="4"/>
        <v>52984.800000000003</v>
      </c>
      <c r="AH53" s="1602"/>
      <c r="AI53" s="1602"/>
      <c r="AJ53" s="1602"/>
      <c r="AK53" s="1602"/>
      <c r="AL53" s="1602"/>
      <c r="AM53" s="1602"/>
      <c r="AN53" s="1602"/>
      <c r="AO53" s="1602"/>
      <c r="AP53" s="1602"/>
      <c r="AQ53" s="1602"/>
      <c r="AR53" s="1602"/>
      <c r="AS53" s="1602"/>
      <c r="AT53" s="1603"/>
      <c r="AU53" s="1601">
        <f>'расч ФОТ обл с 01.07-31.08'!L13</f>
        <v>36795</v>
      </c>
      <c r="AV53" s="1602"/>
      <c r="AW53" s="1602"/>
      <c r="AX53" s="1602"/>
      <c r="AY53" s="1602"/>
      <c r="AZ53" s="1602"/>
      <c r="BA53" s="1602"/>
      <c r="BB53" s="1602"/>
      <c r="BC53" s="1602"/>
      <c r="BD53" s="1602"/>
      <c r="BE53" s="1602"/>
      <c r="BF53" s="1602"/>
      <c r="BG53" s="1602"/>
      <c r="BH53" s="1603"/>
      <c r="BI53" s="1601">
        <f>'расч ФОТ обл с 01.07-31.08'!M13</f>
        <v>7359</v>
      </c>
      <c r="BJ53" s="1602"/>
      <c r="BK53" s="1602"/>
      <c r="BL53" s="1602"/>
      <c r="BM53" s="1602"/>
      <c r="BN53" s="1602"/>
      <c r="BO53" s="1602"/>
      <c r="BP53" s="1602"/>
      <c r="BQ53" s="1602"/>
      <c r="BR53" s="1602"/>
      <c r="BS53" s="1602"/>
      <c r="BT53" s="1602"/>
      <c r="BU53" s="1602"/>
      <c r="BV53" s="1603"/>
      <c r="BW53" s="1589">
        <f>'расч ФОТ обл с 01.07-31.08'!T13</f>
        <v>8830.7999999999993</v>
      </c>
      <c r="BX53" s="1590"/>
      <c r="BY53" s="1590"/>
      <c r="BZ53" s="1590"/>
      <c r="CA53" s="1590"/>
      <c r="CB53" s="1590"/>
      <c r="CC53" s="1590"/>
      <c r="CD53" s="1590"/>
      <c r="CE53" s="1590"/>
      <c r="CF53" s="1590"/>
      <c r="CG53" s="1590"/>
      <c r="CH53" s="1590"/>
      <c r="CI53" s="1590"/>
      <c r="CJ53" s="1591"/>
      <c r="CK53" s="1589"/>
      <c r="CL53" s="1590"/>
      <c r="CM53" s="1590"/>
      <c r="CN53" s="1590"/>
      <c r="CO53" s="1590"/>
      <c r="CP53" s="1590"/>
      <c r="CQ53" s="1590"/>
      <c r="CR53" s="1590"/>
      <c r="CS53" s="1590"/>
      <c r="CT53" s="1590"/>
      <c r="CU53" s="1591"/>
      <c r="CV53" s="1589"/>
      <c r="CW53" s="1590"/>
      <c r="CX53" s="1590"/>
      <c r="CY53" s="1590"/>
      <c r="CZ53" s="1590"/>
      <c r="DA53" s="1590"/>
      <c r="DB53" s="1590"/>
      <c r="DC53" s="1590"/>
      <c r="DD53" s="1590"/>
      <c r="DE53" s="1591"/>
      <c r="DF53" s="1589">
        <f t="shared" si="5"/>
        <v>175880.1</v>
      </c>
      <c r="DG53" s="1590"/>
      <c r="DH53" s="1590"/>
      <c r="DI53" s="1590"/>
      <c r="DJ53" s="1590"/>
      <c r="DK53" s="1590"/>
      <c r="DL53" s="1590"/>
      <c r="DM53" s="1590"/>
      <c r="DN53" s="1590"/>
      <c r="DO53" s="1590"/>
      <c r="DP53" s="1590"/>
      <c r="DQ53" s="1590"/>
      <c r="DR53" s="1590"/>
      <c r="DS53" s="1591"/>
      <c r="DT53" s="475">
        <f>'расч ФОТ обл с 01.07-31.08'!W13</f>
        <v>175880.1</v>
      </c>
      <c r="DU53" s="475"/>
      <c r="DV53" s="476"/>
      <c r="DW53" s="475"/>
      <c r="DX53" s="475"/>
      <c r="DY53" s="475"/>
      <c r="EF53" s="607"/>
      <c r="EG53" s="607"/>
      <c r="EH53" s="607"/>
      <c r="EI53" s="607"/>
      <c r="EJ53" s="607"/>
      <c r="EK53" s="607"/>
      <c r="EL53" s="607"/>
      <c r="EM53" s="607"/>
      <c r="EN53" s="607"/>
      <c r="EO53" s="607"/>
    </row>
    <row r="54" spans="1:145" s="479" customFormat="1" ht="37.700000000000003" customHeight="1" x14ac:dyDescent="0.25">
      <c r="A54" s="1592">
        <v>9</v>
      </c>
      <c r="B54" s="1593"/>
      <c r="C54" s="1593"/>
      <c r="D54" s="1594"/>
      <c r="E54" s="1595" t="s">
        <v>827</v>
      </c>
      <c r="F54" s="1596"/>
      <c r="G54" s="1596"/>
      <c r="H54" s="1596"/>
      <c r="I54" s="1596"/>
      <c r="J54" s="1596"/>
      <c r="K54" s="1596"/>
      <c r="L54" s="1596"/>
      <c r="M54" s="1596"/>
      <c r="N54" s="1596"/>
      <c r="O54" s="1596"/>
      <c r="P54" s="1596"/>
      <c r="Q54" s="1596"/>
      <c r="R54" s="1596"/>
      <c r="S54" s="1596"/>
      <c r="T54" s="1597"/>
      <c r="U54" s="1601">
        <f>'расч ФОТ обл с 01.07-31.08'!C14</f>
        <v>1</v>
      </c>
      <c r="V54" s="1602"/>
      <c r="W54" s="1602"/>
      <c r="X54" s="1602"/>
      <c r="Y54" s="1602"/>
      <c r="Z54" s="1602"/>
      <c r="AA54" s="1602"/>
      <c r="AB54" s="1602"/>
      <c r="AC54" s="1602"/>
      <c r="AD54" s="1602"/>
      <c r="AE54" s="1602"/>
      <c r="AF54" s="1603"/>
      <c r="AG54" s="1601">
        <f t="shared" si="4"/>
        <v>29656.77</v>
      </c>
      <c r="AH54" s="1602"/>
      <c r="AI54" s="1602"/>
      <c r="AJ54" s="1602"/>
      <c r="AK54" s="1602"/>
      <c r="AL54" s="1602"/>
      <c r="AM54" s="1602"/>
      <c r="AN54" s="1602"/>
      <c r="AO54" s="1602"/>
      <c r="AP54" s="1602"/>
      <c r="AQ54" s="1602"/>
      <c r="AR54" s="1602"/>
      <c r="AS54" s="1602"/>
      <c r="AT54" s="1603"/>
      <c r="AU54" s="1601">
        <f>'расч ФОТ обл с 01.07-31.08'!L14</f>
        <v>23916.75</v>
      </c>
      <c r="AV54" s="1602"/>
      <c r="AW54" s="1602"/>
      <c r="AX54" s="1602"/>
      <c r="AY54" s="1602"/>
      <c r="AZ54" s="1602"/>
      <c r="BA54" s="1602"/>
      <c r="BB54" s="1602"/>
      <c r="BC54" s="1602"/>
      <c r="BD54" s="1602"/>
      <c r="BE54" s="1602"/>
      <c r="BF54" s="1602"/>
      <c r="BG54" s="1602"/>
      <c r="BH54" s="1603"/>
      <c r="BI54" s="1601">
        <f>'расч ФОТ обл с 01.07-31.08'!M14</f>
        <v>0</v>
      </c>
      <c r="BJ54" s="1602"/>
      <c r="BK54" s="1602"/>
      <c r="BL54" s="1602"/>
      <c r="BM54" s="1602"/>
      <c r="BN54" s="1602"/>
      <c r="BO54" s="1602"/>
      <c r="BP54" s="1602"/>
      <c r="BQ54" s="1602"/>
      <c r="BR54" s="1602"/>
      <c r="BS54" s="1602"/>
      <c r="BT54" s="1602"/>
      <c r="BU54" s="1602"/>
      <c r="BV54" s="1603"/>
      <c r="BW54" s="1589">
        <f>'расч ФОТ обл с 01.07-31.08'!T14</f>
        <v>5740.0199999999995</v>
      </c>
      <c r="BX54" s="1590"/>
      <c r="BY54" s="1590"/>
      <c r="BZ54" s="1590"/>
      <c r="CA54" s="1590"/>
      <c r="CB54" s="1590"/>
      <c r="CC54" s="1590"/>
      <c r="CD54" s="1590"/>
      <c r="CE54" s="1590"/>
      <c r="CF54" s="1590"/>
      <c r="CG54" s="1590"/>
      <c r="CH54" s="1590"/>
      <c r="CI54" s="1590"/>
      <c r="CJ54" s="1591"/>
      <c r="CK54" s="1589"/>
      <c r="CL54" s="1590"/>
      <c r="CM54" s="1590"/>
      <c r="CN54" s="1590"/>
      <c r="CO54" s="1590"/>
      <c r="CP54" s="1590"/>
      <c r="CQ54" s="1590"/>
      <c r="CR54" s="1590"/>
      <c r="CS54" s="1590"/>
      <c r="CT54" s="1590"/>
      <c r="CU54" s="1591"/>
      <c r="CV54" s="1589"/>
      <c r="CW54" s="1590"/>
      <c r="CX54" s="1590"/>
      <c r="CY54" s="1590"/>
      <c r="CZ54" s="1590"/>
      <c r="DA54" s="1590"/>
      <c r="DB54" s="1590"/>
      <c r="DC54" s="1590"/>
      <c r="DD54" s="1590"/>
      <c r="DE54" s="1591"/>
      <c r="DF54" s="1589">
        <f t="shared" si="5"/>
        <v>59313.54</v>
      </c>
      <c r="DG54" s="1590"/>
      <c r="DH54" s="1590"/>
      <c r="DI54" s="1590"/>
      <c r="DJ54" s="1590"/>
      <c r="DK54" s="1590"/>
      <c r="DL54" s="1590"/>
      <c r="DM54" s="1590"/>
      <c r="DN54" s="1590"/>
      <c r="DO54" s="1590"/>
      <c r="DP54" s="1590"/>
      <c r="DQ54" s="1590"/>
      <c r="DR54" s="1590"/>
      <c r="DS54" s="1591"/>
      <c r="DT54" s="475">
        <f>'расч ФОТ обл с 01.07-31.08'!W14</f>
        <v>59313.54</v>
      </c>
      <c r="DU54" s="475"/>
      <c r="DV54" s="476"/>
      <c r="DW54" s="475"/>
      <c r="DX54" s="475"/>
      <c r="DY54" s="475"/>
      <c r="EF54" s="607"/>
      <c r="EG54" s="607"/>
      <c r="EH54" s="607"/>
      <c r="EI54" s="607"/>
      <c r="EJ54" s="607"/>
      <c r="EK54" s="607"/>
      <c r="EL54" s="607"/>
      <c r="EM54" s="607"/>
      <c r="EN54" s="607"/>
      <c r="EO54" s="607"/>
    </row>
    <row r="55" spans="1:145" s="479" customFormat="1" ht="37.700000000000003" customHeight="1" x14ac:dyDescent="0.25">
      <c r="A55" s="1592">
        <v>10</v>
      </c>
      <c r="B55" s="1593"/>
      <c r="C55" s="1593"/>
      <c r="D55" s="1594"/>
      <c r="E55" s="1595" t="s">
        <v>828</v>
      </c>
      <c r="F55" s="1596"/>
      <c r="G55" s="1596"/>
      <c r="H55" s="1596"/>
      <c r="I55" s="1596"/>
      <c r="J55" s="1596"/>
      <c r="K55" s="1596"/>
      <c r="L55" s="1596"/>
      <c r="M55" s="1596"/>
      <c r="N55" s="1596"/>
      <c r="O55" s="1596"/>
      <c r="P55" s="1596"/>
      <c r="Q55" s="1596"/>
      <c r="R55" s="1596"/>
      <c r="S55" s="1596"/>
      <c r="T55" s="1597"/>
      <c r="U55" s="1601">
        <f>'расч ФОТ обл с 01.07-31.08'!C15</f>
        <v>6.74</v>
      </c>
      <c r="V55" s="1602"/>
      <c r="W55" s="1602"/>
      <c r="X55" s="1602"/>
      <c r="Y55" s="1602"/>
      <c r="Z55" s="1602"/>
      <c r="AA55" s="1602"/>
      <c r="AB55" s="1602"/>
      <c r="AC55" s="1602"/>
      <c r="AD55" s="1602"/>
      <c r="AE55" s="1602"/>
      <c r="AF55" s="1603"/>
      <c r="AG55" s="1601">
        <f t="shared" si="4"/>
        <v>138383.0576</v>
      </c>
      <c r="AH55" s="1602"/>
      <c r="AI55" s="1602"/>
      <c r="AJ55" s="1602"/>
      <c r="AK55" s="1602"/>
      <c r="AL55" s="1602"/>
      <c r="AM55" s="1602"/>
      <c r="AN55" s="1602"/>
      <c r="AO55" s="1602"/>
      <c r="AP55" s="1602"/>
      <c r="AQ55" s="1602"/>
      <c r="AR55" s="1602"/>
      <c r="AS55" s="1602"/>
      <c r="AT55" s="1603"/>
      <c r="AU55" s="1601">
        <f>'расч ФОТ обл с 01.07-31.08'!L15</f>
        <v>111599.24</v>
      </c>
      <c r="AV55" s="1602"/>
      <c r="AW55" s="1602"/>
      <c r="AX55" s="1602"/>
      <c r="AY55" s="1602"/>
      <c r="AZ55" s="1602"/>
      <c r="BA55" s="1602"/>
      <c r="BB55" s="1602"/>
      <c r="BC55" s="1602"/>
      <c r="BD55" s="1602"/>
      <c r="BE55" s="1602"/>
      <c r="BF55" s="1602"/>
      <c r="BG55" s="1602"/>
      <c r="BH55" s="1603"/>
      <c r="BI55" s="1601">
        <f>'расч ФОТ обл с 01.07-31.08'!M15</f>
        <v>0</v>
      </c>
      <c r="BJ55" s="1602"/>
      <c r="BK55" s="1602"/>
      <c r="BL55" s="1602"/>
      <c r="BM55" s="1602"/>
      <c r="BN55" s="1602"/>
      <c r="BO55" s="1602"/>
      <c r="BP55" s="1602"/>
      <c r="BQ55" s="1602"/>
      <c r="BR55" s="1602"/>
      <c r="BS55" s="1602"/>
      <c r="BT55" s="1602"/>
      <c r="BU55" s="1602"/>
      <c r="BV55" s="1603"/>
      <c r="BW55" s="1589">
        <f>'расч ФОТ обл с 01.07-31.08'!T15</f>
        <v>26783.817599999998</v>
      </c>
      <c r="BX55" s="1590"/>
      <c r="BY55" s="1590"/>
      <c r="BZ55" s="1590"/>
      <c r="CA55" s="1590"/>
      <c r="CB55" s="1590"/>
      <c r="CC55" s="1590"/>
      <c r="CD55" s="1590"/>
      <c r="CE55" s="1590"/>
      <c r="CF55" s="1590"/>
      <c r="CG55" s="1590"/>
      <c r="CH55" s="1590"/>
      <c r="CI55" s="1590"/>
      <c r="CJ55" s="1591"/>
      <c r="CK55" s="1589"/>
      <c r="CL55" s="1590"/>
      <c r="CM55" s="1590"/>
      <c r="CN55" s="1590"/>
      <c r="CO55" s="1590"/>
      <c r="CP55" s="1590"/>
      <c r="CQ55" s="1590"/>
      <c r="CR55" s="1590"/>
      <c r="CS55" s="1590"/>
      <c r="CT55" s="1590"/>
      <c r="CU55" s="1591"/>
      <c r="CV55" s="1589"/>
      <c r="CW55" s="1590"/>
      <c r="CX55" s="1590"/>
      <c r="CY55" s="1590"/>
      <c r="CZ55" s="1590"/>
      <c r="DA55" s="1590"/>
      <c r="DB55" s="1590"/>
      <c r="DC55" s="1590"/>
      <c r="DD55" s="1590"/>
      <c r="DE55" s="1591"/>
      <c r="DF55" s="1589">
        <f t="shared" si="5"/>
        <v>285694.05440000002</v>
      </c>
      <c r="DG55" s="1590"/>
      <c r="DH55" s="1590"/>
      <c r="DI55" s="1590"/>
      <c r="DJ55" s="1590"/>
      <c r="DK55" s="1590"/>
      <c r="DL55" s="1590"/>
      <c r="DM55" s="1590"/>
      <c r="DN55" s="1590"/>
      <c r="DO55" s="1590"/>
      <c r="DP55" s="1590"/>
      <c r="DQ55" s="1590"/>
      <c r="DR55" s="1590"/>
      <c r="DS55" s="1591"/>
      <c r="DT55" s="475">
        <f>'расч ФОТ обл с 01.07-31.08'!W15</f>
        <v>285694.05440000002</v>
      </c>
      <c r="DU55" s="475"/>
      <c r="DV55" s="476"/>
      <c r="DW55" s="475"/>
      <c r="DX55" s="475"/>
      <c r="DY55" s="475"/>
      <c r="EF55" s="607"/>
      <c r="EG55" s="607"/>
      <c r="EH55" s="607"/>
      <c r="EI55" s="607"/>
      <c r="EJ55" s="607"/>
      <c r="EK55" s="607"/>
      <c r="EL55" s="607"/>
      <c r="EM55" s="607"/>
      <c r="EN55" s="607"/>
      <c r="EO55" s="607"/>
    </row>
    <row r="56" spans="1:145" s="479" customFormat="1" ht="37.700000000000003" customHeight="1" x14ac:dyDescent="0.25">
      <c r="A56" s="1592">
        <v>11</v>
      </c>
      <c r="B56" s="1593"/>
      <c r="C56" s="1593"/>
      <c r="D56" s="1594"/>
      <c r="E56" s="1595" t="s">
        <v>1273</v>
      </c>
      <c r="F56" s="1596"/>
      <c r="G56" s="1596"/>
      <c r="H56" s="1596"/>
      <c r="I56" s="1596"/>
      <c r="J56" s="1596"/>
      <c r="K56" s="1596"/>
      <c r="L56" s="1596"/>
      <c r="M56" s="1596"/>
      <c r="N56" s="1596"/>
      <c r="O56" s="1596"/>
      <c r="P56" s="1596"/>
      <c r="Q56" s="1596"/>
      <c r="R56" s="1596"/>
      <c r="S56" s="1596"/>
      <c r="T56" s="1597"/>
      <c r="U56" s="1601">
        <f>'расч ФОТ обл с 01.07-31.08'!C16</f>
        <v>1.2</v>
      </c>
      <c r="V56" s="1602"/>
      <c r="W56" s="1602"/>
      <c r="X56" s="1602"/>
      <c r="Y56" s="1602"/>
      <c r="Z56" s="1602"/>
      <c r="AA56" s="1602"/>
      <c r="AB56" s="1602"/>
      <c r="AC56" s="1602"/>
      <c r="AD56" s="1602"/>
      <c r="AE56" s="1602"/>
      <c r="AF56" s="1603"/>
      <c r="AG56" s="1601">
        <f t="shared" si="4"/>
        <v>19162.835999999999</v>
      </c>
      <c r="AH56" s="1602"/>
      <c r="AI56" s="1602"/>
      <c r="AJ56" s="1602"/>
      <c r="AK56" s="1602"/>
      <c r="AL56" s="1602"/>
      <c r="AM56" s="1602"/>
      <c r="AN56" s="1602"/>
      <c r="AO56" s="1602"/>
      <c r="AP56" s="1602"/>
      <c r="AQ56" s="1602"/>
      <c r="AR56" s="1602"/>
      <c r="AS56" s="1602"/>
      <c r="AT56" s="1603"/>
      <c r="AU56" s="1601">
        <f>'расч ФОТ обл с 01.07-31.08'!L16</f>
        <v>15453.9</v>
      </c>
      <c r="AV56" s="1602"/>
      <c r="AW56" s="1602"/>
      <c r="AX56" s="1602"/>
      <c r="AY56" s="1602"/>
      <c r="AZ56" s="1602"/>
      <c r="BA56" s="1602"/>
      <c r="BB56" s="1602"/>
      <c r="BC56" s="1602"/>
      <c r="BD56" s="1602"/>
      <c r="BE56" s="1602"/>
      <c r="BF56" s="1602"/>
      <c r="BG56" s="1602"/>
      <c r="BH56" s="1603"/>
      <c r="BI56" s="1601">
        <f>'расч ФОТ обл с 01.07-31.08'!M16</f>
        <v>0</v>
      </c>
      <c r="BJ56" s="1602"/>
      <c r="BK56" s="1602"/>
      <c r="BL56" s="1602"/>
      <c r="BM56" s="1602"/>
      <c r="BN56" s="1602"/>
      <c r="BO56" s="1602"/>
      <c r="BP56" s="1602"/>
      <c r="BQ56" s="1602"/>
      <c r="BR56" s="1602"/>
      <c r="BS56" s="1602"/>
      <c r="BT56" s="1602"/>
      <c r="BU56" s="1602"/>
      <c r="BV56" s="1603"/>
      <c r="BW56" s="1589">
        <f>'расч ФОТ обл с 01.07-31.08'!T16</f>
        <v>3708.9359999999997</v>
      </c>
      <c r="BX56" s="1590"/>
      <c r="BY56" s="1590"/>
      <c r="BZ56" s="1590"/>
      <c r="CA56" s="1590"/>
      <c r="CB56" s="1590"/>
      <c r="CC56" s="1590"/>
      <c r="CD56" s="1590"/>
      <c r="CE56" s="1590"/>
      <c r="CF56" s="1590"/>
      <c r="CG56" s="1590"/>
      <c r="CH56" s="1590"/>
      <c r="CI56" s="1590"/>
      <c r="CJ56" s="1591"/>
      <c r="CK56" s="1589"/>
      <c r="CL56" s="1590"/>
      <c r="CM56" s="1590"/>
      <c r="CN56" s="1590"/>
      <c r="CO56" s="1590"/>
      <c r="CP56" s="1590"/>
      <c r="CQ56" s="1590"/>
      <c r="CR56" s="1590"/>
      <c r="CS56" s="1590"/>
      <c r="CT56" s="1590"/>
      <c r="CU56" s="1591"/>
      <c r="CV56" s="1589"/>
      <c r="CW56" s="1590"/>
      <c r="CX56" s="1590"/>
      <c r="CY56" s="1590"/>
      <c r="CZ56" s="1590"/>
      <c r="DA56" s="1590"/>
      <c r="DB56" s="1590"/>
      <c r="DC56" s="1590"/>
      <c r="DD56" s="1590"/>
      <c r="DE56" s="1591"/>
      <c r="DF56" s="1589">
        <f t="shared" si="5"/>
        <v>38325.671999999999</v>
      </c>
      <c r="DG56" s="1590"/>
      <c r="DH56" s="1590"/>
      <c r="DI56" s="1590"/>
      <c r="DJ56" s="1590"/>
      <c r="DK56" s="1590"/>
      <c r="DL56" s="1590"/>
      <c r="DM56" s="1590"/>
      <c r="DN56" s="1590"/>
      <c r="DO56" s="1590"/>
      <c r="DP56" s="1590"/>
      <c r="DQ56" s="1590"/>
      <c r="DR56" s="1590"/>
      <c r="DS56" s="1591"/>
      <c r="DT56" s="475">
        <f>'расч ФОТ обл с 01.07-31.08'!W16</f>
        <v>38325.671999999999</v>
      </c>
      <c r="DU56" s="475"/>
      <c r="DV56" s="476"/>
      <c r="DW56" s="475"/>
      <c r="DX56" s="475"/>
      <c r="DY56" s="475"/>
      <c r="EF56" s="607"/>
      <c r="EG56" s="607"/>
      <c r="EH56" s="607"/>
      <c r="EI56" s="607"/>
      <c r="EJ56" s="607"/>
      <c r="EK56" s="607"/>
      <c r="EL56" s="607"/>
      <c r="EM56" s="607"/>
      <c r="EN56" s="607"/>
      <c r="EO56" s="607"/>
    </row>
    <row r="57" spans="1:145" s="479" customFormat="1" ht="37.700000000000003" customHeight="1" x14ac:dyDescent="0.25">
      <c r="A57" s="1592">
        <v>12</v>
      </c>
      <c r="B57" s="1593"/>
      <c r="C57" s="1593"/>
      <c r="D57" s="1594"/>
      <c r="E57" s="1595" t="s">
        <v>839</v>
      </c>
      <c r="F57" s="1596"/>
      <c r="G57" s="1596"/>
      <c r="H57" s="1596"/>
      <c r="I57" s="1596"/>
      <c r="J57" s="1596"/>
      <c r="K57" s="1596"/>
      <c r="L57" s="1596"/>
      <c r="M57" s="1596"/>
      <c r="N57" s="1596"/>
      <c r="O57" s="1596"/>
      <c r="P57" s="1596"/>
      <c r="Q57" s="1596"/>
      <c r="R57" s="1596"/>
      <c r="S57" s="1596"/>
      <c r="T57" s="1597"/>
      <c r="U57" s="1601">
        <f>'расч ФОТ обл с 01.07-31.08'!C17</f>
        <v>0.5</v>
      </c>
      <c r="V57" s="1602"/>
      <c r="W57" s="1602"/>
      <c r="X57" s="1602"/>
      <c r="Y57" s="1602"/>
      <c r="Z57" s="1602"/>
      <c r="AA57" s="1602"/>
      <c r="AB57" s="1602"/>
      <c r="AC57" s="1602"/>
      <c r="AD57" s="1602"/>
      <c r="AE57" s="1602"/>
      <c r="AF57" s="1603"/>
      <c r="AG57" s="1601">
        <f t="shared" si="4"/>
        <v>11786.671199999999</v>
      </c>
      <c r="AH57" s="1602"/>
      <c r="AI57" s="1602"/>
      <c r="AJ57" s="1602"/>
      <c r="AK57" s="1602"/>
      <c r="AL57" s="1602"/>
      <c r="AM57" s="1602"/>
      <c r="AN57" s="1602"/>
      <c r="AO57" s="1602"/>
      <c r="AP57" s="1602"/>
      <c r="AQ57" s="1602"/>
      <c r="AR57" s="1602"/>
      <c r="AS57" s="1602"/>
      <c r="AT57" s="1603"/>
      <c r="AU57" s="1601">
        <f>'расч ФОТ обл с 01.07-31.08'!L17</f>
        <v>9505.3799999999992</v>
      </c>
      <c r="AV57" s="1602"/>
      <c r="AW57" s="1602"/>
      <c r="AX57" s="1602"/>
      <c r="AY57" s="1602"/>
      <c r="AZ57" s="1602"/>
      <c r="BA57" s="1602"/>
      <c r="BB57" s="1602"/>
      <c r="BC57" s="1602"/>
      <c r="BD57" s="1602"/>
      <c r="BE57" s="1602"/>
      <c r="BF57" s="1602"/>
      <c r="BG57" s="1602"/>
      <c r="BH57" s="1603"/>
      <c r="BI57" s="1601">
        <f>'расч ФОТ обл с 01.07-31.08'!M17</f>
        <v>0</v>
      </c>
      <c r="BJ57" s="1602"/>
      <c r="BK57" s="1602"/>
      <c r="BL57" s="1602"/>
      <c r="BM57" s="1602"/>
      <c r="BN57" s="1602"/>
      <c r="BO57" s="1602"/>
      <c r="BP57" s="1602"/>
      <c r="BQ57" s="1602"/>
      <c r="BR57" s="1602"/>
      <c r="BS57" s="1602"/>
      <c r="BT57" s="1602"/>
      <c r="BU57" s="1602"/>
      <c r="BV57" s="1603"/>
      <c r="BW57" s="1589">
        <f>'расч ФОТ обл с 01.07-31.08'!T17</f>
        <v>2281.2911999999997</v>
      </c>
      <c r="BX57" s="1590"/>
      <c r="BY57" s="1590"/>
      <c r="BZ57" s="1590"/>
      <c r="CA57" s="1590"/>
      <c r="CB57" s="1590"/>
      <c r="CC57" s="1590"/>
      <c r="CD57" s="1590"/>
      <c r="CE57" s="1590"/>
      <c r="CF57" s="1590"/>
      <c r="CG57" s="1590"/>
      <c r="CH57" s="1590"/>
      <c r="CI57" s="1590"/>
      <c r="CJ57" s="1591"/>
      <c r="CK57" s="1589"/>
      <c r="CL57" s="1590"/>
      <c r="CM57" s="1590"/>
      <c r="CN57" s="1590"/>
      <c r="CO57" s="1590"/>
      <c r="CP57" s="1590"/>
      <c r="CQ57" s="1590"/>
      <c r="CR57" s="1590"/>
      <c r="CS57" s="1590"/>
      <c r="CT57" s="1590"/>
      <c r="CU57" s="1591"/>
      <c r="CV57" s="1589"/>
      <c r="CW57" s="1590"/>
      <c r="CX57" s="1590"/>
      <c r="CY57" s="1590"/>
      <c r="CZ57" s="1590"/>
      <c r="DA57" s="1590"/>
      <c r="DB57" s="1590"/>
      <c r="DC57" s="1590"/>
      <c r="DD57" s="1590"/>
      <c r="DE57" s="1591"/>
      <c r="DF57" s="1589">
        <f t="shared" si="5"/>
        <v>23573.342399999998</v>
      </c>
      <c r="DG57" s="1590"/>
      <c r="DH57" s="1590"/>
      <c r="DI57" s="1590"/>
      <c r="DJ57" s="1590"/>
      <c r="DK57" s="1590"/>
      <c r="DL57" s="1590"/>
      <c r="DM57" s="1590"/>
      <c r="DN57" s="1590"/>
      <c r="DO57" s="1590"/>
      <c r="DP57" s="1590"/>
      <c r="DQ57" s="1590"/>
      <c r="DR57" s="1590"/>
      <c r="DS57" s="1591"/>
      <c r="DT57" s="475">
        <f>'расч ФОТ обл с 01.07-31.08'!W17</f>
        <v>23573.342399999998</v>
      </c>
      <c r="DU57" s="475"/>
      <c r="DV57" s="476"/>
      <c r="DW57" s="475"/>
      <c r="DX57" s="475"/>
      <c r="DY57" s="475"/>
      <c r="EF57" s="607"/>
      <c r="EG57" s="607"/>
      <c r="EH57" s="607"/>
      <c r="EI57" s="607"/>
      <c r="EJ57" s="607"/>
      <c r="EK57" s="607"/>
      <c r="EL57" s="607"/>
      <c r="EM57" s="607"/>
      <c r="EN57" s="607"/>
      <c r="EO57" s="607"/>
    </row>
    <row r="58" spans="1:145" s="479" customFormat="1" ht="37.700000000000003" customHeight="1" x14ac:dyDescent="0.25">
      <c r="A58" s="1592">
        <v>13</v>
      </c>
      <c r="B58" s="1593"/>
      <c r="C58" s="1593"/>
      <c r="D58" s="1594"/>
      <c r="E58" s="1595" t="s">
        <v>830</v>
      </c>
      <c r="F58" s="1596"/>
      <c r="G58" s="1596"/>
      <c r="H58" s="1596"/>
      <c r="I58" s="1596"/>
      <c r="J58" s="1596"/>
      <c r="K58" s="1596"/>
      <c r="L58" s="1596"/>
      <c r="M58" s="1596"/>
      <c r="N58" s="1596"/>
      <c r="O58" s="1596"/>
      <c r="P58" s="1596"/>
      <c r="Q58" s="1596"/>
      <c r="R58" s="1596"/>
      <c r="S58" s="1596"/>
      <c r="T58" s="1597"/>
      <c r="U58" s="1601">
        <f>'расч ФОТ обл с 01.07-31.08'!C18</f>
        <v>2</v>
      </c>
      <c r="V58" s="1602"/>
      <c r="W58" s="1602"/>
      <c r="X58" s="1602"/>
      <c r="Y58" s="1602"/>
      <c r="Z58" s="1602"/>
      <c r="AA58" s="1602"/>
      <c r="AB58" s="1602"/>
      <c r="AC58" s="1602"/>
      <c r="AD58" s="1602"/>
      <c r="AE58" s="1602"/>
      <c r="AF58" s="1603"/>
      <c r="AG58" s="1601">
        <f t="shared" si="4"/>
        <v>39178.532400000004</v>
      </c>
      <c r="AH58" s="1602"/>
      <c r="AI58" s="1602"/>
      <c r="AJ58" s="1602"/>
      <c r="AK58" s="1602"/>
      <c r="AL58" s="1602"/>
      <c r="AM58" s="1602"/>
      <c r="AN58" s="1602"/>
      <c r="AO58" s="1602"/>
      <c r="AP58" s="1602"/>
      <c r="AQ58" s="1602"/>
      <c r="AR58" s="1602"/>
      <c r="AS58" s="1602"/>
      <c r="AT58" s="1603"/>
      <c r="AU58" s="1601">
        <f>'расч ФОТ обл с 01.07-31.08'!L18</f>
        <v>26786.760000000002</v>
      </c>
      <c r="AV58" s="1602"/>
      <c r="AW58" s="1602"/>
      <c r="AX58" s="1602"/>
      <c r="AY58" s="1602"/>
      <c r="AZ58" s="1602"/>
      <c r="BA58" s="1602"/>
      <c r="BB58" s="1602"/>
      <c r="BC58" s="1602"/>
      <c r="BD58" s="1602"/>
      <c r="BE58" s="1602"/>
      <c r="BF58" s="1602"/>
      <c r="BG58" s="1602"/>
      <c r="BH58" s="1603"/>
      <c r="BI58" s="1601">
        <f>'расч ФОТ обл с 01.07-31.08'!M18</f>
        <v>0</v>
      </c>
      <c r="BJ58" s="1602"/>
      <c r="BK58" s="1602"/>
      <c r="BL58" s="1602"/>
      <c r="BM58" s="1602"/>
      <c r="BN58" s="1602"/>
      <c r="BO58" s="1602"/>
      <c r="BP58" s="1602"/>
      <c r="BQ58" s="1602"/>
      <c r="BR58" s="1602"/>
      <c r="BS58" s="1602"/>
      <c r="BT58" s="1602"/>
      <c r="BU58" s="1602"/>
      <c r="BV58" s="1603"/>
      <c r="BW58" s="1589">
        <f>'расч ФОТ обл с 01.07-31.08'!T18</f>
        <v>12391.7724</v>
      </c>
      <c r="BX58" s="1590"/>
      <c r="BY58" s="1590"/>
      <c r="BZ58" s="1590"/>
      <c r="CA58" s="1590"/>
      <c r="CB58" s="1590"/>
      <c r="CC58" s="1590"/>
      <c r="CD58" s="1590"/>
      <c r="CE58" s="1590"/>
      <c r="CF58" s="1590"/>
      <c r="CG58" s="1590"/>
      <c r="CH58" s="1590"/>
      <c r="CI58" s="1590"/>
      <c r="CJ58" s="1591"/>
      <c r="CK58" s="1589"/>
      <c r="CL58" s="1590"/>
      <c r="CM58" s="1590"/>
      <c r="CN58" s="1590"/>
      <c r="CO58" s="1590"/>
      <c r="CP58" s="1590"/>
      <c r="CQ58" s="1590"/>
      <c r="CR58" s="1590"/>
      <c r="CS58" s="1590"/>
      <c r="CT58" s="1590"/>
      <c r="CU58" s="1591"/>
      <c r="CV58" s="1589"/>
      <c r="CW58" s="1590"/>
      <c r="CX58" s="1590"/>
      <c r="CY58" s="1590"/>
      <c r="CZ58" s="1590"/>
      <c r="DA58" s="1590"/>
      <c r="DB58" s="1590"/>
      <c r="DC58" s="1590"/>
      <c r="DD58" s="1590"/>
      <c r="DE58" s="1591"/>
      <c r="DF58" s="1589">
        <f t="shared" si="5"/>
        <v>80500.005600000004</v>
      </c>
      <c r="DG58" s="1590"/>
      <c r="DH58" s="1590"/>
      <c r="DI58" s="1590"/>
      <c r="DJ58" s="1590"/>
      <c r="DK58" s="1590"/>
      <c r="DL58" s="1590"/>
      <c r="DM58" s="1590"/>
      <c r="DN58" s="1590"/>
      <c r="DO58" s="1590"/>
      <c r="DP58" s="1590"/>
      <c r="DQ58" s="1590"/>
      <c r="DR58" s="1590"/>
      <c r="DS58" s="1591"/>
      <c r="DT58" s="475">
        <f>'расч ФОТ обл с 01.07-31.08'!W18</f>
        <v>80500.005600000004</v>
      </c>
      <c r="DU58" s="475"/>
      <c r="DV58" s="476"/>
      <c r="DW58" s="475"/>
      <c r="DX58" s="475"/>
      <c r="DY58" s="475"/>
      <c r="EF58" s="607"/>
      <c r="EG58" s="607"/>
      <c r="EH58" s="607"/>
      <c r="EI58" s="607"/>
      <c r="EJ58" s="607"/>
      <c r="EK58" s="607"/>
      <c r="EL58" s="607"/>
      <c r="EM58" s="607"/>
      <c r="EN58" s="607"/>
      <c r="EO58" s="607"/>
    </row>
    <row r="59" spans="1:145" s="479" customFormat="1" ht="37.700000000000003" customHeight="1" x14ac:dyDescent="0.25">
      <c r="A59" s="1592">
        <v>14</v>
      </c>
      <c r="B59" s="1593"/>
      <c r="C59" s="1593"/>
      <c r="D59" s="1594"/>
      <c r="E59" s="1595" t="s">
        <v>97</v>
      </c>
      <c r="F59" s="1596"/>
      <c r="G59" s="1596"/>
      <c r="H59" s="1596"/>
      <c r="I59" s="1596"/>
      <c r="J59" s="1596"/>
      <c r="K59" s="1596"/>
      <c r="L59" s="1596"/>
      <c r="M59" s="1596"/>
      <c r="N59" s="1596"/>
      <c r="O59" s="1596"/>
      <c r="P59" s="1596"/>
      <c r="Q59" s="1596"/>
      <c r="R59" s="1596"/>
      <c r="S59" s="1596"/>
      <c r="T59" s="1597"/>
      <c r="U59" s="1598">
        <v>2</v>
      </c>
      <c r="V59" s="1599"/>
      <c r="W59" s="1599"/>
      <c r="X59" s="1599"/>
      <c r="Y59" s="1599"/>
      <c r="Z59" s="1599"/>
      <c r="AA59" s="1599"/>
      <c r="AB59" s="1599"/>
      <c r="AC59" s="1599"/>
      <c r="AD59" s="1599"/>
      <c r="AE59" s="1599"/>
      <c r="AF59" s="1600"/>
      <c r="AG59" s="1601">
        <f>AU59+BI59+BW59</f>
        <v>12853.72</v>
      </c>
      <c r="AH59" s="1602"/>
      <c r="AI59" s="1602"/>
      <c r="AJ59" s="1602"/>
      <c r="AK59" s="1602"/>
      <c r="AL59" s="1602"/>
      <c r="AM59" s="1602"/>
      <c r="AN59" s="1602"/>
      <c r="AO59" s="1602"/>
      <c r="AP59" s="1602"/>
      <c r="AQ59" s="1602"/>
      <c r="AR59" s="1602"/>
      <c r="AS59" s="1602"/>
      <c r="AT59" s="1603"/>
      <c r="AU59" s="1601">
        <f>'расч ФОТ мест с 01.07-31.12 '!L6/6*2</f>
        <v>9812</v>
      </c>
      <c r="AV59" s="1602"/>
      <c r="AW59" s="1602"/>
      <c r="AX59" s="1602"/>
      <c r="AY59" s="1602"/>
      <c r="AZ59" s="1602"/>
      <c r="BA59" s="1602"/>
      <c r="BB59" s="1602"/>
      <c r="BC59" s="1602"/>
      <c r="BD59" s="1602"/>
      <c r="BE59" s="1602"/>
      <c r="BF59" s="1602"/>
      <c r="BG59" s="1602"/>
      <c r="BH59" s="1603"/>
      <c r="BI59" s="1601">
        <f>'расч ФОТ мест с 01.07-31.12 '!R6/6*2</f>
        <v>392.48</v>
      </c>
      <c r="BJ59" s="1602"/>
      <c r="BK59" s="1602"/>
      <c r="BL59" s="1602"/>
      <c r="BM59" s="1602"/>
      <c r="BN59" s="1602"/>
      <c r="BO59" s="1602"/>
      <c r="BP59" s="1602"/>
      <c r="BQ59" s="1602"/>
      <c r="BR59" s="1602"/>
      <c r="BS59" s="1602"/>
      <c r="BT59" s="1602"/>
      <c r="BU59" s="1602"/>
      <c r="BV59" s="1603"/>
      <c r="BW59" s="1589">
        <f>'расч ФОТ мест с 01.07-31.12 '!T6/6*2</f>
        <v>2649.2400000000002</v>
      </c>
      <c r="BX59" s="1590"/>
      <c r="BY59" s="1590"/>
      <c r="BZ59" s="1590"/>
      <c r="CA59" s="1590"/>
      <c r="CB59" s="1590"/>
      <c r="CC59" s="1590"/>
      <c r="CD59" s="1590"/>
      <c r="CE59" s="1590"/>
      <c r="CF59" s="1590"/>
      <c r="CG59" s="1590"/>
      <c r="CH59" s="1590"/>
      <c r="CI59" s="1590"/>
      <c r="CJ59" s="1591"/>
      <c r="CK59" s="1589"/>
      <c r="CL59" s="1590"/>
      <c r="CM59" s="1590"/>
      <c r="CN59" s="1590"/>
      <c r="CO59" s="1590"/>
      <c r="CP59" s="1590"/>
      <c r="CQ59" s="1590"/>
      <c r="CR59" s="1590"/>
      <c r="CS59" s="1590"/>
      <c r="CT59" s="1590"/>
      <c r="CU59" s="1591"/>
      <c r="CV59" s="1589"/>
      <c r="CW59" s="1590"/>
      <c r="CX59" s="1590"/>
      <c r="CY59" s="1590"/>
      <c r="CZ59" s="1590"/>
      <c r="DA59" s="1590"/>
      <c r="DB59" s="1590"/>
      <c r="DC59" s="1590"/>
      <c r="DD59" s="1590"/>
      <c r="DE59" s="1591"/>
      <c r="DF59" s="1589">
        <f>DU59</f>
        <v>77122.319999999992</v>
      </c>
      <c r="DG59" s="1590"/>
      <c r="DH59" s="1590"/>
      <c r="DI59" s="1590"/>
      <c r="DJ59" s="1590"/>
      <c r="DK59" s="1590"/>
      <c r="DL59" s="1590"/>
      <c r="DM59" s="1590"/>
      <c r="DN59" s="1590"/>
      <c r="DO59" s="1590"/>
      <c r="DP59" s="1590"/>
      <c r="DQ59" s="1590"/>
      <c r="DR59" s="1590"/>
      <c r="DS59" s="1591"/>
      <c r="DT59" s="475"/>
      <c r="DU59" s="475">
        <f>'расч ФОТ мест с 01.07-31.12 '!V6/6*2</f>
        <v>77122.319999999992</v>
      </c>
      <c r="DV59" s="476"/>
      <c r="DW59" s="475"/>
      <c r="DX59" s="475"/>
      <c r="DY59" s="475"/>
      <c r="EF59" s="607"/>
      <c r="EG59" s="607"/>
      <c r="EH59" s="607"/>
      <c r="EI59" s="607"/>
      <c r="EJ59" s="607"/>
      <c r="EK59" s="607"/>
      <c r="EL59" s="607"/>
      <c r="EM59" s="607"/>
      <c r="EN59" s="607"/>
      <c r="EO59" s="607"/>
    </row>
    <row r="60" spans="1:145" s="479" customFormat="1" ht="37.700000000000003" customHeight="1" x14ac:dyDescent="0.25">
      <c r="A60" s="1592">
        <v>15</v>
      </c>
      <c r="B60" s="1593"/>
      <c r="C60" s="1593"/>
      <c r="D60" s="1594"/>
      <c r="E60" s="1595" t="s">
        <v>98</v>
      </c>
      <c r="F60" s="1596"/>
      <c r="G60" s="1596"/>
      <c r="H60" s="1596"/>
      <c r="I60" s="1596"/>
      <c r="J60" s="1596"/>
      <c r="K60" s="1596"/>
      <c r="L60" s="1596"/>
      <c r="M60" s="1596"/>
      <c r="N60" s="1596"/>
      <c r="O60" s="1596"/>
      <c r="P60" s="1596"/>
      <c r="Q60" s="1596"/>
      <c r="R60" s="1596"/>
      <c r="S60" s="1596"/>
      <c r="T60" s="1597"/>
      <c r="U60" s="1598">
        <v>2</v>
      </c>
      <c r="V60" s="1599"/>
      <c r="W60" s="1599"/>
      <c r="X60" s="1599"/>
      <c r="Y60" s="1599"/>
      <c r="Z60" s="1599"/>
      <c r="AA60" s="1599"/>
      <c r="AB60" s="1599"/>
      <c r="AC60" s="1599"/>
      <c r="AD60" s="1599"/>
      <c r="AE60" s="1599"/>
      <c r="AF60" s="1600"/>
      <c r="AG60" s="1601">
        <f t="shared" ref="AG60:AG65" si="6">AU60+BI60+BW60</f>
        <v>11247.005000000001</v>
      </c>
      <c r="AH60" s="1602"/>
      <c r="AI60" s="1602"/>
      <c r="AJ60" s="1602"/>
      <c r="AK60" s="1602"/>
      <c r="AL60" s="1602"/>
      <c r="AM60" s="1602"/>
      <c r="AN60" s="1602"/>
      <c r="AO60" s="1602"/>
      <c r="AP60" s="1602"/>
      <c r="AQ60" s="1602"/>
      <c r="AR60" s="1602"/>
      <c r="AS60" s="1602"/>
      <c r="AT60" s="1603"/>
      <c r="AU60" s="1601">
        <f>'расч ФОТ мест с 01.07-31.12 '!L7/6*2</f>
        <v>8585.5</v>
      </c>
      <c r="AV60" s="1602"/>
      <c r="AW60" s="1602"/>
      <c r="AX60" s="1602"/>
      <c r="AY60" s="1602"/>
      <c r="AZ60" s="1602"/>
      <c r="BA60" s="1602"/>
      <c r="BB60" s="1602"/>
      <c r="BC60" s="1602"/>
      <c r="BD60" s="1602"/>
      <c r="BE60" s="1602"/>
      <c r="BF60" s="1602"/>
      <c r="BG60" s="1602"/>
      <c r="BH60" s="1603"/>
      <c r="BI60" s="1601">
        <f>'расч ФОТ мест с 01.07-31.12 '!R7/6*2</f>
        <v>343.42</v>
      </c>
      <c r="BJ60" s="1602"/>
      <c r="BK60" s="1602"/>
      <c r="BL60" s="1602"/>
      <c r="BM60" s="1602"/>
      <c r="BN60" s="1602"/>
      <c r="BO60" s="1602"/>
      <c r="BP60" s="1602"/>
      <c r="BQ60" s="1602"/>
      <c r="BR60" s="1602"/>
      <c r="BS60" s="1602"/>
      <c r="BT60" s="1602"/>
      <c r="BU60" s="1602"/>
      <c r="BV60" s="1603"/>
      <c r="BW60" s="1589">
        <f>'расч ФОТ мест с 01.07-31.12 '!T7/6*2</f>
        <v>2318.085</v>
      </c>
      <c r="BX60" s="1590"/>
      <c r="BY60" s="1590"/>
      <c r="BZ60" s="1590"/>
      <c r="CA60" s="1590"/>
      <c r="CB60" s="1590"/>
      <c r="CC60" s="1590"/>
      <c r="CD60" s="1590"/>
      <c r="CE60" s="1590"/>
      <c r="CF60" s="1590"/>
      <c r="CG60" s="1590"/>
      <c r="CH60" s="1590"/>
      <c r="CI60" s="1590"/>
      <c r="CJ60" s="1591"/>
      <c r="CK60" s="1589"/>
      <c r="CL60" s="1590"/>
      <c r="CM60" s="1590"/>
      <c r="CN60" s="1590"/>
      <c r="CO60" s="1590"/>
      <c r="CP60" s="1590"/>
      <c r="CQ60" s="1590"/>
      <c r="CR60" s="1590"/>
      <c r="CS60" s="1590"/>
      <c r="CT60" s="1590"/>
      <c r="CU60" s="1591"/>
      <c r="CV60" s="1589"/>
      <c r="CW60" s="1590"/>
      <c r="CX60" s="1590"/>
      <c r="CY60" s="1590"/>
      <c r="CZ60" s="1590"/>
      <c r="DA60" s="1590"/>
      <c r="DB60" s="1590"/>
      <c r="DC60" s="1590"/>
      <c r="DD60" s="1590"/>
      <c r="DE60" s="1591"/>
      <c r="DF60" s="1589">
        <f t="shared" ref="DF60:DF65" si="7">DU60</f>
        <v>67482.03</v>
      </c>
      <c r="DG60" s="1590"/>
      <c r="DH60" s="1590"/>
      <c r="DI60" s="1590"/>
      <c r="DJ60" s="1590"/>
      <c r="DK60" s="1590"/>
      <c r="DL60" s="1590"/>
      <c r="DM60" s="1590"/>
      <c r="DN60" s="1590"/>
      <c r="DO60" s="1590"/>
      <c r="DP60" s="1590"/>
      <c r="DQ60" s="1590"/>
      <c r="DR60" s="1590"/>
      <c r="DS60" s="1591"/>
      <c r="DT60" s="475"/>
      <c r="DU60" s="475">
        <f>'расч ФОТ мест с 01.07-31.12 '!V7/6*2</f>
        <v>67482.03</v>
      </c>
      <c r="DV60" s="476"/>
      <c r="DW60" s="475"/>
      <c r="DX60" s="475"/>
      <c r="DY60" s="475"/>
      <c r="EF60" s="607"/>
      <c r="EG60" s="607"/>
      <c r="EH60" s="607"/>
      <c r="EI60" s="607"/>
      <c r="EJ60" s="607"/>
      <c r="EK60" s="607"/>
      <c r="EL60" s="607"/>
      <c r="EM60" s="607"/>
      <c r="EN60" s="607"/>
      <c r="EO60" s="607"/>
    </row>
    <row r="61" spans="1:145" s="479" customFormat="1" ht="37.700000000000003" customHeight="1" x14ac:dyDescent="0.25">
      <c r="A61" s="1592">
        <v>16</v>
      </c>
      <c r="B61" s="1593"/>
      <c r="C61" s="1593"/>
      <c r="D61" s="1594"/>
      <c r="E61" s="1595" t="s">
        <v>1272</v>
      </c>
      <c r="F61" s="1596"/>
      <c r="G61" s="1596"/>
      <c r="H61" s="1596"/>
      <c r="I61" s="1596"/>
      <c r="J61" s="1596"/>
      <c r="K61" s="1596"/>
      <c r="L61" s="1596"/>
      <c r="M61" s="1596"/>
      <c r="N61" s="1596"/>
      <c r="O61" s="1596"/>
      <c r="P61" s="1596"/>
      <c r="Q61" s="1596"/>
      <c r="R61" s="1596"/>
      <c r="S61" s="1596"/>
      <c r="T61" s="1597"/>
      <c r="U61" s="1598">
        <v>1</v>
      </c>
      <c r="V61" s="1599"/>
      <c r="W61" s="1599"/>
      <c r="X61" s="1599"/>
      <c r="Y61" s="1599"/>
      <c r="Z61" s="1599"/>
      <c r="AA61" s="1599"/>
      <c r="AB61" s="1599"/>
      <c r="AC61" s="1599"/>
      <c r="AD61" s="1599"/>
      <c r="AE61" s="1599"/>
      <c r="AF61" s="1600"/>
      <c r="AG61" s="1601">
        <f t="shared" si="6"/>
        <v>6230.62</v>
      </c>
      <c r="AH61" s="1602"/>
      <c r="AI61" s="1602"/>
      <c r="AJ61" s="1602"/>
      <c r="AK61" s="1602"/>
      <c r="AL61" s="1602"/>
      <c r="AM61" s="1602"/>
      <c r="AN61" s="1602"/>
      <c r="AO61" s="1602"/>
      <c r="AP61" s="1602"/>
      <c r="AQ61" s="1602"/>
      <c r="AR61" s="1602"/>
      <c r="AS61" s="1602"/>
      <c r="AT61" s="1603"/>
      <c r="AU61" s="1601">
        <f>'расч ФОТ мест с 01.07-31.12 '!L8/6*2</f>
        <v>4906</v>
      </c>
      <c r="AV61" s="1602"/>
      <c r="AW61" s="1602"/>
      <c r="AX61" s="1602"/>
      <c r="AY61" s="1602"/>
      <c r="AZ61" s="1602"/>
      <c r="BA61" s="1602"/>
      <c r="BB61" s="1602"/>
      <c r="BC61" s="1602"/>
      <c r="BD61" s="1602"/>
      <c r="BE61" s="1602"/>
      <c r="BF61" s="1602"/>
      <c r="BG61" s="1602"/>
      <c r="BH61" s="1603"/>
      <c r="BI61" s="1601">
        <f>'расч ФОТ мест с 01.07-31.12 '!R8/6*2</f>
        <v>0</v>
      </c>
      <c r="BJ61" s="1602"/>
      <c r="BK61" s="1602"/>
      <c r="BL61" s="1602"/>
      <c r="BM61" s="1602"/>
      <c r="BN61" s="1602"/>
      <c r="BO61" s="1602"/>
      <c r="BP61" s="1602"/>
      <c r="BQ61" s="1602"/>
      <c r="BR61" s="1602"/>
      <c r="BS61" s="1602"/>
      <c r="BT61" s="1602"/>
      <c r="BU61" s="1602"/>
      <c r="BV61" s="1603"/>
      <c r="BW61" s="1589">
        <f>'расч ФОТ мест с 01.07-31.12 '!T8/6*2</f>
        <v>1324.6200000000001</v>
      </c>
      <c r="BX61" s="1590"/>
      <c r="BY61" s="1590"/>
      <c r="BZ61" s="1590"/>
      <c r="CA61" s="1590"/>
      <c r="CB61" s="1590"/>
      <c r="CC61" s="1590"/>
      <c r="CD61" s="1590"/>
      <c r="CE61" s="1590"/>
      <c r="CF61" s="1590"/>
      <c r="CG61" s="1590"/>
      <c r="CH61" s="1590"/>
      <c r="CI61" s="1590"/>
      <c r="CJ61" s="1591"/>
      <c r="CK61" s="1589"/>
      <c r="CL61" s="1590"/>
      <c r="CM61" s="1590"/>
      <c r="CN61" s="1590"/>
      <c r="CO61" s="1590"/>
      <c r="CP61" s="1590"/>
      <c r="CQ61" s="1590"/>
      <c r="CR61" s="1590"/>
      <c r="CS61" s="1590"/>
      <c r="CT61" s="1590"/>
      <c r="CU61" s="1591"/>
      <c r="CV61" s="1589"/>
      <c r="CW61" s="1590"/>
      <c r="CX61" s="1590"/>
      <c r="CY61" s="1590"/>
      <c r="CZ61" s="1590"/>
      <c r="DA61" s="1590"/>
      <c r="DB61" s="1590"/>
      <c r="DC61" s="1590"/>
      <c r="DD61" s="1590"/>
      <c r="DE61" s="1591"/>
      <c r="DF61" s="1589">
        <f t="shared" si="7"/>
        <v>37383.72</v>
      </c>
      <c r="DG61" s="1590"/>
      <c r="DH61" s="1590"/>
      <c r="DI61" s="1590"/>
      <c r="DJ61" s="1590"/>
      <c r="DK61" s="1590"/>
      <c r="DL61" s="1590"/>
      <c r="DM61" s="1590"/>
      <c r="DN61" s="1590"/>
      <c r="DO61" s="1590"/>
      <c r="DP61" s="1590"/>
      <c r="DQ61" s="1590"/>
      <c r="DR61" s="1590"/>
      <c r="DS61" s="1591"/>
      <c r="DT61" s="475"/>
      <c r="DU61" s="475">
        <f>'расч ФОТ мест с 01.07-31.12 '!V8/6*2</f>
        <v>37383.72</v>
      </c>
      <c r="DV61" s="475"/>
      <c r="DW61" s="475"/>
      <c r="DX61" s="475"/>
      <c r="DY61" s="475"/>
      <c r="EF61" s="607"/>
      <c r="EG61" s="607"/>
      <c r="EH61" s="607"/>
      <c r="EI61" s="607"/>
      <c r="EJ61" s="607"/>
      <c r="EK61" s="607"/>
      <c r="EL61" s="607"/>
      <c r="EM61" s="607"/>
      <c r="EN61" s="607"/>
      <c r="EO61" s="607"/>
    </row>
    <row r="62" spans="1:145" s="479" customFormat="1" ht="37.700000000000003" customHeight="1" x14ac:dyDescent="0.25">
      <c r="A62" s="1592">
        <v>17</v>
      </c>
      <c r="B62" s="1593"/>
      <c r="C62" s="1593"/>
      <c r="D62" s="1594"/>
      <c r="E62" s="1595" t="s">
        <v>99</v>
      </c>
      <c r="F62" s="1596"/>
      <c r="G62" s="1596"/>
      <c r="H62" s="1596"/>
      <c r="I62" s="1596"/>
      <c r="J62" s="1596"/>
      <c r="K62" s="1596"/>
      <c r="L62" s="1596"/>
      <c r="M62" s="1596"/>
      <c r="N62" s="1596"/>
      <c r="O62" s="1596"/>
      <c r="P62" s="1596"/>
      <c r="Q62" s="1596"/>
      <c r="R62" s="1596"/>
      <c r="S62" s="1596"/>
      <c r="T62" s="1597"/>
      <c r="U62" s="1598">
        <v>0.5</v>
      </c>
      <c r="V62" s="1599"/>
      <c r="W62" s="1599"/>
      <c r="X62" s="1599"/>
      <c r="Y62" s="1599"/>
      <c r="Z62" s="1599"/>
      <c r="AA62" s="1599"/>
      <c r="AB62" s="1599"/>
      <c r="AC62" s="1599"/>
      <c r="AD62" s="1599"/>
      <c r="AE62" s="1599"/>
      <c r="AF62" s="1600"/>
      <c r="AG62" s="1601">
        <f t="shared" si="6"/>
        <v>2725.8983666666668</v>
      </c>
      <c r="AH62" s="1602"/>
      <c r="AI62" s="1602"/>
      <c r="AJ62" s="1602"/>
      <c r="AK62" s="1602"/>
      <c r="AL62" s="1602"/>
      <c r="AM62" s="1602"/>
      <c r="AN62" s="1602"/>
      <c r="AO62" s="1602"/>
      <c r="AP62" s="1602"/>
      <c r="AQ62" s="1602"/>
      <c r="AR62" s="1602"/>
      <c r="AS62" s="1602"/>
      <c r="AT62" s="1603"/>
      <c r="AU62" s="1601">
        <f>'расч ФОТ мест с 01.07-31.12 '!L9/6*2</f>
        <v>2146.3766666666666</v>
      </c>
      <c r="AV62" s="1602"/>
      <c r="AW62" s="1602"/>
      <c r="AX62" s="1602"/>
      <c r="AY62" s="1602"/>
      <c r="AZ62" s="1602"/>
      <c r="BA62" s="1602"/>
      <c r="BB62" s="1602"/>
      <c r="BC62" s="1602"/>
      <c r="BD62" s="1602"/>
      <c r="BE62" s="1602"/>
      <c r="BF62" s="1602"/>
      <c r="BG62" s="1602"/>
      <c r="BH62" s="1603"/>
      <c r="BI62" s="1601">
        <f>'расч ФОТ мест с 01.07-31.12 '!R9/6*2</f>
        <v>0</v>
      </c>
      <c r="BJ62" s="1602"/>
      <c r="BK62" s="1602"/>
      <c r="BL62" s="1602"/>
      <c r="BM62" s="1602"/>
      <c r="BN62" s="1602"/>
      <c r="BO62" s="1602"/>
      <c r="BP62" s="1602"/>
      <c r="BQ62" s="1602"/>
      <c r="BR62" s="1602"/>
      <c r="BS62" s="1602"/>
      <c r="BT62" s="1602"/>
      <c r="BU62" s="1602"/>
      <c r="BV62" s="1603"/>
      <c r="BW62" s="1589">
        <f>'расч ФОТ мест с 01.07-31.12 '!T9/6*2</f>
        <v>579.52170000000012</v>
      </c>
      <c r="BX62" s="1590"/>
      <c r="BY62" s="1590"/>
      <c r="BZ62" s="1590"/>
      <c r="CA62" s="1590"/>
      <c r="CB62" s="1590"/>
      <c r="CC62" s="1590"/>
      <c r="CD62" s="1590"/>
      <c r="CE62" s="1590"/>
      <c r="CF62" s="1590"/>
      <c r="CG62" s="1590"/>
      <c r="CH62" s="1590"/>
      <c r="CI62" s="1590"/>
      <c r="CJ62" s="1591"/>
      <c r="CK62" s="1589"/>
      <c r="CL62" s="1590"/>
      <c r="CM62" s="1590"/>
      <c r="CN62" s="1590"/>
      <c r="CO62" s="1590"/>
      <c r="CP62" s="1590"/>
      <c r="CQ62" s="1590"/>
      <c r="CR62" s="1590"/>
      <c r="CS62" s="1590"/>
      <c r="CT62" s="1590"/>
      <c r="CU62" s="1591"/>
      <c r="CV62" s="1589"/>
      <c r="CW62" s="1590"/>
      <c r="CX62" s="1590"/>
      <c r="CY62" s="1590"/>
      <c r="CZ62" s="1590"/>
      <c r="DA62" s="1590"/>
      <c r="DB62" s="1590"/>
      <c r="DC62" s="1590"/>
      <c r="DD62" s="1590"/>
      <c r="DE62" s="1591"/>
      <c r="DF62" s="1589">
        <f t="shared" si="7"/>
        <v>16355.390200000002</v>
      </c>
      <c r="DG62" s="1590"/>
      <c r="DH62" s="1590"/>
      <c r="DI62" s="1590"/>
      <c r="DJ62" s="1590"/>
      <c r="DK62" s="1590"/>
      <c r="DL62" s="1590"/>
      <c r="DM62" s="1590"/>
      <c r="DN62" s="1590"/>
      <c r="DO62" s="1590"/>
      <c r="DP62" s="1590"/>
      <c r="DQ62" s="1590"/>
      <c r="DR62" s="1590"/>
      <c r="DS62" s="1591"/>
      <c r="DT62" s="475"/>
      <c r="DU62" s="475">
        <f>'расч ФОТ мест с 01.07-31.12 '!V9/6*2</f>
        <v>16355.390200000002</v>
      </c>
      <c r="DV62" s="475"/>
      <c r="DW62" s="475"/>
      <c r="DX62" s="475"/>
      <c r="DY62" s="475"/>
      <c r="EF62" s="607"/>
      <c r="EG62" s="607"/>
      <c r="EH62" s="607"/>
      <c r="EI62" s="607"/>
      <c r="EJ62" s="607"/>
      <c r="EK62" s="607"/>
      <c r="EL62" s="607"/>
      <c r="EM62" s="607"/>
      <c r="EN62" s="607"/>
      <c r="EO62" s="607"/>
    </row>
    <row r="63" spans="1:145" s="479" customFormat="1" ht="37.700000000000003" customHeight="1" x14ac:dyDescent="0.25">
      <c r="A63" s="1592">
        <v>18</v>
      </c>
      <c r="B63" s="1593"/>
      <c r="C63" s="1593"/>
      <c r="D63" s="1594"/>
      <c r="E63" s="1595" t="s">
        <v>1209</v>
      </c>
      <c r="F63" s="1596"/>
      <c r="G63" s="1596"/>
      <c r="H63" s="1596"/>
      <c r="I63" s="1596"/>
      <c r="J63" s="1596"/>
      <c r="K63" s="1596"/>
      <c r="L63" s="1596"/>
      <c r="M63" s="1596"/>
      <c r="N63" s="1596"/>
      <c r="O63" s="1596"/>
      <c r="P63" s="1596"/>
      <c r="Q63" s="1596"/>
      <c r="R63" s="1596"/>
      <c r="S63" s="1596"/>
      <c r="T63" s="1597"/>
      <c r="U63" s="1598">
        <v>1</v>
      </c>
      <c r="V63" s="1599"/>
      <c r="W63" s="1599"/>
      <c r="X63" s="1599"/>
      <c r="Y63" s="1599"/>
      <c r="Z63" s="1599"/>
      <c r="AA63" s="1599"/>
      <c r="AB63" s="1599"/>
      <c r="AC63" s="1599"/>
      <c r="AD63" s="1599"/>
      <c r="AE63" s="1599"/>
      <c r="AF63" s="1600"/>
      <c r="AG63" s="1601">
        <f t="shared" si="6"/>
        <v>5451.7924999999996</v>
      </c>
      <c r="AH63" s="1602"/>
      <c r="AI63" s="1602"/>
      <c r="AJ63" s="1602"/>
      <c r="AK63" s="1602"/>
      <c r="AL63" s="1602"/>
      <c r="AM63" s="1602"/>
      <c r="AN63" s="1602"/>
      <c r="AO63" s="1602"/>
      <c r="AP63" s="1602"/>
      <c r="AQ63" s="1602"/>
      <c r="AR63" s="1602"/>
      <c r="AS63" s="1602"/>
      <c r="AT63" s="1603"/>
      <c r="AU63" s="1601">
        <f>'расч ФОТ мест с 01.07-31.12 '!L10/6*2</f>
        <v>4292.75</v>
      </c>
      <c r="AV63" s="1602"/>
      <c r="AW63" s="1602"/>
      <c r="AX63" s="1602"/>
      <c r="AY63" s="1602"/>
      <c r="AZ63" s="1602"/>
      <c r="BA63" s="1602"/>
      <c r="BB63" s="1602"/>
      <c r="BC63" s="1602"/>
      <c r="BD63" s="1602"/>
      <c r="BE63" s="1602"/>
      <c r="BF63" s="1602"/>
      <c r="BG63" s="1602"/>
      <c r="BH63" s="1603"/>
      <c r="BI63" s="1601">
        <f>'расч ФОТ мест с 01.07-31.12 '!R10/6*2</f>
        <v>0</v>
      </c>
      <c r="BJ63" s="1602"/>
      <c r="BK63" s="1602"/>
      <c r="BL63" s="1602"/>
      <c r="BM63" s="1602"/>
      <c r="BN63" s="1602"/>
      <c r="BO63" s="1602"/>
      <c r="BP63" s="1602"/>
      <c r="BQ63" s="1602"/>
      <c r="BR63" s="1602"/>
      <c r="BS63" s="1602"/>
      <c r="BT63" s="1602"/>
      <c r="BU63" s="1602"/>
      <c r="BV63" s="1603"/>
      <c r="BW63" s="1589">
        <f>'расч ФОТ мест с 01.07-31.12 '!T10/6*2</f>
        <v>1159.0425</v>
      </c>
      <c r="BX63" s="1590"/>
      <c r="BY63" s="1590"/>
      <c r="BZ63" s="1590"/>
      <c r="CA63" s="1590"/>
      <c r="CB63" s="1590"/>
      <c r="CC63" s="1590"/>
      <c r="CD63" s="1590"/>
      <c r="CE63" s="1590"/>
      <c r="CF63" s="1590"/>
      <c r="CG63" s="1590"/>
      <c r="CH63" s="1590"/>
      <c r="CI63" s="1590"/>
      <c r="CJ63" s="1591"/>
      <c r="CK63" s="1589"/>
      <c r="CL63" s="1590"/>
      <c r="CM63" s="1590"/>
      <c r="CN63" s="1590"/>
      <c r="CO63" s="1590"/>
      <c r="CP63" s="1590"/>
      <c r="CQ63" s="1590"/>
      <c r="CR63" s="1590"/>
      <c r="CS63" s="1590"/>
      <c r="CT63" s="1590"/>
      <c r="CU63" s="1591"/>
      <c r="CV63" s="1589"/>
      <c r="CW63" s="1590"/>
      <c r="CX63" s="1590"/>
      <c r="CY63" s="1590"/>
      <c r="CZ63" s="1590"/>
      <c r="DA63" s="1590"/>
      <c r="DB63" s="1590"/>
      <c r="DC63" s="1590"/>
      <c r="DD63" s="1590"/>
      <c r="DE63" s="1591"/>
      <c r="DF63" s="1589">
        <f t="shared" si="7"/>
        <v>32710.755000000001</v>
      </c>
      <c r="DG63" s="1590"/>
      <c r="DH63" s="1590"/>
      <c r="DI63" s="1590"/>
      <c r="DJ63" s="1590"/>
      <c r="DK63" s="1590"/>
      <c r="DL63" s="1590"/>
      <c r="DM63" s="1590"/>
      <c r="DN63" s="1590"/>
      <c r="DO63" s="1590"/>
      <c r="DP63" s="1590"/>
      <c r="DQ63" s="1590"/>
      <c r="DR63" s="1590"/>
      <c r="DS63" s="1591"/>
      <c r="DT63" s="475"/>
      <c r="DU63" s="475">
        <f>'расч ФОТ мест с 01.07-31.12 '!V10/6*2</f>
        <v>32710.755000000001</v>
      </c>
      <c r="DV63" s="475"/>
      <c r="DW63" s="475"/>
      <c r="DX63" s="475"/>
      <c r="DY63" s="475"/>
      <c r="EF63" s="607"/>
      <c r="EG63" s="607"/>
      <c r="EH63" s="607"/>
      <c r="EI63" s="607"/>
      <c r="EJ63" s="607"/>
      <c r="EK63" s="607"/>
      <c r="EL63" s="607"/>
      <c r="EM63" s="607"/>
      <c r="EN63" s="607"/>
      <c r="EO63" s="607"/>
    </row>
    <row r="64" spans="1:145" s="479" customFormat="1" ht="37.700000000000003" customHeight="1" x14ac:dyDescent="0.25">
      <c r="A64" s="1592">
        <v>19</v>
      </c>
      <c r="B64" s="1593"/>
      <c r="C64" s="1593"/>
      <c r="D64" s="1594"/>
      <c r="E64" s="1595" t="s">
        <v>100</v>
      </c>
      <c r="F64" s="1596"/>
      <c r="G64" s="1596"/>
      <c r="H64" s="1596"/>
      <c r="I64" s="1596"/>
      <c r="J64" s="1596"/>
      <c r="K64" s="1596"/>
      <c r="L64" s="1596"/>
      <c r="M64" s="1596"/>
      <c r="N64" s="1596"/>
      <c r="O64" s="1596"/>
      <c r="P64" s="1596"/>
      <c r="Q64" s="1596"/>
      <c r="R64" s="1596"/>
      <c r="S64" s="1596"/>
      <c r="T64" s="1597"/>
      <c r="U64" s="1598">
        <v>0.5</v>
      </c>
      <c r="V64" s="1599"/>
      <c r="W64" s="1599"/>
      <c r="X64" s="1599"/>
      <c r="Y64" s="1599"/>
      <c r="Z64" s="1599"/>
      <c r="AA64" s="1599"/>
      <c r="AB64" s="1599"/>
      <c r="AC64" s="1599"/>
      <c r="AD64" s="1599"/>
      <c r="AE64" s="1599"/>
      <c r="AF64" s="1600"/>
      <c r="AG64" s="1601">
        <f t="shared" si="6"/>
        <v>2725.8983666666668</v>
      </c>
      <c r="AH64" s="1602"/>
      <c r="AI64" s="1602"/>
      <c r="AJ64" s="1602"/>
      <c r="AK64" s="1602"/>
      <c r="AL64" s="1602"/>
      <c r="AM64" s="1602"/>
      <c r="AN64" s="1602"/>
      <c r="AO64" s="1602"/>
      <c r="AP64" s="1602"/>
      <c r="AQ64" s="1602"/>
      <c r="AR64" s="1602"/>
      <c r="AS64" s="1602"/>
      <c r="AT64" s="1603"/>
      <c r="AU64" s="1601">
        <f>'расч ФОТ мест с 01.07-31.12 '!L11/6*2</f>
        <v>2146.3766666666666</v>
      </c>
      <c r="AV64" s="1602"/>
      <c r="AW64" s="1602"/>
      <c r="AX64" s="1602"/>
      <c r="AY64" s="1602"/>
      <c r="AZ64" s="1602"/>
      <c r="BA64" s="1602"/>
      <c r="BB64" s="1602"/>
      <c r="BC64" s="1602"/>
      <c r="BD64" s="1602"/>
      <c r="BE64" s="1602"/>
      <c r="BF64" s="1602"/>
      <c r="BG64" s="1602"/>
      <c r="BH64" s="1603"/>
      <c r="BI64" s="1601">
        <f>'расч ФОТ мест с 01.07-31.12 '!R11/6*2</f>
        <v>0</v>
      </c>
      <c r="BJ64" s="1602"/>
      <c r="BK64" s="1602"/>
      <c r="BL64" s="1602"/>
      <c r="BM64" s="1602"/>
      <c r="BN64" s="1602"/>
      <c r="BO64" s="1602"/>
      <c r="BP64" s="1602"/>
      <c r="BQ64" s="1602"/>
      <c r="BR64" s="1602"/>
      <c r="BS64" s="1602"/>
      <c r="BT64" s="1602"/>
      <c r="BU64" s="1602"/>
      <c r="BV64" s="1603"/>
      <c r="BW64" s="1589">
        <f>'расч ФОТ мест с 01.07-31.12 '!T11/6*2</f>
        <v>579.52170000000012</v>
      </c>
      <c r="BX64" s="1590"/>
      <c r="BY64" s="1590"/>
      <c r="BZ64" s="1590"/>
      <c r="CA64" s="1590"/>
      <c r="CB64" s="1590"/>
      <c r="CC64" s="1590"/>
      <c r="CD64" s="1590"/>
      <c r="CE64" s="1590"/>
      <c r="CF64" s="1590"/>
      <c r="CG64" s="1590"/>
      <c r="CH64" s="1590"/>
      <c r="CI64" s="1590"/>
      <c r="CJ64" s="1591"/>
      <c r="CK64" s="1589"/>
      <c r="CL64" s="1590"/>
      <c r="CM64" s="1590"/>
      <c r="CN64" s="1590"/>
      <c r="CO64" s="1590"/>
      <c r="CP64" s="1590"/>
      <c r="CQ64" s="1590"/>
      <c r="CR64" s="1590"/>
      <c r="CS64" s="1590"/>
      <c r="CT64" s="1590"/>
      <c r="CU64" s="1591"/>
      <c r="CV64" s="1589"/>
      <c r="CW64" s="1590"/>
      <c r="CX64" s="1590"/>
      <c r="CY64" s="1590"/>
      <c r="CZ64" s="1590"/>
      <c r="DA64" s="1590"/>
      <c r="DB64" s="1590"/>
      <c r="DC64" s="1590"/>
      <c r="DD64" s="1590"/>
      <c r="DE64" s="1591"/>
      <c r="DF64" s="1589">
        <f t="shared" si="7"/>
        <v>16355.390200000002</v>
      </c>
      <c r="DG64" s="1590"/>
      <c r="DH64" s="1590"/>
      <c r="DI64" s="1590"/>
      <c r="DJ64" s="1590"/>
      <c r="DK64" s="1590"/>
      <c r="DL64" s="1590"/>
      <c r="DM64" s="1590"/>
      <c r="DN64" s="1590"/>
      <c r="DO64" s="1590"/>
      <c r="DP64" s="1590"/>
      <c r="DQ64" s="1590"/>
      <c r="DR64" s="1590"/>
      <c r="DS64" s="1591"/>
      <c r="DT64" s="475"/>
      <c r="DU64" s="475">
        <f>'расч ФОТ мест с 01.07-31.12 '!V11/6*2</f>
        <v>16355.390200000002</v>
      </c>
      <c r="DV64" s="475"/>
      <c r="DW64" s="475"/>
      <c r="DX64" s="475"/>
      <c r="DY64" s="475"/>
      <c r="EF64" s="607"/>
      <c r="EG64" s="607"/>
      <c r="EH64" s="607"/>
      <c r="EI64" s="607"/>
      <c r="EJ64" s="607"/>
      <c r="EK64" s="607"/>
      <c r="EL64" s="607"/>
      <c r="EM64" s="607"/>
      <c r="EN64" s="607"/>
      <c r="EO64" s="607"/>
    </row>
    <row r="65" spans="1:145" s="479" customFormat="1" ht="37.700000000000003" customHeight="1" x14ac:dyDescent="0.25">
      <c r="A65" s="1592">
        <v>20</v>
      </c>
      <c r="B65" s="1593"/>
      <c r="C65" s="1593"/>
      <c r="D65" s="1594"/>
      <c r="E65" s="1595" t="s">
        <v>101</v>
      </c>
      <c r="F65" s="1596"/>
      <c r="G65" s="1596"/>
      <c r="H65" s="1596"/>
      <c r="I65" s="1596"/>
      <c r="J65" s="1596"/>
      <c r="K65" s="1596"/>
      <c r="L65" s="1596"/>
      <c r="M65" s="1596"/>
      <c r="N65" s="1596"/>
      <c r="O65" s="1596"/>
      <c r="P65" s="1596"/>
      <c r="Q65" s="1596"/>
      <c r="R65" s="1596"/>
      <c r="S65" s="1596"/>
      <c r="T65" s="1597"/>
      <c r="U65" s="1598">
        <v>3</v>
      </c>
      <c r="V65" s="1599"/>
      <c r="W65" s="1599"/>
      <c r="X65" s="1599"/>
      <c r="Y65" s="1599"/>
      <c r="Z65" s="1599"/>
      <c r="AA65" s="1599"/>
      <c r="AB65" s="1599"/>
      <c r="AC65" s="1599"/>
      <c r="AD65" s="1599"/>
      <c r="AE65" s="1599"/>
      <c r="AF65" s="1600"/>
      <c r="AG65" s="1601">
        <f t="shared" si="6"/>
        <v>18378.293333333335</v>
      </c>
      <c r="AH65" s="1602"/>
      <c r="AI65" s="1602"/>
      <c r="AJ65" s="1602"/>
      <c r="AK65" s="1602"/>
      <c r="AL65" s="1602"/>
      <c r="AM65" s="1602"/>
      <c r="AN65" s="1602"/>
      <c r="AO65" s="1602"/>
      <c r="AP65" s="1602"/>
      <c r="AQ65" s="1602"/>
      <c r="AR65" s="1602"/>
      <c r="AS65" s="1602"/>
      <c r="AT65" s="1603"/>
      <c r="AU65" s="1601">
        <f>'расч ФОТ мест с 01.07-31.12 '!L12/6*2</f>
        <v>12878.25</v>
      </c>
      <c r="AV65" s="1602"/>
      <c r="AW65" s="1602"/>
      <c r="AX65" s="1602"/>
      <c r="AY65" s="1602"/>
      <c r="AZ65" s="1602"/>
      <c r="BA65" s="1602"/>
      <c r="BB65" s="1602"/>
      <c r="BC65" s="1602"/>
      <c r="BD65" s="1602"/>
      <c r="BE65" s="1602"/>
      <c r="BF65" s="1602"/>
      <c r="BG65" s="1602"/>
      <c r="BH65" s="1603"/>
      <c r="BI65" s="1601">
        <f>'расч ФОТ мест с 01.07-31.12 '!R12/6*2</f>
        <v>2113.063333333333</v>
      </c>
      <c r="BJ65" s="1602"/>
      <c r="BK65" s="1602"/>
      <c r="BL65" s="1602"/>
      <c r="BM65" s="1602"/>
      <c r="BN65" s="1602"/>
      <c r="BO65" s="1602"/>
      <c r="BP65" s="1602"/>
      <c r="BQ65" s="1602"/>
      <c r="BR65" s="1602"/>
      <c r="BS65" s="1602"/>
      <c r="BT65" s="1602"/>
      <c r="BU65" s="1602"/>
      <c r="BV65" s="1603"/>
      <c r="BW65" s="1589">
        <f>'расч ФОТ мест с 01.07-31.12 '!T12/6*2</f>
        <v>3386.98</v>
      </c>
      <c r="BX65" s="1590"/>
      <c r="BY65" s="1590"/>
      <c r="BZ65" s="1590"/>
      <c r="CA65" s="1590"/>
      <c r="CB65" s="1590"/>
      <c r="CC65" s="1590"/>
      <c r="CD65" s="1590"/>
      <c r="CE65" s="1590"/>
      <c r="CF65" s="1590"/>
      <c r="CG65" s="1590"/>
      <c r="CH65" s="1590"/>
      <c r="CI65" s="1590"/>
      <c r="CJ65" s="1591"/>
      <c r="CK65" s="1589"/>
      <c r="CL65" s="1590"/>
      <c r="CM65" s="1590"/>
      <c r="CN65" s="1590"/>
      <c r="CO65" s="1590"/>
      <c r="CP65" s="1590"/>
      <c r="CQ65" s="1590"/>
      <c r="CR65" s="1590"/>
      <c r="CS65" s="1590"/>
      <c r="CT65" s="1590"/>
      <c r="CU65" s="1591"/>
      <c r="CV65" s="1589"/>
      <c r="CW65" s="1590"/>
      <c r="CX65" s="1590"/>
      <c r="CY65" s="1590"/>
      <c r="CZ65" s="1590"/>
      <c r="DA65" s="1590"/>
      <c r="DB65" s="1590"/>
      <c r="DC65" s="1590"/>
      <c r="DD65" s="1590"/>
      <c r="DE65" s="1591"/>
      <c r="DF65" s="1589">
        <f t="shared" si="7"/>
        <v>110269.76000000001</v>
      </c>
      <c r="DG65" s="1590"/>
      <c r="DH65" s="1590"/>
      <c r="DI65" s="1590"/>
      <c r="DJ65" s="1590"/>
      <c r="DK65" s="1590"/>
      <c r="DL65" s="1590"/>
      <c r="DM65" s="1590"/>
      <c r="DN65" s="1590"/>
      <c r="DO65" s="1590"/>
      <c r="DP65" s="1590"/>
      <c r="DQ65" s="1590"/>
      <c r="DR65" s="1590"/>
      <c r="DS65" s="1591"/>
      <c r="DT65" s="475"/>
      <c r="DU65" s="475">
        <f>'расч ФОТ мест с 01.07-31.12 '!V12/6*2</f>
        <v>110269.76000000001</v>
      </c>
      <c r="DV65" s="475"/>
      <c r="DW65" s="475"/>
      <c r="DX65" s="475"/>
      <c r="DY65" s="475"/>
      <c r="EF65" s="607"/>
      <c r="EG65" s="607"/>
      <c r="EH65" s="607"/>
      <c r="EI65" s="607"/>
      <c r="EJ65" s="607"/>
      <c r="EK65" s="607"/>
      <c r="EL65" s="607"/>
      <c r="EM65" s="607"/>
      <c r="EN65" s="607"/>
      <c r="EO65" s="607"/>
    </row>
    <row r="66" spans="1:145" s="479" customFormat="1" ht="22.5" customHeight="1" x14ac:dyDescent="0.25">
      <c r="A66" s="1585" t="s">
        <v>102</v>
      </c>
      <c r="B66" s="1586"/>
      <c r="C66" s="1586"/>
      <c r="D66" s="1586"/>
      <c r="E66" s="1586"/>
      <c r="F66" s="1586"/>
      <c r="G66" s="1586"/>
      <c r="H66" s="1586"/>
      <c r="I66" s="1586"/>
      <c r="J66" s="1586"/>
      <c r="K66" s="1586"/>
      <c r="L66" s="1586"/>
      <c r="M66" s="1586"/>
      <c r="N66" s="1586"/>
      <c r="O66" s="1586"/>
      <c r="P66" s="1586"/>
      <c r="Q66" s="1586"/>
      <c r="R66" s="1586"/>
      <c r="S66" s="1586"/>
      <c r="T66" s="1587"/>
      <c r="U66" s="1582" t="s">
        <v>3</v>
      </c>
      <c r="V66" s="1583"/>
      <c r="W66" s="1583"/>
      <c r="X66" s="1583"/>
      <c r="Y66" s="1583"/>
      <c r="Z66" s="1583"/>
      <c r="AA66" s="1583"/>
      <c r="AB66" s="1583"/>
      <c r="AC66" s="1583"/>
      <c r="AD66" s="1583"/>
      <c r="AE66" s="1583"/>
      <c r="AF66" s="1584"/>
      <c r="AG66" s="1582" t="s">
        <v>3</v>
      </c>
      <c r="AH66" s="1583"/>
      <c r="AI66" s="1583"/>
      <c r="AJ66" s="1583"/>
      <c r="AK66" s="1583"/>
      <c r="AL66" s="1583"/>
      <c r="AM66" s="1583"/>
      <c r="AN66" s="1583"/>
      <c r="AO66" s="1583"/>
      <c r="AP66" s="1583"/>
      <c r="AQ66" s="1583"/>
      <c r="AR66" s="1583"/>
      <c r="AS66" s="1583"/>
      <c r="AT66" s="1584"/>
      <c r="AU66" s="1582" t="s">
        <v>3</v>
      </c>
      <c r="AV66" s="1583"/>
      <c r="AW66" s="1583"/>
      <c r="AX66" s="1583"/>
      <c r="AY66" s="1583"/>
      <c r="AZ66" s="1583"/>
      <c r="BA66" s="1583"/>
      <c r="BB66" s="1583"/>
      <c r="BC66" s="1583"/>
      <c r="BD66" s="1583"/>
      <c r="BE66" s="1583"/>
      <c r="BF66" s="1583"/>
      <c r="BG66" s="1583"/>
      <c r="BH66" s="1584"/>
      <c r="BI66" s="1582" t="s">
        <v>3</v>
      </c>
      <c r="BJ66" s="1583"/>
      <c r="BK66" s="1583"/>
      <c r="BL66" s="1583"/>
      <c r="BM66" s="1583"/>
      <c r="BN66" s="1583"/>
      <c r="BO66" s="1583"/>
      <c r="BP66" s="1583"/>
      <c r="BQ66" s="1583"/>
      <c r="BR66" s="1583"/>
      <c r="BS66" s="1583"/>
      <c r="BT66" s="1583"/>
      <c r="BU66" s="1583"/>
      <c r="BV66" s="1584"/>
      <c r="BW66" s="1582" t="s">
        <v>3</v>
      </c>
      <c r="BX66" s="1583"/>
      <c r="BY66" s="1583"/>
      <c r="BZ66" s="1583"/>
      <c r="CA66" s="1583"/>
      <c r="CB66" s="1583"/>
      <c r="CC66" s="1583"/>
      <c r="CD66" s="1583"/>
      <c r="CE66" s="1583"/>
      <c r="CF66" s="1583"/>
      <c r="CG66" s="1583"/>
      <c r="CH66" s="1583"/>
      <c r="CI66" s="1583"/>
      <c r="CJ66" s="1584"/>
      <c r="CK66" s="1582" t="s">
        <v>3</v>
      </c>
      <c r="CL66" s="1583"/>
      <c r="CM66" s="1583"/>
      <c r="CN66" s="1583"/>
      <c r="CO66" s="1583"/>
      <c r="CP66" s="1583"/>
      <c r="CQ66" s="1583"/>
      <c r="CR66" s="1583"/>
      <c r="CS66" s="1583"/>
      <c r="CT66" s="1583"/>
      <c r="CU66" s="1584"/>
      <c r="CV66" s="1582" t="s">
        <v>3</v>
      </c>
      <c r="CW66" s="1583"/>
      <c r="CX66" s="1583"/>
      <c r="CY66" s="1583"/>
      <c r="CZ66" s="1583"/>
      <c r="DA66" s="1583"/>
      <c r="DB66" s="1583"/>
      <c r="DC66" s="1583"/>
      <c r="DD66" s="1583"/>
      <c r="DE66" s="1584"/>
      <c r="DF66" s="1585">
        <f>SUM(DF46:DS65)</f>
        <v>2265991.6083999993</v>
      </c>
      <c r="DG66" s="1586"/>
      <c r="DH66" s="1586"/>
      <c r="DI66" s="1586"/>
      <c r="DJ66" s="1586"/>
      <c r="DK66" s="1586"/>
      <c r="DL66" s="1586"/>
      <c r="DM66" s="1586"/>
      <c r="DN66" s="1586"/>
      <c r="DO66" s="1586"/>
      <c r="DP66" s="1586"/>
      <c r="DQ66" s="1586"/>
      <c r="DR66" s="1586"/>
      <c r="DS66" s="1587"/>
      <c r="DT66" s="478">
        <f>SUM(DT46:DT65)</f>
        <v>1908312.243</v>
      </c>
      <c r="DU66" s="478">
        <f>SUM(DU46:DU65)</f>
        <v>357679.36540000001</v>
      </c>
      <c r="DV66" s="478"/>
      <c r="DW66" s="478">
        <f>SUM(DW59:DW65)</f>
        <v>0</v>
      </c>
      <c r="DX66" s="478">
        <f>SUM(DX59:DX65)</f>
        <v>0</v>
      </c>
      <c r="DY66" s="478">
        <f>SUM(DY59:DY65)</f>
        <v>0</v>
      </c>
      <c r="EF66" s="607"/>
      <c r="EG66" s="607"/>
      <c r="EH66" s="607"/>
      <c r="EI66" s="607"/>
      <c r="EJ66" s="607"/>
      <c r="EK66" s="607"/>
      <c r="EL66" s="607"/>
      <c r="EM66" s="607"/>
      <c r="EN66" s="607"/>
      <c r="EO66" s="607"/>
    </row>
    <row r="67" spans="1:145" s="479" customFormat="1" ht="63" customHeight="1" x14ac:dyDescent="0.25">
      <c r="A67" s="1579" t="s">
        <v>845</v>
      </c>
      <c r="B67" s="1580"/>
      <c r="C67" s="1580"/>
      <c r="D67" s="1580"/>
      <c r="E67" s="1580"/>
      <c r="F67" s="1580"/>
      <c r="G67" s="1580"/>
      <c r="H67" s="1580"/>
      <c r="I67" s="1580"/>
      <c r="J67" s="1580"/>
      <c r="K67" s="1580"/>
      <c r="L67" s="1580"/>
      <c r="M67" s="1580"/>
      <c r="N67" s="1580"/>
      <c r="O67" s="1580"/>
      <c r="P67" s="1580"/>
      <c r="Q67" s="1580"/>
      <c r="R67" s="1580"/>
      <c r="S67" s="1580"/>
      <c r="T67" s="1581"/>
      <c r="U67" s="604"/>
      <c r="V67" s="605"/>
      <c r="W67" s="605"/>
      <c r="X67" s="605"/>
      <c r="Y67" s="605"/>
      <c r="Z67" s="605"/>
      <c r="AA67" s="605"/>
      <c r="AB67" s="605"/>
      <c r="AC67" s="605"/>
      <c r="AD67" s="605"/>
      <c r="AE67" s="605"/>
      <c r="AF67" s="606"/>
      <c r="AG67" s="604"/>
      <c r="AH67" s="605"/>
      <c r="AI67" s="605"/>
      <c r="AJ67" s="605"/>
      <c r="AK67" s="605"/>
      <c r="AL67" s="605"/>
      <c r="AM67" s="605"/>
      <c r="AN67" s="605"/>
      <c r="AO67" s="605"/>
      <c r="AP67" s="605"/>
      <c r="AQ67" s="605"/>
      <c r="AR67" s="605"/>
      <c r="AS67" s="605"/>
      <c r="AT67" s="606"/>
      <c r="AU67" s="604"/>
      <c r="AV67" s="605"/>
      <c r="AW67" s="605"/>
      <c r="AX67" s="605"/>
      <c r="AY67" s="605"/>
      <c r="AZ67" s="605"/>
      <c r="BA67" s="605"/>
      <c r="BB67" s="605"/>
      <c r="BC67" s="605"/>
      <c r="BD67" s="605"/>
      <c r="BE67" s="605"/>
      <c r="BF67" s="605"/>
      <c r="BG67" s="605"/>
      <c r="BH67" s="606"/>
      <c r="BI67" s="604"/>
      <c r="BJ67" s="605"/>
      <c r="BK67" s="605"/>
      <c r="BL67" s="605"/>
      <c r="BM67" s="605"/>
      <c r="BN67" s="605"/>
      <c r="BO67" s="605"/>
      <c r="BP67" s="605"/>
      <c r="BQ67" s="605"/>
      <c r="BR67" s="605"/>
      <c r="BS67" s="605"/>
      <c r="BT67" s="605"/>
      <c r="BU67" s="605"/>
      <c r="BV67" s="606"/>
      <c r="BW67" s="604"/>
      <c r="BX67" s="605"/>
      <c r="BY67" s="605"/>
      <c r="BZ67" s="605"/>
      <c r="CA67" s="605"/>
      <c r="CB67" s="605"/>
      <c r="CC67" s="605"/>
      <c r="CD67" s="605"/>
      <c r="CE67" s="605"/>
      <c r="CF67" s="605"/>
      <c r="CG67" s="605"/>
      <c r="CH67" s="605"/>
      <c r="CI67" s="605"/>
      <c r="CJ67" s="606"/>
      <c r="CK67" s="604"/>
      <c r="CL67" s="605"/>
      <c r="CM67" s="605"/>
      <c r="CN67" s="605"/>
      <c r="CO67" s="605"/>
      <c r="CP67" s="605"/>
      <c r="CQ67" s="605"/>
      <c r="CR67" s="605"/>
      <c r="CS67" s="605"/>
      <c r="CT67" s="605"/>
      <c r="CU67" s="606"/>
      <c r="CV67" s="604"/>
      <c r="CW67" s="605"/>
      <c r="CX67" s="605"/>
      <c r="CY67" s="605"/>
      <c r="CZ67" s="605"/>
      <c r="DA67" s="605"/>
      <c r="DB67" s="605"/>
      <c r="DC67" s="605"/>
      <c r="DD67" s="605"/>
      <c r="DE67" s="606"/>
      <c r="DF67" s="1582">
        <f>DT67+DW67+DX67+DY67</f>
        <v>16700</v>
      </c>
      <c r="DG67" s="1583"/>
      <c r="DH67" s="1583"/>
      <c r="DI67" s="1583"/>
      <c r="DJ67" s="1583"/>
      <c r="DK67" s="1583"/>
      <c r="DL67" s="1583"/>
      <c r="DM67" s="1583"/>
      <c r="DN67" s="1583"/>
      <c r="DO67" s="1583"/>
      <c r="DP67" s="1583"/>
      <c r="DQ67" s="1583"/>
      <c r="DR67" s="1583"/>
      <c r="DS67" s="1584"/>
      <c r="DT67" s="478">
        <v>16700</v>
      </c>
      <c r="DU67" s="478">
        <v>0</v>
      </c>
      <c r="DV67" s="478"/>
      <c r="DW67" s="478"/>
      <c r="DX67" s="478"/>
      <c r="DY67" s="478"/>
      <c r="EF67" s="607"/>
      <c r="EG67" s="607"/>
      <c r="EH67" s="607"/>
      <c r="EI67" s="607"/>
      <c r="EJ67" s="607"/>
      <c r="EK67" s="607"/>
      <c r="EL67" s="607"/>
      <c r="EM67" s="607"/>
      <c r="EN67" s="607"/>
      <c r="EO67" s="607"/>
    </row>
    <row r="68" spans="1:145" s="479" customFormat="1" ht="24.75" customHeight="1" x14ac:dyDescent="0.25">
      <c r="A68" s="1585" t="s">
        <v>102</v>
      </c>
      <c r="B68" s="1586"/>
      <c r="C68" s="1586"/>
      <c r="D68" s="1586"/>
      <c r="E68" s="1586"/>
      <c r="F68" s="1586"/>
      <c r="G68" s="1586"/>
      <c r="H68" s="1586"/>
      <c r="I68" s="1586"/>
      <c r="J68" s="1586"/>
      <c r="K68" s="1586"/>
      <c r="L68" s="1586"/>
      <c r="M68" s="1586"/>
      <c r="N68" s="1586"/>
      <c r="O68" s="1586"/>
      <c r="P68" s="1586"/>
      <c r="Q68" s="1586"/>
      <c r="R68" s="1586"/>
      <c r="S68" s="1586"/>
      <c r="T68" s="1587"/>
      <c r="U68" s="1582" t="s">
        <v>3</v>
      </c>
      <c r="V68" s="1583"/>
      <c r="W68" s="1583"/>
      <c r="X68" s="1583"/>
      <c r="Y68" s="1583"/>
      <c r="Z68" s="1583"/>
      <c r="AA68" s="1583"/>
      <c r="AB68" s="1583"/>
      <c r="AC68" s="1583"/>
      <c r="AD68" s="1583"/>
      <c r="AE68" s="1583"/>
      <c r="AF68" s="1584"/>
      <c r="AG68" s="1582" t="s">
        <v>3</v>
      </c>
      <c r="AH68" s="1583"/>
      <c r="AI68" s="1583"/>
      <c r="AJ68" s="1583"/>
      <c r="AK68" s="1583"/>
      <c r="AL68" s="1583"/>
      <c r="AM68" s="1583"/>
      <c r="AN68" s="1583"/>
      <c r="AO68" s="1583"/>
      <c r="AP68" s="1583"/>
      <c r="AQ68" s="1583"/>
      <c r="AR68" s="1583"/>
      <c r="AS68" s="1583"/>
      <c r="AT68" s="1584"/>
      <c r="AU68" s="1582" t="s">
        <v>3</v>
      </c>
      <c r="AV68" s="1583"/>
      <c r="AW68" s="1583"/>
      <c r="AX68" s="1583"/>
      <c r="AY68" s="1583"/>
      <c r="AZ68" s="1583"/>
      <c r="BA68" s="1583"/>
      <c r="BB68" s="1583"/>
      <c r="BC68" s="1583"/>
      <c r="BD68" s="1583"/>
      <c r="BE68" s="1583"/>
      <c r="BF68" s="1583"/>
      <c r="BG68" s="1583"/>
      <c r="BH68" s="1584"/>
      <c r="BI68" s="1582" t="s">
        <v>3</v>
      </c>
      <c r="BJ68" s="1583"/>
      <c r="BK68" s="1583"/>
      <c r="BL68" s="1583"/>
      <c r="BM68" s="1583"/>
      <c r="BN68" s="1583"/>
      <c r="BO68" s="1583"/>
      <c r="BP68" s="1583"/>
      <c r="BQ68" s="1583"/>
      <c r="BR68" s="1583"/>
      <c r="BS68" s="1583"/>
      <c r="BT68" s="1583"/>
      <c r="BU68" s="1583"/>
      <c r="BV68" s="1584"/>
      <c r="BW68" s="1582" t="s">
        <v>3</v>
      </c>
      <c r="BX68" s="1583"/>
      <c r="BY68" s="1583"/>
      <c r="BZ68" s="1583"/>
      <c r="CA68" s="1583"/>
      <c r="CB68" s="1583"/>
      <c r="CC68" s="1583"/>
      <c r="CD68" s="1583"/>
      <c r="CE68" s="1583"/>
      <c r="CF68" s="1583"/>
      <c r="CG68" s="1583"/>
      <c r="CH68" s="1583"/>
      <c r="CI68" s="1583"/>
      <c r="CJ68" s="1584"/>
      <c r="CK68" s="1582" t="s">
        <v>3</v>
      </c>
      <c r="CL68" s="1583"/>
      <c r="CM68" s="1583"/>
      <c r="CN68" s="1583"/>
      <c r="CO68" s="1583"/>
      <c r="CP68" s="1583"/>
      <c r="CQ68" s="1583"/>
      <c r="CR68" s="1583"/>
      <c r="CS68" s="1583"/>
      <c r="CT68" s="1583"/>
      <c r="CU68" s="1584"/>
      <c r="CV68" s="1582" t="s">
        <v>3</v>
      </c>
      <c r="CW68" s="1583"/>
      <c r="CX68" s="1583"/>
      <c r="CY68" s="1583"/>
      <c r="CZ68" s="1583"/>
      <c r="DA68" s="1583"/>
      <c r="DB68" s="1583"/>
      <c r="DC68" s="1583"/>
      <c r="DD68" s="1583"/>
      <c r="DE68" s="1584"/>
      <c r="DF68" s="1585">
        <f>DF66-DF67</f>
        <v>2249291.6083999993</v>
      </c>
      <c r="DG68" s="1586"/>
      <c r="DH68" s="1586"/>
      <c r="DI68" s="1586"/>
      <c r="DJ68" s="1586"/>
      <c r="DK68" s="1586"/>
      <c r="DL68" s="1586"/>
      <c r="DM68" s="1586"/>
      <c r="DN68" s="1586"/>
      <c r="DO68" s="1586"/>
      <c r="DP68" s="1586"/>
      <c r="DQ68" s="1586"/>
      <c r="DR68" s="1586"/>
      <c r="DS68" s="1587"/>
      <c r="DT68" s="478">
        <f>DT66-DT67</f>
        <v>1891612.243</v>
      </c>
      <c r="DU68" s="478">
        <f>DU66-DU67</f>
        <v>357679.36540000001</v>
      </c>
      <c r="DV68" s="478"/>
      <c r="DW68" s="478">
        <f>SUM(DW60:DW66)</f>
        <v>0</v>
      </c>
      <c r="DX68" s="478">
        <f>SUM(DX60:DX66)</f>
        <v>0</v>
      </c>
      <c r="DY68" s="478">
        <f>SUM(DY60:DY66)</f>
        <v>0</v>
      </c>
      <c r="EF68" s="607"/>
      <c r="EG68" s="607"/>
      <c r="EH68" s="607"/>
      <c r="EI68" s="607"/>
      <c r="EJ68" s="607"/>
      <c r="EK68" s="607"/>
      <c r="EL68" s="607"/>
      <c r="EM68" s="607"/>
      <c r="EN68" s="607"/>
      <c r="EO68" s="607"/>
    </row>
    <row r="69" spans="1:145" ht="37.9" customHeight="1" x14ac:dyDescent="0.25">
      <c r="A69" s="1637" t="s">
        <v>1403</v>
      </c>
      <c r="B69" s="1637"/>
      <c r="C69" s="1637"/>
      <c r="D69" s="1637"/>
      <c r="E69" s="1637"/>
      <c r="F69" s="1637"/>
      <c r="G69" s="1637"/>
      <c r="H69" s="1637"/>
      <c r="I69" s="1637"/>
      <c r="J69" s="1637"/>
      <c r="K69" s="1637"/>
      <c r="L69" s="1637"/>
      <c r="M69" s="1637"/>
      <c r="N69" s="1637"/>
      <c r="O69" s="1637"/>
      <c r="P69" s="1637"/>
      <c r="Q69" s="1637"/>
      <c r="R69" s="1637"/>
      <c r="S69" s="1637"/>
      <c r="T69" s="1637"/>
      <c r="U69" s="1637"/>
      <c r="V69" s="1637"/>
      <c r="W69" s="1637"/>
      <c r="X69" s="1637"/>
      <c r="Y69" s="1637"/>
      <c r="Z69" s="1637"/>
      <c r="AA69" s="1637"/>
      <c r="AB69" s="1637"/>
      <c r="AC69" s="1637"/>
      <c r="AD69" s="1637"/>
      <c r="AE69" s="1637"/>
      <c r="AF69" s="1637"/>
      <c r="AG69" s="1637"/>
      <c r="AH69" s="1637"/>
      <c r="AI69" s="1637"/>
      <c r="AJ69" s="1637"/>
      <c r="AK69" s="1637"/>
      <c r="AL69" s="1637"/>
      <c r="AM69" s="1637"/>
      <c r="AN69" s="1637"/>
      <c r="AO69" s="1637"/>
      <c r="AP69" s="1637"/>
      <c r="AQ69" s="1637"/>
    </row>
    <row r="70" spans="1:145" x14ac:dyDescent="0.25">
      <c r="A70" s="1622" t="s">
        <v>71</v>
      </c>
      <c r="B70" s="1623"/>
      <c r="C70" s="1623"/>
      <c r="D70" s="1624"/>
      <c r="E70" s="1622" t="s">
        <v>72</v>
      </c>
      <c r="F70" s="1623"/>
      <c r="G70" s="1623"/>
      <c r="H70" s="1623"/>
      <c r="I70" s="1623"/>
      <c r="J70" s="1623"/>
      <c r="K70" s="1623"/>
      <c r="L70" s="1623"/>
      <c r="M70" s="1623"/>
      <c r="N70" s="1623"/>
      <c r="O70" s="1623"/>
      <c r="P70" s="1623"/>
      <c r="Q70" s="1623"/>
      <c r="R70" s="1623"/>
      <c r="S70" s="1623"/>
      <c r="T70" s="1624"/>
      <c r="U70" s="1622" t="s">
        <v>73</v>
      </c>
      <c r="V70" s="1623"/>
      <c r="W70" s="1623"/>
      <c r="X70" s="1623"/>
      <c r="Y70" s="1623"/>
      <c r="Z70" s="1623"/>
      <c r="AA70" s="1623"/>
      <c r="AB70" s="1623"/>
      <c r="AC70" s="1623"/>
      <c r="AD70" s="1623"/>
      <c r="AE70" s="1623"/>
      <c r="AF70" s="1624"/>
      <c r="AG70" s="1607" t="s">
        <v>0</v>
      </c>
      <c r="AH70" s="1608"/>
      <c r="AI70" s="1608"/>
      <c r="AJ70" s="1608"/>
      <c r="AK70" s="1608"/>
      <c r="AL70" s="1608"/>
      <c r="AM70" s="1608"/>
      <c r="AN70" s="1608"/>
      <c r="AO70" s="1608"/>
      <c r="AP70" s="1608"/>
      <c r="AQ70" s="1608"/>
      <c r="AR70" s="1608"/>
      <c r="AS70" s="1608"/>
      <c r="AT70" s="1608"/>
      <c r="AU70" s="1608"/>
      <c r="AV70" s="1608"/>
      <c r="AW70" s="1608"/>
      <c r="AX70" s="1608"/>
      <c r="AY70" s="1608"/>
      <c r="AZ70" s="1608"/>
      <c r="BA70" s="1608"/>
      <c r="BB70" s="1608"/>
      <c r="BC70" s="1608"/>
      <c r="BD70" s="1608"/>
      <c r="BE70" s="1608"/>
      <c r="BF70" s="1608"/>
      <c r="BG70" s="1608"/>
      <c r="BH70" s="1608"/>
      <c r="BI70" s="1608"/>
      <c r="BJ70" s="1608"/>
      <c r="BK70" s="1608"/>
      <c r="BL70" s="1608"/>
      <c r="BM70" s="1608"/>
      <c r="BN70" s="1608"/>
      <c r="BO70" s="1608"/>
      <c r="BP70" s="1608"/>
      <c r="BQ70" s="1608"/>
      <c r="BR70" s="1608"/>
      <c r="BS70" s="1608"/>
      <c r="BT70" s="1608"/>
      <c r="BU70" s="1608"/>
      <c r="BV70" s="1608"/>
      <c r="BW70" s="1608"/>
      <c r="BX70" s="1608"/>
      <c r="BY70" s="1608"/>
      <c r="BZ70" s="1608"/>
      <c r="CA70" s="1608"/>
      <c r="CB70" s="1608"/>
      <c r="CC70" s="1608"/>
      <c r="CD70" s="1608"/>
      <c r="CE70" s="1608"/>
      <c r="CF70" s="1608"/>
      <c r="CG70" s="1608"/>
      <c r="CH70" s="1608"/>
      <c r="CI70" s="1608"/>
      <c r="CJ70" s="1609"/>
      <c r="CK70" s="1622" t="s">
        <v>74</v>
      </c>
      <c r="CL70" s="1623"/>
      <c r="CM70" s="1623"/>
      <c r="CN70" s="1623"/>
      <c r="CO70" s="1623"/>
      <c r="CP70" s="1623"/>
      <c r="CQ70" s="1623"/>
      <c r="CR70" s="1623"/>
      <c r="CS70" s="1623"/>
      <c r="CT70" s="1623"/>
      <c r="CU70" s="1624"/>
      <c r="CV70" s="1622" t="s">
        <v>75</v>
      </c>
      <c r="CW70" s="1623"/>
      <c r="CX70" s="1623"/>
      <c r="CY70" s="1623"/>
      <c r="CZ70" s="1623"/>
      <c r="DA70" s="1623"/>
      <c r="DB70" s="1623"/>
      <c r="DC70" s="1623"/>
      <c r="DD70" s="1623"/>
      <c r="DE70" s="1624"/>
      <c r="DF70" s="1622" t="s">
        <v>76</v>
      </c>
      <c r="DG70" s="1623"/>
      <c r="DH70" s="1623"/>
      <c r="DI70" s="1623"/>
      <c r="DJ70" s="1623"/>
      <c r="DK70" s="1623"/>
      <c r="DL70" s="1623"/>
      <c r="DM70" s="1623"/>
      <c r="DN70" s="1623"/>
      <c r="DO70" s="1623"/>
      <c r="DP70" s="1623"/>
      <c r="DQ70" s="1623"/>
      <c r="DR70" s="1623"/>
      <c r="DS70" s="1624"/>
      <c r="DT70" s="1619" t="s">
        <v>52</v>
      </c>
      <c r="DU70" s="1620"/>
      <c r="DV70" s="1620"/>
      <c r="DW70" s="1620"/>
      <c r="DX70" s="1620"/>
      <c r="DY70" s="1621"/>
    </row>
    <row r="71" spans="1:145" ht="15.6" customHeight="1" x14ac:dyDescent="0.25">
      <c r="A71" s="1613" t="s">
        <v>77</v>
      </c>
      <c r="B71" s="1614"/>
      <c r="C71" s="1614"/>
      <c r="D71" s="1615"/>
      <c r="E71" s="1613" t="s">
        <v>78</v>
      </c>
      <c r="F71" s="1614"/>
      <c r="G71" s="1614"/>
      <c r="H71" s="1614"/>
      <c r="I71" s="1614"/>
      <c r="J71" s="1614"/>
      <c r="K71" s="1614"/>
      <c r="L71" s="1614"/>
      <c r="M71" s="1614"/>
      <c r="N71" s="1614"/>
      <c r="O71" s="1614"/>
      <c r="P71" s="1614"/>
      <c r="Q71" s="1614"/>
      <c r="R71" s="1614"/>
      <c r="S71" s="1614"/>
      <c r="T71" s="1615"/>
      <c r="U71" s="1613" t="s">
        <v>79</v>
      </c>
      <c r="V71" s="1614"/>
      <c r="W71" s="1614"/>
      <c r="X71" s="1614"/>
      <c r="Y71" s="1614"/>
      <c r="Z71" s="1614"/>
      <c r="AA71" s="1614"/>
      <c r="AB71" s="1614"/>
      <c r="AC71" s="1614"/>
      <c r="AD71" s="1614"/>
      <c r="AE71" s="1614"/>
      <c r="AF71" s="1615"/>
      <c r="AG71" s="1622" t="s">
        <v>1</v>
      </c>
      <c r="AH71" s="1623"/>
      <c r="AI71" s="1623"/>
      <c r="AJ71" s="1623"/>
      <c r="AK71" s="1623"/>
      <c r="AL71" s="1623"/>
      <c r="AM71" s="1623"/>
      <c r="AN71" s="1623"/>
      <c r="AO71" s="1623"/>
      <c r="AP71" s="1623"/>
      <c r="AQ71" s="1623"/>
      <c r="AR71" s="1623"/>
      <c r="AS71" s="1623"/>
      <c r="AT71" s="1624"/>
      <c r="AU71" s="1607" t="s">
        <v>2</v>
      </c>
      <c r="AV71" s="1608"/>
      <c r="AW71" s="1608"/>
      <c r="AX71" s="1608"/>
      <c r="AY71" s="1608"/>
      <c r="AZ71" s="1608"/>
      <c r="BA71" s="1608"/>
      <c r="BB71" s="1608"/>
      <c r="BC71" s="1608"/>
      <c r="BD71" s="1608"/>
      <c r="BE71" s="1608"/>
      <c r="BF71" s="1608"/>
      <c r="BG71" s="1608"/>
      <c r="BH71" s="1608"/>
      <c r="BI71" s="1608"/>
      <c r="BJ71" s="1608"/>
      <c r="BK71" s="1608"/>
      <c r="BL71" s="1608"/>
      <c r="BM71" s="1608"/>
      <c r="BN71" s="1608"/>
      <c r="BO71" s="1608"/>
      <c r="BP71" s="1608"/>
      <c r="BQ71" s="1608"/>
      <c r="BR71" s="1608"/>
      <c r="BS71" s="1608"/>
      <c r="BT71" s="1608"/>
      <c r="BU71" s="1608"/>
      <c r="BV71" s="1608"/>
      <c r="BW71" s="1608"/>
      <c r="BX71" s="1608"/>
      <c r="BY71" s="1608"/>
      <c r="BZ71" s="1608"/>
      <c r="CA71" s="1608"/>
      <c r="CB71" s="1608"/>
      <c r="CC71" s="1608"/>
      <c r="CD71" s="1608"/>
      <c r="CE71" s="1608"/>
      <c r="CF71" s="1608"/>
      <c r="CG71" s="1608"/>
      <c r="CH71" s="1608"/>
      <c r="CI71" s="1608"/>
      <c r="CJ71" s="1609"/>
      <c r="CK71" s="1613" t="s">
        <v>80</v>
      </c>
      <c r="CL71" s="1614"/>
      <c r="CM71" s="1614"/>
      <c r="CN71" s="1614"/>
      <c r="CO71" s="1614"/>
      <c r="CP71" s="1614"/>
      <c r="CQ71" s="1614"/>
      <c r="CR71" s="1614"/>
      <c r="CS71" s="1614"/>
      <c r="CT71" s="1614"/>
      <c r="CU71" s="1615"/>
      <c r="CV71" s="1613" t="s">
        <v>81</v>
      </c>
      <c r="CW71" s="1614"/>
      <c r="CX71" s="1614"/>
      <c r="CY71" s="1614"/>
      <c r="CZ71" s="1614"/>
      <c r="DA71" s="1614"/>
      <c r="DB71" s="1614"/>
      <c r="DC71" s="1614"/>
      <c r="DD71" s="1614"/>
      <c r="DE71" s="1615"/>
      <c r="DF71" s="1613" t="s">
        <v>82</v>
      </c>
      <c r="DG71" s="1614"/>
      <c r="DH71" s="1614"/>
      <c r="DI71" s="1614"/>
      <c r="DJ71" s="1614"/>
      <c r="DK71" s="1614"/>
      <c r="DL71" s="1614"/>
      <c r="DM71" s="1614"/>
      <c r="DN71" s="1614"/>
      <c r="DO71" s="1614"/>
      <c r="DP71" s="1614"/>
      <c r="DQ71" s="1614"/>
      <c r="DR71" s="1614"/>
      <c r="DS71" s="1615"/>
      <c r="DT71" s="1625" t="s">
        <v>35</v>
      </c>
      <c r="DU71" s="1626"/>
      <c r="DV71" s="1625" t="s">
        <v>45</v>
      </c>
      <c r="DW71" s="1627"/>
      <c r="DX71" s="1626"/>
      <c r="DY71" s="1628" t="s">
        <v>46</v>
      </c>
    </row>
    <row r="72" spans="1:145" ht="15.6" customHeight="1" x14ac:dyDescent="0.25">
      <c r="A72" s="1613"/>
      <c r="B72" s="1614"/>
      <c r="C72" s="1614"/>
      <c r="D72" s="1615"/>
      <c r="E72" s="1613" t="s">
        <v>83</v>
      </c>
      <c r="F72" s="1614"/>
      <c r="G72" s="1614"/>
      <c r="H72" s="1614"/>
      <c r="I72" s="1614"/>
      <c r="J72" s="1614"/>
      <c r="K72" s="1614"/>
      <c r="L72" s="1614"/>
      <c r="M72" s="1614"/>
      <c r="N72" s="1614"/>
      <c r="O72" s="1614"/>
      <c r="P72" s="1614"/>
      <c r="Q72" s="1614"/>
      <c r="R72" s="1614"/>
      <c r="S72" s="1614"/>
      <c r="T72" s="1615"/>
      <c r="U72" s="1613" t="s">
        <v>84</v>
      </c>
      <c r="V72" s="1614"/>
      <c r="W72" s="1614"/>
      <c r="X72" s="1614"/>
      <c r="Y72" s="1614"/>
      <c r="Z72" s="1614"/>
      <c r="AA72" s="1614"/>
      <c r="AB72" s="1614"/>
      <c r="AC72" s="1614"/>
      <c r="AD72" s="1614"/>
      <c r="AE72" s="1614"/>
      <c r="AF72" s="1615"/>
      <c r="AG72" s="1613"/>
      <c r="AH72" s="1614"/>
      <c r="AI72" s="1614"/>
      <c r="AJ72" s="1614"/>
      <c r="AK72" s="1614"/>
      <c r="AL72" s="1614"/>
      <c r="AM72" s="1614"/>
      <c r="AN72" s="1614"/>
      <c r="AO72" s="1614"/>
      <c r="AP72" s="1614"/>
      <c r="AQ72" s="1614"/>
      <c r="AR72" s="1614"/>
      <c r="AS72" s="1614"/>
      <c r="AT72" s="1615"/>
      <c r="AU72" s="1622" t="s">
        <v>85</v>
      </c>
      <c r="AV72" s="1623"/>
      <c r="AW72" s="1623"/>
      <c r="AX72" s="1623"/>
      <c r="AY72" s="1623"/>
      <c r="AZ72" s="1623"/>
      <c r="BA72" s="1623"/>
      <c r="BB72" s="1623"/>
      <c r="BC72" s="1623"/>
      <c r="BD72" s="1623"/>
      <c r="BE72" s="1623"/>
      <c r="BF72" s="1623"/>
      <c r="BG72" s="1623"/>
      <c r="BH72" s="1624"/>
      <c r="BI72" s="1622" t="s">
        <v>86</v>
      </c>
      <c r="BJ72" s="1623"/>
      <c r="BK72" s="1623"/>
      <c r="BL72" s="1623"/>
      <c r="BM72" s="1623"/>
      <c r="BN72" s="1623"/>
      <c r="BO72" s="1623"/>
      <c r="BP72" s="1623"/>
      <c r="BQ72" s="1623"/>
      <c r="BR72" s="1623"/>
      <c r="BS72" s="1623"/>
      <c r="BT72" s="1623"/>
      <c r="BU72" s="1623"/>
      <c r="BV72" s="1624"/>
      <c r="BW72" s="1622" t="s">
        <v>86</v>
      </c>
      <c r="BX72" s="1623"/>
      <c r="BY72" s="1623"/>
      <c r="BZ72" s="1623"/>
      <c r="CA72" s="1623"/>
      <c r="CB72" s="1623"/>
      <c r="CC72" s="1623"/>
      <c r="CD72" s="1623"/>
      <c r="CE72" s="1623"/>
      <c r="CF72" s="1623"/>
      <c r="CG72" s="1623"/>
      <c r="CH72" s="1623"/>
      <c r="CI72" s="1623"/>
      <c r="CJ72" s="1624"/>
      <c r="CK72" s="1613" t="s">
        <v>87</v>
      </c>
      <c r="CL72" s="1614"/>
      <c r="CM72" s="1614"/>
      <c r="CN72" s="1614"/>
      <c r="CO72" s="1614"/>
      <c r="CP72" s="1614"/>
      <c r="CQ72" s="1614"/>
      <c r="CR72" s="1614"/>
      <c r="CS72" s="1614"/>
      <c r="CT72" s="1614"/>
      <c r="CU72" s="1615"/>
      <c r="CV72" s="1613"/>
      <c r="CW72" s="1614"/>
      <c r="CX72" s="1614"/>
      <c r="CY72" s="1614"/>
      <c r="CZ72" s="1614"/>
      <c r="DA72" s="1614"/>
      <c r="DB72" s="1614"/>
      <c r="DC72" s="1614"/>
      <c r="DD72" s="1614"/>
      <c r="DE72" s="1615"/>
      <c r="DF72" s="1613" t="s">
        <v>88</v>
      </c>
      <c r="DG72" s="1614"/>
      <c r="DH72" s="1614"/>
      <c r="DI72" s="1614"/>
      <c r="DJ72" s="1614"/>
      <c r="DK72" s="1614"/>
      <c r="DL72" s="1614"/>
      <c r="DM72" s="1614"/>
      <c r="DN72" s="1614"/>
      <c r="DO72" s="1614"/>
      <c r="DP72" s="1614"/>
      <c r="DQ72" s="1614"/>
      <c r="DR72" s="1614"/>
      <c r="DS72" s="1615"/>
      <c r="DT72" s="1610" t="s">
        <v>43</v>
      </c>
      <c r="DU72" s="1610" t="s">
        <v>44</v>
      </c>
      <c r="DV72" s="1610" t="s">
        <v>55</v>
      </c>
      <c r="DW72" s="1610" t="s">
        <v>43</v>
      </c>
      <c r="DX72" s="1610" t="s">
        <v>44</v>
      </c>
      <c r="DY72" s="1629"/>
    </row>
    <row r="73" spans="1:145" ht="15.6" customHeight="1" x14ac:dyDescent="0.25">
      <c r="A73" s="1613"/>
      <c r="B73" s="1614"/>
      <c r="C73" s="1614"/>
      <c r="D73" s="1615"/>
      <c r="E73" s="1613"/>
      <c r="F73" s="1614"/>
      <c r="G73" s="1614"/>
      <c r="H73" s="1614"/>
      <c r="I73" s="1614"/>
      <c r="J73" s="1614"/>
      <c r="K73" s="1614"/>
      <c r="L73" s="1614"/>
      <c r="M73" s="1614"/>
      <c r="N73" s="1614"/>
      <c r="O73" s="1614"/>
      <c r="P73" s="1614"/>
      <c r="Q73" s="1614"/>
      <c r="R73" s="1614"/>
      <c r="S73" s="1614"/>
      <c r="T73" s="1615"/>
      <c r="U73" s="1613"/>
      <c r="V73" s="1614"/>
      <c r="W73" s="1614"/>
      <c r="X73" s="1614"/>
      <c r="Y73" s="1614"/>
      <c r="Z73" s="1614"/>
      <c r="AA73" s="1614"/>
      <c r="AB73" s="1614"/>
      <c r="AC73" s="1614"/>
      <c r="AD73" s="1614"/>
      <c r="AE73" s="1614"/>
      <c r="AF73" s="1615"/>
      <c r="AG73" s="1613"/>
      <c r="AH73" s="1614"/>
      <c r="AI73" s="1614"/>
      <c r="AJ73" s="1614"/>
      <c r="AK73" s="1614"/>
      <c r="AL73" s="1614"/>
      <c r="AM73" s="1614"/>
      <c r="AN73" s="1614"/>
      <c r="AO73" s="1614"/>
      <c r="AP73" s="1614"/>
      <c r="AQ73" s="1614"/>
      <c r="AR73" s="1614"/>
      <c r="AS73" s="1614"/>
      <c r="AT73" s="1615"/>
      <c r="AU73" s="1613" t="s">
        <v>87</v>
      </c>
      <c r="AV73" s="1614"/>
      <c r="AW73" s="1614"/>
      <c r="AX73" s="1614"/>
      <c r="AY73" s="1614"/>
      <c r="AZ73" s="1614"/>
      <c r="BA73" s="1614"/>
      <c r="BB73" s="1614"/>
      <c r="BC73" s="1614"/>
      <c r="BD73" s="1614"/>
      <c r="BE73" s="1614"/>
      <c r="BF73" s="1614"/>
      <c r="BG73" s="1614"/>
      <c r="BH73" s="1615"/>
      <c r="BI73" s="1613" t="s">
        <v>89</v>
      </c>
      <c r="BJ73" s="1614"/>
      <c r="BK73" s="1614"/>
      <c r="BL73" s="1614"/>
      <c r="BM73" s="1614"/>
      <c r="BN73" s="1614"/>
      <c r="BO73" s="1614"/>
      <c r="BP73" s="1614"/>
      <c r="BQ73" s="1614"/>
      <c r="BR73" s="1614"/>
      <c r="BS73" s="1614"/>
      <c r="BT73" s="1614"/>
      <c r="BU73" s="1614"/>
      <c r="BV73" s="1615"/>
      <c r="BW73" s="1613" t="s">
        <v>90</v>
      </c>
      <c r="BX73" s="1614"/>
      <c r="BY73" s="1614"/>
      <c r="BZ73" s="1614"/>
      <c r="CA73" s="1614"/>
      <c r="CB73" s="1614"/>
      <c r="CC73" s="1614"/>
      <c r="CD73" s="1614"/>
      <c r="CE73" s="1614"/>
      <c r="CF73" s="1614"/>
      <c r="CG73" s="1614"/>
      <c r="CH73" s="1614"/>
      <c r="CI73" s="1614"/>
      <c r="CJ73" s="1615"/>
      <c r="CK73" s="1613" t="s">
        <v>91</v>
      </c>
      <c r="CL73" s="1614"/>
      <c r="CM73" s="1614"/>
      <c r="CN73" s="1614"/>
      <c r="CO73" s="1614"/>
      <c r="CP73" s="1614"/>
      <c r="CQ73" s="1614"/>
      <c r="CR73" s="1614"/>
      <c r="CS73" s="1614"/>
      <c r="CT73" s="1614"/>
      <c r="CU73" s="1615"/>
      <c r="CV73" s="1613"/>
      <c r="CW73" s="1614"/>
      <c r="CX73" s="1614"/>
      <c r="CY73" s="1614"/>
      <c r="CZ73" s="1614"/>
      <c r="DA73" s="1614"/>
      <c r="DB73" s="1614"/>
      <c r="DC73" s="1614"/>
      <c r="DD73" s="1614"/>
      <c r="DE73" s="1615"/>
      <c r="DF73" s="1613" t="s">
        <v>92</v>
      </c>
      <c r="DG73" s="1614"/>
      <c r="DH73" s="1614"/>
      <c r="DI73" s="1614"/>
      <c r="DJ73" s="1614"/>
      <c r="DK73" s="1614"/>
      <c r="DL73" s="1614"/>
      <c r="DM73" s="1614"/>
      <c r="DN73" s="1614"/>
      <c r="DO73" s="1614"/>
      <c r="DP73" s="1614"/>
      <c r="DQ73" s="1614"/>
      <c r="DR73" s="1614"/>
      <c r="DS73" s="1615"/>
      <c r="DT73" s="1611"/>
      <c r="DU73" s="1611"/>
      <c r="DV73" s="1611"/>
      <c r="DW73" s="1611"/>
      <c r="DX73" s="1611"/>
      <c r="DY73" s="1629"/>
    </row>
    <row r="74" spans="1:145" ht="15.6" customHeight="1" x14ac:dyDescent="0.25">
      <c r="A74" s="1616"/>
      <c r="B74" s="1617"/>
      <c r="C74" s="1617"/>
      <c r="D74" s="1618"/>
      <c r="E74" s="1616"/>
      <c r="F74" s="1617"/>
      <c r="G74" s="1617"/>
      <c r="H74" s="1617"/>
      <c r="I74" s="1617"/>
      <c r="J74" s="1617"/>
      <c r="K74" s="1617"/>
      <c r="L74" s="1617"/>
      <c r="M74" s="1617"/>
      <c r="N74" s="1617"/>
      <c r="O74" s="1617"/>
      <c r="P74" s="1617"/>
      <c r="Q74" s="1617"/>
      <c r="R74" s="1617"/>
      <c r="S74" s="1617"/>
      <c r="T74" s="1618"/>
      <c r="U74" s="1616"/>
      <c r="V74" s="1617"/>
      <c r="W74" s="1617"/>
      <c r="X74" s="1617"/>
      <c r="Y74" s="1617"/>
      <c r="Z74" s="1617"/>
      <c r="AA74" s="1617"/>
      <c r="AB74" s="1617"/>
      <c r="AC74" s="1617"/>
      <c r="AD74" s="1617"/>
      <c r="AE74" s="1617"/>
      <c r="AF74" s="1618"/>
      <c r="AG74" s="1616"/>
      <c r="AH74" s="1617"/>
      <c r="AI74" s="1617"/>
      <c r="AJ74" s="1617"/>
      <c r="AK74" s="1617"/>
      <c r="AL74" s="1617"/>
      <c r="AM74" s="1617"/>
      <c r="AN74" s="1617"/>
      <c r="AO74" s="1617"/>
      <c r="AP74" s="1617"/>
      <c r="AQ74" s="1617"/>
      <c r="AR74" s="1617"/>
      <c r="AS74" s="1617"/>
      <c r="AT74" s="1618"/>
      <c r="AU74" s="1616" t="s">
        <v>93</v>
      </c>
      <c r="AV74" s="1617"/>
      <c r="AW74" s="1617"/>
      <c r="AX74" s="1617"/>
      <c r="AY74" s="1617"/>
      <c r="AZ74" s="1617"/>
      <c r="BA74" s="1617"/>
      <c r="BB74" s="1617"/>
      <c r="BC74" s="1617"/>
      <c r="BD74" s="1617"/>
      <c r="BE74" s="1617"/>
      <c r="BF74" s="1617"/>
      <c r="BG74" s="1617"/>
      <c r="BH74" s="1618"/>
      <c r="BI74" s="1616" t="s">
        <v>94</v>
      </c>
      <c r="BJ74" s="1617"/>
      <c r="BK74" s="1617"/>
      <c r="BL74" s="1617"/>
      <c r="BM74" s="1617"/>
      <c r="BN74" s="1617"/>
      <c r="BO74" s="1617"/>
      <c r="BP74" s="1617"/>
      <c r="BQ74" s="1617"/>
      <c r="BR74" s="1617"/>
      <c r="BS74" s="1617"/>
      <c r="BT74" s="1617"/>
      <c r="BU74" s="1617"/>
      <c r="BV74" s="1618"/>
      <c r="BW74" s="1616" t="s">
        <v>94</v>
      </c>
      <c r="BX74" s="1617"/>
      <c r="BY74" s="1617"/>
      <c r="BZ74" s="1617"/>
      <c r="CA74" s="1617"/>
      <c r="CB74" s="1617"/>
      <c r="CC74" s="1617"/>
      <c r="CD74" s="1617"/>
      <c r="CE74" s="1617"/>
      <c r="CF74" s="1617"/>
      <c r="CG74" s="1617"/>
      <c r="CH74" s="1617"/>
      <c r="CI74" s="1617"/>
      <c r="CJ74" s="1618"/>
      <c r="CK74" s="1616"/>
      <c r="CL74" s="1617"/>
      <c r="CM74" s="1617"/>
      <c r="CN74" s="1617"/>
      <c r="CO74" s="1617"/>
      <c r="CP74" s="1617"/>
      <c r="CQ74" s="1617"/>
      <c r="CR74" s="1617"/>
      <c r="CS74" s="1617"/>
      <c r="CT74" s="1617"/>
      <c r="CU74" s="1618"/>
      <c r="CV74" s="1616"/>
      <c r="CW74" s="1617"/>
      <c r="CX74" s="1617"/>
      <c r="CY74" s="1617"/>
      <c r="CZ74" s="1617"/>
      <c r="DA74" s="1617"/>
      <c r="DB74" s="1617"/>
      <c r="DC74" s="1617"/>
      <c r="DD74" s="1617"/>
      <c r="DE74" s="1618"/>
      <c r="DF74" s="1616" t="s">
        <v>95</v>
      </c>
      <c r="DG74" s="1617"/>
      <c r="DH74" s="1617"/>
      <c r="DI74" s="1617"/>
      <c r="DJ74" s="1617"/>
      <c r="DK74" s="1617"/>
      <c r="DL74" s="1617"/>
      <c r="DM74" s="1617"/>
      <c r="DN74" s="1617"/>
      <c r="DO74" s="1617"/>
      <c r="DP74" s="1617"/>
      <c r="DQ74" s="1617"/>
      <c r="DR74" s="1617"/>
      <c r="DS74" s="1618"/>
      <c r="DT74" s="1612"/>
      <c r="DU74" s="1612"/>
      <c r="DV74" s="1612"/>
      <c r="DW74" s="1612"/>
      <c r="DX74" s="1612"/>
      <c r="DY74" s="1630"/>
    </row>
    <row r="75" spans="1:145" ht="15.6" customHeight="1" x14ac:dyDescent="0.25">
      <c r="A75" s="1607">
        <v>1</v>
      </c>
      <c r="B75" s="1608"/>
      <c r="C75" s="1608"/>
      <c r="D75" s="1609"/>
      <c r="E75" s="1607">
        <v>2</v>
      </c>
      <c r="F75" s="1608"/>
      <c r="G75" s="1608"/>
      <c r="H75" s="1608"/>
      <c r="I75" s="1608"/>
      <c r="J75" s="1608"/>
      <c r="K75" s="1608"/>
      <c r="L75" s="1608"/>
      <c r="M75" s="1608"/>
      <c r="N75" s="1608"/>
      <c r="O75" s="1608"/>
      <c r="P75" s="1608"/>
      <c r="Q75" s="1608"/>
      <c r="R75" s="1608"/>
      <c r="S75" s="1608"/>
      <c r="T75" s="1609"/>
      <c r="U75" s="1607">
        <v>3</v>
      </c>
      <c r="V75" s="1608"/>
      <c r="W75" s="1608"/>
      <c r="X75" s="1608"/>
      <c r="Y75" s="1608"/>
      <c r="Z75" s="1608"/>
      <c r="AA75" s="1608"/>
      <c r="AB75" s="1608"/>
      <c r="AC75" s="1608"/>
      <c r="AD75" s="1608"/>
      <c r="AE75" s="1608"/>
      <c r="AF75" s="1609"/>
      <c r="AG75" s="1607" t="s">
        <v>47</v>
      </c>
      <c r="AH75" s="1608"/>
      <c r="AI75" s="1608"/>
      <c r="AJ75" s="1608"/>
      <c r="AK75" s="1608"/>
      <c r="AL75" s="1608"/>
      <c r="AM75" s="1608"/>
      <c r="AN75" s="1608"/>
      <c r="AO75" s="1608"/>
      <c r="AP75" s="1608"/>
      <c r="AQ75" s="1608"/>
      <c r="AR75" s="1608"/>
      <c r="AS75" s="1608"/>
      <c r="AT75" s="1609"/>
      <c r="AU75" s="1607">
        <v>5</v>
      </c>
      <c r="AV75" s="1608"/>
      <c r="AW75" s="1608"/>
      <c r="AX75" s="1608"/>
      <c r="AY75" s="1608"/>
      <c r="AZ75" s="1608"/>
      <c r="BA75" s="1608"/>
      <c r="BB75" s="1608"/>
      <c r="BC75" s="1608"/>
      <c r="BD75" s="1608"/>
      <c r="BE75" s="1608"/>
      <c r="BF75" s="1608"/>
      <c r="BG75" s="1608"/>
      <c r="BH75" s="1609"/>
      <c r="BI75" s="1607">
        <v>6</v>
      </c>
      <c r="BJ75" s="1608"/>
      <c r="BK75" s="1608"/>
      <c r="BL75" s="1608"/>
      <c r="BM75" s="1608"/>
      <c r="BN75" s="1608"/>
      <c r="BO75" s="1608"/>
      <c r="BP75" s="1608"/>
      <c r="BQ75" s="1608"/>
      <c r="BR75" s="1608"/>
      <c r="BS75" s="1608"/>
      <c r="BT75" s="1608"/>
      <c r="BU75" s="1608"/>
      <c r="BV75" s="1609"/>
      <c r="BW75" s="1607">
        <v>7</v>
      </c>
      <c r="BX75" s="1608"/>
      <c r="BY75" s="1608"/>
      <c r="BZ75" s="1608"/>
      <c r="CA75" s="1608"/>
      <c r="CB75" s="1608"/>
      <c r="CC75" s="1608"/>
      <c r="CD75" s="1608"/>
      <c r="CE75" s="1608"/>
      <c r="CF75" s="1608"/>
      <c r="CG75" s="1608"/>
      <c r="CH75" s="1608"/>
      <c r="CI75" s="1608"/>
      <c r="CJ75" s="1609"/>
      <c r="CK75" s="1607">
        <v>8</v>
      </c>
      <c r="CL75" s="1608"/>
      <c r="CM75" s="1608"/>
      <c r="CN75" s="1608"/>
      <c r="CO75" s="1608"/>
      <c r="CP75" s="1608"/>
      <c r="CQ75" s="1608"/>
      <c r="CR75" s="1608"/>
      <c r="CS75" s="1608"/>
      <c r="CT75" s="1608"/>
      <c r="CU75" s="1609"/>
      <c r="CV75" s="1607">
        <v>9</v>
      </c>
      <c r="CW75" s="1608"/>
      <c r="CX75" s="1608"/>
      <c r="CY75" s="1608"/>
      <c r="CZ75" s="1608"/>
      <c r="DA75" s="1608"/>
      <c r="DB75" s="1608"/>
      <c r="DC75" s="1608"/>
      <c r="DD75" s="1608"/>
      <c r="DE75" s="1609"/>
      <c r="DF75" s="1607" t="s">
        <v>96</v>
      </c>
      <c r="DG75" s="1608"/>
      <c r="DH75" s="1608"/>
      <c r="DI75" s="1608"/>
      <c r="DJ75" s="1608"/>
      <c r="DK75" s="1608"/>
      <c r="DL75" s="1608"/>
      <c r="DM75" s="1608"/>
      <c r="DN75" s="1608"/>
      <c r="DO75" s="1608"/>
      <c r="DP75" s="1608"/>
      <c r="DQ75" s="1608"/>
      <c r="DR75" s="1608"/>
      <c r="DS75" s="1609"/>
      <c r="DT75" s="474">
        <v>9</v>
      </c>
      <c r="DU75" s="474">
        <v>10</v>
      </c>
      <c r="DV75" s="474">
        <v>11</v>
      </c>
      <c r="DW75" s="474">
        <v>12</v>
      </c>
      <c r="DX75" s="474">
        <v>13</v>
      </c>
      <c r="DY75" s="474">
        <v>14</v>
      </c>
    </row>
    <row r="76" spans="1:145" ht="37.5" customHeight="1" x14ac:dyDescent="0.25">
      <c r="A76" s="1592">
        <v>1</v>
      </c>
      <c r="B76" s="1593"/>
      <c r="C76" s="1593"/>
      <c r="D76" s="1594"/>
      <c r="E76" s="1595" t="s">
        <v>840</v>
      </c>
      <c r="F76" s="1596"/>
      <c r="G76" s="1596"/>
      <c r="H76" s="1596"/>
      <c r="I76" s="1596"/>
      <c r="J76" s="1596"/>
      <c r="K76" s="1596"/>
      <c r="L76" s="1596"/>
      <c r="M76" s="1596"/>
      <c r="N76" s="1596"/>
      <c r="O76" s="1596"/>
      <c r="P76" s="1596"/>
      <c r="Q76" s="1596"/>
      <c r="R76" s="1596"/>
      <c r="S76" s="1596"/>
      <c r="T76" s="1597"/>
      <c r="U76" s="1601">
        <f>'рас ФОТ обл до с 01.09-31.12'!C6</f>
        <v>1</v>
      </c>
      <c r="V76" s="1602"/>
      <c r="W76" s="1602"/>
      <c r="X76" s="1602"/>
      <c r="Y76" s="1602"/>
      <c r="Z76" s="1602"/>
      <c r="AA76" s="1602"/>
      <c r="AB76" s="1602"/>
      <c r="AC76" s="1602"/>
      <c r="AD76" s="1602"/>
      <c r="AE76" s="1602"/>
      <c r="AF76" s="1603"/>
      <c r="AG76" s="1601">
        <f>AU76+BI76+BW76</f>
        <v>44104.94</v>
      </c>
      <c r="AH76" s="1602"/>
      <c r="AI76" s="1602"/>
      <c r="AJ76" s="1602"/>
      <c r="AK76" s="1602"/>
      <c r="AL76" s="1602"/>
      <c r="AM76" s="1602"/>
      <c r="AN76" s="1602"/>
      <c r="AO76" s="1602"/>
      <c r="AP76" s="1602"/>
      <c r="AQ76" s="1602"/>
      <c r="AR76" s="1602"/>
      <c r="AS76" s="1602"/>
      <c r="AT76" s="1603"/>
      <c r="AU76" s="1601">
        <f>'рас ФОТ обл до с 01.09-31.12'!L6</f>
        <v>35568.5</v>
      </c>
      <c r="AV76" s="1602"/>
      <c r="AW76" s="1602"/>
      <c r="AX76" s="1602"/>
      <c r="AY76" s="1602"/>
      <c r="AZ76" s="1602"/>
      <c r="BA76" s="1602"/>
      <c r="BB76" s="1602"/>
      <c r="BC76" s="1602"/>
      <c r="BD76" s="1602"/>
      <c r="BE76" s="1602"/>
      <c r="BF76" s="1602"/>
      <c r="BG76" s="1602"/>
      <c r="BH76" s="1603"/>
      <c r="BI76" s="1601">
        <f>'рас ФОТ обл до с 01.09-31.12'!R6</f>
        <v>0</v>
      </c>
      <c r="BJ76" s="1602"/>
      <c r="BK76" s="1602"/>
      <c r="BL76" s="1602"/>
      <c r="BM76" s="1602"/>
      <c r="BN76" s="1602"/>
      <c r="BO76" s="1602"/>
      <c r="BP76" s="1602"/>
      <c r="BQ76" s="1602"/>
      <c r="BR76" s="1602"/>
      <c r="BS76" s="1602"/>
      <c r="BT76" s="1602"/>
      <c r="BU76" s="1602"/>
      <c r="BV76" s="1603"/>
      <c r="BW76" s="1589">
        <f>'рас ФОТ обл до с 01.09-31.12'!T6</f>
        <v>8536.44</v>
      </c>
      <c r="BX76" s="1590"/>
      <c r="BY76" s="1590"/>
      <c r="BZ76" s="1590"/>
      <c r="CA76" s="1590"/>
      <c r="CB76" s="1590"/>
      <c r="CC76" s="1590"/>
      <c r="CD76" s="1590"/>
      <c r="CE76" s="1590"/>
      <c r="CF76" s="1590"/>
      <c r="CG76" s="1590"/>
      <c r="CH76" s="1590"/>
      <c r="CI76" s="1590"/>
      <c r="CJ76" s="1591"/>
      <c r="CK76" s="1589"/>
      <c r="CL76" s="1590"/>
      <c r="CM76" s="1590"/>
      <c r="CN76" s="1590"/>
      <c r="CO76" s="1590"/>
      <c r="CP76" s="1590"/>
      <c r="CQ76" s="1590"/>
      <c r="CR76" s="1590"/>
      <c r="CS76" s="1590"/>
      <c r="CT76" s="1590"/>
      <c r="CU76" s="1591"/>
      <c r="CV76" s="1589"/>
      <c r="CW76" s="1590"/>
      <c r="CX76" s="1590"/>
      <c r="CY76" s="1590"/>
      <c r="CZ76" s="1590"/>
      <c r="DA76" s="1590"/>
      <c r="DB76" s="1590"/>
      <c r="DC76" s="1590"/>
      <c r="DD76" s="1590"/>
      <c r="DE76" s="1591"/>
      <c r="DF76" s="1589">
        <f>DT76</f>
        <v>176419.76</v>
      </c>
      <c r="DG76" s="1590"/>
      <c r="DH76" s="1590"/>
      <c r="DI76" s="1590"/>
      <c r="DJ76" s="1590"/>
      <c r="DK76" s="1590"/>
      <c r="DL76" s="1590"/>
      <c r="DM76" s="1590"/>
      <c r="DN76" s="1590"/>
      <c r="DO76" s="1590"/>
      <c r="DP76" s="1590"/>
      <c r="DQ76" s="1590"/>
      <c r="DR76" s="1590"/>
      <c r="DS76" s="1591"/>
      <c r="DT76" s="475">
        <f>'рас ФОТ обл до с 01.09-31.12'!W6</f>
        <v>176419.76</v>
      </c>
      <c r="DU76" s="475"/>
      <c r="DV76" s="476"/>
      <c r="DW76" s="475"/>
      <c r="DX76" s="475"/>
      <c r="DY76" s="475"/>
    </row>
    <row r="77" spans="1:145" ht="37.5" customHeight="1" x14ac:dyDescent="0.25">
      <c r="A77" s="1592">
        <v>2</v>
      </c>
      <c r="B77" s="1593"/>
      <c r="C77" s="1593"/>
      <c r="D77" s="1594"/>
      <c r="E77" s="1595" t="s">
        <v>564</v>
      </c>
      <c r="F77" s="1596"/>
      <c r="G77" s="1596"/>
      <c r="H77" s="1596"/>
      <c r="I77" s="1596"/>
      <c r="J77" s="1596"/>
      <c r="K77" s="1596"/>
      <c r="L77" s="1596"/>
      <c r="M77" s="1596"/>
      <c r="N77" s="1596"/>
      <c r="O77" s="1596"/>
      <c r="P77" s="1596"/>
      <c r="Q77" s="1596"/>
      <c r="R77" s="1596"/>
      <c r="S77" s="1596"/>
      <c r="T77" s="1597"/>
      <c r="U77" s="1601">
        <f>'рас ФОТ обл до с 01.09-31.12'!C7</f>
        <v>0.5</v>
      </c>
      <c r="V77" s="1602"/>
      <c r="W77" s="1602"/>
      <c r="X77" s="1602"/>
      <c r="Y77" s="1602"/>
      <c r="Z77" s="1602"/>
      <c r="AA77" s="1602"/>
      <c r="AB77" s="1602"/>
      <c r="AC77" s="1602"/>
      <c r="AD77" s="1602"/>
      <c r="AE77" s="1602"/>
      <c r="AF77" s="1603"/>
      <c r="AG77" s="1601">
        <f t="shared" ref="AG77:AG88" si="8">AU77+BI77+BW77</f>
        <v>28356.4316</v>
      </c>
      <c r="AH77" s="1602"/>
      <c r="AI77" s="1602"/>
      <c r="AJ77" s="1602"/>
      <c r="AK77" s="1602"/>
      <c r="AL77" s="1602"/>
      <c r="AM77" s="1602"/>
      <c r="AN77" s="1602"/>
      <c r="AO77" s="1602"/>
      <c r="AP77" s="1602"/>
      <c r="AQ77" s="1602"/>
      <c r="AR77" s="1602"/>
      <c r="AS77" s="1602"/>
      <c r="AT77" s="1603"/>
      <c r="AU77" s="1601">
        <f>'рас ФОТ обл до с 01.09-31.12'!L7</f>
        <v>22868.09</v>
      </c>
      <c r="AV77" s="1602"/>
      <c r="AW77" s="1602"/>
      <c r="AX77" s="1602"/>
      <c r="AY77" s="1602"/>
      <c r="AZ77" s="1602"/>
      <c r="BA77" s="1602"/>
      <c r="BB77" s="1602"/>
      <c r="BC77" s="1602"/>
      <c r="BD77" s="1602"/>
      <c r="BE77" s="1602"/>
      <c r="BF77" s="1602"/>
      <c r="BG77" s="1602"/>
      <c r="BH77" s="1603"/>
      <c r="BI77" s="1601">
        <f>'рас ФОТ обл до с 01.09-31.12'!R7</f>
        <v>0</v>
      </c>
      <c r="BJ77" s="1602"/>
      <c r="BK77" s="1602"/>
      <c r="BL77" s="1602"/>
      <c r="BM77" s="1602"/>
      <c r="BN77" s="1602"/>
      <c r="BO77" s="1602"/>
      <c r="BP77" s="1602"/>
      <c r="BQ77" s="1602"/>
      <c r="BR77" s="1602"/>
      <c r="BS77" s="1602"/>
      <c r="BT77" s="1602"/>
      <c r="BU77" s="1602"/>
      <c r="BV77" s="1603"/>
      <c r="BW77" s="1589">
        <f>'рас ФОТ обл до с 01.09-31.12'!T7</f>
        <v>5488.3415999999997</v>
      </c>
      <c r="BX77" s="1590"/>
      <c r="BY77" s="1590"/>
      <c r="BZ77" s="1590"/>
      <c r="CA77" s="1590"/>
      <c r="CB77" s="1590"/>
      <c r="CC77" s="1590"/>
      <c r="CD77" s="1590"/>
      <c r="CE77" s="1590"/>
      <c r="CF77" s="1590"/>
      <c r="CG77" s="1590"/>
      <c r="CH77" s="1590"/>
      <c r="CI77" s="1590"/>
      <c r="CJ77" s="1591"/>
      <c r="CK77" s="1589"/>
      <c r="CL77" s="1590"/>
      <c r="CM77" s="1590"/>
      <c r="CN77" s="1590"/>
      <c r="CO77" s="1590"/>
      <c r="CP77" s="1590"/>
      <c r="CQ77" s="1590"/>
      <c r="CR77" s="1590"/>
      <c r="CS77" s="1590"/>
      <c r="CT77" s="1590"/>
      <c r="CU77" s="1591"/>
      <c r="CV77" s="1589"/>
      <c r="CW77" s="1590"/>
      <c r="CX77" s="1590"/>
      <c r="CY77" s="1590"/>
      <c r="CZ77" s="1590"/>
      <c r="DA77" s="1590"/>
      <c r="DB77" s="1590"/>
      <c r="DC77" s="1590"/>
      <c r="DD77" s="1590"/>
      <c r="DE77" s="1591"/>
      <c r="DF77" s="1589">
        <f t="shared" ref="DF77:DF88" si="9">DT77</f>
        <v>113425.7264</v>
      </c>
      <c r="DG77" s="1590"/>
      <c r="DH77" s="1590"/>
      <c r="DI77" s="1590"/>
      <c r="DJ77" s="1590"/>
      <c r="DK77" s="1590"/>
      <c r="DL77" s="1590"/>
      <c r="DM77" s="1590"/>
      <c r="DN77" s="1590"/>
      <c r="DO77" s="1590"/>
      <c r="DP77" s="1590"/>
      <c r="DQ77" s="1590"/>
      <c r="DR77" s="1590"/>
      <c r="DS77" s="1591"/>
      <c r="DT77" s="475">
        <f>'рас ФОТ обл до с 01.09-31.12'!W7</f>
        <v>113425.7264</v>
      </c>
      <c r="DU77" s="475"/>
      <c r="DV77" s="476"/>
      <c r="DW77" s="475"/>
      <c r="DX77" s="475"/>
      <c r="DY77" s="475"/>
    </row>
    <row r="78" spans="1:145" ht="37.5" customHeight="1" x14ac:dyDescent="0.25">
      <c r="A78" s="1592">
        <v>3</v>
      </c>
      <c r="B78" s="1593"/>
      <c r="C78" s="1593"/>
      <c r="D78" s="1594"/>
      <c r="E78" s="1595" t="s">
        <v>821</v>
      </c>
      <c r="F78" s="1596"/>
      <c r="G78" s="1596"/>
      <c r="H78" s="1596"/>
      <c r="I78" s="1596"/>
      <c r="J78" s="1596"/>
      <c r="K78" s="1596"/>
      <c r="L78" s="1596"/>
      <c r="M78" s="1596"/>
      <c r="N78" s="1596"/>
      <c r="O78" s="1596"/>
      <c r="P78" s="1596"/>
      <c r="Q78" s="1596"/>
      <c r="R78" s="1596"/>
      <c r="S78" s="1596"/>
      <c r="T78" s="1597"/>
      <c r="U78" s="1601">
        <f>'рас ФОТ обл до с 01.09-31.12'!C8</f>
        <v>5.15</v>
      </c>
      <c r="V78" s="1602"/>
      <c r="W78" s="1602"/>
      <c r="X78" s="1602"/>
      <c r="Y78" s="1602"/>
      <c r="Z78" s="1602"/>
      <c r="AA78" s="1602"/>
      <c r="AB78" s="1602"/>
      <c r="AC78" s="1602"/>
      <c r="AD78" s="1602"/>
      <c r="AE78" s="1602"/>
      <c r="AF78" s="1603"/>
      <c r="AG78" s="1601">
        <f t="shared" si="8"/>
        <v>153027.95199999999</v>
      </c>
      <c r="AH78" s="1602"/>
      <c r="AI78" s="1602"/>
      <c r="AJ78" s="1602"/>
      <c r="AK78" s="1602"/>
      <c r="AL78" s="1602"/>
      <c r="AM78" s="1602"/>
      <c r="AN78" s="1602"/>
      <c r="AO78" s="1602"/>
      <c r="AP78" s="1602"/>
      <c r="AQ78" s="1602"/>
      <c r="AR78" s="1602"/>
      <c r="AS78" s="1602"/>
      <c r="AT78" s="1603"/>
      <c r="AU78" s="1601">
        <f>'рас ФОТ обл до с 01.09-31.12'!L8</f>
        <v>116762.8</v>
      </c>
      <c r="AV78" s="1602"/>
      <c r="AW78" s="1602"/>
      <c r="AX78" s="1602"/>
      <c r="AY78" s="1602"/>
      <c r="AZ78" s="1602"/>
      <c r="BA78" s="1602"/>
      <c r="BB78" s="1602"/>
      <c r="BC78" s="1602"/>
      <c r="BD78" s="1602"/>
      <c r="BE78" s="1602"/>
      <c r="BF78" s="1602"/>
      <c r="BG78" s="1602"/>
      <c r="BH78" s="1603"/>
      <c r="BI78" s="1601">
        <f>'рас ФОТ обл до с 01.09-31.12'!R8</f>
        <v>8242.08</v>
      </c>
      <c r="BJ78" s="1602"/>
      <c r="BK78" s="1602"/>
      <c r="BL78" s="1602"/>
      <c r="BM78" s="1602"/>
      <c r="BN78" s="1602"/>
      <c r="BO78" s="1602"/>
      <c r="BP78" s="1602"/>
      <c r="BQ78" s="1602"/>
      <c r="BR78" s="1602"/>
      <c r="BS78" s="1602"/>
      <c r="BT78" s="1602"/>
      <c r="BU78" s="1602"/>
      <c r="BV78" s="1603"/>
      <c r="BW78" s="1589">
        <f>'рас ФОТ обл до с 01.09-31.12'!T8</f>
        <v>28023.072</v>
      </c>
      <c r="BX78" s="1590"/>
      <c r="BY78" s="1590"/>
      <c r="BZ78" s="1590"/>
      <c r="CA78" s="1590"/>
      <c r="CB78" s="1590"/>
      <c r="CC78" s="1590"/>
      <c r="CD78" s="1590"/>
      <c r="CE78" s="1590"/>
      <c r="CF78" s="1590"/>
      <c r="CG78" s="1590"/>
      <c r="CH78" s="1590"/>
      <c r="CI78" s="1590"/>
      <c r="CJ78" s="1591"/>
      <c r="CK78" s="1589"/>
      <c r="CL78" s="1590"/>
      <c r="CM78" s="1590"/>
      <c r="CN78" s="1590"/>
      <c r="CO78" s="1590"/>
      <c r="CP78" s="1590"/>
      <c r="CQ78" s="1590"/>
      <c r="CR78" s="1590"/>
      <c r="CS78" s="1590"/>
      <c r="CT78" s="1590"/>
      <c r="CU78" s="1591"/>
      <c r="CV78" s="1589"/>
      <c r="CW78" s="1590"/>
      <c r="CX78" s="1590"/>
      <c r="CY78" s="1590"/>
      <c r="CZ78" s="1590"/>
      <c r="DA78" s="1590"/>
      <c r="DB78" s="1590"/>
      <c r="DC78" s="1590"/>
      <c r="DD78" s="1590"/>
      <c r="DE78" s="1591"/>
      <c r="DF78" s="1589">
        <f t="shared" si="9"/>
        <v>1068771.1188000001</v>
      </c>
      <c r="DG78" s="1590"/>
      <c r="DH78" s="1590"/>
      <c r="DI78" s="1590"/>
      <c r="DJ78" s="1590"/>
      <c r="DK78" s="1590"/>
      <c r="DL78" s="1590"/>
      <c r="DM78" s="1590"/>
      <c r="DN78" s="1590"/>
      <c r="DO78" s="1590"/>
      <c r="DP78" s="1590"/>
      <c r="DQ78" s="1590"/>
      <c r="DR78" s="1590"/>
      <c r="DS78" s="1591"/>
      <c r="DT78" s="475">
        <f>'рас ФОТ обл до с 01.09-31.12'!W8</f>
        <v>1068771.1188000001</v>
      </c>
      <c r="DU78" s="475"/>
      <c r="DV78" s="476"/>
      <c r="DW78" s="475"/>
      <c r="DX78" s="475"/>
      <c r="DY78" s="475"/>
    </row>
    <row r="79" spans="1:145" ht="37.5" customHeight="1" x14ac:dyDescent="0.25">
      <c r="A79" s="1592">
        <v>4</v>
      </c>
      <c r="B79" s="1593"/>
      <c r="C79" s="1593"/>
      <c r="D79" s="1594"/>
      <c r="E79" s="1595" t="s">
        <v>822</v>
      </c>
      <c r="F79" s="1596"/>
      <c r="G79" s="1596"/>
      <c r="H79" s="1596"/>
      <c r="I79" s="1596"/>
      <c r="J79" s="1596"/>
      <c r="K79" s="1596"/>
      <c r="L79" s="1596"/>
      <c r="M79" s="1596"/>
      <c r="N79" s="1596"/>
      <c r="O79" s="1596"/>
      <c r="P79" s="1596"/>
      <c r="Q79" s="1596"/>
      <c r="R79" s="1596"/>
      <c r="S79" s="1596"/>
      <c r="T79" s="1597"/>
      <c r="U79" s="1601">
        <f>'рас ФОТ обл до с 01.09-31.12'!C9</f>
        <v>3</v>
      </c>
      <c r="V79" s="1602"/>
      <c r="W79" s="1602"/>
      <c r="X79" s="1602"/>
      <c r="Y79" s="1602"/>
      <c r="Z79" s="1602"/>
      <c r="AA79" s="1602"/>
      <c r="AB79" s="1602"/>
      <c r="AC79" s="1602"/>
      <c r="AD79" s="1602"/>
      <c r="AE79" s="1602"/>
      <c r="AF79" s="1603"/>
      <c r="AG79" s="1601">
        <f t="shared" si="8"/>
        <v>95357.922000000006</v>
      </c>
      <c r="AH79" s="1602"/>
      <c r="AI79" s="1602"/>
      <c r="AJ79" s="1602"/>
      <c r="AK79" s="1602"/>
      <c r="AL79" s="1602"/>
      <c r="AM79" s="1602"/>
      <c r="AN79" s="1602"/>
      <c r="AO79" s="1602"/>
      <c r="AP79" s="1602"/>
      <c r="AQ79" s="1602"/>
      <c r="AR79" s="1602"/>
      <c r="AS79" s="1602"/>
      <c r="AT79" s="1603"/>
      <c r="AU79" s="1601">
        <f>'рас ФОТ обл до с 01.09-31.12'!L9</f>
        <v>76901.55</v>
      </c>
      <c r="AV79" s="1602"/>
      <c r="AW79" s="1602"/>
      <c r="AX79" s="1602"/>
      <c r="AY79" s="1602"/>
      <c r="AZ79" s="1602"/>
      <c r="BA79" s="1602"/>
      <c r="BB79" s="1602"/>
      <c r="BC79" s="1602"/>
      <c r="BD79" s="1602"/>
      <c r="BE79" s="1602"/>
      <c r="BF79" s="1602"/>
      <c r="BG79" s="1602"/>
      <c r="BH79" s="1603"/>
      <c r="BI79" s="1601">
        <f>'рас ФОТ обл до с 01.09-31.12'!R9</f>
        <v>0</v>
      </c>
      <c r="BJ79" s="1602"/>
      <c r="BK79" s="1602"/>
      <c r="BL79" s="1602"/>
      <c r="BM79" s="1602"/>
      <c r="BN79" s="1602"/>
      <c r="BO79" s="1602"/>
      <c r="BP79" s="1602"/>
      <c r="BQ79" s="1602"/>
      <c r="BR79" s="1602"/>
      <c r="BS79" s="1602"/>
      <c r="BT79" s="1602"/>
      <c r="BU79" s="1602"/>
      <c r="BV79" s="1603"/>
      <c r="BW79" s="1589">
        <f>'рас ФОТ обл до с 01.09-31.12'!T9</f>
        <v>18456.371999999999</v>
      </c>
      <c r="BX79" s="1590"/>
      <c r="BY79" s="1590"/>
      <c r="BZ79" s="1590"/>
      <c r="CA79" s="1590"/>
      <c r="CB79" s="1590"/>
      <c r="CC79" s="1590"/>
      <c r="CD79" s="1590"/>
      <c r="CE79" s="1590"/>
      <c r="CF79" s="1590"/>
      <c r="CG79" s="1590"/>
      <c r="CH79" s="1590"/>
      <c r="CI79" s="1590"/>
      <c r="CJ79" s="1591"/>
      <c r="CK79" s="1589"/>
      <c r="CL79" s="1590"/>
      <c r="CM79" s="1590"/>
      <c r="CN79" s="1590"/>
      <c r="CO79" s="1590"/>
      <c r="CP79" s="1590"/>
      <c r="CQ79" s="1590"/>
      <c r="CR79" s="1590"/>
      <c r="CS79" s="1590"/>
      <c r="CT79" s="1590"/>
      <c r="CU79" s="1591"/>
      <c r="CV79" s="1589"/>
      <c r="CW79" s="1590"/>
      <c r="CX79" s="1590"/>
      <c r="CY79" s="1590"/>
      <c r="CZ79" s="1590"/>
      <c r="DA79" s="1590"/>
      <c r="DB79" s="1590"/>
      <c r="DC79" s="1590"/>
      <c r="DD79" s="1590"/>
      <c r="DE79" s="1591"/>
      <c r="DF79" s="1589">
        <f t="shared" si="9"/>
        <v>679809.70200000005</v>
      </c>
      <c r="DG79" s="1590"/>
      <c r="DH79" s="1590"/>
      <c r="DI79" s="1590"/>
      <c r="DJ79" s="1590"/>
      <c r="DK79" s="1590"/>
      <c r="DL79" s="1590"/>
      <c r="DM79" s="1590"/>
      <c r="DN79" s="1590"/>
      <c r="DO79" s="1590"/>
      <c r="DP79" s="1590"/>
      <c r="DQ79" s="1590"/>
      <c r="DR79" s="1590"/>
      <c r="DS79" s="1591"/>
      <c r="DT79" s="475">
        <f>'рас ФОТ обл до с 01.09-31.12'!W9</f>
        <v>679809.70200000005</v>
      </c>
      <c r="DU79" s="475"/>
      <c r="DV79" s="476"/>
      <c r="DW79" s="475"/>
      <c r="DX79" s="475"/>
      <c r="DY79" s="475"/>
    </row>
    <row r="80" spans="1:145" ht="37.5" customHeight="1" x14ac:dyDescent="0.25">
      <c r="A80" s="1592">
        <v>5</v>
      </c>
      <c r="B80" s="1593"/>
      <c r="C80" s="1593"/>
      <c r="D80" s="1594"/>
      <c r="E80" s="1595" t="s">
        <v>823</v>
      </c>
      <c r="F80" s="1596"/>
      <c r="G80" s="1596"/>
      <c r="H80" s="1596"/>
      <c r="I80" s="1596"/>
      <c r="J80" s="1596"/>
      <c r="K80" s="1596"/>
      <c r="L80" s="1596"/>
      <c r="M80" s="1596"/>
      <c r="N80" s="1596"/>
      <c r="O80" s="1596"/>
      <c r="P80" s="1596"/>
      <c r="Q80" s="1596"/>
      <c r="R80" s="1596"/>
      <c r="S80" s="1596"/>
      <c r="T80" s="1597"/>
      <c r="U80" s="1601">
        <f>'рас ФОТ обл до с 01.09-31.12'!C10</f>
        <v>0.5</v>
      </c>
      <c r="V80" s="1602"/>
      <c r="W80" s="1602"/>
      <c r="X80" s="1602"/>
      <c r="Y80" s="1602"/>
      <c r="Z80" s="1602"/>
      <c r="AA80" s="1602"/>
      <c r="AB80" s="1602"/>
      <c r="AC80" s="1602"/>
      <c r="AD80" s="1602"/>
      <c r="AE80" s="1602"/>
      <c r="AF80" s="1603"/>
      <c r="AG80" s="1601">
        <f t="shared" si="8"/>
        <v>19059.821199999998</v>
      </c>
      <c r="AH80" s="1602"/>
      <c r="AI80" s="1602"/>
      <c r="AJ80" s="1602"/>
      <c r="AK80" s="1602"/>
      <c r="AL80" s="1602"/>
      <c r="AM80" s="1602"/>
      <c r="AN80" s="1602"/>
      <c r="AO80" s="1602"/>
      <c r="AP80" s="1602"/>
      <c r="AQ80" s="1602"/>
      <c r="AR80" s="1602"/>
      <c r="AS80" s="1602"/>
      <c r="AT80" s="1603"/>
      <c r="AU80" s="1601">
        <f>'рас ФОТ обл до с 01.09-31.12'!L10</f>
        <v>15024.63</v>
      </c>
      <c r="AV80" s="1602"/>
      <c r="AW80" s="1602"/>
      <c r="AX80" s="1602"/>
      <c r="AY80" s="1602"/>
      <c r="AZ80" s="1602"/>
      <c r="BA80" s="1602"/>
      <c r="BB80" s="1602"/>
      <c r="BC80" s="1602"/>
      <c r="BD80" s="1602"/>
      <c r="BE80" s="1602"/>
      <c r="BF80" s="1602"/>
      <c r="BG80" s="1602"/>
      <c r="BH80" s="1603"/>
      <c r="BI80" s="1601">
        <f>'рас ФОТ обл до с 01.09-31.12'!R10</f>
        <v>429.28</v>
      </c>
      <c r="BJ80" s="1602"/>
      <c r="BK80" s="1602"/>
      <c r="BL80" s="1602"/>
      <c r="BM80" s="1602"/>
      <c r="BN80" s="1602"/>
      <c r="BO80" s="1602"/>
      <c r="BP80" s="1602"/>
      <c r="BQ80" s="1602"/>
      <c r="BR80" s="1602"/>
      <c r="BS80" s="1602"/>
      <c r="BT80" s="1602"/>
      <c r="BU80" s="1602"/>
      <c r="BV80" s="1603"/>
      <c r="BW80" s="1589">
        <f>'рас ФОТ обл до с 01.09-31.12'!T10</f>
        <v>3605.9111999999996</v>
      </c>
      <c r="BX80" s="1590"/>
      <c r="BY80" s="1590"/>
      <c r="BZ80" s="1590"/>
      <c r="CA80" s="1590"/>
      <c r="CB80" s="1590"/>
      <c r="CC80" s="1590"/>
      <c r="CD80" s="1590"/>
      <c r="CE80" s="1590"/>
      <c r="CF80" s="1590"/>
      <c r="CG80" s="1590"/>
      <c r="CH80" s="1590"/>
      <c r="CI80" s="1590"/>
      <c r="CJ80" s="1591"/>
      <c r="CK80" s="1589"/>
      <c r="CL80" s="1590"/>
      <c r="CM80" s="1590"/>
      <c r="CN80" s="1590"/>
      <c r="CO80" s="1590"/>
      <c r="CP80" s="1590"/>
      <c r="CQ80" s="1590"/>
      <c r="CR80" s="1590"/>
      <c r="CS80" s="1590"/>
      <c r="CT80" s="1590"/>
      <c r="CU80" s="1591"/>
      <c r="CV80" s="1589"/>
      <c r="CW80" s="1590"/>
      <c r="CX80" s="1590"/>
      <c r="CY80" s="1590"/>
      <c r="CZ80" s="1590"/>
      <c r="DA80" s="1590"/>
      <c r="DB80" s="1590"/>
      <c r="DC80" s="1590"/>
      <c r="DD80" s="1590"/>
      <c r="DE80" s="1591"/>
      <c r="DF80" s="1589">
        <f t="shared" si="9"/>
        <v>133332.87880000001</v>
      </c>
      <c r="DG80" s="1590"/>
      <c r="DH80" s="1590"/>
      <c r="DI80" s="1590"/>
      <c r="DJ80" s="1590"/>
      <c r="DK80" s="1590"/>
      <c r="DL80" s="1590"/>
      <c r="DM80" s="1590"/>
      <c r="DN80" s="1590"/>
      <c r="DO80" s="1590"/>
      <c r="DP80" s="1590"/>
      <c r="DQ80" s="1590"/>
      <c r="DR80" s="1590"/>
      <c r="DS80" s="1591"/>
      <c r="DT80" s="475">
        <f>'рас ФОТ обл до с 01.09-31.12'!W10</f>
        <v>133332.87880000001</v>
      </c>
      <c r="DU80" s="475"/>
      <c r="DV80" s="476"/>
      <c r="DW80" s="475"/>
      <c r="DX80" s="475"/>
      <c r="DY80" s="475"/>
    </row>
    <row r="81" spans="1:140" ht="37.5" customHeight="1" x14ac:dyDescent="0.25">
      <c r="A81" s="1592">
        <v>6</v>
      </c>
      <c r="B81" s="1593"/>
      <c r="C81" s="1593"/>
      <c r="D81" s="1594"/>
      <c r="E81" s="1595" t="s">
        <v>824</v>
      </c>
      <c r="F81" s="1596"/>
      <c r="G81" s="1596"/>
      <c r="H81" s="1596"/>
      <c r="I81" s="1596"/>
      <c r="J81" s="1596"/>
      <c r="K81" s="1596"/>
      <c r="L81" s="1596"/>
      <c r="M81" s="1596"/>
      <c r="N81" s="1596"/>
      <c r="O81" s="1596"/>
      <c r="P81" s="1596"/>
      <c r="Q81" s="1596"/>
      <c r="R81" s="1596"/>
      <c r="S81" s="1596"/>
      <c r="T81" s="1597"/>
      <c r="U81" s="1601">
        <f>'рас ФОТ обл до с 01.09-31.12'!C11</f>
        <v>1.25</v>
      </c>
      <c r="V81" s="1602"/>
      <c r="W81" s="1602"/>
      <c r="X81" s="1602"/>
      <c r="Y81" s="1602"/>
      <c r="Z81" s="1602"/>
      <c r="AA81" s="1602"/>
      <c r="AB81" s="1602"/>
      <c r="AC81" s="1602"/>
      <c r="AD81" s="1602"/>
      <c r="AE81" s="1602"/>
      <c r="AF81" s="1603"/>
      <c r="AG81" s="1601">
        <f t="shared" si="8"/>
        <v>28454.794399999999</v>
      </c>
      <c r="AH81" s="1602"/>
      <c r="AI81" s="1602"/>
      <c r="AJ81" s="1602"/>
      <c r="AK81" s="1602"/>
      <c r="AL81" s="1602"/>
      <c r="AM81" s="1602"/>
      <c r="AN81" s="1602"/>
      <c r="AO81" s="1602"/>
      <c r="AP81" s="1602"/>
      <c r="AQ81" s="1602"/>
      <c r="AR81" s="1602"/>
      <c r="AS81" s="1602"/>
      <c r="AT81" s="1603"/>
      <c r="AU81" s="1601">
        <f>'рас ФОТ обл до с 01.09-31.12'!L11</f>
        <v>22230.31</v>
      </c>
      <c r="AV81" s="1602"/>
      <c r="AW81" s="1602"/>
      <c r="AX81" s="1602"/>
      <c r="AY81" s="1602"/>
      <c r="AZ81" s="1602"/>
      <c r="BA81" s="1602"/>
      <c r="BB81" s="1602"/>
      <c r="BC81" s="1602"/>
      <c r="BD81" s="1602"/>
      <c r="BE81" s="1602"/>
      <c r="BF81" s="1602"/>
      <c r="BG81" s="1602"/>
      <c r="BH81" s="1603"/>
      <c r="BI81" s="1601">
        <f>'рас ФОТ обл до с 01.09-31.12'!R11</f>
        <v>889.21</v>
      </c>
      <c r="BJ81" s="1602"/>
      <c r="BK81" s="1602"/>
      <c r="BL81" s="1602"/>
      <c r="BM81" s="1602"/>
      <c r="BN81" s="1602"/>
      <c r="BO81" s="1602"/>
      <c r="BP81" s="1602"/>
      <c r="BQ81" s="1602"/>
      <c r="BR81" s="1602"/>
      <c r="BS81" s="1602"/>
      <c r="BT81" s="1602"/>
      <c r="BU81" s="1602"/>
      <c r="BV81" s="1603"/>
      <c r="BW81" s="1589">
        <f>'рас ФОТ обл до с 01.09-31.12'!T11</f>
        <v>5335.2744000000002</v>
      </c>
      <c r="BX81" s="1590"/>
      <c r="BY81" s="1590"/>
      <c r="BZ81" s="1590"/>
      <c r="CA81" s="1590"/>
      <c r="CB81" s="1590"/>
      <c r="CC81" s="1590"/>
      <c r="CD81" s="1590"/>
      <c r="CE81" s="1590"/>
      <c r="CF81" s="1590"/>
      <c r="CG81" s="1590"/>
      <c r="CH81" s="1590"/>
      <c r="CI81" s="1590"/>
      <c r="CJ81" s="1591"/>
      <c r="CK81" s="1589"/>
      <c r="CL81" s="1590"/>
      <c r="CM81" s="1590"/>
      <c r="CN81" s="1590"/>
      <c r="CO81" s="1590"/>
      <c r="CP81" s="1590"/>
      <c r="CQ81" s="1590"/>
      <c r="CR81" s="1590"/>
      <c r="CS81" s="1590"/>
      <c r="CT81" s="1590"/>
      <c r="CU81" s="1591"/>
      <c r="CV81" s="1589"/>
      <c r="CW81" s="1590"/>
      <c r="CX81" s="1590"/>
      <c r="CY81" s="1590"/>
      <c r="CZ81" s="1590"/>
      <c r="DA81" s="1590"/>
      <c r="DB81" s="1590"/>
      <c r="DC81" s="1590"/>
      <c r="DD81" s="1590"/>
      <c r="DE81" s="1591"/>
      <c r="DF81" s="1589">
        <f t="shared" si="9"/>
        <v>198294.35560000001</v>
      </c>
      <c r="DG81" s="1590"/>
      <c r="DH81" s="1590"/>
      <c r="DI81" s="1590"/>
      <c r="DJ81" s="1590"/>
      <c r="DK81" s="1590"/>
      <c r="DL81" s="1590"/>
      <c r="DM81" s="1590"/>
      <c r="DN81" s="1590"/>
      <c r="DO81" s="1590"/>
      <c r="DP81" s="1590"/>
      <c r="DQ81" s="1590"/>
      <c r="DR81" s="1590"/>
      <c r="DS81" s="1591"/>
      <c r="DT81" s="475">
        <f>'рас ФОТ обл до с 01.09-31.12'!W11</f>
        <v>198294.35560000001</v>
      </c>
      <c r="DU81" s="475"/>
      <c r="DV81" s="476"/>
      <c r="DW81" s="475"/>
      <c r="DX81" s="475"/>
      <c r="DY81" s="475"/>
    </row>
    <row r="82" spans="1:140" ht="37.5" customHeight="1" x14ac:dyDescent="0.25">
      <c r="A82" s="1592">
        <v>7</v>
      </c>
      <c r="B82" s="1593"/>
      <c r="C82" s="1593"/>
      <c r="D82" s="1594"/>
      <c r="E82" s="1595" t="s">
        <v>825</v>
      </c>
      <c r="F82" s="1596"/>
      <c r="G82" s="1596"/>
      <c r="H82" s="1596"/>
      <c r="I82" s="1596"/>
      <c r="J82" s="1596"/>
      <c r="K82" s="1596"/>
      <c r="L82" s="1596"/>
      <c r="M82" s="1596"/>
      <c r="N82" s="1596"/>
      <c r="O82" s="1596"/>
      <c r="P82" s="1596"/>
      <c r="Q82" s="1596"/>
      <c r="R82" s="1596"/>
      <c r="S82" s="1596"/>
      <c r="T82" s="1597"/>
      <c r="U82" s="1601">
        <f>'рас ФОТ обл до с 01.09-31.12'!C12</f>
        <v>0.7</v>
      </c>
      <c r="V82" s="1602"/>
      <c r="W82" s="1602"/>
      <c r="X82" s="1602"/>
      <c r="Y82" s="1602"/>
      <c r="Z82" s="1602"/>
      <c r="AA82" s="1602"/>
      <c r="AB82" s="1602"/>
      <c r="AC82" s="1602"/>
      <c r="AD82" s="1602"/>
      <c r="AE82" s="1602"/>
      <c r="AF82" s="1603"/>
      <c r="AG82" s="1601">
        <f t="shared" si="8"/>
        <v>22557.788</v>
      </c>
      <c r="AH82" s="1602"/>
      <c r="AI82" s="1602"/>
      <c r="AJ82" s="1602"/>
      <c r="AK82" s="1602"/>
      <c r="AL82" s="1602"/>
      <c r="AM82" s="1602"/>
      <c r="AN82" s="1602"/>
      <c r="AO82" s="1602"/>
      <c r="AP82" s="1602"/>
      <c r="AQ82" s="1602"/>
      <c r="AR82" s="1602"/>
      <c r="AS82" s="1602"/>
      <c r="AT82" s="1603"/>
      <c r="AU82" s="1601">
        <f>'рас ФОТ обл до с 01.09-31.12'!L12</f>
        <v>16312.45</v>
      </c>
      <c r="AV82" s="1602"/>
      <c r="AW82" s="1602"/>
      <c r="AX82" s="1602"/>
      <c r="AY82" s="1602"/>
      <c r="AZ82" s="1602"/>
      <c r="BA82" s="1602"/>
      <c r="BB82" s="1602"/>
      <c r="BC82" s="1602"/>
      <c r="BD82" s="1602"/>
      <c r="BE82" s="1602"/>
      <c r="BF82" s="1602"/>
      <c r="BG82" s="1602"/>
      <c r="BH82" s="1603"/>
      <c r="BI82" s="1601">
        <f>'рас ФОТ обл до с 01.09-31.12'!R12</f>
        <v>2330.35</v>
      </c>
      <c r="BJ82" s="1602"/>
      <c r="BK82" s="1602"/>
      <c r="BL82" s="1602"/>
      <c r="BM82" s="1602"/>
      <c r="BN82" s="1602"/>
      <c r="BO82" s="1602"/>
      <c r="BP82" s="1602"/>
      <c r="BQ82" s="1602"/>
      <c r="BR82" s="1602"/>
      <c r="BS82" s="1602"/>
      <c r="BT82" s="1602"/>
      <c r="BU82" s="1602"/>
      <c r="BV82" s="1603"/>
      <c r="BW82" s="1589">
        <f>'рас ФОТ обл до с 01.09-31.12'!T12</f>
        <v>3914.9879999999998</v>
      </c>
      <c r="BX82" s="1590"/>
      <c r="BY82" s="1590"/>
      <c r="BZ82" s="1590"/>
      <c r="CA82" s="1590"/>
      <c r="CB82" s="1590"/>
      <c r="CC82" s="1590"/>
      <c r="CD82" s="1590"/>
      <c r="CE82" s="1590"/>
      <c r="CF82" s="1590"/>
      <c r="CG82" s="1590"/>
      <c r="CH82" s="1590"/>
      <c r="CI82" s="1590"/>
      <c r="CJ82" s="1591"/>
      <c r="CK82" s="1589"/>
      <c r="CL82" s="1590"/>
      <c r="CM82" s="1590"/>
      <c r="CN82" s="1590"/>
      <c r="CO82" s="1590"/>
      <c r="CP82" s="1590"/>
      <c r="CQ82" s="1590"/>
      <c r="CR82" s="1590"/>
      <c r="CS82" s="1590"/>
      <c r="CT82" s="1590"/>
      <c r="CU82" s="1591"/>
      <c r="CV82" s="1589"/>
      <c r="CW82" s="1590"/>
      <c r="CX82" s="1590"/>
      <c r="CY82" s="1590"/>
      <c r="CZ82" s="1590"/>
      <c r="DA82" s="1590"/>
      <c r="DB82" s="1590"/>
      <c r="DC82" s="1590"/>
      <c r="DD82" s="1590"/>
      <c r="DE82" s="1591"/>
      <c r="DF82" s="1589">
        <f t="shared" si="9"/>
        <v>152218.462</v>
      </c>
      <c r="DG82" s="1590"/>
      <c r="DH82" s="1590"/>
      <c r="DI82" s="1590"/>
      <c r="DJ82" s="1590"/>
      <c r="DK82" s="1590"/>
      <c r="DL82" s="1590"/>
      <c r="DM82" s="1590"/>
      <c r="DN82" s="1590"/>
      <c r="DO82" s="1590"/>
      <c r="DP82" s="1590"/>
      <c r="DQ82" s="1590"/>
      <c r="DR82" s="1590"/>
      <c r="DS82" s="1591"/>
      <c r="DT82" s="475">
        <f>'рас ФОТ обл до с 01.09-31.12'!W12</f>
        <v>152218.462</v>
      </c>
      <c r="DU82" s="475"/>
      <c r="DV82" s="476"/>
      <c r="DW82" s="475"/>
      <c r="DX82" s="475"/>
      <c r="DY82" s="475"/>
    </row>
    <row r="83" spans="1:140" ht="37.5" customHeight="1" x14ac:dyDescent="0.25">
      <c r="A83" s="1592">
        <v>8</v>
      </c>
      <c r="B83" s="1593"/>
      <c r="C83" s="1593"/>
      <c r="D83" s="1594"/>
      <c r="E83" s="1595" t="s">
        <v>826</v>
      </c>
      <c r="F83" s="1596"/>
      <c r="G83" s="1596"/>
      <c r="H83" s="1596"/>
      <c r="I83" s="1596"/>
      <c r="J83" s="1596"/>
      <c r="K83" s="1596"/>
      <c r="L83" s="1596"/>
      <c r="M83" s="1596"/>
      <c r="N83" s="1596"/>
      <c r="O83" s="1596"/>
      <c r="P83" s="1596"/>
      <c r="Q83" s="1596"/>
      <c r="R83" s="1596"/>
      <c r="S83" s="1596"/>
      <c r="T83" s="1597"/>
      <c r="U83" s="1601">
        <f>'рас ФОТ обл до с 01.09-31.12'!C13</f>
        <v>1.5</v>
      </c>
      <c r="V83" s="1602"/>
      <c r="W83" s="1602"/>
      <c r="X83" s="1602"/>
      <c r="Y83" s="1602"/>
      <c r="Z83" s="1602"/>
      <c r="AA83" s="1602"/>
      <c r="AB83" s="1602"/>
      <c r="AC83" s="1602"/>
      <c r="AD83" s="1602"/>
      <c r="AE83" s="1602"/>
      <c r="AF83" s="1603"/>
      <c r="AG83" s="1601">
        <f t="shared" si="8"/>
        <v>52984.800000000003</v>
      </c>
      <c r="AH83" s="1602"/>
      <c r="AI83" s="1602"/>
      <c r="AJ83" s="1602"/>
      <c r="AK83" s="1602"/>
      <c r="AL83" s="1602"/>
      <c r="AM83" s="1602"/>
      <c r="AN83" s="1602"/>
      <c r="AO83" s="1602"/>
      <c r="AP83" s="1602"/>
      <c r="AQ83" s="1602"/>
      <c r="AR83" s="1602"/>
      <c r="AS83" s="1602"/>
      <c r="AT83" s="1603"/>
      <c r="AU83" s="1601">
        <f>'рас ФОТ обл до с 01.09-31.12'!L13</f>
        <v>36795</v>
      </c>
      <c r="AV83" s="1602"/>
      <c r="AW83" s="1602"/>
      <c r="AX83" s="1602"/>
      <c r="AY83" s="1602"/>
      <c r="AZ83" s="1602"/>
      <c r="BA83" s="1602"/>
      <c r="BB83" s="1602"/>
      <c r="BC83" s="1602"/>
      <c r="BD83" s="1602"/>
      <c r="BE83" s="1602"/>
      <c r="BF83" s="1602"/>
      <c r="BG83" s="1602"/>
      <c r="BH83" s="1603"/>
      <c r="BI83" s="1601">
        <f>'рас ФОТ обл до с 01.09-31.12'!R13</f>
        <v>7359</v>
      </c>
      <c r="BJ83" s="1602"/>
      <c r="BK83" s="1602"/>
      <c r="BL83" s="1602"/>
      <c r="BM83" s="1602"/>
      <c r="BN83" s="1602"/>
      <c r="BO83" s="1602"/>
      <c r="BP83" s="1602"/>
      <c r="BQ83" s="1602"/>
      <c r="BR83" s="1602"/>
      <c r="BS83" s="1602"/>
      <c r="BT83" s="1602"/>
      <c r="BU83" s="1602"/>
      <c r="BV83" s="1603"/>
      <c r="BW83" s="1589">
        <f>'рас ФОТ обл до с 01.09-31.12'!T13</f>
        <v>8830.7999999999993</v>
      </c>
      <c r="BX83" s="1590"/>
      <c r="BY83" s="1590"/>
      <c r="BZ83" s="1590"/>
      <c r="CA83" s="1590"/>
      <c r="CB83" s="1590"/>
      <c r="CC83" s="1590"/>
      <c r="CD83" s="1590"/>
      <c r="CE83" s="1590"/>
      <c r="CF83" s="1590"/>
      <c r="CG83" s="1590"/>
      <c r="CH83" s="1590"/>
      <c r="CI83" s="1590"/>
      <c r="CJ83" s="1591"/>
      <c r="CK83" s="1589"/>
      <c r="CL83" s="1590"/>
      <c r="CM83" s="1590"/>
      <c r="CN83" s="1590"/>
      <c r="CO83" s="1590"/>
      <c r="CP83" s="1590"/>
      <c r="CQ83" s="1590"/>
      <c r="CR83" s="1590"/>
      <c r="CS83" s="1590"/>
      <c r="CT83" s="1590"/>
      <c r="CU83" s="1591"/>
      <c r="CV83" s="1589"/>
      <c r="CW83" s="1590"/>
      <c r="CX83" s="1590"/>
      <c r="CY83" s="1590"/>
      <c r="CZ83" s="1590"/>
      <c r="DA83" s="1590"/>
      <c r="DB83" s="1590"/>
      <c r="DC83" s="1590"/>
      <c r="DD83" s="1590"/>
      <c r="DE83" s="1591"/>
      <c r="DF83" s="1589">
        <f t="shared" si="9"/>
        <v>351760.2</v>
      </c>
      <c r="DG83" s="1590"/>
      <c r="DH83" s="1590"/>
      <c r="DI83" s="1590"/>
      <c r="DJ83" s="1590"/>
      <c r="DK83" s="1590"/>
      <c r="DL83" s="1590"/>
      <c r="DM83" s="1590"/>
      <c r="DN83" s="1590"/>
      <c r="DO83" s="1590"/>
      <c r="DP83" s="1590"/>
      <c r="DQ83" s="1590"/>
      <c r="DR83" s="1590"/>
      <c r="DS83" s="1591"/>
      <c r="DT83" s="475">
        <f>'рас ФОТ обл до с 01.09-31.12'!W13</f>
        <v>351760.2</v>
      </c>
      <c r="DU83" s="475"/>
      <c r="DV83" s="476"/>
      <c r="DW83" s="475"/>
      <c r="DX83" s="475"/>
      <c r="DY83" s="475"/>
    </row>
    <row r="84" spans="1:140" ht="37.5" customHeight="1" x14ac:dyDescent="0.25">
      <c r="A84" s="1592">
        <v>9</v>
      </c>
      <c r="B84" s="1593"/>
      <c r="C84" s="1593"/>
      <c r="D84" s="1594"/>
      <c r="E84" s="1595" t="s">
        <v>827</v>
      </c>
      <c r="F84" s="1596"/>
      <c r="G84" s="1596"/>
      <c r="H84" s="1596"/>
      <c r="I84" s="1596"/>
      <c r="J84" s="1596"/>
      <c r="K84" s="1596"/>
      <c r="L84" s="1596"/>
      <c r="M84" s="1596"/>
      <c r="N84" s="1596"/>
      <c r="O84" s="1596"/>
      <c r="P84" s="1596"/>
      <c r="Q84" s="1596"/>
      <c r="R84" s="1596"/>
      <c r="S84" s="1596"/>
      <c r="T84" s="1597"/>
      <c r="U84" s="1601">
        <f>'рас ФОТ обл до с 01.09-31.12'!C14</f>
        <v>1</v>
      </c>
      <c r="V84" s="1602"/>
      <c r="W84" s="1602"/>
      <c r="X84" s="1602"/>
      <c r="Y84" s="1602"/>
      <c r="Z84" s="1602"/>
      <c r="AA84" s="1602"/>
      <c r="AB84" s="1602"/>
      <c r="AC84" s="1602"/>
      <c r="AD84" s="1602"/>
      <c r="AE84" s="1602"/>
      <c r="AF84" s="1603"/>
      <c r="AG84" s="1601">
        <f t="shared" si="8"/>
        <v>29656.77</v>
      </c>
      <c r="AH84" s="1602"/>
      <c r="AI84" s="1602"/>
      <c r="AJ84" s="1602"/>
      <c r="AK84" s="1602"/>
      <c r="AL84" s="1602"/>
      <c r="AM84" s="1602"/>
      <c r="AN84" s="1602"/>
      <c r="AO84" s="1602"/>
      <c r="AP84" s="1602"/>
      <c r="AQ84" s="1602"/>
      <c r="AR84" s="1602"/>
      <c r="AS84" s="1602"/>
      <c r="AT84" s="1603"/>
      <c r="AU84" s="1601">
        <f>'рас ФОТ обл до с 01.09-31.12'!L14</f>
        <v>23916.75</v>
      </c>
      <c r="AV84" s="1602"/>
      <c r="AW84" s="1602"/>
      <c r="AX84" s="1602"/>
      <c r="AY84" s="1602"/>
      <c r="AZ84" s="1602"/>
      <c r="BA84" s="1602"/>
      <c r="BB84" s="1602"/>
      <c r="BC84" s="1602"/>
      <c r="BD84" s="1602"/>
      <c r="BE84" s="1602"/>
      <c r="BF84" s="1602"/>
      <c r="BG84" s="1602"/>
      <c r="BH84" s="1603"/>
      <c r="BI84" s="1601">
        <f>'рас ФОТ обл до с 01.09-31.12'!R14</f>
        <v>0</v>
      </c>
      <c r="BJ84" s="1602"/>
      <c r="BK84" s="1602"/>
      <c r="BL84" s="1602"/>
      <c r="BM84" s="1602"/>
      <c r="BN84" s="1602"/>
      <c r="BO84" s="1602"/>
      <c r="BP84" s="1602"/>
      <c r="BQ84" s="1602"/>
      <c r="BR84" s="1602"/>
      <c r="BS84" s="1602"/>
      <c r="BT84" s="1602"/>
      <c r="BU84" s="1602"/>
      <c r="BV84" s="1603"/>
      <c r="BW84" s="1589">
        <f>'рас ФОТ обл до с 01.09-31.12'!T14</f>
        <v>5740.0199999999995</v>
      </c>
      <c r="BX84" s="1590"/>
      <c r="BY84" s="1590"/>
      <c r="BZ84" s="1590"/>
      <c r="CA84" s="1590"/>
      <c r="CB84" s="1590"/>
      <c r="CC84" s="1590"/>
      <c r="CD84" s="1590"/>
      <c r="CE84" s="1590"/>
      <c r="CF84" s="1590"/>
      <c r="CG84" s="1590"/>
      <c r="CH84" s="1590"/>
      <c r="CI84" s="1590"/>
      <c r="CJ84" s="1591"/>
      <c r="CK84" s="1589"/>
      <c r="CL84" s="1590"/>
      <c r="CM84" s="1590"/>
      <c r="CN84" s="1590"/>
      <c r="CO84" s="1590"/>
      <c r="CP84" s="1590"/>
      <c r="CQ84" s="1590"/>
      <c r="CR84" s="1590"/>
      <c r="CS84" s="1590"/>
      <c r="CT84" s="1590"/>
      <c r="CU84" s="1591"/>
      <c r="CV84" s="1589"/>
      <c r="CW84" s="1590"/>
      <c r="CX84" s="1590"/>
      <c r="CY84" s="1590"/>
      <c r="CZ84" s="1590"/>
      <c r="DA84" s="1590"/>
      <c r="DB84" s="1590"/>
      <c r="DC84" s="1590"/>
      <c r="DD84" s="1590"/>
      <c r="DE84" s="1591"/>
      <c r="DF84" s="1589">
        <f t="shared" si="9"/>
        <v>118627.08</v>
      </c>
      <c r="DG84" s="1590"/>
      <c r="DH84" s="1590"/>
      <c r="DI84" s="1590"/>
      <c r="DJ84" s="1590"/>
      <c r="DK84" s="1590"/>
      <c r="DL84" s="1590"/>
      <c r="DM84" s="1590"/>
      <c r="DN84" s="1590"/>
      <c r="DO84" s="1590"/>
      <c r="DP84" s="1590"/>
      <c r="DQ84" s="1590"/>
      <c r="DR84" s="1590"/>
      <c r="DS84" s="1591"/>
      <c r="DT84" s="475">
        <f>'рас ФОТ обл до с 01.09-31.12'!W14</f>
        <v>118627.08</v>
      </c>
      <c r="DU84" s="475"/>
      <c r="DV84" s="476"/>
      <c r="DW84" s="475"/>
      <c r="DX84" s="475"/>
      <c r="DY84" s="475"/>
    </row>
    <row r="85" spans="1:140" ht="37.5" customHeight="1" x14ac:dyDescent="0.25">
      <c r="A85" s="1592">
        <v>10</v>
      </c>
      <c r="B85" s="1593"/>
      <c r="C85" s="1593"/>
      <c r="D85" s="1594"/>
      <c r="E85" s="1595" t="s">
        <v>828</v>
      </c>
      <c r="F85" s="1596"/>
      <c r="G85" s="1596"/>
      <c r="H85" s="1596"/>
      <c r="I85" s="1596"/>
      <c r="J85" s="1596"/>
      <c r="K85" s="1596"/>
      <c r="L85" s="1596"/>
      <c r="M85" s="1596"/>
      <c r="N85" s="1596"/>
      <c r="O85" s="1596"/>
      <c r="P85" s="1596"/>
      <c r="Q85" s="1596"/>
      <c r="R85" s="1596"/>
      <c r="S85" s="1596"/>
      <c r="T85" s="1597"/>
      <c r="U85" s="1601">
        <f>'рас ФОТ обл до с 01.09-31.12'!C15</f>
        <v>6.74</v>
      </c>
      <c r="V85" s="1602"/>
      <c r="W85" s="1602"/>
      <c r="X85" s="1602"/>
      <c r="Y85" s="1602"/>
      <c r="Z85" s="1602"/>
      <c r="AA85" s="1602"/>
      <c r="AB85" s="1602"/>
      <c r="AC85" s="1602"/>
      <c r="AD85" s="1602"/>
      <c r="AE85" s="1602"/>
      <c r="AF85" s="1603"/>
      <c r="AG85" s="1601">
        <f t="shared" si="8"/>
        <v>142847.02720000001</v>
      </c>
      <c r="AH85" s="1602"/>
      <c r="AI85" s="1602"/>
      <c r="AJ85" s="1602"/>
      <c r="AK85" s="1602"/>
      <c r="AL85" s="1602"/>
      <c r="AM85" s="1602"/>
      <c r="AN85" s="1602"/>
      <c r="AO85" s="1602"/>
      <c r="AP85" s="1602"/>
      <c r="AQ85" s="1602"/>
      <c r="AR85" s="1602"/>
      <c r="AS85" s="1602"/>
      <c r="AT85" s="1603"/>
      <c r="AU85" s="1601">
        <f>'рас ФОТ обл до с 01.09-31.12'!L15</f>
        <v>111599.24</v>
      </c>
      <c r="AV85" s="1602"/>
      <c r="AW85" s="1602"/>
      <c r="AX85" s="1602"/>
      <c r="AY85" s="1602"/>
      <c r="AZ85" s="1602"/>
      <c r="BA85" s="1602"/>
      <c r="BB85" s="1602"/>
      <c r="BC85" s="1602"/>
      <c r="BD85" s="1602"/>
      <c r="BE85" s="1602"/>
      <c r="BF85" s="1602"/>
      <c r="BG85" s="1602"/>
      <c r="BH85" s="1603"/>
      <c r="BI85" s="1601">
        <f>'рас ФОТ обл до с 01.09-31.12'!R15</f>
        <v>4463.9696000000004</v>
      </c>
      <c r="BJ85" s="1602"/>
      <c r="BK85" s="1602"/>
      <c r="BL85" s="1602"/>
      <c r="BM85" s="1602"/>
      <c r="BN85" s="1602"/>
      <c r="BO85" s="1602"/>
      <c r="BP85" s="1602"/>
      <c r="BQ85" s="1602"/>
      <c r="BR85" s="1602"/>
      <c r="BS85" s="1602"/>
      <c r="BT85" s="1602"/>
      <c r="BU85" s="1602"/>
      <c r="BV85" s="1603"/>
      <c r="BW85" s="1589">
        <f>'рас ФОТ обл до с 01.09-31.12'!T15</f>
        <v>26783.817599999998</v>
      </c>
      <c r="BX85" s="1590"/>
      <c r="BY85" s="1590"/>
      <c r="BZ85" s="1590"/>
      <c r="CA85" s="1590"/>
      <c r="CB85" s="1590"/>
      <c r="CC85" s="1590"/>
      <c r="CD85" s="1590"/>
      <c r="CE85" s="1590"/>
      <c r="CF85" s="1590"/>
      <c r="CG85" s="1590"/>
      <c r="CH85" s="1590"/>
      <c r="CI85" s="1590"/>
      <c r="CJ85" s="1591"/>
      <c r="CK85" s="1589"/>
      <c r="CL85" s="1590"/>
      <c r="CM85" s="1590"/>
      <c r="CN85" s="1590"/>
      <c r="CO85" s="1590"/>
      <c r="CP85" s="1590"/>
      <c r="CQ85" s="1590"/>
      <c r="CR85" s="1590"/>
      <c r="CS85" s="1590"/>
      <c r="CT85" s="1590"/>
      <c r="CU85" s="1591"/>
      <c r="CV85" s="1589"/>
      <c r="CW85" s="1590"/>
      <c r="CX85" s="1590"/>
      <c r="CY85" s="1590"/>
      <c r="CZ85" s="1590"/>
      <c r="DA85" s="1590"/>
      <c r="DB85" s="1590"/>
      <c r="DC85" s="1590"/>
      <c r="DD85" s="1590"/>
      <c r="DE85" s="1591"/>
      <c r="DF85" s="1589">
        <f t="shared" si="9"/>
        <v>571388.10880000005</v>
      </c>
      <c r="DG85" s="1590"/>
      <c r="DH85" s="1590"/>
      <c r="DI85" s="1590"/>
      <c r="DJ85" s="1590"/>
      <c r="DK85" s="1590"/>
      <c r="DL85" s="1590"/>
      <c r="DM85" s="1590"/>
      <c r="DN85" s="1590"/>
      <c r="DO85" s="1590"/>
      <c r="DP85" s="1590"/>
      <c r="DQ85" s="1590"/>
      <c r="DR85" s="1590"/>
      <c r="DS85" s="1591"/>
      <c r="DT85" s="475">
        <f>'рас ФОТ обл до с 01.09-31.12'!W15</f>
        <v>571388.10880000005</v>
      </c>
      <c r="DU85" s="475"/>
      <c r="DV85" s="476"/>
      <c r="DW85" s="475"/>
      <c r="DX85" s="475"/>
      <c r="DY85" s="475"/>
    </row>
    <row r="86" spans="1:140" ht="37.5" customHeight="1" x14ac:dyDescent="0.25">
      <c r="A86" s="1592">
        <v>11</v>
      </c>
      <c r="B86" s="1593"/>
      <c r="C86" s="1593"/>
      <c r="D86" s="1594"/>
      <c r="E86" s="1595" t="s">
        <v>1273</v>
      </c>
      <c r="F86" s="1596"/>
      <c r="G86" s="1596"/>
      <c r="H86" s="1596"/>
      <c r="I86" s="1596"/>
      <c r="J86" s="1596"/>
      <c r="K86" s="1596"/>
      <c r="L86" s="1596"/>
      <c r="M86" s="1596"/>
      <c r="N86" s="1596"/>
      <c r="O86" s="1596"/>
      <c r="P86" s="1596"/>
      <c r="Q86" s="1596"/>
      <c r="R86" s="1596"/>
      <c r="S86" s="1596"/>
      <c r="T86" s="1597"/>
      <c r="U86" s="1601">
        <f>'рас ФОТ обл до с 01.09-31.12'!C16</f>
        <v>1.2</v>
      </c>
      <c r="V86" s="1602"/>
      <c r="W86" s="1602"/>
      <c r="X86" s="1602"/>
      <c r="Y86" s="1602"/>
      <c r="Z86" s="1602"/>
      <c r="AA86" s="1602"/>
      <c r="AB86" s="1602"/>
      <c r="AC86" s="1602"/>
      <c r="AD86" s="1602"/>
      <c r="AE86" s="1602"/>
      <c r="AF86" s="1603"/>
      <c r="AG86" s="1601">
        <f t="shared" si="8"/>
        <v>19162.835999999999</v>
      </c>
      <c r="AH86" s="1602"/>
      <c r="AI86" s="1602"/>
      <c r="AJ86" s="1602"/>
      <c r="AK86" s="1602"/>
      <c r="AL86" s="1602"/>
      <c r="AM86" s="1602"/>
      <c r="AN86" s="1602"/>
      <c r="AO86" s="1602"/>
      <c r="AP86" s="1602"/>
      <c r="AQ86" s="1602"/>
      <c r="AR86" s="1602"/>
      <c r="AS86" s="1602"/>
      <c r="AT86" s="1603"/>
      <c r="AU86" s="1601">
        <f>'рас ФОТ обл до с 01.09-31.12'!L16</f>
        <v>15453.9</v>
      </c>
      <c r="AV86" s="1602"/>
      <c r="AW86" s="1602"/>
      <c r="AX86" s="1602"/>
      <c r="AY86" s="1602"/>
      <c r="AZ86" s="1602"/>
      <c r="BA86" s="1602"/>
      <c r="BB86" s="1602"/>
      <c r="BC86" s="1602"/>
      <c r="BD86" s="1602"/>
      <c r="BE86" s="1602"/>
      <c r="BF86" s="1602"/>
      <c r="BG86" s="1602"/>
      <c r="BH86" s="1603"/>
      <c r="BI86" s="1601">
        <f>'рас ФОТ обл до с 01.09-31.12'!R16</f>
        <v>0</v>
      </c>
      <c r="BJ86" s="1602"/>
      <c r="BK86" s="1602"/>
      <c r="BL86" s="1602"/>
      <c r="BM86" s="1602"/>
      <c r="BN86" s="1602"/>
      <c r="BO86" s="1602"/>
      <c r="BP86" s="1602"/>
      <c r="BQ86" s="1602"/>
      <c r="BR86" s="1602"/>
      <c r="BS86" s="1602"/>
      <c r="BT86" s="1602"/>
      <c r="BU86" s="1602"/>
      <c r="BV86" s="1603"/>
      <c r="BW86" s="1589">
        <f>'рас ФОТ обл до с 01.09-31.12'!T16</f>
        <v>3708.9359999999997</v>
      </c>
      <c r="BX86" s="1590"/>
      <c r="BY86" s="1590"/>
      <c r="BZ86" s="1590"/>
      <c r="CA86" s="1590"/>
      <c r="CB86" s="1590"/>
      <c r="CC86" s="1590"/>
      <c r="CD86" s="1590"/>
      <c r="CE86" s="1590"/>
      <c r="CF86" s="1590"/>
      <c r="CG86" s="1590"/>
      <c r="CH86" s="1590"/>
      <c r="CI86" s="1590"/>
      <c r="CJ86" s="1591"/>
      <c r="CK86" s="1589"/>
      <c r="CL86" s="1590"/>
      <c r="CM86" s="1590"/>
      <c r="CN86" s="1590"/>
      <c r="CO86" s="1590"/>
      <c r="CP86" s="1590"/>
      <c r="CQ86" s="1590"/>
      <c r="CR86" s="1590"/>
      <c r="CS86" s="1590"/>
      <c r="CT86" s="1590"/>
      <c r="CU86" s="1591"/>
      <c r="CV86" s="1589"/>
      <c r="CW86" s="1590"/>
      <c r="CX86" s="1590"/>
      <c r="CY86" s="1590"/>
      <c r="CZ86" s="1590"/>
      <c r="DA86" s="1590"/>
      <c r="DB86" s="1590"/>
      <c r="DC86" s="1590"/>
      <c r="DD86" s="1590"/>
      <c r="DE86" s="1591"/>
      <c r="DF86" s="1589">
        <f t="shared" si="9"/>
        <v>76651.343999999997</v>
      </c>
      <c r="DG86" s="1590"/>
      <c r="DH86" s="1590"/>
      <c r="DI86" s="1590"/>
      <c r="DJ86" s="1590"/>
      <c r="DK86" s="1590"/>
      <c r="DL86" s="1590"/>
      <c r="DM86" s="1590"/>
      <c r="DN86" s="1590"/>
      <c r="DO86" s="1590"/>
      <c r="DP86" s="1590"/>
      <c r="DQ86" s="1590"/>
      <c r="DR86" s="1590"/>
      <c r="DS86" s="1591"/>
      <c r="DT86" s="475">
        <f>'рас ФОТ обл до с 01.09-31.12'!W16</f>
        <v>76651.343999999997</v>
      </c>
      <c r="DU86" s="475"/>
      <c r="DV86" s="476"/>
      <c r="DW86" s="475"/>
      <c r="DX86" s="475"/>
      <c r="DY86" s="475"/>
      <c r="EJ86" s="863">
        <f>'расч  ФОТ обл до с 01.01.-30.06'!W19+'рас ФОТ обл до с 01.09-31.12'!W19+DU36+DU99</f>
        <v>11052655.946</v>
      </c>
    </row>
    <row r="87" spans="1:140" ht="37.5" customHeight="1" x14ac:dyDescent="0.25">
      <c r="A87" s="1592">
        <v>12</v>
      </c>
      <c r="B87" s="1593"/>
      <c r="C87" s="1593"/>
      <c r="D87" s="1594"/>
      <c r="E87" s="1595" t="s">
        <v>839</v>
      </c>
      <c r="F87" s="1596"/>
      <c r="G87" s="1596"/>
      <c r="H87" s="1596"/>
      <c r="I87" s="1596"/>
      <c r="J87" s="1596"/>
      <c r="K87" s="1596"/>
      <c r="L87" s="1596"/>
      <c r="M87" s="1596"/>
      <c r="N87" s="1596"/>
      <c r="O87" s="1596"/>
      <c r="P87" s="1596"/>
      <c r="Q87" s="1596"/>
      <c r="R87" s="1596"/>
      <c r="S87" s="1596"/>
      <c r="T87" s="1597"/>
      <c r="U87" s="1601">
        <f>'рас ФОТ обл до с 01.09-31.12'!C17</f>
        <v>0.5</v>
      </c>
      <c r="V87" s="1602"/>
      <c r="W87" s="1602"/>
      <c r="X87" s="1602"/>
      <c r="Y87" s="1602"/>
      <c r="Z87" s="1602"/>
      <c r="AA87" s="1602"/>
      <c r="AB87" s="1602"/>
      <c r="AC87" s="1602"/>
      <c r="AD87" s="1602"/>
      <c r="AE87" s="1602"/>
      <c r="AF87" s="1603"/>
      <c r="AG87" s="1601">
        <f t="shared" si="8"/>
        <v>11786.671199999999</v>
      </c>
      <c r="AH87" s="1602"/>
      <c r="AI87" s="1602"/>
      <c r="AJ87" s="1602"/>
      <c r="AK87" s="1602"/>
      <c r="AL87" s="1602"/>
      <c r="AM87" s="1602"/>
      <c r="AN87" s="1602"/>
      <c r="AO87" s="1602"/>
      <c r="AP87" s="1602"/>
      <c r="AQ87" s="1602"/>
      <c r="AR87" s="1602"/>
      <c r="AS87" s="1602"/>
      <c r="AT87" s="1603"/>
      <c r="AU87" s="1601">
        <f>'рас ФОТ обл до с 01.09-31.12'!L17</f>
        <v>9505.3799999999992</v>
      </c>
      <c r="AV87" s="1602"/>
      <c r="AW87" s="1602"/>
      <c r="AX87" s="1602"/>
      <c r="AY87" s="1602"/>
      <c r="AZ87" s="1602"/>
      <c r="BA87" s="1602"/>
      <c r="BB87" s="1602"/>
      <c r="BC87" s="1602"/>
      <c r="BD87" s="1602"/>
      <c r="BE87" s="1602"/>
      <c r="BF87" s="1602"/>
      <c r="BG87" s="1602"/>
      <c r="BH87" s="1603"/>
      <c r="BI87" s="1601">
        <f>'рас ФОТ обл до с 01.09-31.12'!R17</f>
        <v>0</v>
      </c>
      <c r="BJ87" s="1602"/>
      <c r="BK87" s="1602"/>
      <c r="BL87" s="1602"/>
      <c r="BM87" s="1602"/>
      <c r="BN87" s="1602"/>
      <c r="BO87" s="1602"/>
      <c r="BP87" s="1602"/>
      <c r="BQ87" s="1602"/>
      <c r="BR87" s="1602"/>
      <c r="BS87" s="1602"/>
      <c r="BT87" s="1602"/>
      <c r="BU87" s="1602"/>
      <c r="BV87" s="1603"/>
      <c r="BW87" s="1589">
        <f>'рас ФОТ обл до с 01.09-31.12'!T17</f>
        <v>2281.2911999999997</v>
      </c>
      <c r="BX87" s="1590"/>
      <c r="BY87" s="1590"/>
      <c r="BZ87" s="1590"/>
      <c r="CA87" s="1590"/>
      <c r="CB87" s="1590"/>
      <c r="CC87" s="1590"/>
      <c r="CD87" s="1590"/>
      <c r="CE87" s="1590"/>
      <c r="CF87" s="1590"/>
      <c r="CG87" s="1590"/>
      <c r="CH87" s="1590"/>
      <c r="CI87" s="1590"/>
      <c r="CJ87" s="1591"/>
      <c r="CK87" s="1589"/>
      <c r="CL87" s="1590"/>
      <c r="CM87" s="1590"/>
      <c r="CN87" s="1590"/>
      <c r="CO87" s="1590"/>
      <c r="CP87" s="1590"/>
      <c r="CQ87" s="1590"/>
      <c r="CR87" s="1590"/>
      <c r="CS87" s="1590"/>
      <c r="CT87" s="1590"/>
      <c r="CU87" s="1591"/>
      <c r="CV87" s="1589"/>
      <c r="CW87" s="1590"/>
      <c r="CX87" s="1590"/>
      <c r="CY87" s="1590"/>
      <c r="CZ87" s="1590"/>
      <c r="DA87" s="1590"/>
      <c r="DB87" s="1590"/>
      <c r="DC87" s="1590"/>
      <c r="DD87" s="1590"/>
      <c r="DE87" s="1591"/>
      <c r="DF87" s="1589">
        <f t="shared" si="9"/>
        <v>47146.684799999995</v>
      </c>
      <c r="DG87" s="1590"/>
      <c r="DH87" s="1590"/>
      <c r="DI87" s="1590"/>
      <c r="DJ87" s="1590"/>
      <c r="DK87" s="1590"/>
      <c r="DL87" s="1590"/>
      <c r="DM87" s="1590"/>
      <c r="DN87" s="1590"/>
      <c r="DO87" s="1590"/>
      <c r="DP87" s="1590"/>
      <c r="DQ87" s="1590"/>
      <c r="DR87" s="1590"/>
      <c r="DS87" s="1591"/>
      <c r="DT87" s="475">
        <f>'рас ФОТ обл до с 01.09-31.12'!W17</f>
        <v>47146.684799999995</v>
      </c>
      <c r="DU87" s="475"/>
      <c r="DV87" s="476"/>
      <c r="DW87" s="475"/>
      <c r="DX87" s="475"/>
      <c r="DY87" s="475"/>
      <c r="EJ87" s="863" t="e">
        <f>'расч  ФОТ обл до с 01.01.-30.06'!W19+'рас ФОТ обл до с 01.09-31.12'!W19+#REF!</f>
        <v>#REF!</v>
      </c>
    </row>
    <row r="88" spans="1:140" ht="37.5" customHeight="1" x14ac:dyDescent="0.25">
      <c r="A88" s="1592">
        <v>13</v>
      </c>
      <c r="B88" s="1593"/>
      <c r="C88" s="1593"/>
      <c r="D88" s="1594"/>
      <c r="E88" s="1595" t="s">
        <v>830</v>
      </c>
      <c r="F88" s="1596"/>
      <c r="G88" s="1596"/>
      <c r="H88" s="1596"/>
      <c r="I88" s="1596"/>
      <c r="J88" s="1596"/>
      <c r="K88" s="1596"/>
      <c r="L88" s="1596"/>
      <c r="M88" s="1596"/>
      <c r="N88" s="1596"/>
      <c r="O88" s="1596"/>
      <c r="P88" s="1596"/>
      <c r="Q88" s="1596"/>
      <c r="R88" s="1596"/>
      <c r="S88" s="1596"/>
      <c r="T88" s="1597"/>
      <c r="U88" s="1601">
        <f>'рас ФОТ обл до с 01.09-31.12'!C18</f>
        <v>2</v>
      </c>
      <c r="V88" s="1602"/>
      <c r="W88" s="1602"/>
      <c r="X88" s="1602"/>
      <c r="Y88" s="1602"/>
      <c r="Z88" s="1602"/>
      <c r="AA88" s="1602"/>
      <c r="AB88" s="1602"/>
      <c r="AC88" s="1602"/>
      <c r="AD88" s="1602"/>
      <c r="AE88" s="1602"/>
      <c r="AF88" s="1603"/>
      <c r="AG88" s="1601">
        <f t="shared" si="8"/>
        <v>40250.002800000002</v>
      </c>
      <c r="AH88" s="1602"/>
      <c r="AI88" s="1602"/>
      <c r="AJ88" s="1602"/>
      <c r="AK88" s="1602"/>
      <c r="AL88" s="1602"/>
      <c r="AM88" s="1602"/>
      <c r="AN88" s="1602"/>
      <c r="AO88" s="1602"/>
      <c r="AP88" s="1602"/>
      <c r="AQ88" s="1602"/>
      <c r="AR88" s="1602"/>
      <c r="AS88" s="1602"/>
      <c r="AT88" s="1603"/>
      <c r="AU88" s="1601">
        <f>'рас ФОТ обл до с 01.09-31.12'!L18</f>
        <v>26786.760000000002</v>
      </c>
      <c r="AV88" s="1602"/>
      <c r="AW88" s="1602"/>
      <c r="AX88" s="1602"/>
      <c r="AY88" s="1602"/>
      <c r="AZ88" s="1602"/>
      <c r="BA88" s="1602"/>
      <c r="BB88" s="1602"/>
      <c r="BC88" s="1602"/>
      <c r="BD88" s="1602"/>
      <c r="BE88" s="1602"/>
      <c r="BF88" s="1602"/>
      <c r="BG88" s="1602"/>
      <c r="BH88" s="1603"/>
      <c r="BI88" s="1601">
        <f>'рас ФОТ обл до с 01.09-31.12'!R18</f>
        <v>1071.4704000000002</v>
      </c>
      <c r="BJ88" s="1602"/>
      <c r="BK88" s="1602"/>
      <c r="BL88" s="1602"/>
      <c r="BM88" s="1602"/>
      <c r="BN88" s="1602"/>
      <c r="BO88" s="1602"/>
      <c r="BP88" s="1602"/>
      <c r="BQ88" s="1602"/>
      <c r="BR88" s="1602"/>
      <c r="BS88" s="1602"/>
      <c r="BT88" s="1602"/>
      <c r="BU88" s="1602"/>
      <c r="BV88" s="1603"/>
      <c r="BW88" s="1589">
        <f>'рас ФОТ обл до с 01.09-31.12'!T18</f>
        <v>12391.7724</v>
      </c>
      <c r="BX88" s="1590"/>
      <c r="BY88" s="1590"/>
      <c r="BZ88" s="1590"/>
      <c r="CA88" s="1590"/>
      <c r="CB88" s="1590"/>
      <c r="CC88" s="1590"/>
      <c r="CD88" s="1590"/>
      <c r="CE88" s="1590"/>
      <c r="CF88" s="1590"/>
      <c r="CG88" s="1590"/>
      <c r="CH88" s="1590"/>
      <c r="CI88" s="1590"/>
      <c r="CJ88" s="1591"/>
      <c r="CK88" s="1589"/>
      <c r="CL88" s="1590"/>
      <c r="CM88" s="1590"/>
      <c r="CN88" s="1590"/>
      <c r="CO88" s="1590"/>
      <c r="CP88" s="1590"/>
      <c r="CQ88" s="1590"/>
      <c r="CR88" s="1590"/>
      <c r="CS88" s="1590"/>
      <c r="CT88" s="1590"/>
      <c r="CU88" s="1591"/>
      <c r="CV88" s="1589"/>
      <c r="CW88" s="1590"/>
      <c r="CX88" s="1590"/>
      <c r="CY88" s="1590"/>
      <c r="CZ88" s="1590"/>
      <c r="DA88" s="1590"/>
      <c r="DB88" s="1590"/>
      <c r="DC88" s="1590"/>
      <c r="DD88" s="1590"/>
      <c r="DE88" s="1591"/>
      <c r="DF88" s="1589">
        <f t="shared" si="9"/>
        <v>161000.01120000001</v>
      </c>
      <c r="DG88" s="1590"/>
      <c r="DH88" s="1590"/>
      <c r="DI88" s="1590"/>
      <c r="DJ88" s="1590"/>
      <c r="DK88" s="1590"/>
      <c r="DL88" s="1590"/>
      <c r="DM88" s="1590"/>
      <c r="DN88" s="1590"/>
      <c r="DO88" s="1590"/>
      <c r="DP88" s="1590"/>
      <c r="DQ88" s="1590"/>
      <c r="DR88" s="1590"/>
      <c r="DS88" s="1591"/>
      <c r="DT88" s="475">
        <f>'рас ФОТ обл до с 01.09-31.12'!W18</f>
        <v>161000.01120000001</v>
      </c>
      <c r="DU88" s="475"/>
      <c r="DV88" s="476"/>
      <c r="DW88" s="475"/>
      <c r="DX88" s="475"/>
      <c r="DY88" s="475"/>
    </row>
    <row r="89" spans="1:140" ht="37.5" customHeight="1" x14ac:dyDescent="0.25">
      <c r="A89" s="1592">
        <v>14</v>
      </c>
      <c r="B89" s="1593"/>
      <c r="C89" s="1593"/>
      <c r="D89" s="1594"/>
      <c r="E89" s="1595" t="s">
        <v>97</v>
      </c>
      <c r="F89" s="1596"/>
      <c r="G89" s="1596"/>
      <c r="H89" s="1596"/>
      <c r="I89" s="1596"/>
      <c r="J89" s="1596"/>
      <c r="K89" s="1596"/>
      <c r="L89" s="1596"/>
      <c r="M89" s="1596"/>
      <c r="N89" s="1596"/>
      <c r="O89" s="1596"/>
      <c r="P89" s="1596"/>
      <c r="Q89" s="1596"/>
      <c r="R89" s="1596"/>
      <c r="S89" s="1596"/>
      <c r="T89" s="1597"/>
      <c r="U89" s="1598">
        <v>2</v>
      </c>
      <c r="V89" s="1599"/>
      <c r="W89" s="1599"/>
      <c r="X89" s="1599"/>
      <c r="Y89" s="1599"/>
      <c r="Z89" s="1599"/>
      <c r="AA89" s="1599"/>
      <c r="AB89" s="1599"/>
      <c r="AC89" s="1599"/>
      <c r="AD89" s="1599"/>
      <c r="AE89" s="1599"/>
      <c r="AF89" s="1600"/>
      <c r="AG89" s="1601">
        <f>AU89+BI89+BW89</f>
        <v>28749.16</v>
      </c>
      <c r="AH89" s="1602"/>
      <c r="AI89" s="1602"/>
      <c r="AJ89" s="1602"/>
      <c r="AK89" s="1602"/>
      <c r="AL89" s="1602"/>
      <c r="AM89" s="1602"/>
      <c r="AN89" s="1602"/>
      <c r="AO89" s="1602"/>
      <c r="AP89" s="1602"/>
      <c r="AQ89" s="1602"/>
      <c r="AR89" s="1602"/>
      <c r="AS89" s="1602"/>
      <c r="AT89" s="1603"/>
      <c r="AU89" s="1601">
        <f>'расч ФОТ мест с 01.07-31.12 '!L6/6*4</f>
        <v>19624</v>
      </c>
      <c r="AV89" s="1602"/>
      <c r="AW89" s="1602"/>
      <c r="AX89" s="1602"/>
      <c r="AY89" s="1602"/>
      <c r="AZ89" s="1602"/>
      <c r="BA89" s="1602"/>
      <c r="BB89" s="1602"/>
      <c r="BC89" s="1602"/>
      <c r="BD89" s="1602"/>
      <c r="BE89" s="1602"/>
      <c r="BF89" s="1602"/>
      <c r="BG89" s="1602"/>
      <c r="BH89" s="1603"/>
      <c r="BI89" s="1601">
        <f>'расч ФОТ мест с 01.07-31.12 '!R6</f>
        <v>1177.44</v>
      </c>
      <c r="BJ89" s="1602"/>
      <c r="BK89" s="1602"/>
      <c r="BL89" s="1602"/>
      <c r="BM89" s="1602"/>
      <c r="BN89" s="1602"/>
      <c r="BO89" s="1602"/>
      <c r="BP89" s="1602"/>
      <c r="BQ89" s="1602"/>
      <c r="BR89" s="1602"/>
      <c r="BS89" s="1602"/>
      <c r="BT89" s="1602"/>
      <c r="BU89" s="1602"/>
      <c r="BV89" s="1603"/>
      <c r="BW89" s="1589">
        <f>'расч ФОТ мест с 01.07-31.12 '!T6</f>
        <v>7947.72</v>
      </c>
      <c r="BX89" s="1590"/>
      <c r="BY89" s="1590"/>
      <c r="BZ89" s="1590"/>
      <c r="CA89" s="1590"/>
      <c r="CB89" s="1590"/>
      <c r="CC89" s="1590"/>
      <c r="CD89" s="1590"/>
      <c r="CE89" s="1590"/>
      <c r="CF89" s="1590"/>
      <c r="CG89" s="1590"/>
      <c r="CH89" s="1590"/>
      <c r="CI89" s="1590"/>
      <c r="CJ89" s="1591"/>
      <c r="CK89" s="1589"/>
      <c r="CL89" s="1590"/>
      <c r="CM89" s="1590"/>
      <c r="CN89" s="1590"/>
      <c r="CO89" s="1590"/>
      <c r="CP89" s="1590"/>
      <c r="CQ89" s="1590"/>
      <c r="CR89" s="1590"/>
      <c r="CS89" s="1590"/>
      <c r="CT89" s="1590"/>
      <c r="CU89" s="1591"/>
      <c r="CV89" s="1589"/>
      <c r="CW89" s="1590"/>
      <c r="CX89" s="1590"/>
      <c r="CY89" s="1590"/>
      <c r="CZ89" s="1590"/>
      <c r="DA89" s="1590"/>
      <c r="DB89" s="1590"/>
      <c r="DC89" s="1590"/>
      <c r="DD89" s="1590"/>
      <c r="DE89" s="1591"/>
      <c r="DF89" s="1589">
        <f>DU89</f>
        <v>154244.63999999998</v>
      </c>
      <c r="DG89" s="1590"/>
      <c r="DH89" s="1590"/>
      <c r="DI89" s="1590"/>
      <c r="DJ89" s="1590"/>
      <c r="DK89" s="1590"/>
      <c r="DL89" s="1590"/>
      <c r="DM89" s="1590"/>
      <c r="DN89" s="1590"/>
      <c r="DO89" s="1590"/>
      <c r="DP89" s="1590"/>
      <c r="DQ89" s="1590"/>
      <c r="DR89" s="1590"/>
      <c r="DS89" s="1591"/>
      <c r="DT89" s="475"/>
      <c r="DU89" s="475">
        <f>'расч ФОТ мест с 01.07-31.12 '!V6/6*4</f>
        <v>154244.63999999998</v>
      </c>
      <c r="DV89" s="476"/>
      <c r="DW89" s="475"/>
      <c r="DX89" s="475"/>
      <c r="DY89" s="475"/>
    </row>
    <row r="90" spans="1:140" ht="37.5" customHeight="1" x14ac:dyDescent="0.25">
      <c r="A90" s="1592">
        <v>15</v>
      </c>
      <c r="B90" s="1593"/>
      <c r="C90" s="1593"/>
      <c r="D90" s="1594"/>
      <c r="E90" s="1595" t="s">
        <v>98</v>
      </c>
      <c r="F90" s="1596"/>
      <c r="G90" s="1596"/>
      <c r="H90" s="1596"/>
      <c r="I90" s="1596"/>
      <c r="J90" s="1596"/>
      <c r="K90" s="1596"/>
      <c r="L90" s="1596"/>
      <c r="M90" s="1596"/>
      <c r="N90" s="1596"/>
      <c r="O90" s="1596"/>
      <c r="P90" s="1596"/>
      <c r="Q90" s="1596"/>
      <c r="R90" s="1596"/>
      <c r="S90" s="1596"/>
      <c r="T90" s="1597"/>
      <c r="U90" s="1598">
        <v>2</v>
      </c>
      <c r="V90" s="1599"/>
      <c r="W90" s="1599"/>
      <c r="X90" s="1599"/>
      <c r="Y90" s="1599"/>
      <c r="Z90" s="1599"/>
      <c r="AA90" s="1599"/>
      <c r="AB90" s="1599"/>
      <c r="AC90" s="1599"/>
      <c r="AD90" s="1599"/>
      <c r="AE90" s="1599"/>
      <c r="AF90" s="1600"/>
      <c r="AG90" s="1601">
        <f t="shared" ref="AG90:AG95" si="10">AU90+BI90+BW90</f>
        <v>25155.514999999999</v>
      </c>
      <c r="AH90" s="1602"/>
      <c r="AI90" s="1602"/>
      <c r="AJ90" s="1602"/>
      <c r="AK90" s="1602"/>
      <c r="AL90" s="1602"/>
      <c r="AM90" s="1602"/>
      <c r="AN90" s="1602"/>
      <c r="AO90" s="1602"/>
      <c r="AP90" s="1602"/>
      <c r="AQ90" s="1602"/>
      <c r="AR90" s="1602"/>
      <c r="AS90" s="1602"/>
      <c r="AT90" s="1603"/>
      <c r="AU90" s="1601">
        <f>'расч ФОТ мест с 01.07-31.12 '!L7/6*4</f>
        <v>17171</v>
      </c>
      <c r="AV90" s="1602"/>
      <c r="AW90" s="1602"/>
      <c r="AX90" s="1602"/>
      <c r="AY90" s="1602"/>
      <c r="AZ90" s="1602"/>
      <c r="BA90" s="1602"/>
      <c r="BB90" s="1602"/>
      <c r="BC90" s="1602"/>
      <c r="BD90" s="1602"/>
      <c r="BE90" s="1602"/>
      <c r="BF90" s="1602"/>
      <c r="BG90" s="1602"/>
      <c r="BH90" s="1603"/>
      <c r="BI90" s="1601">
        <f>'расч ФОТ мест с 01.07-31.12 '!R7</f>
        <v>1030.26</v>
      </c>
      <c r="BJ90" s="1602"/>
      <c r="BK90" s="1602"/>
      <c r="BL90" s="1602"/>
      <c r="BM90" s="1602"/>
      <c r="BN90" s="1602"/>
      <c r="BO90" s="1602"/>
      <c r="BP90" s="1602"/>
      <c r="BQ90" s="1602"/>
      <c r="BR90" s="1602"/>
      <c r="BS90" s="1602"/>
      <c r="BT90" s="1602"/>
      <c r="BU90" s="1602"/>
      <c r="BV90" s="1603"/>
      <c r="BW90" s="1589">
        <f>'расч ФОТ мест с 01.07-31.12 '!T7</f>
        <v>6954.2550000000001</v>
      </c>
      <c r="BX90" s="1590"/>
      <c r="BY90" s="1590"/>
      <c r="BZ90" s="1590"/>
      <c r="CA90" s="1590"/>
      <c r="CB90" s="1590"/>
      <c r="CC90" s="1590"/>
      <c r="CD90" s="1590"/>
      <c r="CE90" s="1590"/>
      <c r="CF90" s="1590"/>
      <c r="CG90" s="1590"/>
      <c r="CH90" s="1590"/>
      <c r="CI90" s="1590"/>
      <c r="CJ90" s="1591"/>
      <c r="CK90" s="1589"/>
      <c r="CL90" s="1590"/>
      <c r="CM90" s="1590"/>
      <c r="CN90" s="1590"/>
      <c r="CO90" s="1590"/>
      <c r="CP90" s="1590"/>
      <c r="CQ90" s="1590"/>
      <c r="CR90" s="1590"/>
      <c r="CS90" s="1590"/>
      <c r="CT90" s="1590"/>
      <c r="CU90" s="1591"/>
      <c r="CV90" s="1589"/>
      <c r="CW90" s="1590"/>
      <c r="CX90" s="1590"/>
      <c r="CY90" s="1590"/>
      <c r="CZ90" s="1590"/>
      <c r="DA90" s="1590"/>
      <c r="DB90" s="1590"/>
      <c r="DC90" s="1590"/>
      <c r="DD90" s="1590"/>
      <c r="DE90" s="1591"/>
      <c r="DF90" s="1589">
        <f t="shared" ref="DF90:DF95" si="11">DU90</f>
        <v>134964.06</v>
      </c>
      <c r="DG90" s="1590"/>
      <c r="DH90" s="1590"/>
      <c r="DI90" s="1590"/>
      <c r="DJ90" s="1590"/>
      <c r="DK90" s="1590"/>
      <c r="DL90" s="1590"/>
      <c r="DM90" s="1590"/>
      <c r="DN90" s="1590"/>
      <c r="DO90" s="1590"/>
      <c r="DP90" s="1590"/>
      <c r="DQ90" s="1590"/>
      <c r="DR90" s="1590"/>
      <c r="DS90" s="1591"/>
      <c r="DT90" s="475"/>
      <c r="DU90" s="475">
        <f>'расч ФОТ мест с 01.07-31.12 '!V7/6*4</f>
        <v>134964.06</v>
      </c>
      <c r="DV90" s="476"/>
      <c r="DW90" s="475"/>
      <c r="DX90" s="475"/>
      <c r="DY90" s="475"/>
    </row>
    <row r="91" spans="1:140" ht="37.5" customHeight="1" x14ac:dyDescent="0.25">
      <c r="A91" s="1592">
        <v>16</v>
      </c>
      <c r="B91" s="1593"/>
      <c r="C91" s="1593"/>
      <c r="D91" s="1594"/>
      <c r="E91" s="1595" t="s">
        <v>1272</v>
      </c>
      <c r="F91" s="1596"/>
      <c r="G91" s="1596"/>
      <c r="H91" s="1596"/>
      <c r="I91" s="1596"/>
      <c r="J91" s="1596"/>
      <c r="K91" s="1596"/>
      <c r="L91" s="1596"/>
      <c r="M91" s="1596"/>
      <c r="N91" s="1596"/>
      <c r="O91" s="1596"/>
      <c r="P91" s="1596"/>
      <c r="Q91" s="1596"/>
      <c r="R91" s="1596"/>
      <c r="S91" s="1596"/>
      <c r="T91" s="1597"/>
      <c r="U91" s="1598">
        <v>1</v>
      </c>
      <c r="V91" s="1599"/>
      <c r="W91" s="1599"/>
      <c r="X91" s="1599"/>
      <c r="Y91" s="1599"/>
      <c r="Z91" s="1599"/>
      <c r="AA91" s="1599"/>
      <c r="AB91" s="1599"/>
      <c r="AC91" s="1599"/>
      <c r="AD91" s="1599"/>
      <c r="AE91" s="1599"/>
      <c r="AF91" s="1600"/>
      <c r="AG91" s="1601">
        <f t="shared" si="10"/>
        <v>13785.86</v>
      </c>
      <c r="AH91" s="1602"/>
      <c r="AI91" s="1602"/>
      <c r="AJ91" s="1602"/>
      <c r="AK91" s="1602"/>
      <c r="AL91" s="1602"/>
      <c r="AM91" s="1602"/>
      <c r="AN91" s="1602"/>
      <c r="AO91" s="1602"/>
      <c r="AP91" s="1602"/>
      <c r="AQ91" s="1602"/>
      <c r="AR91" s="1602"/>
      <c r="AS91" s="1602"/>
      <c r="AT91" s="1603"/>
      <c r="AU91" s="1601">
        <f>'расч ФОТ мест с 01.07-31.12 '!L8/6*4</f>
        <v>9812</v>
      </c>
      <c r="AV91" s="1602"/>
      <c r="AW91" s="1602"/>
      <c r="AX91" s="1602"/>
      <c r="AY91" s="1602"/>
      <c r="AZ91" s="1602"/>
      <c r="BA91" s="1602"/>
      <c r="BB91" s="1602"/>
      <c r="BC91" s="1602"/>
      <c r="BD91" s="1602"/>
      <c r="BE91" s="1602"/>
      <c r="BF91" s="1602"/>
      <c r="BG91" s="1602"/>
      <c r="BH91" s="1603"/>
      <c r="BI91" s="1601">
        <f>'расч ФОТ мест с 01.07-31.12 '!R8</f>
        <v>0</v>
      </c>
      <c r="BJ91" s="1602"/>
      <c r="BK91" s="1602"/>
      <c r="BL91" s="1602"/>
      <c r="BM91" s="1602"/>
      <c r="BN91" s="1602"/>
      <c r="BO91" s="1602"/>
      <c r="BP91" s="1602"/>
      <c r="BQ91" s="1602"/>
      <c r="BR91" s="1602"/>
      <c r="BS91" s="1602"/>
      <c r="BT91" s="1602"/>
      <c r="BU91" s="1602"/>
      <c r="BV91" s="1603"/>
      <c r="BW91" s="1589">
        <f>'расч ФОТ мест с 01.07-31.12 '!T8</f>
        <v>3973.86</v>
      </c>
      <c r="BX91" s="1590"/>
      <c r="BY91" s="1590"/>
      <c r="BZ91" s="1590"/>
      <c r="CA91" s="1590"/>
      <c r="CB91" s="1590"/>
      <c r="CC91" s="1590"/>
      <c r="CD91" s="1590"/>
      <c r="CE91" s="1590"/>
      <c r="CF91" s="1590"/>
      <c r="CG91" s="1590"/>
      <c r="CH91" s="1590"/>
      <c r="CI91" s="1590"/>
      <c r="CJ91" s="1591"/>
      <c r="CK91" s="1589"/>
      <c r="CL91" s="1590"/>
      <c r="CM91" s="1590"/>
      <c r="CN91" s="1590"/>
      <c r="CO91" s="1590"/>
      <c r="CP91" s="1590"/>
      <c r="CQ91" s="1590"/>
      <c r="CR91" s="1590"/>
      <c r="CS91" s="1590"/>
      <c r="CT91" s="1590"/>
      <c r="CU91" s="1591"/>
      <c r="CV91" s="1589"/>
      <c r="CW91" s="1590"/>
      <c r="CX91" s="1590"/>
      <c r="CY91" s="1590"/>
      <c r="CZ91" s="1590"/>
      <c r="DA91" s="1590"/>
      <c r="DB91" s="1590"/>
      <c r="DC91" s="1590"/>
      <c r="DD91" s="1590"/>
      <c r="DE91" s="1591"/>
      <c r="DF91" s="1589">
        <f t="shared" si="11"/>
        <v>74767.44</v>
      </c>
      <c r="DG91" s="1590"/>
      <c r="DH91" s="1590"/>
      <c r="DI91" s="1590"/>
      <c r="DJ91" s="1590"/>
      <c r="DK91" s="1590"/>
      <c r="DL91" s="1590"/>
      <c r="DM91" s="1590"/>
      <c r="DN91" s="1590"/>
      <c r="DO91" s="1590"/>
      <c r="DP91" s="1590"/>
      <c r="DQ91" s="1590"/>
      <c r="DR91" s="1590"/>
      <c r="DS91" s="1591"/>
      <c r="DT91" s="475"/>
      <c r="DU91" s="475">
        <f>'расч ФОТ мест с 01.07-31.12 '!V8/6*4</f>
        <v>74767.44</v>
      </c>
      <c r="DV91" s="475"/>
      <c r="DW91" s="475"/>
      <c r="DX91" s="475"/>
      <c r="DY91" s="475"/>
    </row>
    <row r="92" spans="1:140" ht="37.5" customHeight="1" x14ac:dyDescent="0.25">
      <c r="A92" s="1592">
        <v>17</v>
      </c>
      <c r="B92" s="1593"/>
      <c r="C92" s="1593"/>
      <c r="D92" s="1594"/>
      <c r="E92" s="1595" t="s">
        <v>99</v>
      </c>
      <c r="F92" s="1596"/>
      <c r="G92" s="1596"/>
      <c r="H92" s="1596"/>
      <c r="I92" s="1596"/>
      <c r="J92" s="1596"/>
      <c r="K92" s="1596"/>
      <c r="L92" s="1596"/>
      <c r="M92" s="1596"/>
      <c r="N92" s="1596"/>
      <c r="O92" s="1596"/>
      <c r="P92" s="1596"/>
      <c r="Q92" s="1596"/>
      <c r="R92" s="1596"/>
      <c r="S92" s="1596"/>
      <c r="T92" s="1597"/>
      <c r="U92" s="1598">
        <v>0.5</v>
      </c>
      <c r="V92" s="1599"/>
      <c r="W92" s="1599"/>
      <c r="X92" s="1599"/>
      <c r="Y92" s="1599"/>
      <c r="Z92" s="1599"/>
      <c r="AA92" s="1599"/>
      <c r="AB92" s="1599"/>
      <c r="AC92" s="1599"/>
      <c r="AD92" s="1599"/>
      <c r="AE92" s="1599"/>
      <c r="AF92" s="1600"/>
      <c r="AG92" s="1601">
        <f t="shared" si="10"/>
        <v>6031.3184333333338</v>
      </c>
      <c r="AH92" s="1602"/>
      <c r="AI92" s="1602"/>
      <c r="AJ92" s="1602"/>
      <c r="AK92" s="1602"/>
      <c r="AL92" s="1602"/>
      <c r="AM92" s="1602"/>
      <c r="AN92" s="1602"/>
      <c r="AO92" s="1602"/>
      <c r="AP92" s="1602"/>
      <c r="AQ92" s="1602"/>
      <c r="AR92" s="1602"/>
      <c r="AS92" s="1602"/>
      <c r="AT92" s="1603"/>
      <c r="AU92" s="1601">
        <f>'расч ФОТ мест с 01.07-31.12 '!L9/6*4</f>
        <v>4292.7533333333331</v>
      </c>
      <c r="AV92" s="1602"/>
      <c r="AW92" s="1602"/>
      <c r="AX92" s="1602"/>
      <c r="AY92" s="1602"/>
      <c r="AZ92" s="1602"/>
      <c r="BA92" s="1602"/>
      <c r="BB92" s="1602"/>
      <c r="BC92" s="1602"/>
      <c r="BD92" s="1602"/>
      <c r="BE92" s="1602"/>
      <c r="BF92" s="1602"/>
      <c r="BG92" s="1602"/>
      <c r="BH92" s="1603"/>
      <c r="BI92" s="1601">
        <f>'расч ФОТ мест с 01.07-31.12 '!R9</f>
        <v>0</v>
      </c>
      <c r="BJ92" s="1602"/>
      <c r="BK92" s="1602"/>
      <c r="BL92" s="1602"/>
      <c r="BM92" s="1602"/>
      <c r="BN92" s="1602"/>
      <c r="BO92" s="1602"/>
      <c r="BP92" s="1602"/>
      <c r="BQ92" s="1602"/>
      <c r="BR92" s="1602"/>
      <c r="BS92" s="1602"/>
      <c r="BT92" s="1602"/>
      <c r="BU92" s="1602"/>
      <c r="BV92" s="1603"/>
      <c r="BW92" s="1589">
        <f>'расч ФОТ мест с 01.07-31.12 '!T9</f>
        <v>1738.5651000000003</v>
      </c>
      <c r="BX92" s="1590"/>
      <c r="BY92" s="1590"/>
      <c r="BZ92" s="1590"/>
      <c r="CA92" s="1590"/>
      <c r="CB92" s="1590"/>
      <c r="CC92" s="1590"/>
      <c r="CD92" s="1590"/>
      <c r="CE92" s="1590"/>
      <c r="CF92" s="1590"/>
      <c r="CG92" s="1590"/>
      <c r="CH92" s="1590"/>
      <c r="CI92" s="1590"/>
      <c r="CJ92" s="1591"/>
      <c r="CK92" s="1589"/>
      <c r="CL92" s="1590"/>
      <c r="CM92" s="1590"/>
      <c r="CN92" s="1590"/>
      <c r="CO92" s="1590"/>
      <c r="CP92" s="1590"/>
      <c r="CQ92" s="1590"/>
      <c r="CR92" s="1590"/>
      <c r="CS92" s="1590"/>
      <c r="CT92" s="1590"/>
      <c r="CU92" s="1591"/>
      <c r="CV92" s="1589"/>
      <c r="CW92" s="1590"/>
      <c r="CX92" s="1590"/>
      <c r="CY92" s="1590"/>
      <c r="CZ92" s="1590"/>
      <c r="DA92" s="1590"/>
      <c r="DB92" s="1590"/>
      <c r="DC92" s="1590"/>
      <c r="DD92" s="1590"/>
      <c r="DE92" s="1591"/>
      <c r="DF92" s="1589">
        <f t="shared" si="11"/>
        <v>32710.780400000003</v>
      </c>
      <c r="DG92" s="1590"/>
      <c r="DH92" s="1590"/>
      <c r="DI92" s="1590"/>
      <c r="DJ92" s="1590"/>
      <c r="DK92" s="1590"/>
      <c r="DL92" s="1590"/>
      <c r="DM92" s="1590"/>
      <c r="DN92" s="1590"/>
      <c r="DO92" s="1590"/>
      <c r="DP92" s="1590"/>
      <c r="DQ92" s="1590"/>
      <c r="DR92" s="1590"/>
      <c r="DS92" s="1591"/>
      <c r="DT92" s="475"/>
      <c r="DU92" s="475">
        <f>'расч ФОТ мест с 01.07-31.12 '!V9/6*4</f>
        <v>32710.780400000003</v>
      </c>
      <c r="DV92" s="475"/>
      <c r="DW92" s="475"/>
      <c r="DX92" s="475"/>
      <c r="DY92" s="475"/>
      <c r="EJ92" s="871">
        <f>DT36+DT96</f>
        <v>9881485.5848000012</v>
      </c>
    </row>
    <row r="93" spans="1:140" ht="37.5" customHeight="1" x14ac:dyDescent="0.25">
      <c r="A93" s="1592">
        <v>18</v>
      </c>
      <c r="B93" s="1593"/>
      <c r="C93" s="1593"/>
      <c r="D93" s="1594"/>
      <c r="E93" s="1604" t="s">
        <v>1209</v>
      </c>
      <c r="F93" s="1605"/>
      <c r="G93" s="1605"/>
      <c r="H93" s="1605"/>
      <c r="I93" s="1605"/>
      <c r="J93" s="1605"/>
      <c r="K93" s="1605"/>
      <c r="L93" s="1605"/>
      <c r="M93" s="1605"/>
      <c r="N93" s="1605"/>
      <c r="O93" s="1605"/>
      <c r="P93" s="1605"/>
      <c r="Q93" s="1605"/>
      <c r="R93" s="1605"/>
      <c r="S93" s="1605"/>
      <c r="T93" s="1606"/>
      <c r="U93" s="1598">
        <v>1</v>
      </c>
      <c r="V93" s="1599"/>
      <c r="W93" s="1599"/>
      <c r="X93" s="1599"/>
      <c r="Y93" s="1599"/>
      <c r="Z93" s="1599"/>
      <c r="AA93" s="1599"/>
      <c r="AB93" s="1599"/>
      <c r="AC93" s="1599"/>
      <c r="AD93" s="1599"/>
      <c r="AE93" s="1599"/>
      <c r="AF93" s="1600"/>
      <c r="AG93" s="1601">
        <f t="shared" si="10"/>
        <v>12062.627500000001</v>
      </c>
      <c r="AH93" s="1602"/>
      <c r="AI93" s="1602"/>
      <c r="AJ93" s="1602"/>
      <c r="AK93" s="1602"/>
      <c r="AL93" s="1602"/>
      <c r="AM93" s="1602"/>
      <c r="AN93" s="1602"/>
      <c r="AO93" s="1602"/>
      <c r="AP93" s="1602"/>
      <c r="AQ93" s="1602"/>
      <c r="AR93" s="1602"/>
      <c r="AS93" s="1602"/>
      <c r="AT93" s="1603"/>
      <c r="AU93" s="1601">
        <f>'расч ФОТ мест с 01.07-31.12 '!L10/6*4</f>
        <v>8585.5</v>
      </c>
      <c r="AV93" s="1602"/>
      <c r="AW93" s="1602"/>
      <c r="AX93" s="1602"/>
      <c r="AY93" s="1602"/>
      <c r="AZ93" s="1602"/>
      <c r="BA93" s="1602"/>
      <c r="BB93" s="1602"/>
      <c r="BC93" s="1602"/>
      <c r="BD93" s="1602"/>
      <c r="BE93" s="1602"/>
      <c r="BF93" s="1602"/>
      <c r="BG93" s="1602"/>
      <c r="BH93" s="1603"/>
      <c r="BI93" s="1601">
        <f>'расч ФОТ мест с 01.07-31.12 '!R10</f>
        <v>0</v>
      </c>
      <c r="BJ93" s="1602"/>
      <c r="BK93" s="1602"/>
      <c r="BL93" s="1602"/>
      <c r="BM93" s="1602"/>
      <c r="BN93" s="1602"/>
      <c r="BO93" s="1602"/>
      <c r="BP93" s="1602"/>
      <c r="BQ93" s="1602"/>
      <c r="BR93" s="1602"/>
      <c r="BS93" s="1602"/>
      <c r="BT93" s="1602"/>
      <c r="BU93" s="1602"/>
      <c r="BV93" s="1603"/>
      <c r="BW93" s="1589">
        <f>'расч ФОТ мест с 01.07-31.12 '!T10</f>
        <v>3477.1275000000001</v>
      </c>
      <c r="BX93" s="1590"/>
      <c r="BY93" s="1590"/>
      <c r="BZ93" s="1590"/>
      <c r="CA93" s="1590"/>
      <c r="CB93" s="1590"/>
      <c r="CC93" s="1590"/>
      <c r="CD93" s="1590"/>
      <c r="CE93" s="1590"/>
      <c r="CF93" s="1590"/>
      <c r="CG93" s="1590"/>
      <c r="CH93" s="1590"/>
      <c r="CI93" s="1590"/>
      <c r="CJ93" s="1591"/>
      <c r="CK93" s="1589"/>
      <c r="CL93" s="1590"/>
      <c r="CM93" s="1590"/>
      <c r="CN93" s="1590"/>
      <c r="CO93" s="1590"/>
      <c r="CP93" s="1590"/>
      <c r="CQ93" s="1590"/>
      <c r="CR93" s="1590"/>
      <c r="CS93" s="1590"/>
      <c r="CT93" s="1590"/>
      <c r="CU93" s="1591"/>
      <c r="CV93" s="1589"/>
      <c r="CW93" s="1590"/>
      <c r="CX93" s="1590"/>
      <c r="CY93" s="1590"/>
      <c r="CZ93" s="1590"/>
      <c r="DA93" s="1590"/>
      <c r="DB93" s="1590"/>
      <c r="DC93" s="1590"/>
      <c r="DD93" s="1590"/>
      <c r="DE93" s="1591"/>
      <c r="DF93" s="1589">
        <f t="shared" si="11"/>
        <v>65421.51</v>
      </c>
      <c r="DG93" s="1590"/>
      <c r="DH93" s="1590"/>
      <c r="DI93" s="1590"/>
      <c r="DJ93" s="1590"/>
      <c r="DK93" s="1590"/>
      <c r="DL93" s="1590"/>
      <c r="DM93" s="1590"/>
      <c r="DN93" s="1590"/>
      <c r="DO93" s="1590"/>
      <c r="DP93" s="1590"/>
      <c r="DQ93" s="1590"/>
      <c r="DR93" s="1590"/>
      <c r="DS93" s="1591"/>
      <c r="DT93" s="475"/>
      <c r="DU93" s="475">
        <f>'расч ФОТ мест с 01.07-31.12 '!V10/6*4</f>
        <v>65421.51</v>
      </c>
      <c r="DV93" s="475"/>
      <c r="DW93" s="475"/>
      <c r="DX93" s="475"/>
      <c r="DY93" s="475"/>
    </row>
    <row r="94" spans="1:140" ht="37.5" customHeight="1" x14ac:dyDescent="0.25">
      <c r="A94" s="1592">
        <v>19</v>
      </c>
      <c r="B94" s="1593"/>
      <c r="C94" s="1593"/>
      <c r="D94" s="1594"/>
      <c r="E94" s="1595" t="s">
        <v>100</v>
      </c>
      <c r="F94" s="1596"/>
      <c r="G94" s="1596"/>
      <c r="H94" s="1596"/>
      <c r="I94" s="1596"/>
      <c r="J94" s="1596"/>
      <c r="K94" s="1596"/>
      <c r="L94" s="1596"/>
      <c r="M94" s="1596"/>
      <c r="N94" s="1596"/>
      <c r="O94" s="1596"/>
      <c r="P94" s="1596"/>
      <c r="Q94" s="1596"/>
      <c r="R94" s="1596"/>
      <c r="S94" s="1596"/>
      <c r="T94" s="1597"/>
      <c r="U94" s="1598">
        <v>0.5</v>
      </c>
      <c r="V94" s="1599"/>
      <c r="W94" s="1599"/>
      <c r="X94" s="1599"/>
      <c r="Y94" s="1599"/>
      <c r="Z94" s="1599"/>
      <c r="AA94" s="1599"/>
      <c r="AB94" s="1599"/>
      <c r="AC94" s="1599"/>
      <c r="AD94" s="1599"/>
      <c r="AE94" s="1599"/>
      <c r="AF94" s="1600"/>
      <c r="AG94" s="1601">
        <f t="shared" si="10"/>
        <v>6031.3184333333338</v>
      </c>
      <c r="AH94" s="1602"/>
      <c r="AI94" s="1602"/>
      <c r="AJ94" s="1602"/>
      <c r="AK94" s="1602"/>
      <c r="AL94" s="1602"/>
      <c r="AM94" s="1602"/>
      <c r="AN94" s="1602"/>
      <c r="AO94" s="1602"/>
      <c r="AP94" s="1602"/>
      <c r="AQ94" s="1602"/>
      <c r="AR94" s="1602"/>
      <c r="AS94" s="1602"/>
      <c r="AT94" s="1603"/>
      <c r="AU94" s="1601">
        <f>'расч ФОТ мест с 01.07-31.12 '!L11/6*4</f>
        <v>4292.7533333333331</v>
      </c>
      <c r="AV94" s="1602"/>
      <c r="AW94" s="1602"/>
      <c r="AX94" s="1602"/>
      <c r="AY94" s="1602"/>
      <c r="AZ94" s="1602"/>
      <c r="BA94" s="1602"/>
      <c r="BB94" s="1602"/>
      <c r="BC94" s="1602"/>
      <c r="BD94" s="1602"/>
      <c r="BE94" s="1602"/>
      <c r="BF94" s="1602"/>
      <c r="BG94" s="1602"/>
      <c r="BH94" s="1603"/>
      <c r="BI94" s="1601">
        <f>'расч ФОТ мест с 01.07-31.12 '!R11</f>
        <v>0</v>
      </c>
      <c r="BJ94" s="1602"/>
      <c r="BK94" s="1602"/>
      <c r="BL94" s="1602"/>
      <c r="BM94" s="1602"/>
      <c r="BN94" s="1602"/>
      <c r="BO94" s="1602"/>
      <c r="BP94" s="1602"/>
      <c r="BQ94" s="1602"/>
      <c r="BR94" s="1602"/>
      <c r="BS94" s="1602"/>
      <c r="BT94" s="1602"/>
      <c r="BU94" s="1602"/>
      <c r="BV94" s="1603"/>
      <c r="BW94" s="1589">
        <f>'расч ФОТ мест с 01.07-31.12 '!T11</f>
        <v>1738.5651000000003</v>
      </c>
      <c r="BX94" s="1590"/>
      <c r="BY94" s="1590"/>
      <c r="BZ94" s="1590"/>
      <c r="CA94" s="1590"/>
      <c r="CB94" s="1590"/>
      <c r="CC94" s="1590"/>
      <c r="CD94" s="1590"/>
      <c r="CE94" s="1590"/>
      <c r="CF94" s="1590"/>
      <c r="CG94" s="1590"/>
      <c r="CH94" s="1590"/>
      <c r="CI94" s="1590"/>
      <c r="CJ94" s="1591"/>
      <c r="CK94" s="1589"/>
      <c r="CL94" s="1590"/>
      <c r="CM94" s="1590"/>
      <c r="CN94" s="1590"/>
      <c r="CO94" s="1590"/>
      <c r="CP94" s="1590"/>
      <c r="CQ94" s="1590"/>
      <c r="CR94" s="1590"/>
      <c r="CS94" s="1590"/>
      <c r="CT94" s="1590"/>
      <c r="CU94" s="1591"/>
      <c r="CV94" s="1589"/>
      <c r="CW94" s="1590"/>
      <c r="CX94" s="1590"/>
      <c r="CY94" s="1590"/>
      <c r="CZ94" s="1590"/>
      <c r="DA94" s="1590"/>
      <c r="DB94" s="1590"/>
      <c r="DC94" s="1590"/>
      <c r="DD94" s="1590"/>
      <c r="DE94" s="1591"/>
      <c r="DF94" s="1589">
        <f t="shared" si="11"/>
        <v>32710.780400000003</v>
      </c>
      <c r="DG94" s="1590"/>
      <c r="DH94" s="1590"/>
      <c r="DI94" s="1590"/>
      <c r="DJ94" s="1590"/>
      <c r="DK94" s="1590"/>
      <c r="DL94" s="1590"/>
      <c r="DM94" s="1590"/>
      <c r="DN94" s="1590"/>
      <c r="DO94" s="1590"/>
      <c r="DP94" s="1590"/>
      <c r="DQ94" s="1590"/>
      <c r="DR94" s="1590"/>
      <c r="DS94" s="1591"/>
      <c r="DT94" s="475"/>
      <c r="DU94" s="475">
        <f>'расч ФОТ мест с 01.07-31.12 '!V11/6*4</f>
        <v>32710.780400000003</v>
      </c>
      <c r="DV94" s="475"/>
      <c r="DW94" s="475"/>
      <c r="DX94" s="475"/>
      <c r="DY94" s="475"/>
      <c r="EJ94" s="871">
        <f>DT38+DT99</f>
        <v>6112640.1524</v>
      </c>
    </row>
    <row r="95" spans="1:140" ht="37.5" customHeight="1" x14ac:dyDescent="0.25">
      <c r="A95" s="1592">
        <v>20</v>
      </c>
      <c r="B95" s="1593"/>
      <c r="C95" s="1593"/>
      <c r="D95" s="1594"/>
      <c r="E95" s="1595" t="s">
        <v>101</v>
      </c>
      <c r="F95" s="1596"/>
      <c r="G95" s="1596"/>
      <c r="H95" s="1596"/>
      <c r="I95" s="1596"/>
      <c r="J95" s="1596"/>
      <c r="K95" s="1596"/>
      <c r="L95" s="1596"/>
      <c r="M95" s="1596"/>
      <c r="N95" s="1596"/>
      <c r="O95" s="1596"/>
      <c r="P95" s="1596"/>
      <c r="Q95" s="1596"/>
      <c r="R95" s="1596"/>
      <c r="S95" s="1596"/>
      <c r="T95" s="1597"/>
      <c r="U95" s="1598">
        <v>3</v>
      </c>
      <c r="V95" s="1599"/>
      <c r="W95" s="1599"/>
      <c r="X95" s="1599"/>
      <c r="Y95" s="1599"/>
      <c r="Z95" s="1599"/>
      <c r="AA95" s="1599"/>
      <c r="AB95" s="1599"/>
      <c r="AC95" s="1599"/>
      <c r="AD95" s="1599"/>
      <c r="AE95" s="1599"/>
      <c r="AF95" s="1600"/>
      <c r="AG95" s="1601">
        <f t="shared" si="10"/>
        <v>42256.63</v>
      </c>
      <c r="AH95" s="1602"/>
      <c r="AI95" s="1602"/>
      <c r="AJ95" s="1602"/>
      <c r="AK95" s="1602"/>
      <c r="AL95" s="1602"/>
      <c r="AM95" s="1602"/>
      <c r="AN95" s="1602"/>
      <c r="AO95" s="1602"/>
      <c r="AP95" s="1602"/>
      <c r="AQ95" s="1602"/>
      <c r="AR95" s="1602"/>
      <c r="AS95" s="1602"/>
      <c r="AT95" s="1603"/>
      <c r="AU95" s="1601">
        <f>'расч ФОТ мест с 01.07-31.12 '!L12/6*4</f>
        <v>25756.5</v>
      </c>
      <c r="AV95" s="1602"/>
      <c r="AW95" s="1602"/>
      <c r="AX95" s="1602"/>
      <c r="AY95" s="1602"/>
      <c r="AZ95" s="1602"/>
      <c r="BA95" s="1602"/>
      <c r="BB95" s="1602"/>
      <c r="BC95" s="1602"/>
      <c r="BD95" s="1602"/>
      <c r="BE95" s="1602"/>
      <c r="BF95" s="1602"/>
      <c r="BG95" s="1602"/>
      <c r="BH95" s="1603"/>
      <c r="BI95" s="1601">
        <f>'расч ФОТ мест с 01.07-31.12 '!R12</f>
        <v>6339.19</v>
      </c>
      <c r="BJ95" s="1602"/>
      <c r="BK95" s="1602"/>
      <c r="BL95" s="1602"/>
      <c r="BM95" s="1602"/>
      <c r="BN95" s="1602"/>
      <c r="BO95" s="1602"/>
      <c r="BP95" s="1602"/>
      <c r="BQ95" s="1602"/>
      <c r="BR95" s="1602"/>
      <c r="BS95" s="1602"/>
      <c r="BT95" s="1602"/>
      <c r="BU95" s="1602"/>
      <c r="BV95" s="1603"/>
      <c r="BW95" s="1589">
        <f>'расч ФОТ мест с 01.07-31.12 '!T12</f>
        <v>10160.94</v>
      </c>
      <c r="BX95" s="1590"/>
      <c r="BY95" s="1590"/>
      <c r="BZ95" s="1590"/>
      <c r="CA95" s="1590"/>
      <c r="CB95" s="1590"/>
      <c r="CC95" s="1590"/>
      <c r="CD95" s="1590"/>
      <c r="CE95" s="1590"/>
      <c r="CF95" s="1590"/>
      <c r="CG95" s="1590"/>
      <c r="CH95" s="1590"/>
      <c r="CI95" s="1590"/>
      <c r="CJ95" s="1591"/>
      <c r="CK95" s="1589"/>
      <c r="CL95" s="1590"/>
      <c r="CM95" s="1590"/>
      <c r="CN95" s="1590"/>
      <c r="CO95" s="1590"/>
      <c r="CP95" s="1590"/>
      <c r="CQ95" s="1590"/>
      <c r="CR95" s="1590"/>
      <c r="CS95" s="1590"/>
      <c r="CT95" s="1590"/>
      <c r="CU95" s="1591"/>
      <c r="CV95" s="1589"/>
      <c r="CW95" s="1590"/>
      <c r="CX95" s="1590"/>
      <c r="CY95" s="1590"/>
      <c r="CZ95" s="1590"/>
      <c r="DA95" s="1590"/>
      <c r="DB95" s="1590"/>
      <c r="DC95" s="1590"/>
      <c r="DD95" s="1590"/>
      <c r="DE95" s="1591"/>
      <c r="DF95" s="1589">
        <f t="shared" si="11"/>
        <v>220539.52000000002</v>
      </c>
      <c r="DG95" s="1590"/>
      <c r="DH95" s="1590"/>
      <c r="DI95" s="1590"/>
      <c r="DJ95" s="1590"/>
      <c r="DK95" s="1590"/>
      <c r="DL95" s="1590"/>
      <c r="DM95" s="1590"/>
      <c r="DN95" s="1590"/>
      <c r="DO95" s="1590"/>
      <c r="DP95" s="1590"/>
      <c r="DQ95" s="1590"/>
      <c r="DR95" s="1590"/>
      <c r="DS95" s="1591"/>
      <c r="DT95" s="475"/>
      <c r="DU95" s="475">
        <f>'расч ФОТ мест с 01.07-31.12 '!V12/6*4</f>
        <v>220539.52000000002</v>
      </c>
      <c r="DV95" s="475"/>
      <c r="DW95" s="475"/>
      <c r="DX95" s="475"/>
      <c r="DY95" s="475"/>
    </row>
    <row r="96" spans="1:140" ht="21" customHeight="1" x14ac:dyDescent="0.25">
      <c r="A96" s="1585" t="s">
        <v>102</v>
      </c>
      <c r="B96" s="1586"/>
      <c r="C96" s="1586"/>
      <c r="D96" s="1586"/>
      <c r="E96" s="1586"/>
      <c r="F96" s="1586"/>
      <c r="G96" s="1586"/>
      <c r="H96" s="1586"/>
      <c r="I96" s="1586"/>
      <c r="J96" s="1586"/>
      <c r="K96" s="1586"/>
      <c r="L96" s="1586"/>
      <c r="M96" s="1586"/>
      <c r="N96" s="1586"/>
      <c r="O96" s="1586"/>
      <c r="P96" s="1586"/>
      <c r="Q96" s="1586"/>
      <c r="R96" s="1586"/>
      <c r="S96" s="1586"/>
      <c r="T96" s="1587"/>
      <c r="U96" s="1582" t="s">
        <v>3</v>
      </c>
      <c r="V96" s="1583"/>
      <c r="W96" s="1583"/>
      <c r="X96" s="1583"/>
      <c r="Y96" s="1583"/>
      <c r="Z96" s="1583"/>
      <c r="AA96" s="1583"/>
      <c r="AB96" s="1583"/>
      <c r="AC96" s="1583"/>
      <c r="AD96" s="1583"/>
      <c r="AE96" s="1583"/>
      <c r="AF96" s="1584"/>
      <c r="AG96" s="1582" t="s">
        <v>3</v>
      </c>
      <c r="AH96" s="1583"/>
      <c r="AI96" s="1583"/>
      <c r="AJ96" s="1583"/>
      <c r="AK96" s="1583"/>
      <c r="AL96" s="1583"/>
      <c r="AM96" s="1583"/>
      <c r="AN96" s="1583"/>
      <c r="AO96" s="1583"/>
      <c r="AP96" s="1583"/>
      <c r="AQ96" s="1583"/>
      <c r="AR96" s="1583"/>
      <c r="AS96" s="1583"/>
      <c r="AT96" s="1584"/>
      <c r="AU96" s="1582" t="s">
        <v>3</v>
      </c>
      <c r="AV96" s="1583"/>
      <c r="AW96" s="1583"/>
      <c r="AX96" s="1583"/>
      <c r="AY96" s="1583"/>
      <c r="AZ96" s="1583"/>
      <c r="BA96" s="1583"/>
      <c r="BB96" s="1583"/>
      <c r="BC96" s="1583"/>
      <c r="BD96" s="1583"/>
      <c r="BE96" s="1583"/>
      <c r="BF96" s="1583"/>
      <c r="BG96" s="1583"/>
      <c r="BH96" s="1584"/>
      <c r="BI96" s="1582" t="s">
        <v>3</v>
      </c>
      <c r="BJ96" s="1583"/>
      <c r="BK96" s="1583"/>
      <c r="BL96" s="1583"/>
      <c r="BM96" s="1583"/>
      <c r="BN96" s="1583"/>
      <c r="BO96" s="1583"/>
      <c r="BP96" s="1583"/>
      <c r="BQ96" s="1583"/>
      <c r="BR96" s="1583"/>
      <c r="BS96" s="1583"/>
      <c r="BT96" s="1583"/>
      <c r="BU96" s="1583"/>
      <c r="BV96" s="1584"/>
      <c r="BW96" s="1582" t="s">
        <v>3</v>
      </c>
      <c r="BX96" s="1583"/>
      <c r="BY96" s="1583"/>
      <c r="BZ96" s="1583"/>
      <c r="CA96" s="1583"/>
      <c r="CB96" s="1583"/>
      <c r="CC96" s="1583"/>
      <c r="CD96" s="1583"/>
      <c r="CE96" s="1583"/>
      <c r="CF96" s="1583"/>
      <c r="CG96" s="1583"/>
      <c r="CH96" s="1583"/>
      <c r="CI96" s="1583"/>
      <c r="CJ96" s="1584"/>
      <c r="CK96" s="1582" t="s">
        <v>3</v>
      </c>
      <c r="CL96" s="1583"/>
      <c r="CM96" s="1583"/>
      <c r="CN96" s="1583"/>
      <c r="CO96" s="1583"/>
      <c r="CP96" s="1583"/>
      <c r="CQ96" s="1583"/>
      <c r="CR96" s="1583"/>
      <c r="CS96" s="1583"/>
      <c r="CT96" s="1583"/>
      <c r="CU96" s="1584"/>
      <c r="CV96" s="1582" t="s">
        <v>3</v>
      </c>
      <c r="CW96" s="1583"/>
      <c r="CX96" s="1583"/>
      <c r="CY96" s="1583"/>
      <c r="CZ96" s="1583"/>
      <c r="DA96" s="1583"/>
      <c r="DB96" s="1583"/>
      <c r="DC96" s="1583"/>
      <c r="DD96" s="1583"/>
      <c r="DE96" s="1584"/>
      <c r="DF96" s="1585">
        <f>SUM(DF76:DS95)</f>
        <v>4564204.1632000003</v>
      </c>
      <c r="DG96" s="1586"/>
      <c r="DH96" s="1586"/>
      <c r="DI96" s="1586"/>
      <c r="DJ96" s="1586"/>
      <c r="DK96" s="1586"/>
      <c r="DL96" s="1586"/>
      <c r="DM96" s="1586"/>
      <c r="DN96" s="1586"/>
      <c r="DO96" s="1586"/>
      <c r="DP96" s="1586"/>
      <c r="DQ96" s="1586"/>
      <c r="DR96" s="1586"/>
      <c r="DS96" s="1587"/>
      <c r="DT96" s="478">
        <f>SUM(DT76:DT95)</f>
        <v>3848845.4324000003</v>
      </c>
      <c r="DU96" s="478">
        <f>SUM(DU89:DU95)</f>
        <v>715358.73080000002</v>
      </c>
      <c r="DV96" s="478"/>
      <c r="DW96" s="478">
        <f>SUM(DW89:DW95)</f>
        <v>0</v>
      </c>
      <c r="DX96" s="478">
        <f>SUM(DX89:DX95)</f>
        <v>0</v>
      </c>
      <c r="DY96" s="478">
        <f>SUM(DY89:DY95)</f>
        <v>0</v>
      </c>
    </row>
    <row r="97" spans="1:137" ht="20.25" customHeight="1" x14ac:dyDescent="0.25">
      <c r="A97" s="957"/>
      <c r="B97" s="958"/>
      <c r="C97" s="958"/>
      <c r="D97" s="958"/>
      <c r="E97" s="958"/>
      <c r="F97" s="958"/>
      <c r="G97" s="958"/>
      <c r="H97" s="958"/>
      <c r="I97" s="958"/>
      <c r="J97" s="958"/>
      <c r="K97" s="958"/>
      <c r="L97" s="958"/>
      <c r="M97" s="958"/>
      <c r="N97" s="958"/>
      <c r="O97" s="958"/>
      <c r="P97" s="958"/>
      <c r="Q97" s="958"/>
      <c r="R97" s="958"/>
      <c r="S97" s="958"/>
      <c r="T97" s="959" t="s">
        <v>102</v>
      </c>
      <c r="U97" s="604"/>
      <c r="V97" s="605"/>
      <c r="W97" s="605"/>
      <c r="X97" s="605"/>
      <c r="Y97" s="605"/>
      <c r="Z97" s="605"/>
      <c r="AA97" s="605"/>
      <c r="AB97" s="605"/>
      <c r="AC97" s="605"/>
      <c r="AD97" s="605"/>
      <c r="AE97" s="605"/>
      <c r="AF97" s="606"/>
      <c r="AG97" s="604"/>
      <c r="AH97" s="605"/>
      <c r="AI97" s="605"/>
      <c r="AJ97" s="605"/>
      <c r="AK97" s="605"/>
      <c r="AL97" s="605"/>
      <c r="AM97" s="605"/>
      <c r="AN97" s="605"/>
      <c r="AO97" s="605"/>
      <c r="AP97" s="605"/>
      <c r="AQ97" s="605"/>
      <c r="AR97" s="605"/>
      <c r="AS97" s="605"/>
      <c r="AT97" s="606"/>
      <c r="AU97" s="604"/>
      <c r="AV97" s="605"/>
      <c r="AW97" s="605"/>
      <c r="AX97" s="605"/>
      <c r="AY97" s="605"/>
      <c r="AZ97" s="605"/>
      <c r="BA97" s="605"/>
      <c r="BB97" s="605"/>
      <c r="BC97" s="605"/>
      <c r="BD97" s="605"/>
      <c r="BE97" s="605"/>
      <c r="BF97" s="605"/>
      <c r="BG97" s="605"/>
      <c r="BH97" s="606"/>
      <c r="BI97" s="604"/>
      <c r="BJ97" s="605"/>
      <c r="BK97" s="605"/>
      <c r="BL97" s="605"/>
      <c r="BM97" s="605"/>
      <c r="BN97" s="605"/>
      <c r="BO97" s="605"/>
      <c r="BP97" s="605"/>
      <c r="BQ97" s="605"/>
      <c r="BR97" s="605"/>
      <c r="BS97" s="605"/>
      <c r="BT97" s="605"/>
      <c r="BU97" s="605"/>
      <c r="BV97" s="606"/>
      <c r="BW97" s="604"/>
      <c r="BX97" s="605"/>
      <c r="BY97" s="605"/>
      <c r="BZ97" s="605"/>
      <c r="CA97" s="605"/>
      <c r="CB97" s="605"/>
      <c r="CC97" s="605"/>
      <c r="CD97" s="605"/>
      <c r="CE97" s="605"/>
      <c r="CF97" s="605"/>
      <c r="CG97" s="605"/>
      <c r="CH97" s="605"/>
      <c r="CI97" s="605"/>
      <c r="CJ97" s="606"/>
      <c r="CK97" s="604"/>
      <c r="CL97" s="605"/>
      <c r="CM97" s="605"/>
      <c r="CN97" s="605"/>
      <c r="CO97" s="605"/>
      <c r="CP97" s="605"/>
      <c r="CQ97" s="605"/>
      <c r="CR97" s="605"/>
      <c r="CS97" s="605"/>
      <c r="CT97" s="605"/>
      <c r="CU97" s="606"/>
      <c r="CV97" s="604"/>
      <c r="CW97" s="605"/>
      <c r="CX97" s="605"/>
      <c r="CY97" s="605"/>
      <c r="CZ97" s="605"/>
      <c r="DA97" s="605"/>
      <c r="DB97" s="605"/>
      <c r="DC97" s="605"/>
      <c r="DD97" s="605"/>
      <c r="DE97" s="606"/>
      <c r="DF97" s="1582">
        <f>DF36+DF66+DF96</f>
        <v>14034006.2852</v>
      </c>
      <c r="DG97" s="1583"/>
      <c r="DH97" s="1583"/>
      <c r="DI97" s="1583"/>
      <c r="DJ97" s="1583"/>
      <c r="DK97" s="1583"/>
      <c r="DL97" s="1583"/>
      <c r="DM97" s="1583"/>
      <c r="DN97" s="1583"/>
      <c r="DO97" s="1583"/>
      <c r="DP97" s="1583"/>
      <c r="DQ97" s="1583"/>
      <c r="DR97" s="1583"/>
      <c r="DS97" s="1584"/>
      <c r="DT97" s="478">
        <f>DT36+DT66+DT96</f>
        <v>11789797.8278</v>
      </c>
      <c r="DU97" s="960">
        <f>DU36+DU66+DU96</f>
        <v>2244208.4573999997</v>
      </c>
      <c r="DV97" s="478"/>
      <c r="DW97" s="478"/>
      <c r="DX97" s="478"/>
      <c r="DY97" s="478"/>
    </row>
    <row r="98" spans="1:137" ht="51" customHeight="1" x14ac:dyDescent="0.25">
      <c r="A98" s="1579" t="s">
        <v>845</v>
      </c>
      <c r="B98" s="1580"/>
      <c r="C98" s="1580"/>
      <c r="D98" s="1580"/>
      <c r="E98" s="1580"/>
      <c r="F98" s="1580"/>
      <c r="G98" s="1580"/>
      <c r="H98" s="1580"/>
      <c r="I98" s="1580"/>
      <c r="J98" s="1580"/>
      <c r="K98" s="1580"/>
      <c r="L98" s="1580"/>
      <c r="M98" s="1580"/>
      <c r="N98" s="1580"/>
      <c r="O98" s="1580"/>
      <c r="P98" s="1580"/>
      <c r="Q98" s="1580"/>
      <c r="R98" s="1580"/>
      <c r="S98" s="1580"/>
      <c r="T98" s="1581"/>
      <c r="U98" s="604"/>
      <c r="V98" s="605"/>
      <c r="W98" s="605"/>
      <c r="X98" s="605"/>
      <c r="Y98" s="605"/>
      <c r="Z98" s="605"/>
      <c r="AA98" s="605"/>
      <c r="AB98" s="605"/>
      <c r="AC98" s="605"/>
      <c r="AD98" s="605"/>
      <c r="AE98" s="605"/>
      <c r="AF98" s="606"/>
      <c r="AG98" s="604"/>
      <c r="AH98" s="605"/>
      <c r="AI98" s="605"/>
      <c r="AJ98" s="605"/>
      <c r="AK98" s="605"/>
      <c r="AL98" s="605"/>
      <c r="AM98" s="605"/>
      <c r="AN98" s="605"/>
      <c r="AO98" s="605"/>
      <c r="AP98" s="605"/>
      <c r="AQ98" s="605"/>
      <c r="AR98" s="605"/>
      <c r="AS98" s="605"/>
      <c r="AT98" s="606"/>
      <c r="AU98" s="604"/>
      <c r="AV98" s="605"/>
      <c r="AW98" s="605"/>
      <c r="AX98" s="605"/>
      <c r="AY98" s="605"/>
      <c r="AZ98" s="605"/>
      <c r="BA98" s="605"/>
      <c r="BB98" s="605"/>
      <c r="BC98" s="605"/>
      <c r="BD98" s="605"/>
      <c r="BE98" s="605"/>
      <c r="BF98" s="605"/>
      <c r="BG98" s="605"/>
      <c r="BH98" s="606"/>
      <c r="BI98" s="604"/>
      <c r="BJ98" s="605"/>
      <c r="BK98" s="605"/>
      <c r="BL98" s="605"/>
      <c r="BM98" s="605"/>
      <c r="BN98" s="605"/>
      <c r="BO98" s="605"/>
      <c r="BP98" s="605"/>
      <c r="BQ98" s="605"/>
      <c r="BR98" s="605"/>
      <c r="BS98" s="605"/>
      <c r="BT98" s="605"/>
      <c r="BU98" s="605"/>
      <c r="BV98" s="606"/>
      <c r="BW98" s="604"/>
      <c r="BX98" s="605"/>
      <c r="BY98" s="605"/>
      <c r="BZ98" s="605"/>
      <c r="CA98" s="605"/>
      <c r="CB98" s="605"/>
      <c r="CC98" s="605"/>
      <c r="CD98" s="605"/>
      <c r="CE98" s="605"/>
      <c r="CF98" s="605"/>
      <c r="CG98" s="605"/>
      <c r="CH98" s="605"/>
      <c r="CI98" s="605"/>
      <c r="CJ98" s="606"/>
      <c r="CK98" s="604"/>
      <c r="CL98" s="605"/>
      <c r="CM98" s="605"/>
      <c r="CN98" s="605"/>
      <c r="CO98" s="605"/>
      <c r="CP98" s="605"/>
      <c r="CQ98" s="605"/>
      <c r="CR98" s="605"/>
      <c r="CS98" s="605"/>
      <c r="CT98" s="605"/>
      <c r="CU98" s="606"/>
      <c r="CV98" s="604"/>
      <c r="CW98" s="605"/>
      <c r="CX98" s="605"/>
      <c r="CY98" s="605"/>
      <c r="CZ98" s="605"/>
      <c r="DA98" s="605"/>
      <c r="DB98" s="605"/>
      <c r="DC98" s="605"/>
      <c r="DD98" s="605"/>
      <c r="DE98" s="606"/>
      <c r="DF98" s="1582">
        <f>DT98+DW98+DX98+DY98</f>
        <v>63300</v>
      </c>
      <c r="DG98" s="1583"/>
      <c r="DH98" s="1583"/>
      <c r="DI98" s="1583"/>
      <c r="DJ98" s="1583"/>
      <c r="DK98" s="1583"/>
      <c r="DL98" s="1583"/>
      <c r="DM98" s="1583"/>
      <c r="DN98" s="1583"/>
      <c r="DO98" s="1583"/>
      <c r="DP98" s="1583"/>
      <c r="DQ98" s="1583"/>
      <c r="DR98" s="1583"/>
      <c r="DS98" s="1584"/>
      <c r="DT98" s="478">
        <f>33300+30000</f>
        <v>63300</v>
      </c>
      <c r="DU98" s="478">
        <v>0</v>
      </c>
      <c r="DV98" s="478"/>
      <c r="DW98" s="478"/>
      <c r="DX98" s="478"/>
      <c r="DY98" s="478"/>
    </row>
    <row r="99" spans="1:137" ht="27" customHeight="1" x14ac:dyDescent="0.25">
      <c r="A99" s="1585" t="s">
        <v>1573</v>
      </c>
      <c r="B99" s="1586"/>
      <c r="C99" s="1586"/>
      <c r="D99" s="1586"/>
      <c r="E99" s="1586"/>
      <c r="F99" s="1586"/>
      <c r="G99" s="1586"/>
      <c r="H99" s="1586"/>
      <c r="I99" s="1586"/>
      <c r="J99" s="1586"/>
      <c r="K99" s="1586"/>
      <c r="L99" s="1586"/>
      <c r="M99" s="1586"/>
      <c r="N99" s="1586"/>
      <c r="O99" s="1586"/>
      <c r="P99" s="1586"/>
      <c r="Q99" s="1586"/>
      <c r="R99" s="1586"/>
      <c r="S99" s="1586"/>
      <c r="T99" s="1587"/>
      <c r="U99" s="1582" t="s">
        <v>3</v>
      </c>
      <c r="V99" s="1583"/>
      <c r="W99" s="1583"/>
      <c r="X99" s="1583"/>
      <c r="Y99" s="1583"/>
      <c r="Z99" s="1583"/>
      <c r="AA99" s="1583"/>
      <c r="AB99" s="1583"/>
      <c r="AC99" s="1583"/>
      <c r="AD99" s="1583"/>
      <c r="AE99" s="1583"/>
      <c r="AF99" s="1584"/>
      <c r="AG99" s="1582" t="s">
        <v>3</v>
      </c>
      <c r="AH99" s="1583"/>
      <c r="AI99" s="1583"/>
      <c r="AJ99" s="1583"/>
      <c r="AK99" s="1583"/>
      <c r="AL99" s="1583"/>
      <c r="AM99" s="1583"/>
      <c r="AN99" s="1583"/>
      <c r="AO99" s="1583"/>
      <c r="AP99" s="1583"/>
      <c r="AQ99" s="1583"/>
      <c r="AR99" s="1583"/>
      <c r="AS99" s="1583"/>
      <c r="AT99" s="1584"/>
      <c r="AU99" s="1582" t="s">
        <v>3</v>
      </c>
      <c r="AV99" s="1583"/>
      <c r="AW99" s="1583"/>
      <c r="AX99" s="1583"/>
      <c r="AY99" s="1583"/>
      <c r="AZ99" s="1583"/>
      <c r="BA99" s="1583"/>
      <c r="BB99" s="1583"/>
      <c r="BC99" s="1583"/>
      <c r="BD99" s="1583"/>
      <c r="BE99" s="1583"/>
      <c r="BF99" s="1583"/>
      <c r="BG99" s="1583"/>
      <c r="BH99" s="1584"/>
      <c r="BI99" s="1582" t="s">
        <v>3</v>
      </c>
      <c r="BJ99" s="1583"/>
      <c r="BK99" s="1583"/>
      <c r="BL99" s="1583"/>
      <c r="BM99" s="1583"/>
      <c r="BN99" s="1583"/>
      <c r="BO99" s="1583"/>
      <c r="BP99" s="1583"/>
      <c r="BQ99" s="1583"/>
      <c r="BR99" s="1583"/>
      <c r="BS99" s="1583"/>
      <c r="BT99" s="1583"/>
      <c r="BU99" s="1583"/>
      <c r="BV99" s="1584"/>
      <c r="BW99" s="1582" t="s">
        <v>3</v>
      </c>
      <c r="BX99" s="1583"/>
      <c r="BY99" s="1583"/>
      <c r="BZ99" s="1583"/>
      <c r="CA99" s="1583"/>
      <c r="CB99" s="1583"/>
      <c r="CC99" s="1583"/>
      <c r="CD99" s="1583"/>
      <c r="CE99" s="1583"/>
      <c r="CF99" s="1583"/>
      <c r="CG99" s="1583"/>
      <c r="CH99" s="1583"/>
      <c r="CI99" s="1583"/>
      <c r="CJ99" s="1584"/>
      <c r="CK99" s="1582" t="s">
        <v>3</v>
      </c>
      <c r="CL99" s="1583"/>
      <c r="CM99" s="1583"/>
      <c r="CN99" s="1583"/>
      <c r="CO99" s="1583"/>
      <c r="CP99" s="1583"/>
      <c r="CQ99" s="1583"/>
      <c r="CR99" s="1583"/>
      <c r="CS99" s="1583"/>
      <c r="CT99" s="1583"/>
      <c r="CU99" s="1584"/>
      <c r="CV99" s="1582" t="s">
        <v>3</v>
      </c>
      <c r="CW99" s="1583"/>
      <c r="CX99" s="1583"/>
      <c r="CY99" s="1583"/>
      <c r="CZ99" s="1583"/>
      <c r="DA99" s="1583"/>
      <c r="DB99" s="1583"/>
      <c r="DC99" s="1583"/>
      <c r="DD99" s="1583"/>
      <c r="DE99" s="1584"/>
      <c r="DF99" s="1585">
        <f>DF37+DF67+DF98</f>
        <v>130000</v>
      </c>
      <c r="DG99" s="1586"/>
      <c r="DH99" s="1586"/>
      <c r="DI99" s="1586"/>
      <c r="DJ99" s="1586"/>
      <c r="DK99" s="1586"/>
      <c r="DL99" s="1586"/>
      <c r="DM99" s="1586"/>
      <c r="DN99" s="1586"/>
      <c r="DO99" s="1586"/>
      <c r="DP99" s="1586"/>
      <c r="DQ99" s="1586"/>
      <c r="DR99" s="1586"/>
      <c r="DS99" s="1587"/>
      <c r="DT99" s="963">
        <f>DT37+DT67+DT98</f>
        <v>130000</v>
      </c>
      <c r="DU99" s="963"/>
      <c r="DV99" s="963"/>
      <c r="DW99" s="963"/>
      <c r="DX99" s="963"/>
      <c r="DY99" s="963"/>
      <c r="DZ99" s="961"/>
      <c r="EA99" s="961"/>
      <c r="EB99" s="961"/>
      <c r="EC99" s="961"/>
      <c r="ED99" s="961"/>
      <c r="EE99" s="961"/>
      <c r="EF99" s="961"/>
      <c r="EG99" s="962"/>
    </row>
    <row r="100" spans="1:137" ht="36.75" customHeight="1" x14ac:dyDescent="0.25">
      <c r="A100" s="1585" t="s">
        <v>1730</v>
      </c>
      <c r="B100" s="1586"/>
      <c r="C100" s="1586"/>
      <c r="D100" s="1586"/>
      <c r="E100" s="1586"/>
      <c r="F100" s="1586"/>
      <c r="G100" s="1586"/>
      <c r="H100" s="1586"/>
      <c r="I100" s="1586"/>
      <c r="J100" s="1586"/>
      <c r="K100" s="1586"/>
      <c r="L100" s="1586"/>
      <c r="M100" s="1586"/>
      <c r="N100" s="1586"/>
      <c r="O100" s="1586"/>
      <c r="P100" s="1586"/>
      <c r="Q100" s="1586"/>
      <c r="R100" s="1586"/>
      <c r="S100" s="1586"/>
      <c r="T100" s="1587"/>
      <c r="U100" s="1582" t="s">
        <v>3</v>
      </c>
      <c r="V100" s="1583"/>
      <c r="W100" s="1583"/>
      <c r="X100" s="1583"/>
      <c r="Y100" s="1583"/>
      <c r="Z100" s="1583"/>
      <c r="AA100" s="1583"/>
      <c r="AB100" s="1583"/>
      <c r="AC100" s="1583"/>
      <c r="AD100" s="1583"/>
      <c r="AE100" s="1583"/>
      <c r="AF100" s="1584"/>
      <c r="AG100" s="1582" t="s">
        <v>3</v>
      </c>
      <c r="AH100" s="1583"/>
      <c r="AI100" s="1583"/>
      <c r="AJ100" s="1583"/>
      <c r="AK100" s="1583"/>
      <c r="AL100" s="1583"/>
      <c r="AM100" s="1583"/>
      <c r="AN100" s="1583"/>
      <c r="AO100" s="1583"/>
      <c r="AP100" s="1583"/>
      <c r="AQ100" s="1583"/>
      <c r="AR100" s="1583"/>
      <c r="AS100" s="1583"/>
      <c r="AT100" s="1584"/>
      <c r="AU100" s="1582" t="s">
        <v>3</v>
      </c>
      <c r="AV100" s="1583"/>
      <c r="AW100" s="1583"/>
      <c r="AX100" s="1583"/>
      <c r="AY100" s="1583"/>
      <c r="AZ100" s="1583"/>
      <c r="BA100" s="1583"/>
      <c r="BB100" s="1583"/>
      <c r="BC100" s="1583"/>
      <c r="BD100" s="1583"/>
      <c r="BE100" s="1583"/>
      <c r="BF100" s="1583"/>
      <c r="BG100" s="1583"/>
      <c r="BH100" s="1584"/>
      <c r="BI100" s="1582" t="s">
        <v>3</v>
      </c>
      <c r="BJ100" s="1583"/>
      <c r="BK100" s="1583"/>
      <c r="BL100" s="1583"/>
      <c r="BM100" s="1583"/>
      <c r="BN100" s="1583"/>
      <c r="BO100" s="1583"/>
      <c r="BP100" s="1583"/>
      <c r="BQ100" s="1583"/>
      <c r="BR100" s="1583"/>
      <c r="BS100" s="1583"/>
      <c r="BT100" s="1583"/>
      <c r="BU100" s="1583"/>
      <c r="BV100" s="1584"/>
      <c r="BW100" s="1582" t="s">
        <v>3</v>
      </c>
      <c r="BX100" s="1583"/>
      <c r="BY100" s="1583"/>
      <c r="BZ100" s="1583"/>
      <c r="CA100" s="1583"/>
      <c r="CB100" s="1583"/>
      <c r="CC100" s="1583"/>
      <c r="CD100" s="1583"/>
      <c r="CE100" s="1583"/>
      <c r="CF100" s="1583"/>
      <c r="CG100" s="1583"/>
      <c r="CH100" s="1583"/>
      <c r="CI100" s="1583"/>
      <c r="CJ100" s="1584"/>
      <c r="CK100" s="1582" t="s">
        <v>3</v>
      </c>
      <c r="CL100" s="1583"/>
      <c r="CM100" s="1583"/>
      <c r="CN100" s="1583"/>
      <c r="CO100" s="1583"/>
      <c r="CP100" s="1583"/>
      <c r="CQ100" s="1583"/>
      <c r="CR100" s="1583"/>
      <c r="CS100" s="1583"/>
      <c r="CT100" s="1583"/>
      <c r="CU100" s="1584"/>
      <c r="CV100" s="1582" t="s">
        <v>3</v>
      </c>
      <c r="CW100" s="1583"/>
      <c r="CX100" s="1583"/>
      <c r="CY100" s="1583"/>
      <c r="CZ100" s="1583"/>
      <c r="DA100" s="1583"/>
      <c r="DB100" s="1583"/>
      <c r="DC100" s="1583"/>
      <c r="DD100" s="1583"/>
      <c r="DE100" s="1584"/>
      <c r="DF100" s="1585">
        <f>DF97-DF99</f>
        <v>13904006.2852</v>
      </c>
      <c r="DG100" s="1586"/>
      <c r="DH100" s="1586"/>
      <c r="DI100" s="1586"/>
      <c r="DJ100" s="1586"/>
      <c r="DK100" s="1586"/>
      <c r="DL100" s="1586"/>
      <c r="DM100" s="1586"/>
      <c r="DN100" s="1586"/>
      <c r="DO100" s="1586"/>
      <c r="DP100" s="1586"/>
      <c r="DQ100" s="1586"/>
      <c r="DR100" s="1586"/>
      <c r="DS100" s="1587"/>
      <c r="DT100" s="478">
        <f>DT97-DT99</f>
        <v>11659797.8278</v>
      </c>
      <c r="DU100" s="478">
        <f>DU97-DU99</f>
        <v>2244208.4573999997</v>
      </c>
      <c r="DV100" s="478"/>
      <c r="DW100" s="478">
        <f>SUM(DW95:DW99)</f>
        <v>0</v>
      </c>
      <c r="DX100" s="478">
        <f>SUM(DX95:DX99)</f>
        <v>0</v>
      </c>
      <c r="DY100" s="478">
        <f>SUM(DY95:DY99)</f>
        <v>0</v>
      </c>
    </row>
    <row r="101" spans="1:137" ht="15.75" customHeight="1" x14ac:dyDescent="0.25"/>
    <row r="102" spans="1:137" ht="30.75" customHeight="1" x14ac:dyDescent="0.25">
      <c r="A102" s="1588" t="s">
        <v>842</v>
      </c>
      <c r="B102" s="1588"/>
      <c r="C102" s="1588"/>
      <c r="D102" s="1588"/>
      <c r="E102" s="1588"/>
      <c r="F102" s="1588"/>
      <c r="G102" s="1588"/>
      <c r="H102" s="1588"/>
      <c r="I102" s="1588"/>
      <c r="J102" s="1588"/>
      <c r="K102" s="1588"/>
      <c r="L102" s="1588"/>
      <c r="M102" s="1588"/>
      <c r="N102" s="1588"/>
      <c r="O102" s="1588"/>
      <c r="P102" s="1588"/>
      <c r="Q102" s="1588"/>
      <c r="R102" s="1588"/>
      <c r="S102" s="1588"/>
      <c r="T102" s="1588"/>
      <c r="U102" s="1588"/>
      <c r="V102" s="1588"/>
      <c r="W102" s="1588"/>
      <c r="X102" s="1588"/>
      <c r="Y102" s="1588"/>
      <c r="Z102" s="1588"/>
      <c r="AA102" s="1588"/>
      <c r="AB102" s="1588"/>
      <c r="AC102" s="1588"/>
      <c r="AD102" s="1588"/>
      <c r="AE102" s="1588"/>
      <c r="AF102" s="1588"/>
      <c r="AG102" s="1588"/>
      <c r="AH102" s="1588"/>
      <c r="AI102" s="1588"/>
      <c r="AJ102" s="1588"/>
      <c r="AK102" s="1588"/>
      <c r="AL102" s="1588"/>
      <c r="AM102" s="1588"/>
      <c r="AN102" s="1588"/>
      <c r="AO102" s="1588"/>
      <c r="AP102" s="1588"/>
      <c r="AQ102" s="1588"/>
      <c r="AR102" s="1588"/>
      <c r="AS102" s="1588"/>
      <c r="AT102" s="1588"/>
      <c r="AU102" s="1588"/>
      <c r="AV102" s="1588"/>
      <c r="AW102" s="1588"/>
      <c r="AX102" s="1588"/>
      <c r="AY102" s="1588"/>
      <c r="AZ102" s="1588"/>
      <c r="BA102" s="1588"/>
      <c r="BB102" s="1588"/>
      <c r="BC102" s="1588"/>
      <c r="BD102" s="1588"/>
      <c r="BE102" s="1588"/>
      <c r="BF102" s="1588"/>
      <c r="BG102" s="1588"/>
      <c r="BH102" s="1588"/>
      <c r="BI102" s="1588"/>
      <c r="BJ102" s="1588"/>
      <c r="BK102" s="1588"/>
      <c r="BL102" s="1588"/>
      <c r="BM102" s="1588"/>
      <c r="BN102" s="1588"/>
      <c r="BO102" s="1588"/>
      <c r="BP102" s="1588"/>
      <c r="BQ102" s="1588"/>
      <c r="BR102" s="1588"/>
      <c r="BS102" s="1588"/>
      <c r="BT102" s="1588"/>
      <c r="BU102" s="1588"/>
      <c r="BV102" s="1588"/>
      <c r="BW102" s="1588"/>
      <c r="BX102" s="1588"/>
      <c r="BY102" s="1588"/>
      <c r="BZ102" s="1588"/>
      <c r="CA102" s="1588"/>
      <c r="CB102" s="1588"/>
      <c r="CC102" s="1588"/>
      <c r="CD102" s="1588"/>
      <c r="CE102" s="1588"/>
      <c r="CF102" s="1588"/>
      <c r="CG102" s="1588"/>
      <c r="CH102" s="1588"/>
      <c r="CI102" s="1588"/>
      <c r="CJ102" s="1588"/>
      <c r="CK102" s="1588"/>
      <c r="CL102" s="1588"/>
      <c r="CM102" s="1588"/>
      <c r="CN102" s="1588"/>
      <c r="CO102" s="1588"/>
      <c r="CP102" s="1588"/>
      <c r="CQ102" s="1588"/>
      <c r="CR102" s="1588"/>
      <c r="CS102" s="1588"/>
      <c r="CT102" s="1588"/>
      <c r="CU102" s="1588"/>
      <c r="CV102" s="1588"/>
      <c r="CW102" s="1588"/>
      <c r="CX102" s="1588"/>
      <c r="CY102" s="1588"/>
      <c r="CZ102" s="1588"/>
      <c r="DA102" s="1588"/>
      <c r="DB102" s="1588"/>
      <c r="DC102" s="1588"/>
      <c r="DD102" s="1588"/>
      <c r="DE102" s="1588"/>
      <c r="DF102" s="1588"/>
      <c r="DG102" s="1588"/>
      <c r="DH102" s="1588"/>
      <c r="DI102" s="1588"/>
      <c r="DJ102" s="1588"/>
      <c r="DK102" s="1588"/>
      <c r="DL102" s="1588"/>
      <c r="DM102" s="1588"/>
      <c r="DN102" s="1588"/>
      <c r="DO102" s="1588"/>
      <c r="DP102" s="1588"/>
      <c r="DQ102" s="1588"/>
      <c r="DR102" s="1588"/>
      <c r="DS102" s="1588"/>
      <c r="DT102" s="1588"/>
      <c r="DU102" s="1588"/>
      <c r="DV102" s="1588"/>
      <c r="DW102" s="1588"/>
      <c r="DX102" s="1588"/>
      <c r="DY102" s="1588"/>
    </row>
    <row r="103" spans="1:137" ht="51" customHeight="1" x14ac:dyDescent="0.25">
      <c r="A103" s="1579" t="s">
        <v>845</v>
      </c>
      <c r="B103" s="1580"/>
      <c r="C103" s="1580"/>
      <c r="D103" s="1580"/>
      <c r="E103" s="1580"/>
      <c r="F103" s="1580"/>
      <c r="G103" s="1580"/>
      <c r="H103" s="1580"/>
      <c r="I103" s="1580"/>
      <c r="J103" s="1580"/>
      <c r="K103" s="1580"/>
      <c r="L103" s="1580"/>
      <c r="M103" s="1580"/>
      <c r="N103" s="1580"/>
      <c r="O103" s="1580"/>
      <c r="P103" s="1580"/>
      <c r="Q103" s="1580"/>
      <c r="R103" s="1580"/>
      <c r="S103" s="1580"/>
      <c r="T103" s="1581"/>
      <c r="U103" s="604"/>
      <c r="V103" s="605"/>
      <c r="W103" s="605"/>
      <c r="X103" s="605"/>
      <c r="Y103" s="605"/>
      <c r="Z103" s="605"/>
      <c r="AA103" s="605"/>
      <c r="AB103" s="605"/>
      <c r="AC103" s="605"/>
      <c r="AD103" s="605"/>
      <c r="AE103" s="605"/>
      <c r="AF103" s="606"/>
      <c r="AG103" s="604"/>
      <c r="AH103" s="605"/>
      <c r="AI103" s="605"/>
      <c r="AJ103" s="605"/>
      <c r="AK103" s="605"/>
      <c r="AL103" s="605"/>
      <c r="AM103" s="605"/>
      <c r="AN103" s="605"/>
      <c r="AO103" s="605"/>
      <c r="AP103" s="605"/>
      <c r="AQ103" s="605"/>
      <c r="AR103" s="605"/>
      <c r="AS103" s="605"/>
      <c r="AT103" s="606"/>
      <c r="AU103" s="604"/>
      <c r="AV103" s="605"/>
      <c r="AW103" s="605"/>
      <c r="AX103" s="605"/>
      <c r="AY103" s="605"/>
      <c r="AZ103" s="605"/>
      <c r="BA103" s="605"/>
      <c r="BB103" s="605"/>
      <c r="BC103" s="605"/>
      <c r="BD103" s="605"/>
      <c r="BE103" s="605"/>
      <c r="BF103" s="605"/>
      <c r="BG103" s="605"/>
      <c r="BH103" s="606"/>
      <c r="BI103" s="604"/>
      <c r="BJ103" s="605"/>
      <c r="BK103" s="605"/>
      <c r="BL103" s="605"/>
      <c r="BM103" s="605"/>
      <c r="BN103" s="605"/>
      <c r="BO103" s="605"/>
      <c r="BP103" s="605"/>
      <c r="BQ103" s="605"/>
      <c r="BR103" s="605"/>
      <c r="BS103" s="605"/>
      <c r="BT103" s="605"/>
      <c r="BU103" s="605"/>
      <c r="BV103" s="606"/>
      <c r="BW103" s="604"/>
      <c r="BX103" s="605"/>
      <c r="BY103" s="605"/>
      <c r="BZ103" s="605"/>
      <c r="CA103" s="605"/>
      <c r="CB103" s="605"/>
      <c r="CC103" s="605"/>
      <c r="CD103" s="605"/>
      <c r="CE103" s="605"/>
      <c r="CF103" s="605"/>
      <c r="CG103" s="605"/>
      <c r="CH103" s="605"/>
      <c r="CI103" s="605"/>
      <c r="CJ103" s="606"/>
      <c r="CK103" s="604"/>
      <c r="CL103" s="605"/>
      <c r="CM103" s="605"/>
      <c r="CN103" s="605"/>
      <c r="CO103" s="605"/>
      <c r="CP103" s="605"/>
      <c r="CQ103" s="605"/>
      <c r="CR103" s="605"/>
      <c r="CS103" s="605"/>
      <c r="CT103" s="605"/>
      <c r="CU103" s="606"/>
      <c r="CV103" s="604"/>
      <c r="CW103" s="605"/>
      <c r="CX103" s="605"/>
      <c r="CY103" s="605"/>
      <c r="CZ103" s="605"/>
      <c r="DA103" s="605"/>
      <c r="DB103" s="605"/>
      <c r="DC103" s="605"/>
      <c r="DD103" s="605"/>
      <c r="DE103" s="606"/>
      <c r="DF103" s="1582">
        <f>DT103+DW103+DX103+DY103</f>
        <v>130000</v>
      </c>
      <c r="DG103" s="1583"/>
      <c r="DH103" s="1583"/>
      <c r="DI103" s="1583"/>
      <c r="DJ103" s="1583"/>
      <c r="DK103" s="1583"/>
      <c r="DL103" s="1583"/>
      <c r="DM103" s="1583"/>
      <c r="DN103" s="1583"/>
      <c r="DO103" s="1583"/>
      <c r="DP103" s="1583"/>
      <c r="DQ103" s="1583"/>
      <c r="DR103" s="1583"/>
      <c r="DS103" s="1584"/>
      <c r="DT103" s="478">
        <f>100000+30000</f>
        <v>130000</v>
      </c>
      <c r="DU103" s="478">
        <v>0</v>
      </c>
      <c r="DV103" s="478"/>
      <c r="DW103" s="478"/>
      <c r="DX103" s="478"/>
      <c r="DY103" s="478"/>
    </row>
    <row r="104" spans="1:137" ht="33" customHeight="1" x14ac:dyDescent="0.25">
      <c r="A104" s="1585" t="s">
        <v>1731</v>
      </c>
      <c r="B104" s="1586"/>
      <c r="C104" s="1586"/>
      <c r="D104" s="1586"/>
      <c r="E104" s="1586"/>
      <c r="F104" s="1586"/>
      <c r="G104" s="1586"/>
      <c r="H104" s="1586"/>
      <c r="I104" s="1586"/>
      <c r="J104" s="1586"/>
      <c r="K104" s="1586"/>
      <c r="L104" s="1586"/>
      <c r="M104" s="1586"/>
      <c r="N104" s="1586"/>
      <c r="O104" s="1586"/>
      <c r="P104" s="1586"/>
      <c r="Q104" s="1586"/>
      <c r="R104" s="1586"/>
      <c r="S104" s="1586"/>
      <c r="T104" s="1587"/>
      <c r="U104" s="1582" t="s">
        <v>3</v>
      </c>
      <c r="V104" s="1583"/>
      <c r="W104" s="1583"/>
      <c r="X104" s="1583"/>
      <c r="Y104" s="1583"/>
      <c r="Z104" s="1583"/>
      <c r="AA104" s="1583"/>
      <c r="AB104" s="1583"/>
      <c r="AC104" s="1583"/>
      <c r="AD104" s="1583"/>
      <c r="AE104" s="1583"/>
      <c r="AF104" s="1584"/>
      <c r="AG104" s="1582" t="s">
        <v>3</v>
      </c>
      <c r="AH104" s="1583"/>
      <c r="AI104" s="1583"/>
      <c r="AJ104" s="1583"/>
      <c r="AK104" s="1583"/>
      <c r="AL104" s="1583"/>
      <c r="AM104" s="1583"/>
      <c r="AN104" s="1583"/>
      <c r="AO104" s="1583"/>
      <c r="AP104" s="1583"/>
      <c r="AQ104" s="1583"/>
      <c r="AR104" s="1583"/>
      <c r="AS104" s="1583"/>
      <c r="AT104" s="1584"/>
      <c r="AU104" s="1582" t="s">
        <v>3</v>
      </c>
      <c r="AV104" s="1583"/>
      <c r="AW104" s="1583"/>
      <c r="AX104" s="1583"/>
      <c r="AY104" s="1583"/>
      <c r="AZ104" s="1583"/>
      <c r="BA104" s="1583"/>
      <c r="BB104" s="1583"/>
      <c r="BC104" s="1583"/>
      <c r="BD104" s="1583"/>
      <c r="BE104" s="1583"/>
      <c r="BF104" s="1583"/>
      <c r="BG104" s="1583"/>
      <c r="BH104" s="1584"/>
      <c r="BI104" s="1582" t="s">
        <v>3</v>
      </c>
      <c r="BJ104" s="1583"/>
      <c r="BK104" s="1583"/>
      <c r="BL104" s="1583"/>
      <c r="BM104" s="1583"/>
      <c r="BN104" s="1583"/>
      <c r="BO104" s="1583"/>
      <c r="BP104" s="1583"/>
      <c r="BQ104" s="1583"/>
      <c r="BR104" s="1583"/>
      <c r="BS104" s="1583"/>
      <c r="BT104" s="1583"/>
      <c r="BU104" s="1583"/>
      <c r="BV104" s="1584"/>
      <c r="BW104" s="1582" t="s">
        <v>3</v>
      </c>
      <c r="BX104" s="1583"/>
      <c r="BY104" s="1583"/>
      <c r="BZ104" s="1583"/>
      <c r="CA104" s="1583"/>
      <c r="CB104" s="1583"/>
      <c r="CC104" s="1583"/>
      <c r="CD104" s="1583"/>
      <c r="CE104" s="1583"/>
      <c r="CF104" s="1583"/>
      <c r="CG104" s="1583"/>
      <c r="CH104" s="1583"/>
      <c r="CI104" s="1583"/>
      <c r="CJ104" s="1584"/>
      <c r="CK104" s="1582" t="s">
        <v>3</v>
      </c>
      <c r="CL104" s="1583"/>
      <c r="CM104" s="1583"/>
      <c r="CN104" s="1583"/>
      <c r="CO104" s="1583"/>
      <c r="CP104" s="1583"/>
      <c r="CQ104" s="1583"/>
      <c r="CR104" s="1583"/>
      <c r="CS104" s="1583"/>
      <c r="CT104" s="1583"/>
      <c r="CU104" s="1584"/>
      <c r="CV104" s="1582" t="s">
        <v>3</v>
      </c>
      <c r="CW104" s="1583"/>
      <c r="CX104" s="1583"/>
      <c r="CY104" s="1583"/>
      <c r="CZ104" s="1583"/>
      <c r="DA104" s="1583"/>
      <c r="DB104" s="1583"/>
      <c r="DC104" s="1583"/>
      <c r="DD104" s="1583"/>
      <c r="DE104" s="1584"/>
      <c r="DF104" s="1585">
        <f>DF103</f>
        <v>130000</v>
      </c>
      <c r="DG104" s="1586"/>
      <c r="DH104" s="1586"/>
      <c r="DI104" s="1586"/>
      <c r="DJ104" s="1586"/>
      <c r="DK104" s="1586"/>
      <c r="DL104" s="1586"/>
      <c r="DM104" s="1586"/>
      <c r="DN104" s="1586"/>
      <c r="DO104" s="1586"/>
      <c r="DP104" s="1586"/>
      <c r="DQ104" s="1586"/>
      <c r="DR104" s="1586"/>
      <c r="DS104" s="1587"/>
      <c r="DT104" s="478">
        <f>DT103</f>
        <v>130000</v>
      </c>
      <c r="DU104" s="478">
        <f>DU103</f>
        <v>0</v>
      </c>
      <c r="DV104" s="478"/>
      <c r="DW104" s="478">
        <f>SUM(DW99:DW102)</f>
        <v>0</v>
      </c>
      <c r="DX104" s="478">
        <f>SUM(DX99:DX102)</f>
        <v>0</v>
      </c>
      <c r="DY104" s="478">
        <f>SUM(DY99:DY102)</f>
        <v>0</v>
      </c>
    </row>
    <row r="115" spans="129:129" x14ac:dyDescent="0.25">
      <c r="DY115" s="41" t="s">
        <v>1626</v>
      </c>
    </row>
  </sheetData>
  <mergeCells count="883">
    <mergeCell ref="DF97:DS97"/>
    <mergeCell ref="A67:T67"/>
    <mergeCell ref="DF67:DS67"/>
    <mergeCell ref="A68:T68"/>
    <mergeCell ref="U68:AF68"/>
    <mergeCell ref="AG68:AT68"/>
    <mergeCell ref="AU68:BH68"/>
    <mergeCell ref="BI68:BV68"/>
    <mergeCell ref="BW68:CJ68"/>
    <mergeCell ref="CK68:CU68"/>
    <mergeCell ref="CV68:DE68"/>
    <mergeCell ref="DF68:DS68"/>
    <mergeCell ref="A69:AQ69"/>
    <mergeCell ref="A70:D70"/>
    <mergeCell ref="E70:T70"/>
    <mergeCell ref="U70:AF70"/>
    <mergeCell ref="AG70:CJ70"/>
    <mergeCell ref="CK70:CU70"/>
    <mergeCell ref="CV70:DE70"/>
    <mergeCell ref="DF70:DS70"/>
    <mergeCell ref="DF75:DS75"/>
    <mergeCell ref="A76:D76"/>
    <mergeCell ref="E76:T76"/>
    <mergeCell ref="U76:AF76"/>
    <mergeCell ref="A66:T66"/>
    <mergeCell ref="U66:AF66"/>
    <mergeCell ref="AG66:AT66"/>
    <mergeCell ref="AU66:BH66"/>
    <mergeCell ref="BI66:BV66"/>
    <mergeCell ref="BW66:CJ66"/>
    <mergeCell ref="CK66:CU66"/>
    <mergeCell ref="CV66:DE66"/>
    <mergeCell ref="DF66:DS66"/>
    <mergeCell ref="DF64:DS64"/>
    <mergeCell ref="A65:D65"/>
    <mergeCell ref="E65:T65"/>
    <mergeCell ref="U65:AF65"/>
    <mergeCell ref="AG65:AT65"/>
    <mergeCell ref="AU65:BH65"/>
    <mergeCell ref="BI65:BV65"/>
    <mergeCell ref="BW65:CJ65"/>
    <mergeCell ref="CK65:CU65"/>
    <mergeCell ref="CV65:DE65"/>
    <mergeCell ref="DF65:DS65"/>
    <mergeCell ref="A64:D64"/>
    <mergeCell ref="E64:T64"/>
    <mergeCell ref="U64:AF64"/>
    <mergeCell ref="AG64:AT64"/>
    <mergeCell ref="AU64:BH64"/>
    <mergeCell ref="BI64:BV64"/>
    <mergeCell ref="BW64:CJ64"/>
    <mergeCell ref="CK64:CU64"/>
    <mergeCell ref="CV64:DE64"/>
    <mergeCell ref="DF62:DS62"/>
    <mergeCell ref="A63:D63"/>
    <mergeCell ref="E63:T63"/>
    <mergeCell ref="U63:AF63"/>
    <mergeCell ref="AG63:AT63"/>
    <mergeCell ref="AU63:BH63"/>
    <mergeCell ref="BI63:BV63"/>
    <mergeCell ref="BW63:CJ63"/>
    <mergeCell ref="CK63:CU63"/>
    <mergeCell ref="CV63:DE63"/>
    <mergeCell ref="DF63:DS63"/>
    <mergeCell ref="A62:D62"/>
    <mergeCell ref="E62:T62"/>
    <mergeCell ref="U62:AF62"/>
    <mergeCell ref="AG62:AT62"/>
    <mergeCell ref="AU62:BH62"/>
    <mergeCell ref="BI62:BV62"/>
    <mergeCell ref="BW62:CJ62"/>
    <mergeCell ref="CK62:CU62"/>
    <mergeCell ref="CV62:DE62"/>
    <mergeCell ref="DF60:DS60"/>
    <mergeCell ref="A61:D61"/>
    <mergeCell ref="E61:T61"/>
    <mergeCell ref="U61:AF61"/>
    <mergeCell ref="AG61:AT61"/>
    <mergeCell ref="AU61:BH61"/>
    <mergeCell ref="BI61:BV61"/>
    <mergeCell ref="BW61:CJ61"/>
    <mergeCell ref="CK61:CU61"/>
    <mergeCell ref="CV61:DE61"/>
    <mergeCell ref="DF61:DS61"/>
    <mergeCell ref="A60:D60"/>
    <mergeCell ref="E60:T60"/>
    <mergeCell ref="U60:AF60"/>
    <mergeCell ref="AG60:AT60"/>
    <mergeCell ref="AU60:BH60"/>
    <mergeCell ref="BI60:BV60"/>
    <mergeCell ref="BW60:CJ60"/>
    <mergeCell ref="CK60:CU60"/>
    <mergeCell ref="CV60:DE60"/>
    <mergeCell ref="DF58:DS58"/>
    <mergeCell ref="A59:D59"/>
    <mergeCell ref="E59:T59"/>
    <mergeCell ref="U59:AF59"/>
    <mergeCell ref="AG59:AT59"/>
    <mergeCell ref="AU59:BH59"/>
    <mergeCell ref="BI59:BV59"/>
    <mergeCell ref="BW59:CJ59"/>
    <mergeCell ref="CK59:CU59"/>
    <mergeCell ref="CV59:DE59"/>
    <mergeCell ref="DF59:DS59"/>
    <mergeCell ref="A58:D58"/>
    <mergeCell ref="E58:T58"/>
    <mergeCell ref="U58:AF58"/>
    <mergeCell ref="AG58:AT58"/>
    <mergeCell ref="AU58:BH58"/>
    <mergeCell ref="BI58:BV58"/>
    <mergeCell ref="BW58:CJ58"/>
    <mergeCell ref="CK58:CU58"/>
    <mergeCell ref="CV58:DE58"/>
    <mergeCell ref="DF56:DS56"/>
    <mergeCell ref="A57:D57"/>
    <mergeCell ref="E57:T57"/>
    <mergeCell ref="U57:AF57"/>
    <mergeCell ref="AG57:AT57"/>
    <mergeCell ref="AU57:BH57"/>
    <mergeCell ref="BI57:BV57"/>
    <mergeCell ref="BW57:CJ57"/>
    <mergeCell ref="CK57:CU57"/>
    <mergeCell ref="CV57:DE57"/>
    <mergeCell ref="DF57:DS57"/>
    <mergeCell ref="A56:D56"/>
    <mergeCell ref="E56:T56"/>
    <mergeCell ref="U56:AF56"/>
    <mergeCell ref="AG56:AT56"/>
    <mergeCell ref="AU56:BH56"/>
    <mergeCell ref="BI56:BV56"/>
    <mergeCell ref="BW56:CJ56"/>
    <mergeCell ref="CK56:CU56"/>
    <mergeCell ref="CV56:DE56"/>
    <mergeCell ref="DF54:DS54"/>
    <mergeCell ref="A55:D55"/>
    <mergeCell ref="E55:T55"/>
    <mergeCell ref="U55:AF55"/>
    <mergeCell ref="AG55:AT55"/>
    <mergeCell ref="AU55:BH55"/>
    <mergeCell ref="BI55:BV55"/>
    <mergeCell ref="BW55:CJ55"/>
    <mergeCell ref="CK55:CU55"/>
    <mergeCell ref="CV55:DE55"/>
    <mergeCell ref="DF55:DS55"/>
    <mergeCell ref="A54:D54"/>
    <mergeCell ref="E54:T54"/>
    <mergeCell ref="U54:AF54"/>
    <mergeCell ref="AG54:AT54"/>
    <mergeCell ref="AU54:BH54"/>
    <mergeCell ref="BI54:BV54"/>
    <mergeCell ref="BW54:CJ54"/>
    <mergeCell ref="CK54:CU54"/>
    <mergeCell ref="CV54:DE54"/>
    <mergeCell ref="DF52:DS52"/>
    <mergeCell ref="A53:D53"/>
    <mergeCell ref="E53:T53"/>
    <mergeCell ref="U53:AF53"/>
    <mergeCell ref="AG53:AT53"/>
    <mergeCell ref="AU53:BH53"/>
    <mergeCell ref="BI53:BV53"/>
    <mergeCell ref="BW53:CJ53"/>
    <mergeCell ref="CK53:CU53"/>
    <mergeCell ref="CV53:DE53"/>
    <mergeCell ref="DF53:DS53"/>
    <mergeCell ref="A52:D52"/>
    <mergeCell ref="E52:T52"/>
    <mergeCell ref="U52:AF52"/>
    <mergeCell ref="AG52:AT52"/>
    <mergeCell ref="AU52:BH52"/>
    <mergeCell ref="BI52:BV52"/>
    <mergeCell ref="BW52:CJ52"/>
    <mergeCell ref="CK52:CU52"/>
    <mergeCell ref="CV52:DE52"/>
    <mergeCell ref="DF50:DS50"/>
    <mergeCell ref="A51:D51"/>
    <mergeCell ref="E51:T51"/>
    <mergeCell ref="U51:AF51"/>
    <mergeCell ref="AG51:AT51"/>
    <mergeCell ref="AU51:BH51"/>
    <mergeCell ref="BI51:BV51"/>
    <mergeCell ref="BW51:CJ51"/>
    <mergeCell ref="CK51:CU51"/>
    <mergeCell ref="CV51:DE51"/>
    <mergeCell ref="DF51:DS51"/>
    <mergeCell ref="A50:D50"/>
    <mergeCell ref="E50:T50"/>
    <mergeCell ref="U50:AF50"/>
    <mergeCell ref="AG50:AT50"/>
    <mergeCell ref="AU50:BH50"/>
    <mergeCell ref="BI50:BV50"/>
    <mergeCell ref="BW50:CJ50"/>
    <mergeCell ref="CK50:CU50"/>
    <mergeCell ref="CV50:DE50"/>
    <mergeCell ref="DF48:DS48"/>
    <mergeCell ref="A49:D49"/>
    <mergeCell ref="E49:T49"/>
    <mergeCell ref="U49:AF49"/>
    <mergeCell ref="AG49:AT49"/>
    <mergeCell ref="AU49:BH49"/>
    <mergeCell ref="BI49:BV49"/>
    <mergeCell ref="BW49:CJ49"/>
    <mergeCell ref="CK49:CU49"/>
    <mergeCell ref="CV49:DE49"/>
    <mergeCell ref="DF49:DS49"/>
    <mergeCell ref="A48:D48"/>
    <mergeCell ref="E48:T48"/>
    <mergeCell ref="U48:AF48"/>
    <mergeCell ref="AG48:AT48"/>
    <mergeCell ref="AU48:BH48"/>
    <mergeCell ref="BI48:BV48"/>
    <mergeCell ref="BW48:CJ48"/>
    <mergeCell ref="CK48:CU48"/>
    <mergeCell ref="CV48:DE48"/>
    <mergeCell ref="DF46:DS46"/>
    <mergeCell ref="A47:D47"/>
    <mergeCell ref="E47:T47"/>
    <mergeCell ref="U47:AF47"/>
    <mergeCell ref="AG47:AT47"/>
    <mergeCell ref="AU47:BH47"/>
    <mergeCell ref="BI47:BV47"/>
    <mergeCell ref="BW47:CJ47"/>
    <mergeCell ref="CK47:CU47"/>
    <mergeCell ref="CV47:DE47"/>
    <mergeCell ref="DF47:DS47"/>
    <mergeCell ref="A46:D46"/>
    <mergeCell ref="E46:T46"/>
    <mergeCell ref="U46:AF46"/>
    <mergeCell ref="AG46:AT46"/>
    <mergeCell ref="AU46:BH46"/>
    <mergeCell ref="BI46:BV46"/>
    <mergeCell ref="BW46:CJ46"/>
    <mergeCell ref="CK46:CU46"/>
    <mergeCell ref="CV46:DE46"/>
    <mergeCell ref="AG44:AT44"/>
    <mergeCell ref="AU44:BH44"/>
    <mergeCell ref="BI44:BV44"/>
    <mergeCell ref="BW44:CJ44"/>
    <mergeCell ref="CK44:CU44"/>
    <mergeCell ref="CV44:DE44"/>
    <mergeCell ref="DF44:DS44"/>
    <mergeCell ref="A45:D45"/>
    <mergeCell ref="E45:T45"/>
    <mergeCell ref="U45:AF45"/>
    <mergeCell ref="AG45:AT45"/>
    <mergeCell ref="AU45:BH45"/>
    <mergeCell ref="BI45:BV45"/>
    <mergeCell ref="BW45:CJ45"/>
    <mergeCell ref="CK45:CU45"/>
    <mergeCell ref="CV45:DE45"/>
    <mergeCell ref="DF45:DS45"/>
    <mergeCell ref="DT41:DU41"/>
    <mergeCell ref="DV41:DX41"/>
    <mergeCell ref="DY41:DY44"/>
    <mergeCell ref="A42:D42"/>
    <mergeCell ref="E42:T42"/>
    <mergeCell ref="U42:AF42"/>
    <mergeCell ref="CK42:CU42"/>
    <mergeCell ref="CV42:DE42"/>
    <mergeCell ref="DF42:DS42"/>
    <mergeCell ref="DT42:DT44"/>
    <mergeCell ref="DU42:DU44"/>
    <mergeCell ref="DV42:DV44"/>
    <mergeCell ref="DW42:DW44"/>
    <mergeCell ref="DX42:DX44"/>
    <mergeCell ref="A43:D43"/>
    <mergeCell ref="E43:T43"/>
    <mergeCell ref="U43:AF43"/>
    <mergeCell ref="AG43:AT43"/>
    <mergeCell ref="CK43:CU43"/>
    <mergeCell ref="CV43:DE43"/>
    <mergeCell ref="DF43:DS43"/>
    <mergeCell ref="A44:D44"/>
    <mergeCell ref="E44:T44"/>
    <mergeCell ref="U44:AF44"/>
    <mergeCell ref="AU43:BH43"/>
    <mergeCell ref="BI43:BV43"/>
    <mergeCell ref="BW43:CJ43"/>
    <mergeCell ref="A40:D40"/>
    <mergeCell ref="E40:T40"/>
    <mergeCell ref="U40:AF40"/>
    <mergeCell ref="CK40:CU40"/>
    <mergeCell ref="CV40:DE40"/>
    <mergeCell ref="DF40:DS40"/>
    <mergeCell ref="AG40:CJ40"/>
    <mergeCell ref="A41:D41"/>
    <mergeCell ref="E41:T41"/>
    <mergeCell ref="U41:AF41"/>
    <mergeCell ref="AG41:AT41"/>
    <mergeCell ref="CK41:CU41"/>
    <mergeCell ref="CV41:DE41"/>
    <mergeCell ref="DF41:DS41"/>
    <mergeCell ref="AG42:AT42"/>
    <mergeCell ref="AU42:BH42"/>
    <mergeCell ref="BI42:BV42"/>
    <mergeCell ref="BW42:CJ42"/>
    <mergeCell ref="AU41:CJ41"/>
    <mergeCell ref="DT40:DY40"/>
    <mergeCell ref="A39:AQ39"/>
    <mergeCell ref="CK27:CU27"/>
    <mergeCell ref="CV27:DE27"/>
    <mergeCell ref="DF27:DS27"/>
    <mergeCell ref="DF35:DS35"/>
    <mergeCell ref="A36:T36"/>
    <mergeCell ref="AG25:AT25"/>
    <mergeCell ref="AU25:BH25"/>
    <mergeCell ref="BI25:BV25"/>
    <mergeCell ref="BW25:CJ25"/>
    <mergeCell ref="CK25:CU25"/>
    <mergeCell ref="CV25:DE25"/>
    <mergeCell ref="DF25:DS25"/>
    <mergeCell ref="A28:D28"/>
    <mergeCell ref="E28:T28"/>
    <mergeCell ref="U28:AF28"/>
    <mergeCell ref="AG28:AT28"/>
    <mergeCell ref="AU28:BH28"/>
    <mergeCell ref="BI28:BV28"/>
    <mergeCell ref="BW28:CJ28"/>
    <mergeCell ref="CK28:CU28"/>
    <mergeCell ref="CV28:DE28"/>
    <mergeCell ref="DF28:DS28"/>
    <mergeCell ref="A27:D27"/>
    <mergeCell ref="E27:T27"/>
    <mergeCell ref="U27:AF27"/>
    <mergeCell ref="AG27:AT27"/>
    <mergeCell ref="AU27:BH27"/>
    <mergeCell ref="BI27:BV27"/>
    <mergeCell ref="BW27:CJ27"/>
    <mergeCell ref="A19:D19"/>
    <mergeCell ref="E19:T19"/>
    <mergeCell ref="U19:AF19"/>
    <mergeCell ref="AG19:AT19"/>
    <mergeCell ref="AU19:BH19"/>
    <mergeCell ref="BI19:BV19"/>
    <mergeCell ref="BW19:CJ19"/>
    <mergeCell ref="A20:D20"/>
    <mergeCell ref="U21:AF21"/>
    <mergeCell ref="AG21:AT21"/>
    <mergeCell ref="CK19:CU19"/>
    <mergeCell ref="CV19:DE19"/>
    <mergeCell ref="E20:T20"/>
    <mergeCell ref="U20:AF20"/>
    <mergeCell ref="AG20:AT20"/>
    <mergeCell ref="AU20:BH20"/>
    <mergeCell ref="BI20:BV20"/>
    <mergeCell ref="BW20:CJ20"/>
    <mergeCell ref="CK20:CU20"/>
    <mergeCell ref="CV20:DE20"/>
    <mergeCell ref="DF20:DS20"/>
    <mergeCell ref="E25:T25"/>
    <mergeCell ref="U25:AF25"/>
    <mergeCell ref="DF17:DS17"/>
    <mergeCell ref="A18:D18"/>
    <mergeCell ref="E18:T18"/>
    <mergeCell ref="U18:AF18"/>
    <mergeCell ref="AG18:AT18"/>
    <mergeCell ref="AU18:BH18"/>
    <mergeCell ref="BI18:BV18"/>
    <mergeCell ref="BW18:CJ18"/>
    <mergeCell ref="CK18:CU18"/>
    <mergeCell ref="CV18:DE18"/>
    <mergeCell ref="DF18:DS18"/>
    <mergeCell ref="A17:D17"/>
    <mergeCell ref="E17:T17"/>
    <mergeCell ref="U17:AF17"/>
    <mergeCell ref="AG17:AT17"/>
    <mergeCell ref="AU17:BH17"/>
    <mergeCell ref="BI17:BV17"/>
    <mergeCell ref="BW17:CJ17"/>
    <mergeCell ref="CK17:CU17"/>
    <mergeCell ref="CV17:DE17"/>
    <mergeCell ref="DF19:DS19"/>
    <mergeCell ref="CK23:CU23"/>
    <mergeCell ref="CV23:DE23"/>
    <mergeCell ref="DF23:DS23"/>
    <mergeCell ref="A26:D26"/>
    <mergeCell ref="E26:T26"/>
    <mergeCell ref="U26:AF26"/>
    <mergeCell ref="AG26:AT26"/>
    <mergeCell ref="AU26:BH26"/>
    <mergeCell ref="BI26:BV26"/>
    <mergeCell ref="BW26:CJ26"/>
    <mergeCell ref="CK26:CU26"/>
    <mergeCell ref="CV26:DE26"/>
    <mergeCell ref="DF26:DS26"/>
    <mergeCell ref="A24:D24"/>
    <mergeCell ref="E24:T24"/>
    <mergeCell ref="U24:AF24"/>
    <mergeCell ref="AG24:AT24"/>
    <mergeCell ref="AU24:BH24"/>
    <mergeCell ref="BI24:BV24"/>
    <mergeCell ref="BW24:CJ24"/>
    <mergeCell ref="CK24:CU24"/>
    <mergeCell ref="CV24:DE24"/>
    <mergeCell ref="DF24:DS24"/>
    <mergeCell ref="A25:D25"/>
    <mergeCell ref="EF36:EO36"/>
    <mergeCell ref="AU21:BH21"/>
    <mergeCell ref="BI21:BV21"/>
    <mergeCell ref="BW21:CJ21"/>
    <mergeCell ref="CK21:CU21"/>
    <mergeCell ref="CV21:DE21"/>
    <mergeCell ref="DF21:DS21"/>
    <mergeCell ref="A22:D22"/>
    <mergeCell ref="E22:T22"/>
    <mergeCell ref="U22:AF22"/>
    <mergeCell ref="AG22:AT22"/>
    <mergeCell ref="AU22:BH22"/>
    <mergeCell ref="BI22:BV22"/>
    <mergeCell ref="BW22:CJ22"/>
    <mergeCell ref="CK22:CU22"/>
    <mergeCell ref="CV22:DE22"/>
    <mergeCell ref="DF22:DS22"/>
    <mergeCell ref="A23:D23"/>
    <mergeCell ref="E23:T23"/>
    <mergeCell ref="U23:AF23"/>
    <mergeCell ref="AG23:AT23"/>
    <mergeCell ref="AU23:BH23"/>
    <mergeCell ref="BI23:BV23"/>
    <mergeCell ref="BW23:CJ23"/>
    <mergeCell ref="U36:AF36"/>
    <mergeCell ref="AG36:AT36"/>
    <mergeCell ref="AU36:BH36"/>
    <mergeCell ref="BI36:BV36"/>
    <mergeCell ref="BW36:CJ36"/>
    <mergeCell ref="CK36:CU36"/>
    <mergeCell ref="CV36:DE36"/>
    <mergeCell ref="DF36:DS36"/>
    <mergeCell ref="A35:D35"/>
    <mergeCell ref="E35:T35"/>
    <mergeCell ref="U35:AF35"/>
    <mergeCell ref="AG35:AT35"/>
    <mergeCell ref="AU35:BH35"/>
    <mergeCell ref="BI35:BV35"/>
    <mergeCell ref="BW35:CJ35"/>
    <mergeCell ref="CK35:CU35"/>
    <mergeCell ref="CV35:DE35"/>
    <mergeCell ref="DF32:DS32"/>
    <mergeCell ref="DF33:DS33"/>
    <mergeCell ref="A34:D34"/>
    <mergeCell ref="E34:T34"/>
    <mergeCell ref="U34:AF34"/>
    <mergeCell ref="AG34:AT34"/>
    <mergeCell ref="AU34:BH34"/>
    <mergeCell ref="BI34:BV34"/>
    <mergeCell ref="BW34:CJ34"/>
    <mergeCell ref="CK34:CU34"/>
    <mergeCell ref="CV34:DE34"/>
    <mergeCell ref="DF34:DS34"/>
    <mergeCell ref="A33:D33"/>
    <mergeCell ref="E33:T33"/>
    <mergeCell ref="U33:AF33"/>
    <mergeCell ref="AG33:AT33"/>
    <mergeCell ref="AU33:BH33"/>
    <mergeCell ref="BI33:BV33"/>
    <mergeCell ref="BW33:CJ33"/>
    <mergeCell ref="CK33:CU33"/>
    <mergeCell ref="CV33:DE33"/>
    <mergeCell ref="A32:D32"/>
    <mergeCell ref="E32:T32"/>
    <mergeCell ref="U32:AF32"/>
    <mergeCell ref="AG32:AT32"/>
    <mergeCell ref="AU32:BH32"/>
    <mergeCell ref="BI32:BV32"/>
    <mergeCell ref="BW32:CJ32"/>
    <mergeCell ref="CK32:CU32"/>
    <mergeCell ref="CV32:DE32"/>
    <mergeCell ref="DF30:DS30"/>
    <mergeCell ref="A31:D31"/>
    <mergeCell ref="E31:T31"/>
    <mergeCell ref="U31:AF31"/>
    <mergeCell ref="AG31:AT31"/>
    <mergeCell ref="AU31:BH31"/>
    <mergeCell ref="BI31:BV31"/>
    <mergeCell ref="BW31:CJ31"/>
    <mergeCell ref="CK31:CU31"/>
    <mergeCell ref="CV31:DE31"/>
    <mergeCell ref="DF31:DS31"/>
    <mergeCell ref="A30:D30"/>
    <mergeCell ref="E30:T30"/>
    <mergeCell ref="U30:AF30"/>
    <mergeCell ref="AG30:AT30"/>
    <mergeCell ref="AU30:BH30"/>
    <mergeCell ref="BI30:BV30"/>
    <mergeCell ref="BW30:CJ30"/>
    <mergeCell ref="CK30:CU30"/>
    <mergeCell ref="CV30:DE30"/>
    <mergeCell ref="DF16:DS16"/>
    <mergeCell ref="A29:D29"/>
    <mergeCell ref="E29:T29"/>
    <mergeCell ref="U29:AF29"/>
    <mergeCell ref="AG29:AT29"/>
    <mergeCell ref="AU29:BH29"/>
    <mergeCell ref="BI29:BV29"/>
    <mergeCell ref="BW29:CJ29"/>
    <mergeCell ref="CK29:CU29"/>
    <mergeCell ref="CV29:DE29"/>
    <mergeCell ref="DF29:DS29"/>
    <mergeCell ref="A16:D16"/>
    <mergeCell ref="E16:T16"/>
    <mergeCell ref="U16:AF16"/>
    <mergeCell ref="AG16:AT16"/>
    <mergeCell ref="AU16:BH16"/>
    <mergeCell ref="BI16:BV16"/>
    <mergeCell ref="BW16:CJ16"/>
    <mergeCell ref="CK16:CU16"/>
    <mergeCell ref="CV16:DE16"/>
    <mergeCell ref="A21:D21"/>
    <mergeCell ref="E21:T21"/>
    <mergeCell ref="CK13:CU13"/>
    <mergeCell ref="CV13:DE13"/>
    <mergeCell ref="DF13:DS13"/>
    <mergeCell ref="BW14:CJ14"/>
    <mergeCell ref="CK14:CU14"/>
    <mergeCell ref="CV14:DE14"/>
    <mergeCell ref="DF14:DS14"/>
    <mergeCell ref="A15:D15"/>
    <mergeCell ref="E15:T15"/>
    <mergeCell ref="U15:AF15"/>
    <mergeCell ref="AG15:AT15"/>
    <mergeCell ref="AU15:BH15"/>
    <mergeCell ref="BI15:BV15"/>
    <mergeCell ref="BW15:CJ15"/>
    <mergeCell ref="A14:D14"/>
    <mergeCell ref="E14:T14"/>
    <mergeCell ref="U14:AF14"/>
    <mergeCell ref="AG14:AT14"/>
    <mergeCell ref="AU14:BH14"/>
    <mergeCell ref="BI14:BV14"/>
    <mergeCell ref="CK15:CU15"/>
    <mergeCell ref="CV15:DE15"/>
    <mergeCell ref="DF15:DS15"/>
    <mergeCell ref="DV11:DX11"/>
    <mergeCell ref="DY11:DY14"/>
    <mergeCell ref="A12:D12"/>
    <mergeCell ref="E12:T12"/>
    <mergeCell ref="U12:AF12"/>
    <mergeCell ref="AG12:AT12"/>
    <mergeCell ref="AU12:BH12"/>
    <mergeCell ref="BI12:BV12"/>
    <mergeCell ref="DV12:DV14"/>
    <mergeCell ref="DW12:DW14"/>
    <mergeCell ref="DX12:DX14"/>
    <mergeCell ref="A13:D13"/>
    <mergeCell ref="E13:T13"/>
    <mergeCell ref="U13:AF13"/>
    <mergeCell ref="AG13:AT13"/>
    <mergeCell ref="AU13:BH13"/>
    <mergeCell ref="BI13:BV13"/>
    <mergeCell ref="BW13:CJ13"/>
    <mergeCell ref="BW12:CJ12"/>
    <mergeCell ref="CK12:CU12"/>
    <mergeCell ref="CV12:DE12"/>
    <mergeCell ref="DF12:DS12"/>
    <mergeCell ref="DT12:DT14"/>
    <mergeCell ref="DU12:DU14"/>
    <mergeCell ref="A11:D11"/>
    <mergeCell ref="E11:T11"/>
    <mergeCell ref="U11:AF11"/>
    <mergeCell ref="AG11:AT11"/>
    <mergeCell ref="AU11:CJ11"/>
    <mergeCell ref="CK11:CU11"/>
    <mergeCell ref="CV11:DE11"/>
    <mergeCell ref="DF11:DS11"/>
    <mergeCell ref="DT11:DU11"/>
    <mergeCell ref="A3:DY3"/>
    <mergeCell ref="C4:DY4"/>
    <mergeCell ref="A5:DS5"/>
    <mergeCell ref="A7:DS7"/>
    <mergeCell ref="A9:AQ9"/>
    <mergeCell ref="A10:D10"/>
    <mergeCell ref="E10:T10"/>
    <mergeCell ref="U10:AF10"/>
    <mergeCell ref="AG10:CJ10"/>
    <mergeCell ref="CK10:CU10"/>
    <mergeCell ref="CV10:DE10"/>
    <mergeCell ref="DF10:DS10"/>
    <mergeCell ref="DT10:DY10"/>
    <mergeCell ref="EF38:EO38"/>
    <mergeCell ref="DF37:DS37"/>
    <mergeCell ref="A37:T37"/>
    <mergeCell ref="A38:T38"/>
    <mergeCell ref="U38:AF38"/>
    <mergeCell ref="AG38:AT38"/>
    <mergeCell ref="AU38:BH38"/>
    <mergeCell ref="BI38:BV38"/>
    <mergeCell ref="BW38:CJ38"/>
    <mergeCell ref="CK38:CU38"/>
    <mergeCell ref="CV38:DE38"/>
    <mergeCell ref="DF38:DS38"/>
    <mergeCell ref="DT70:DY70"/>
    <mergeCell ref="A71:D71"/>
    <mergeCell ref="E71:T71"/>
    <mergeCell ref="U71:AF71"/>
    <mergeCell ref="AG71:AT71"/>
    <mergeCell ref="AU71:CJ71"/>
    <mergeCell ref="CK71:CU71"/>
    <mergeCell ref="CV71:DE71"/>
    <mergeCell ref="DF71:DS71"/>
    <mergeCell ref="DT71:DU71"/>
    <mergeCell ref="DV71:DX71"/>
    <mergeCell ref="DY71:DY74"/>
    <mergeCell ref="A72:D72"/>
    <mergeCell ref="E72:T72"/>
    <mergeCell ref="U72:AF72"/>
    <mergeCell ref="AG72:AT72"/>
    <mergeCell ref="AU72:BH72"/>
    <mergeCell ref="BI72:BV72"/>
    <mergeCell ref="BW72:CJ72"/>
    <mergeCell ref="CK72:CU72"/>
    <mergeCell ref="CV72:DE72"/>
    <mergeCell ref="DF72:DS72"/>
    <mergeCell ref="DT72:DT74"/>
    <mergeCell ref="DU72:DU74"/>
    <mergeCell ref="DV72:DV74"/>
    <mergeCell ref="DW72:DW74"/>
    <mergeCell ref="DX72:DX74"/>
    <mergeCell ref="A73:D73"/>
    <mergeCell ref="E73:T73"/>
    <mergeCell ref="U73:AF73"/>
    <mergeCell ref="AG73:AT73"/>
    <mergeCell ref="AU73:BH73"/>
    <mergeCell ref="BI73:BV73"/>
    <mergeCell ref="BW73:CJ73"/>
    <mergeCell ref="CK73:CU73"/>
    <mergeCell ref="CV73:DE73"/>
    <mergeCell ref="DF73:DS73"/>
    <mergeCell ref="A74:D74"/>
    <mergeCell ref="E74:T74"/>
    <mergeCell ref="U74:AF74"/>
    <mergeCell ref="AG74:AT74"/>
    <mergeCell ref="AU74:BH74"/>
    <mergeCell ref="BI74:BV74"/>
    <mergeCell ref="BW74:CJ74"/>
    <mergeCell ref="CK74:CU74"/>
    <mergeCell ref="CV74:DE74"/>
    <mergeCell ref="DF74:DS74"/>
    <mergeCell ref="AG76:AT76"/>
    <mergeCell ref="AU76:BH76"/>
    <mergeCell ref="BI76:BV76"/>
    <mergeCell ref="BW76:CJ76"/>
    <mergeCell ref="CK76:CU76"/>
    <mergeCell ref="CV76:DE76"/>
    <mergeCell ref="DF76:DS76"/>
    <mergeCell ref="A75:D75"/>
    <mergeCell ref="E75:T75"/>
    <mergeCell ref="U75:AF75"/>
    <mergeCell ref="AG75:AT75"/>
    <mergeCell ref="AU75:BH75"/>
    <mergeCell ref="BI75:BV75"/>
    <mergeCell ref="BW75:CJ75"/>
    <mergeCell ref="CK75:CU75"/>
    <mergeCell ref="CV75:DE75"/>
    <mergeCell ref="DF77:DS77"/>
    <mergeCell ref="A78:D78"/>
    <mergeCell ref="E78:T78"/>
    <mergeCell ref="U78:AF78"/>
    <mergeCell ref="AG78:AT78"/>
    <mergeCell ref="AU78:BH78"/>
    <mergeCell ref="BI78:BV78"/>
    <mergeCell ref="BW78:CJ78"/>
    <mergeCell ref="CK78:CU78"/>
    <mergeCell ref="CV78:DE78"/>
    <mergeCell ref="DF78:DS78"/>
    <mergeCell ref="A77:D77"/>
    <mergeCell ref="E77:T77"/>
    <mergeCell ref="U77:AF77"/>
    <mergeCell ref="AG77:AT77"/>
    <mergeCell ref="AU77:BH77"/>
    <mergeCell ref="BI77:BV77"/>
    <mergeCell ref="BW77:CJ77"/>
    <mergeCell ref="CK77:CU77"/>
    <mergeCell ref="CV77:DE77"/>
    <mergeCell ref="DF79:DS79"/>
    <mergeCell ref="A80:D80"/>
    <mergeCell ref="E80:T80"/>
    <mergeCell ref="U80:AF80"/>
    <mergeCell ref="AG80:AT80"/>
    <mergeCell ref="AU80:BH80"/>
    <mergeCell ref="BI80:BV80"/>
    <mergeCell ref="BW80:CJ80"/>
    <mergeCell ref="CK80:CU80"/>
    <mergeCell ref="CV80:DE80"/>
    <mergeCell ref="DF80:DS80"/>
    <mergeCell ref="A79:D79"/>
    <mergeCell ref="E79:T79"/>
    <mergeCell ref="U79:AF79"/>
    <mergeCell ref="AG79:AT79"/>
    <mergeCell ref="AU79:BH79"/>
    <mergeCell ref="BI79:BV79"/>
    <mergeCell ref="BW79:CJ79"/>
    <mergeCell ref="CK79:CU79"/>
    <mergeCell ref="CV79:DE79"/>
    <mergeCell ref="DF81:DS81"/>
    <mergeCell ref="A82:D82"/>
    <mergeCell ref="E82:T82"/>
    <mergeCell ref="U82:AF82"/>
    <mergeCell ref="AG82:AT82"/>
    <mergeCell ref="AU82:BH82"/>
    <mergeCell ref="BI82:BV82"/>
    <mergeCell ref="BW82:CJ82"/>
    <mergeCell ref="CK82:CU82"/>
    <mergeCell ref="CV82:DE82"/>
    <mergeCell ref="DF82:DS82"/>
    <mergeCell ref="A81:D81"/>
    <mergeCell ref="E81:T81"/>
    <mergeCell ref="U81:AF81"/>
    <mergeCell ref="AG81:AT81"/>
    <mergeCell ref="AU81:BH81"/>
    <mergeCell ref="BI81:BV81"/>
    <mergeCell ref="BW81:CJ81"/>
    <mergeCell ref="CK81:CU81"/>
    <mergeCell ref="CV81:DE81"/>
    <mergeCell ref="DF83:DS83"/>
    <mergeCell ref="A84:D84"/>
    <mergeCell ref="E84:T84"/>
    <mergeCell ref="U84:AF84"/>
    <mergeCell ref="AG84:AT84"/>
    <mergeCell ref="AU84:BH84"/>
    <mergeCell ref="BI84:BV84"/>
    <mergeCell ref="BW84:CJ84"/>
    <mergeCell ref="CK84:CU84"/>
    <mergeCell ref="CV84:DE84"/>
    <mergeCell ref="DF84:DS84"/>
    <mergeCell ref="A83:D83"/>
    <mergeCell ref="E83:T83"/>
    <mergeCell ref="U83:AF83"/>
    <mergeCell ref="AG83:AT83"/>
    <mergeCell ref="AU83:BH83"/>
    <mergeCell ref="BI83:BV83"/>
    <mergeCell ref="BW83:CJ83"/>
    <mergeCell ref="CK83:CU83"/>
    <mergeCell ref="CV83:DE83"/>
    <mergeCell ref="DF85:DS85"/>
    <mergeCell ref="A86:D86"/>
    <mergeCell ref="E86:T86"/>
    <mergeCell ref="U86:AF86"/>
    <mergeCell ref="AG86:AT86"/>
    <mergeCell ref="AU86:BH86"/>
    <mergeCell ref="BI86:BV86"/>
    <mergeCell ref="BW86:CJ86"/>
    <mergeCell ref="CK86:CU86"/>
    <mergeCell ref="CV86:DE86"/>
    <mergeCell ref="DF86:DS86"/>
    <mergeCell ref="A85:D85"/>
    <mergeCell ref="E85:T85"/>
    <mergeCell ref="U85:AF85"/>
    <mergeCell ref="AG85:AT85"/>
    <mergeCell ref="AU85:BH85"/>
    <mergeCell ref="BI85:BV85"/>
    <mergeCell ref="BW85:CJ85"/>
    <mergeCell ref="CK85:CU85"/>
    <mergeCell ref="CV85:DE85"/>
    <mergeCell ref="DF87:DS87"/>
    <mergeCell ref="A88:D88"/>
    <mergeCell ref="E88:T88"/>
    <mergeCell ref="U88:AF88"/>
    <mergeCell ref="AG88:AT88"/>
    <mergeCell ref="AU88:BH88"/>
    <mergeCell ref="BI88:BV88"/>
    <mergeCell ref="BW88:CJ88"/>
    <mergeCell ref="CK88:CU88"/>
    <mergeCell ref="CV88:DE88"/>
    <mergeCell ref="DF88:DS88"/>
    <mergeCell ref="A87:D87"/>
    <mergeCell ref="E87:T87"/>
    <mergeCell ref="U87:AF87"/>
    <mergeCell ref="AG87:AT87"/>
    <mergeCell ref="AU87:BH87"/>
    <mergeCell ref="BI87:BV87"/>
    <mergeCell ref="BW87:CJ87"/>
    <mergeCell ref="CK87:CU87"/>
    <mergeCell ref="CV87:DE87"/>
    <mergeCell ref="DF89:DS89"/>
    <mergeCell ref="A90:D90"/>
    <mergeCell ref="E90:T90"/>
    <mergeCell ref="U90:AF90"/>
    <mergeCell ref="AG90:AT90"/>
    <mergeCell ref="AU90:BH90"/>
    <mergeCell ref="BI90:BV90"/>
    <mergeCell ref="BW90:CJ90"/>
    <mergeCell ref="CK90:CU90"/>
    <mergeCell ref="CV90:DE90"/>
    <mergeCell ref="DF90:DS90"/>
    <mergeCell ref="A89:D89"/>
    <mergeCell ref="E89:T89"/>
    <mergeCell ref="U89:AF89"/>
    <mergeCell ref="AG89:AT89"/>
    <mergeCell ref="AU89:BH89"/>
    <mergeCell ref="BI89:BV89"/>
    <mergeCell ref="BW89:CJ89"/>
    <mergeCell ref="CK89:CU89"/>
    <mergeCell ref="CV89:DE89"/>
    <mergeCell ref="DF91:DS91"/>
    <mergeCell ref="A92:D92"/>
    <mergeCell ref="E92:T92"/>
    <mergeCell ref="U92:AF92"/>
    <mergeCell ref="AG92:AT92"/>
    <mergeCell ref="AU92:BH92"/>
    <mergeCell ref="BI92:BV92"/>
    <mergeCell ref="BW92:CJ92"/>
    <mergeCell ref="CK92:CU92"/>
    <mergeCell ref="CV92:DE92"/>
    <mergeCell ref="DF92:DS92"/>
    <mergeCell ref="A91:D91"/>
    <mergeCell ref="E91:T91"/>
    <mergeCell ref="U91:AF91"/>
    <mergeCell ref="AG91:AT91"/>
    <mergeCell ref="AU91:BH91"/>
    <mergeCell ref="BI91:BV91"/>
    <mergeCell ref="BW91:CJ91"/>
    <mergeCell ref="CK91:CU91"/>
    <mergeCell ref="CV91:DE91"/>
    <mergeCell ref="DF93:DS93"/>
    <mergeCell ref="A94:D94"/>
    <mergeCell ref="E94:T94"/>
    <mergeCell ref="U94:AF94"/>
    <mergeCell ref="AG94:AT94"/>
    <mergeCell ref="AU94:BH94"/>
    <mergeCell ref="BI94:BV94"/>
    <mergeCell ref="BW94:CJ94"/>
    <mergeCell ref="CK94:CU94"/>
    <mergeCell ref="CV94:DE94"/>
    <mergeCell ref="DF94:DS94"/>
    <mergeCell ref="A93:D93"/>
    <mergeCell ref="E93:T93"/>
    <mergeCell ref="U93:AF93"/>
    <mergeCell ref="AG93:AT93"/>
    <mergeCell ref="AU93:BH93"/>
    <mergeCell ref="BI93:BV93"/>
    <mergeCell ref="BW93:CJ93"/>
    <mergeCell ref="CK93:CU93"/>
    <mergeCell ref="CV93:DE93"/>
    <mergeCell ref="DF95:DS95"/>
    <mergeCell ref="A96:T96"/>
    <mergeCell ref="U96:AF96"/>
    <mergeCell ref="AG96:AT96"/>
    <mergeCell ref="AU96:BH96"/>
    <mergeCell ref="BI96:BV96"/>
    <mergeCell ref="BW96:CJ96"/>
    <mergeCell ref="CK96:CU96"/>
    <mergeCell ref="CV96:DE96"/>
    <mergeCell ref="DF96:DS96"/>
    <mergeCell ref="A95:D95"/>
    <mergeCell ref="E95:T95"/>
    <mergeCell ref="U95:AF95"/>
    <mergeCell ref="AG95:AT95"/>
    <mergeCell ref="AU95:BH95"/>
    <mergeCell ref="BI95:BV95"/>
    <mergeCell ref="BW95:CJ95"/>
    <mergeCell ref="CK95:CU95"/>
    <mergeCell ref="CV95:DE95"/>
    <mergeCell ref="A98:T98"/>
    <mergeCell ref="DF98:DS98"/>
    <mergeCell ref="A99:T99"/>
    <mergeCell ref="U99:AF99"/>
    <mergeCell ref="AG99:AT99"/>
    <mergeCell ref="AU99:BH99"/>
    <mergeCell ref="BI99:BV99"/>
    <mergeCell ref="BW99:CJ99"/>
    <mergeCell ref="CK99:CU99"/>
    <mergeCell ref="CV99:DE99"/>
    <mergeCell ref="DF99:DS99"/>
    <mergeCell ref="A103:T103"/>
    <mergeCell ref="DF103:DS103"/>
    <mergeCell ref="A104:T104"/>
    <mergeCell ref="U104:AF104"/>
    <mergeCell ref="AG104:AT104"/>
    <mergeCell ref="DF100:DS100"/>
    <mergeCell ref="AU104:BH104"/>
    <mergeCell ref="BI104:BV104"/>
    <mergeCell ref="BW104:CJ104"/>
    <mergeCell ref="CK104:CU104"/>
    <mergeCell ref="CV104:DE104"/>
    <mergeCell ref="DF104:DS104"/>
    <mergeCell ref="A100:T100"/>
    <mergeCell ref="U100:AF100"/>
    <mergeCell ref="AG100:AT100"/>
    <mergeCell ref="AU100:BH100"/>
    <mergeCell ref="BI100:BV100"/>
    <mergeCell ref="BW100:CJ100"/>
    <mergeCell ref="CK100:CU100"/>
    <mergeCell ref="CV100:DE100"/>
    <mergeCell ref="A102:DY102"/>
  </mergeCells>
  <pageMargins left="0.25" right="0.25" top="0.75" bottom="0.75" header="0.3" footer="0.3"/>
  <pageSetup paperSize="9" scale="59" fitToHeight="0" orientation="landscape" r:id="rId1"/>
  <rowBreaks count="1" manualBreakCount="1">
    <brk id="30" max="12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CI99"/>
  <sheetViews>
    <sheetView topLeftCell="A17" zoomScale="85" zoomScaleNormal="85" workbookViewId="0">
      <selection activeCell="A46" sqref="A46:CH78"/>
    </sheetView>
  </sheetViews>
  <sheetFormatPr defaultColWidth="1.140625" defaultRowHeight="12.75" x14ac:dyDescent="0.2"/>
  <cols>
    <col min="1" max="64" width="1.140625" style="8"/>
    <col min="65" max="65" width="2.7109375" style="8" customWidth="1"/>
    <col min="66" max="80" width="1.140625" style="8"/>
    <col min="81" max="81" width="16.5703125" style="8" customWidth="1"/>
    <col min="82" max="82" width="18" style="8" customWidth="1"/>
    <col min="83" max="83" width="11.7109375" style="8" customWidth="1"/>
    <col min="84" max="84" width="15.140625" style="8" customWidth="1"/>
    <col min="85" max="85" width="15.28515625" style="8" customWidth="1"/>
    <col min="86" max="86" width="23.5703125" style="8" customWidth="1"/>
    <col min="87" max="16384" width="1.140625" style="8"/>
  </cols>
  <sheetData>
    <row r="1" spans="1:86" s="4" customFormat="1" ht="15.75" customHeight="1" x14ac:dyDescent="0.25">
      <c r="A1" s="1817" t="s">
        <v>138</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c r="AM1" s="1817"/>
      <c r="AN1" s="1817"/>
      <c r="AO1" s="1817"/>
      <c r="AP1" s="1817"/>
      <c r="AQ1" s="1817"/>
      <c r="AR1" s="1817"/>
      <c r="AS1" s="1817"/>
      <c r="AT1" s="1817"/>
      <c r="AU1" s="1817"/>
      <c r="AV1" s="1817"/>
      <c r="AW1" s="1817"/>
      <c r="AX1" s="1817"/>
      <c r="AY1" s="1817"/>
      <c r="AZ1" s="1817"/>
      <c r="BA1" s="1817"/>
      <c r="BB1" s="1817"/>
      <c r="BC1" s="1817"/>
      <c r="BD1" s="1817"/>
      <c r="BE1" s="1817"/>
      <c r="BF1" s="1817"/>
      <c r="BG1" s="1817"/>
      <c r="BH1" s="1817"/>
      <c r="BI1" s="1817"/>
      <c r="BJ1" s="1817"/>
      <c r="BK1" s="1817"/>
      <c r="BL1" s="1817"/>
      <c r="BM1" s="1817"/>
      <c r="BN1" s="1817"/>
      <c r="BO1" s="1817"/>
      <c r="BP1" s="1817"/>
      <c r="BQ1" s="1817"/>
      <c r="BR1" s="1817"/>
      <c r="BS1" s="1817"/>
      <c r="BT1" s="1817"/>
      <c r="BU1" s="1817"/>
      <c r="BV1" s="1817"/>
      <c r="BW1" s="1817"/>
      <c r="BX1" s="1817"/>
      <c r="BY1" s="1817"/>
      <c r="BZ1" s="1817"/>
      <c r="CA1" s="1817"/>
      <c r="CB1" s="1817"/>
    </row>
    <row r="2" spans="1:86" s="7" customFormat="1" ht="9.75"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row>
    <row r="3" spans="1:86" x14ac:dyDescent="0.2">
      <c r="A3" s="1818" t="s">
        <v>71</v>
      </c>
      <c r="B3" s="1819"/>
      <c r="C3" s="1819"/>
      <c r="D3" s="1820"/>
      <c r="E3" s="1819" t="s">
        <v>4</v>
      </c>
      <c r="F3" s="1819"/>
      <c r="G3" s="1819"/>
      <c r="H3" s="1819"/>
      <c r="I3" s="1819"/>
      <c r="J3" s="1819"/>
      <c r="K3" s="1819"/>
      <c r="L3" s="1819"/>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20"/>
      <c r="AN3" s="1781" t="s">
        <v>139</v>
      </c>
      <c r="AO3" s="1925"/>
      <c r="AP3" s="1925"/>
      <c r="AQ3" s="1925"/>
      <c r="AR3" s="1925"/>
      <c r="AS3" s="1925"/>
      <c r="AT3" s="1925"/>
      <c r="AU3" s="1925"/>
      <c r="AV3" s="1925"/>
      <c r="AW3" s="1925"/>
      <c r="AX3" s="1925"/>
      <c r="AY3" s="1925"/>
      <c r="AZ3" s="1925"/>
      <c r="BA3" s="1925"/>
      <c r="BB3" s="1925"/>
      <c r="BC3" s="1782"/>
      <c r="BD3" s="1781" t="s">
        <v>140</v>
      </c>
      <c r="BE3" s="1925"/>
      <c r="BF3" s="1925"/>
      <c r="BG3" s="1925"/>
      <c r="BH3" s="1925"/>
      <c r="BI3" s="1925"/>
      <c r="BJ3" s="1925"/>
      <c r="BK3" s="1925"/>
      <c r="BL3" s="1925"/>
      <c r="BM3" s="1782"/>
      <c r="BN3" s="1819" t="s">
        <v>105</v>
      </c>
      <c r="BO3" s="1819"/>
      <c r="BP3" s="1819"/>
      <c r="BQ3" s="1819"/>
      <c r="BR3" s="1819"/>
      <c r="BS3" s="1819"/>
      <c r="BT3" s="1819"/>
      <c r="BU3" s="1819"/>
      <c r="BV3" s="1819"/>
      <c r="BW3" s="1819"/>
      <c r="BX3" s="1819"/>
      <c r="BY3" s="1819"/>
      <c r="BZ3" s="1819"/>
      <c r="CA3" s="1819"/>
      <c r="CB3" s="1820"/>
      <c r="CC3" s="1799" t="s">
        <v>52</v>
      </c>
      <c r="CD3" s="1806"/>
      <c r="CE3" s="1806"/>
      <c r="CF3" s="1806"/>
      <c r="CG3" s="1806"/>
      <c r="CH3" s="1806"/>
    </row>
    <row r="4" spans="1:86" ht="12.75" customHeight="1" x14ac:dyDescent="0.2">
      <c r="A4" s="1807" t="s">
        <v>77</v>
      </c>
      <c r="B4" s="1808"/>
      <c r="C4" s="1808"/>
      <c r="D4" s="1809"/>
      <c r="E4" s="1808"/>
      <c r="F4" s="1808"/>
      <c r="G4" s="1808"/>
      <c r="H4" s="1808"/>
      <c r="I4" s="1808"/>
      <c r="J4" s="1808"/>
      <c r="K4" s="1808"/>
      <c r="L4" s="1808"/>
      <c r="M4" s="1808"/>
      <c r="N4" s="1808"/>
      <c r="O4" s="1808"/>
      <c r="P4" s="1808"/>
      <c r="Q4" s="1808"/>
      <c r="R4" s="1808"/>
      <c r="S4" s="1808"/>
      <c r="T4" s="1808"/>
      <c r="U4" s="1808"/>
      <c r="V4" s="1808"/>
      <c r="W4" s="1808"/>
      <c r="X4" s="1808"/>
      <c r="Y4" s="1808"/>
      <c r="Z4" s="1808"/>
      <c r="AA4" s="1808"/>
      <c r="AB4" s="1808"/>
      <c r="AC4" s="1808"/>
      <c r="AD4" s="1808"/>
      <c r="AE4" s="1808"/>
      <c r="AF4" s="1808"/>
      <c r="AG4" s="1808"/>
      <c r="AH4" s="1808"/>
      <c r="AI4" s="1808"/>
      <c r="AJ4" s="1808"/>
      <c r="AK4" s="1808"/>
      <c r="AL4" s="1808"/>
      <c r="AM4" s="1809"/>
      <c r="AN4" s="1783"/>
      <c r="AO4" s="1926"/>
      <c r="AP4" s="1926"/>
      <c r="AQ4" s="1926"/>
      <c r="AR4" s="1926"/>
      <c r="AS4" s="1926"/>
      <c r="AT4" s="1926"/>
      <c r="AU4" s="1926"/>
      <c r="AV4" s="1926"/>
      <c r="AW4" s="1926"/>
      <c r="AX4" s="1926"/>
      <c r="AY4" s="1926"/>
      <c r="AZ4" s="1926"/>
      <c r="BA4" s="1926"/>
      <c r="BB4" s="1926"/>
      <c r="BC4" s="1784"/>
      <c r="BD4" s="1783"/>
      <c r="BE4" s="1926"/>
      <c r="BF4" s="1926"/>
      <c r="BG4" s="1926"/>
      <c r="BH4" s="1926"/>
      <c r="BI4" s="1926"/>
      <c r="BJ4" s="1926"/>
      <c r="BK4" s="1926"/>
      <c r="BL4" s="1926"/>
      <c r="BM4" s="1784"/>
      <c r="BN4" s="1808" t="s">
        <v>141</v>
      </c>
      <c r="BO4" s="1808"/>
      <c r="BP4" s="1808"/>
      <c r="BQ4" s="1808"/>
      <c r="BR4" s="1808"/>
      <c r="BS4" s="1808"/>
      <c r="BT4" s="1808"/>
      <c r="BU4" s="1808"/>
      <c r="BV4" s="1808"/>
      <c r="BW4" s="1808"/>
      <c r="BX4" s="1808"/>
      <c r="BY4" s="1808"/>
      <c r="BZ4" s="1808"/>
      <c r="CA4" s="1808"/>
      <c r="CB4" s="1809"/>
      <c r="CC4" s="1789" t="s">
        <v>35</v>
      </c>
      <c r="CD4" s="1810"/>
      <c r="CE4" s="1788" t="s">
        <v>45</v>
      </c>
      <c r="CF4" s="1790"/>
      <c r="CG4" s="1789"/>
      <c r="CH4" s="1778" t="s">
        <v>46</v>
      </c>
    </row>
    <row r="5" spans="1:86" ht="59.25" customHeight="1" x14ac:dyDescent="0.2">
      <c r="A5" s="1807"/>
      <c r="B5" s="1808"/>
      <c r="C5" s="1808"/>
      <c r="D5" s="1809"/>
      <c r="E5" s="1808"/>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8"/>
      <c r="AJ5" s="1808"/>
      <c r="AK5" s="1808"/>
      <c r="AL5" s="1808"/>
      <c r="AM5" s="1809"/>
      <c r="AN5" s="1783"/>
      <c r="AO5" s="1926"/>
      <c r="AP5" s="1926"/>
      <c r="AQ5" s="1926"/>
      <c r="AR5" s="1926"/>
      <c r="AS5" s="1926"/>
      <c r="AT5" s="1926"/>
      <c r="AU5" s="1926"/>
      <c r="AV5" s="1926"/>
      <c r="AW5" s="1926"/>
      <c r="AX5" s="1926"/>
      <c r="AY5" s="1926"/>
      <c r="AZ5" s="1926"/>
      <c r="BA5" s="1926"/>
      <c r="BB5" s="1926"/>
      <c r="BC5" s="1784"/>
      <c r="BD5" s="1783"/>
      <c r="BE5" s="1926"/>
      <c r="BF5" s="1926"/>
      <c r="BG5" s="1926"/>
      <c r="BH5" s="1926"/>
      <c r="BI5" s="1926"/>
      <c r="BJ5" s="1926"/>
      <c r="BK5" s="1926"/>
      <c r="BL5" s="1926"/>
      <c r="BM5" s="1784"/>
      <c r="BN5" s="1808" t="s">
        <v>111</v>
      </c>
      <c r="BO5" s="1928"/>
      <c r="BP5" s="1928"/>
      <c r="BQ5" s="1928"/>
      <c r="BR5" s="1928"/>
      <c r="BS5" s="1928"/>
      <c r="BT5" s="1928"/>
      <c r="BU5" s="1928"/>
      <c r="BV5" s="1928"/>
      <c r="BW5" s="1928"/>
      <c r="BX5" s="1928"/>
      <c r="BY5" s="1928"/>
      <c r="BZ5" s="1928"/>
      <c r="CA5" s="1928"/>
      <c r="CB5" s="1929"/>
      <c r="CC5" s="1930" t="s">
        <v>43</v>
      </c>
      <c r="CD5" s="1811" t="s">
        <v>44</v>
      </c>
      <c r="CE5" s="1812" t="s">
        <v>55</v>
      </c>
      <c r="CF5" s="1811" t="s">
        <v>43</v>
      </c>
      <c r="CG5" s="1811" t="s">
        <v>44</v>
      </c>
      <c r="CH5" s="1779"/>
    </row>
    <row r="6" spans="1:86" x14ac:dyDescent="0.2">
      <c r="A6" s="1814"/>
      <c r="B6" s="1815"/>
      <c r="C6" s="1815"/>
      <c r="D6" s="1816"/>
      <c r="E6" s="1815"/>
      <c r="F6" s="1815"/>
      <c r="G6" s="1815"/>
      <c r="H6" s="1815"/>
      <c r="I6" s="1815"/>
      <c r="J6" s="1815"/>
      <c r="K6" s="1815"/>
      <c r="L6" s="1815"/>
      <c r="M6" s="1815"/>
      <c r="N6" s="1815"/>
      <c r="O6" s="1815"/>
      <c r="P6" s="1815"/>
      <c r="Q6" s="1815"/>
      <c r="R6" s="1815"/>
      <c r="S6" s="1815"/>
      <c r="T6" s="1815"/>
      <c r="U6" s="1815"/>
      <c r="V6" s="1815"/>
      <c r="W6" s="1815"/>
      <c r="X6" s="1815"/>
      <c r="Y6" s="1815"/>
      <c r="Z6" s="1815"/>
      <c r="AA6" s="1815"/>
      <c r="AB6" s="1815"/>
      <c r="AC6" s="1815"/>
      <c r="AD6" s="1815"/>
      <c r="AE6" s="1815"/>
      <c r="AF6" s="1815"/>
      <c r="AG6" s="1815"/>
      <c r="AH6" s="1815"/>
      <c r="AI6" s="1815"/>
      <c r="AJ6" s="1815"/>
      <c r="AK6" s="1815"/>
      <c r="AL6" s="1815"/>
      <c r="AM6" s="1816"/>
      <c r="AN6" s="1785"/>
      <c r="AO6" s="1927"/>
      <c r="AP6" s="1927"/>
      <c r="AQ6" s="1927"/>
      <c r="AR6" s="1927"/>
      <c r="AS6" s="1927"/>
      <c r="AT6" s="1927"/>
      <c r="AU6" s="1927"/>
      <c r="AV6" s="1927"/>
      <c r="AW6" s="1927"/>
      <c r="AX6" s="1927"/>
      <c r="AY6" s="1927"/>
      <c r="AZ6" s="1927"/>
      <c r="BA6" s="1927"/>
      <c r="BB6" s="1927"/>
      <c r="BC6" s="1786"/>
      <c r="BD6" s="1785"/>
      <c r="BE6" s="1927"/>
      <c r="BF6" s="1927"/>
      <c r="BG6" s="1927"/>
      <c r="BH6" s="1927"/>
      <c r="BI6" s="1927"/>
      <c r="BJ6" s="1927"/>
      <c r="BK6" s="1927"/>
      <c r="BL6" s="1927"/>
      <c r="BM6" s="1786"/>
      <c r="BN6" s="1815"/>
      <c r="BO6" s="1931"/>
      <c r="BP6" s="1931"/>
      <c r="BQ6" s="1931"/>
      <c r="BR6" s="1931"/>
      <c r="BS6" s="1931"/>
      <c r="BT6" s="1931"/>
      <c r="BU6" s="1931"/>
      <c r="BV6" s="1931"/>
      <c r="BW6" s="1931"/>
      <c r="BX6" s="1931"/>
      <c r="BY6" s="1931"/>
      <c r="BZ6" s="1931"/>
      <c r="CA6" s="1931"/>
      <c r="CB6" s="1932"/>
      <c r="CC6" s="1930"/>
      <c r="CD6" s="1811"/>
      <c r="CE6" s="1813"/>
      <c r="CF6" s="1811"/>
      <c r="CG6" s="1811"/>
      <c r="CH6" s="1780"/>
    </row>
    <row r="7" spans="1:86" x14ac:dyDescent="0.2">
      <c r="A7" s="1814">
        <v>1</v>
      </c>
      <c r="B7" s="1815"/>
      <c r="C7" s="1815"/>
      <c r="D7" s="1816"/>
      <c r="E7" s="1814">
        <v>2</v>
      </c>
      <c r="F7" s="1815"/>
      <c r="G7" s="1815"/>
      <c r="H7" s="1815"/>
      <c r="I7" s="1815"/>
      <c r="J7" s="1815"/>
      <c r="K7" s="1815"/>
      <c r="L7" s="1815"/>
      <c r="M7" s="1815"/>
      <c r="N7" s="1815"/>
      <c r="O7" s="1815"/>
      <c r="P7" s="1815"/>
      <c r="Q7" s="1815"/>
      <c r="R7" s="1815"/>
      <c r="S7" s="1815"/>
      <c r="T7" s="1815"/>
      <c r="U7" s="1815"/>
      <c r="V7" s="1815"/>
      <c r="W7" s="1815"/>
      <c r="X7" s="1815"/>
      <c r="Y7" s="1815"/>
      <c r="Z7" s="1815"/>
      <c r="AA7" s="1815"/>
      <c r="AB7" s="1815"/>
      <c r="AC7" s="1815"/>
      <c r="AD7" s="1815"/>
      <c r="AE7" s="1815"/>
      <c r="AF7" s="1815"/>
      <c r="AG7" s="1815"/>
      <c r="AH7" s="1815"/>
      <c r="AI7" s="1815"/>
      <c r="AJ7" s="1815"/>
      <c r="AK7" s="1815"/>
      <c r="AL7" s="1815"/>
      <c r="AM7" s="1816"/>
      <c r="AN7" s="1814">
        <v>3</v>
      </c>
      <c r="AO7" s="1815"/>
      <c r="AP7" s="1815"/>
      <c r="AQ7" s="1815"/>
      <c r="AR7" s="1815"/>
      <c r="AS7" s="1815"/>
      <c r="AT7" s="1815"/>
      <c r="AU7" s="1815"/>
      <c r="AV7" s="1815"/>
      <c r="AW7" s="1815"/>
      <c r="AX7" s="1815"/>
      <c r="AY7" s="1815"/>
      <c r="AZ7" s="1815"/>
      <c r="BA7" s="1815"/>
      <c r="BB7" s="1815"/>
      <c r="BC7" s="1816"/>
      <c r="BD7" s="1814">
        <v>4</v>
      </c>
      <c r="BE7" s="1815"/>
      <c r="BF7" s="1815"/>
      <c r="BG7" s="1815"/>
      <c r="BH7" s="1815"/>
      <c r="BI7" s="1815"/>
      <c r="BJ7" s="1815"/>
      <c r="BK7" s="1815"/>
      <c r="BL7" s="1815"/>
      <c r="BM7" s="1816"/>
      <c r="BN7" s="1830" t="s">
        <v>49</v>
      </c>
      <c r="BO7" s="1830"/>
      <c r="BP7" s="1830"/>
      <c r="BQ7" s="1830"/>
      <c r="BR7" s="1830"/>
      <c r="BS7" s="1830"/>
      <c r="BT7" s="1830"/>
      <c r="BU7" s="1830"/>
      <c r="BV7" s="1830"/>
      <c r="BW7" s="1830"/>
      <c r="BX7" s="1830"/>
      <c r="BY7" s="1830"/>
      <c r="BZ7" s="1830"/>
      <c r="CA7" s="1830"/>
      <c r="CB7" s="1830"/>
      <c r="CC7" s="249">
        <v>6</v>
      </c>
      <c r="CD7" s="249">
        <v>7</v>
      </c>
      <c r="CE7" s="250">
        <v>8</v>
      </c>
      <c r="CF7" s="249">
        <v>9</v>
      </c>
      <c r="CG7" s="249">
        <v>10</v>
      </c>
      <c r="CH7" s="252">
        <v>11</v>
      </c>
    </row>
    <row r="8" spans="1:86" ht="41.25" customHeight="1" x14ac:dyDescent="0.2">
      <c r="A8" s="1803">
        <v>1</v>
      </c>
      <c r="B8" s="1804"/>
      <c r="C8" s="1804"/>
      <c r="D8" s="1805"/>
      <c r="E8" s="1904" t="s">
        <v>1188</v>
      </c>
      <c r="F8" s="1905"/>
      <c r="G8" s="1905"/>
      <c r="H8" s="1905"/>
      <c r="I8" s="1905"/>
      <c r="J8" s="1905"/>
      <c r="K8" s="1905"/>
      <c r="L8" s="1905"/>
      <c r="M8" s="1905"/>
      <c r="N8" s="1905"/>
      <c r="O8" s="1905"/>
      <c r="P8" s="1905"/>
      <c r="Q8" s="1905"/>
      <c r="R8" s="1905"/>
      <c r="S8" s="1905"/>
      <c r="T8" s="1905"/>
      <c r="U8" s="1905"/>
      <c r="V8" s="1905"/>
      <c r="W8" s="1905"/>
      <c r="X8" s="1905"/>
      <c r="Y8" s="1905"/>
      <c r="Z8" s="1905"/>
      <c r="AA8" s="1905"/>
      <c r="AB8" s="1905"/>
      <c r="AC8" s="1905"/>
      <c r="AD8" s="1905"/>
      <c r="AE8" s="1905"/>
      <c r="AF8" s="1905"/>
      <c r="AG8" s="1905"/>
      <c r="AH8" s="1905"/>
      <c r="AI8" s="1905"/>
      <c r="AJ8" s="1905"/>
      <c r="AK8" s="1905"/>
      <c r="AL8" s="1905"/>
      <c r="AM8" s="1906"/>
      <c r="AN8" s="1914">
        <v>4200</v>
      </c>
      <c r="AO8" s="1915"/>
      <c r="AP8" s="1915"/>
      <c r="AQ8" s="1915"/>
      <c r="AR8" s="1915"/>
      <c r="AS8" s="1915"/>
      <c r="AT8" s="1915"/>
      <c r="AU8" s="1915"/>
      <c r="AV8" s="1915"/>
      <c r="AW8" s="1915"/>
      <c r="AX8" s="1915"/>
      <c r="AY8" s="1915"/>
      <c r="AZ8" s="1915"/>
      <c r="BA8" s="1915"/>
      <c r="BB8" s="1915"/>
      <c r="BC8" s="1916"/>
      <c r="BD8" s="1901">
        <v>12</v>
      </c>
      <c r="BE8" s="1902"/>
      <c r="BF8" s="1902"/>
      <c r="BG8" s="1902"/>
      <c r="BH8" s="1902"/>
      <c r="BI8" s="1902"/>
      <c r="BJ8" s="1902"/>
      <c r="BK8" s="1902"/>
      <c r="BL8" s="1902"/>
      <c r="BM8" s="1903"/>
      <c r="BN8" s="1791">
        <f>AN8*BD8</f>
        <v>50400</v>
      </c>
      <c r="BO8" s="1792"/>
      <c r="BP8" s="1792"/>
      <c r="BQ8" s="1792"/>
      <c r="BR8" s="1792"/>
      <c r="BS8" s="1792"/>
      <c r="BT8" s="1792"/>
      <c r="BU8" s="1792"/>
      <c r="BV8" s="1792"/>
      <c r="BW8" s="1792"/>
      <c r="BX8" s="1792"/>
      <c r="BY8" s="1792"/>
      <c r="BZ8" s="1792"/>
      <c r="CA8" s="1792"/>
      <c r="CB8" s="1793"/>
      <c r="CC8" s="17"/>
      <c r="CD8" s="253">
        <f t="shared" ref="CD8:CD15" si="0">BN8</f>
        <v>50400</v>
      </c>
      <c r="CE8" s="17"/>
      <c r="CF8" s="17"/>
      <c r="CG8" s="17"/>
      <c r="CH8" s="17"/>
    </row>
    <row r="9" spans="1:86" ht="31.5" customHeight="1" x14ac:dyDescent="0.2">
      <c r="A9" s="1803">
        <v>2</v>
      </c>
      <c r="B9" s="1804"/>
      <c r="C9" s="1804"/>
      <c r="D9" s="1805"/>
      <c r="E9" s="1904" t="s">
        <v>1193</v>
      </c>
      <c r="F9" s="1905"/>
      <c r="G9" s="1905"/>
      <c r="H9" s="1905"/>
      <c r="I9" s="1905"/>
      <c r="J9" s="1905"/>
      <c r="K9" s="1905"/>
      <c r="L9" s="1905"/>
      <c r="M9" s="1905"/>
      <c r="N9" s="1905"/>
      <c r="O9" s="1905"/>
      <c r="P9" s="1905"/>
      <c r="Q9" s="1905"/>
      <c r="R9" s="1905"/>
      <c r="S9" s="1905"/>
      <c r="T9" s="1905"/>
      <c r="U9" s="1905"/>
      <c r="V9" s="1905"/>
      <c r="W9" s="1905"/>
      <c r="X9" s="1905"/>
      <c r="Y9" s="1905"/>
      <c r="Z9" s="1905"/>
      <c r="AA9" s="1905"/>
      <c r="AB9" s="1905"/>
      <c r="AC9" s="1905"/>
      <c r="AD9" s="1905"/>
      <c r="AE9" s="1905"/>
      <c r="AF9" s="1905"/>
      <c r="AG9" s="1905"/>
      <c r="AH9" s="1905"/>
      <c r="AI9" s="1905"/>
      <c r="AJ9" s="1905"/>
      <c r="AK9" s="1905"/>
      <c r="AL9" s="1905"/>
      <c r="AM9" s="1906"/>
      <c r="AN9" s="1914">
        <v>4153</v>
      </c>
      <c r="AO9" s="1915"/>
      <c r="AP9" s="1915"/>
      <c r="AQ9" s="1915"/>
      <c r="AR9" s="1915"/>
      <c r="AS9" s="1915"/>
      <c r="AT9" s="1915"/>
      <c r="AU9" s="1915"/>
      <c r="AV9" s="1915"/>
      <c r="AW9" s="1915"/>
      <c r="AX9" s="1915"/>
      <c r="AY9" s="1915"/>
      <c r="AZ9" s="1915"/>
      <c r="BA9" s="1915"/>
      <c r="BB9" s="1915"/>
      <c r="BC9" s="1916"/>
      <c r="BD9" s="1901">
        <v>12</v>
      </c>
      <c r="BE9" s="1902"/>
      <c r="BF9" s="1902"/>
      <c r="BG9" s="1902"/>
      <c r="BH9" s="1902"/>
      <c r="BI9" s="1902"/>
      <c r="BJ9" s="1902"/>
      <c r="BK9" s="1902"/>
      <c r="BL9" s="1902"/>
      <c r="BM9" s="1903"/>
      <c r="BN9" s="1791">
        <f>AN9*BD9</f>
        <v>49836</v>
      </c>
      <c r="BO9" s="1792"/>
      <c r="BP9" s="1792"/>
      <c r="BQ9" s="1792"/>
      <c r="BR9" s="1792"/>
      <c r="BS9" s="1792"/>
      <c r="BT9" s="1792"/>
      <c r="BU9" s="1792"/>
      <c r="BV9" s="1792"/>
      <c r="BW9" s="1792"/>
      <c r="BX9" s="1792"/>
      <c r="BY9" s="1792"/>
      <c r="BZ9" s="1792"/>
      <c r="CA9" s="1792"/>
      <c r="CB9" s="1793"/>
      <c r="CC9" s="17"/>
      <c r="CD9" s="253">
        <f t="shared" si="0"/>
        <v>49836</v>
      </c>
      <c r="CE9" s="17"/>
      <c r="CF9" s="17"/>
      <c r="CG9" s="17"/>
      <c r="CH9" s="17"/>
    </row>
    <row r="10" spans="1:86" ht="31.5" customHeight="1" x14ac:dyDescent="0.2">
      <c r="A10" s="1843">
        <v>3</v>
      </c>
      <c r="B10" s="1844"/>
      <c r="C10" s="1844"/>
      <c r="D10" s="1845"/>
      <c r="E10" s="1904" t="s">
        <v>1192</v>
      </c>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6"/>
      <c r="AN10" s="1922">
        <v>237</v>
      </c>
      <c r="AO10" s="1923"/>
      <c r="AP10" s="1923"/>
      <c r="AQ10" s="1923"/>
      <c r="AR10" s="1923"/>
      <c r="AS10" s="1923"/>
      <c r="AT10" s="1923"/>
      <c r="AU10" s="1923"/>
      <c r="AV10" s="1923"/>
      <c r="AW10" s="1923"/>
      <c r="AX10" s="1923"/>
      <c r="AY10" s="1923"/>
      <c r="AZ10" s="1923"/>
      <c r="BA10" s="1923"/>
      <c r="BB10" s="1923"/>
      <c r="BC10" s="1924"/>
      <c r="BD10" s="1901">
        <v>12</v>
      </c>
      <c r="BE10" s="1902"/>
      <c r="BF10" s="1902"/>
      <c r="BG10" s="1902"/>
      <c r="BH10" s="1902"/>
      <c r="BI10" s="1902"/>
      <c r="BJ10" s="1902"/>
      <c r="BK10" s="1902"/>
      <c r="BL10" s="1902"/>
      <c r="BM10" s="1903"/>
      <c r="BN10" s="1791">
        <f>AN10*BD10</f>
        <v>2844</v>
      </c>
      <c r="BO10" s="1792"/>
      <c r="BP10" s="1792"/>
      <c r="BQ10" s="1792"/>
      <c r="BR10" s="1792"/>
      <c r="BS10" s="1792"/>
      <c r="BT10" s="1792"/>
      <c r="BU10" s="1792"/>
      <c r="BV10" s="1792"/>
      <c r="BW10" s="1792"/>
      <c r="BX10" s="1792"/>
      <c r="BY10" s="1792"/>
      <c r="BZ10" s="1792"/>
      <c r="CA10" s="1792"/>
      <c r="CB10" s="1793"/>
      <c r="CC10" s="15"/>
      <c r="CD10" s="253">
        <f t="shared" si="0"/>
        <v>2844</v>
      </c>
      <c r="CE10" s="15"/>
      <c r="CF10" s="15"/>
      <c r="CG10" s="15"/>
      <c r="CH10" s="15"/>
    </row>
    <row r="11" spans="1:86" ht="27" customHeight="1" x14ac:dyDescent="0.2">
      <c r="A11" s="1843">
        <v>4</v>
      </c>
      <c r="B11" s="1844"/>
      <c r="C11" s="1844"/>
      <c r="D11" s="1845"/>
      <c r="E11" s="1904" t="s">
        <v>1187</v>
      </c>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6"/>
      <c r="AN11" s="1914">
        <f>BN11/BD11</f>
        <v>1800</v>
      </c>
      <c r="AO11" s="1915"/>
      <c r="AP11" s="1915"/>
      <c r="AQ11" s="1915"/>
      <c r="AR11" s="1915"/>
      <c r="AS11" s="1915"/>
      <c r="AT11" s="1915"/>
      <c r="AU11" s="1915"/>
      <c r="AV11" s="1915"/>
      <c r="AW11" s="1915"/>
      <c r="AX11" s="1915"/>
      <c r="AY11" s="1915"/>
      <c r="AZ11" s="1915"/>
      <c r="BA11" s="1915"/>
      <c r="BB11" s="1915"/>
      <c r="BC11" s="1916"/>
      <c r="BD11" s="1901">
        <v>12</v>
      </c>
      <c r="BE11" s="1902"/>
      <c r="BF11" s="1902"/>
      <c r="BG11" s="1902"/>
      <c r="BH11" s="1902"/>
      <c r="BI11" s="1902"/>
      <c r="BJ11" s="1902"/>
      <c r="BK11" s="1902"/>
      <c r="BL11" s="1902"/>
      <c r="BM11" s="1903"/>
      <c r="BN11" s="1791">
        <v>21600</v>
      </c>
      <c r="BO11" s="1792"/>
      <c r="BP11" s="1792"/>
      <c r="BQ11" s="1792"/>
      <c r="BR11" s="1792"/>
      <c r="BS11" s="1792"/>
      <c r="BT11" s="1792"/>
      <c r="BU11" s="1792"/>
      <c r="BV11" s="1792"/>
      <c r="BW11" s="1792"/>
      <c r="BX11" s="1792"/>
      <c r="BY11" s="1792"/>
      <c r="BZ11" s="1792"/>
      <c r="CA11" s="1792"/>
      <c r="CB11" s="1793"/>
      <c r="CC11" s="17"/>
      <c r="CD11" s="253">
        <f t="shared" si="0"/>
        <v>21600</v>
      </c>
      <c r="CE11" s="17"/>
      <c r="CF11" s="17"/>
      <c r="CG11" s="17"/>
      <c r="CH11" s="17"/>
    </row>
    <row r="12" spans="1:86" ht="31.5" customHeight="1" x14ac:dyDescent="0.2">
      <c r="A12" s="1843">
        <v>5</v>
      </c>
      <c r="B12" s="1844"/>
      <c r="C12" s="1844"/>
      <c r="D12" s="1845"/>
      <c r="E12" s="1904" t="s">
        <v>1203</v>
      </c>
      <c r="F12" s="1905"/>
      <c r="G12" s="1905"/>
      <c r="H12" s="1905"/>
      <c r="I12" s="1905"/>
      <c r="J12" s="1905"/>
      <c r="K12" s="1905"/>
      <c r="L12" s="1905"/>
      <c r="M12" s="1905"/>
      <c r="N12" s="1905"/>
      <c r="O12" s="1905"/>
      <c r="P12" s="1905"/>
      <c r="Q12" s="1905"/>
      <c r="R12" s="1905"/>
      <c r="S12" s="1905"/>
      <c r="T12" s="1905"/>
      <c r="U12" s="1905"/>
      <c r="V12" s="1905"/>
      <c r="W12" s="1905"/>
      <c r="X12" s="1905"/>
      <c r="Y12" s="1905"/>
      <c r="Z12" s="1905"/>
      <c r="AA12" s="1905"/>
      <c r="AB12" s="1905"/>
      <c r="AC12" s="1905"/>
      <c r="AD12" s="1905"/>
      <c r="AE12" s="1905"/>
      <c r="AF12" s="1905"/>
      <c r="AG12" s="1905"/>
      <c r="AH12" s="1905"/>
      <c r="AI12" s="1905"/>
      <c r="AJ12" s="1905"/>
      <c r="AK12" s="1905"/>
      <c r="AL12" s="1905"/>
      <c r="AM12" s="1906"/>
      <c r="AN12" s="1914">
        <v>20000</v>
      </c>
      <c r="AO12" s="1915"/>
      <c r="AP12" s="1915"/>
      <c r="AQ12" s="1915"/>
      <c r="AR12" s="1915"/>
      <c r="AS12" s="1915"/>
      <c r="AT12" s="1915"/>
      <c r="AU12" s="1915"/>
      <c r="AV12" s="1915"/>
      <c r="AW12" s="1915"/>
      <c r="AX12" s="1915"/>
      <c r="AY12" s="1915"/>
      <c r="AZ12" s="1915"/>
      <c r="BA12" s="1915"/>
      <c r="BB12" s="1915"/>
      <c r="BC12" s="1916"/>
      <c r="BD12" s="1901">
        <v>1</v>
      </c>
      <c r="BE12" s="1902"/>
      <c r="BF12" s="1902"/>
      <c r="BG12" s="1902"/>
      <c r="BH12" s="1902"/>
      <c r="BI12" s="1902"/>
      <c r="BJ12" s="1902"/>
      <c r="BK12" s="1902"/>
      <c r="BL12" s="1902"/>
      <c r="BM12" s="1903"/>
      <c r="BN12" s="1791">
        <f>AN12</f>
        <v>20000</v>
      </c>
      <c r="BO12" s="1792"/>
      <c r="BP12" s="1792"/>
      <c r="BQ12" s="1792"/>
      <c r="BR12" s="1792"/>
      <c r="BS12" s="1792"/>
      <c r="BT12" s="1792"/>
      <c r="BU12" s="1792"/>
      <c r="BV12" s="1792"/>
      <c r="BW12" s="1792"/>
      <c r="BX12" s="1792"/>
      <c r="BY12" s="1792"/>
      <c r="BZ12" s="1792"/>
      <c r="CA12" s="1792"/>
      <c r="CB12" s="1793"/>
      <c r="CC12" s="17"/>
      <c r="CD12" s="253">
        <f t="shared" si="0"/>
        <v>20000</v>
      </c>
      <c r="CE12" s="17"/>
      <c r="CF12" s="17"/>
      <c r="CG12" s="17"/>
      <c r="CH12" s="17"/>
    </row>
    <row r="13" spans="1:86" ht="19.5" customHeight="1" x14ac:dyDescent="0.2">
      <c r="A13" s="1843">
        <v>6</v>
      </c>
      <c r="B13" s="1844"/>
      <c r="C13" s="1844"/>
      <c r="D13" s="1845"/>
      <c r="E13" s="1904" t="s">
        <v>583</v>
      </c>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906"/>
      <c r="AN13" s="1922">
        <v>10000</v>
      </c>
      <c r="AO13" s="1923"/>
      <c r="AP13" s="1923"/>
      <c r="AQ13" s="1923"/>
      <c r="AR13" s="1923"/>
      <c r="AS13" s="1923"/>
      <c r="AT13" s="1923"/>
      <c r="AU13" s="1923"/>
      <c r="AV13" s="1923"/>
      <c r="AW13" s="1923"/>
      <c r="AX13" s="1923"/>
      <c r="AY13" s="1923"/>
      <c r="AZ13" s="1923"/>
      <c r="BA13" s="1923"/>
      <c r="BB13" s="1923"/>
      <c r="BC13" s="1924"/>
      <c r="BD13" s="1901">
        <v>1</v>
      </c>
      <c r="BE13" s="1902"/>
      <c r="BF13" s="1902"/>
      <c r="BG13" s="1902"/>
      <c r="BH13" s="1902"/>
      <c r="BI13" s="1902"/>
      <c r="BJ13" s="1902"/>
      <c r="BK13" s="1902"/>
      <c r="BL13" s="1902"/>
      <c r="BM13" s="1903"/>
      <c r="BN13" s="1852">
        <f>AN13*BD13</f>
        <v>10000</v>
      </c>
      <c r="BO13" s="1853"/>
      <c r="BP13" s="1853"/>
      <c r="BQ13" s="1853"/>
      <c r="BR13" s="1853"/>
      <c r="BS13" s="1853"/>
      <c r="BT13" s="1853"/>
      <c r="BU13" s="1853"/>
      <c r="BV13" s="1853"/>
      <c r="BW13" s="1853"/>
      <c r="BX13" s="1853"/>
      <c r="BY13" s="1853"/>
      <c r="BZ13" s="1853"/>
      <c r="CA13" s="1853"/>
      <c r="CB13" s="1854"/>
      <c r="CC13" s="17"/>
      <c r="CD13" s="253">
        <f t="shared" si="0"/>
        <v>10000</v>
      </c>
      <c r="CE13" s="17"/>
      <c r="CF13" s="17"/>
      <c r="CG13" s="17"/>
      <c r="CH13" s="17"/>
    </row>
    <row r="14" spans="1:86" ht="19.5" customHeight="1" x14ac:dyDescent="0.2">
      <c r="A14" s="1843">
        <v>7</v>
      </c>
      <c r="B14" s="1844"/>
      <c r="C14" s="1844"/>
      <c r="D14" s="1845"/>
      <c r="E14" s="1904" t="s">
        <v>142</v>
      </c>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6"/>
      <c r="AN14" s="1914">
        <v>4000</v>
      </c>
      <c r="AO14" s="1915"/>
      <c r="AP14" s="1915"/>
      <c r="AQ14" s="1915"/>
      <c r="AR14" s="1915"/>
      <c r="AS14" s="1915"/>
      <c r="AT14" s="1915"/>
      <c r="AU14" s="1915"/>
      <c r="AV14" s="1915"/>
      <c r="AW14" s="1915"/>
      <c r="AX14" s="1915"/>
      <c r="AY14" s="1915"/>
      <c r="AZ14" s="1915"/>
      <c r="BA14" s="1915"/>
      <c r="BB14" s="1915"/>
      <c r="BC14" s="1916"/>
      <c r="BD14" s="1901">
        <v>1</v>
      </c>
      <c r="BE14" s="1902"/>
      <c r="BF14" s="1902"/>
      <c r="BG14" s="1902"/>
      <c r="BH14" s="1902"/>
      <c r="BI14" s="1902"/>
      <c r="BJ14" s="1902"/>
      <c r="BK14" s="1902"/>
      <c r="BL14" s="1902"/>
      <c r="BM14" s="1903"/>
      <c r="BN14" s="1791">
        <f>AN14*BD14</f>
        <v>4000</v>
      </c>
      <c r="BO14" s="1792"/>
      <c r="BP14" s="1792"/>
      <c r="BQ14" s="1792"/>
      <c r="BR14" s="1792"/>
      <c r="BS14" s="1792"/>
      <c r="BT14" s="1792"/>
      <c r="BU14" s="1792"/>
      <c r="BV14" s="1792"/>
      <c r="BW14" s="1792"/>
      <c r="BX14" s="1792"/>
      <c r="BY14" s="1792"/>
      <c r="BZ14" s="1792"/>
      <c r="CA14" s="1792"/>
      <c r="CB14" s="1793"/>
      <c r="CC14" s="17"/>
      <c r="CD14" s="253">
        <f t="shared" si="0"/>
        <v>4000</v>
      </c>
      <c r="CE14" s="17"/>
      <c r="CF14" s="17"/>
      <c r="CG14" s="17"/>
      <c r="CH14" s="17"/>
    </row>
    <row r="15" spans="1:86" ht="19.5" customHeight="1" x14ac:dyDescent="0.2">
      <c r="A15" s="1843">
        <v>8</v>
      </c>
      <c r="B15" s="1844"/>
      <c r="C15" s="1844"/>
      <c r="D15" s="1845"/>
      <c r="E15" s="1904" t="s">
        <v>1204</v>
      </c>
      <c r="F15" s="1905"/>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5"/>
      <c r="AJ15" s="1905"/>
      <c r="AK15" s="1905"/>
      <c r="AL15" s="1905"/>
      <c r="AM15" s="1906"/>
      <c r="AN15" s="1914">
        <v>50000</v>
      </c>
      <c r="AO15" s="1915"/>
      <c r="AP15" s="1915"/>
      <c r="AQ15" s="1915"/>
      <c r="AR15" s="1915"/>
      <c r="AS15" s="1915"/>
      <c r="AT15" s="1915"/>
      <c r="AU15" s="1915"/>
      <c r="AV15" s="1915"/>
      <c r="AW15" s="1915"/>
      <c r="AX15" s="1915"/>
      <c r="AY15" s="1915"/>
      <c r="AZ15" s="1915"/>
      <c r="BA15" s="1915"/>
      <c r="BB15" s="1915"/>
      <c r="BC15" s="1916"/>
      <c r="BD15" s="1901">
        <v>1</v>
      </c>
      <c r="BE15" s="1902"/>
      <c r="BF15" s="1902"/>
      <c r="BG15" s="1902"/>
      <c r="BH15" s="1902"/>
      <c r="BI15" s="1902"/>
      <c r="BJ15" s="1902"/>
      <c r="BK15" s="1902"/>
      <c r="BL15" s="1902"/>
      <c r="BM15" s="1903"/>
      <c r="BN15" s="1791">
        <f>AN15*BD15</f>
        <v>50000</v>
      </c>
      <c r="BO15" s="1792"/>
      <c r="BP15" s="1792"/>
      <c r="BQ15" s="1792"/>
      <c r="BR15" s="1792"/>
      <c r="BS15" s="1792"/>
      <c r="BT15" s="1792"/>
      <c r="BU15" s="1792"/>
      <c r="BV15" s="1792"/>
      <c r="BW15" s="1792"/>
      <c r="BX15" s="1792"/>
      <c r="BY15" s="1792"/>
      <c r="BZ15" s="1792"/>
      <c r="CA15" s="1792"/>
      <c r="CB15" s="1793"/>
      <c r="CC15" s="17"/>
      <c r="CD15" s="253">
        <f t="shared" si="0"/>
        <v>50000</v>
      </c>
      <c r="CE15" s="17"/>
      <c r="CF15" s="17"/>
      <c r="CG15" s="17"/>
      <c r="CH15" s="17"/>
    </row>
    <row r="16" spans="1:86" ht="17.25" customHeight="1" x14ac:dyDescent="0.2">
      <c r="A16" s="1843">
        <v>9</v>
      </c>
      <c r="B16" s="1844"/>
      <c r="C16" s="1844"/>
      <c r="D16" s="1845"/>
      <c r="E16" s="1904" t="s">
        <v>143</v>
      </c>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5"/>
      <c r="AK16" s="1905"/>
      <c r="AL16" s="1905"/>
      <c r="AM16" s="1906"/>
      <c r="AN16" s="1914">
        <v>12000</v>
      </c>
      <c r="AO16" s="1915"/>
      <c r="AP16" s="1915"/>
      <c r="AQ16" s="1915"/>
      <c r="AR16" s="1915"/>
      <c r="AS16" s="1915"/>
      <c r="AT16" s="1915"/>
      <c r="AU16" s="1915"/>
      <c r="AV16" s="1915"/>
      <c r="AW16" s="1915"/>
      <c r="AX16" s="1915"/>
      <c r="AY16" s="1915"/>
      <c r="AZ16" s="1915"/>
      <c r="BA16" s="1915"/>
      <c r="BB16" s="1915"/>
      <c r="BC16" s="1916"/>
      <c r="BD16" s="1901">
        <v>1</v>
      </c>
      <c r="BE16" s="1902"/>
      <c r="BF16" s="1902"/>
      <c r="BG16" s="1902"/>
      <c r="BH16" s="1902"/>
      <c r="BI16" s="1902"/>
      <c r="BJ16" s="1902"/>
      <c r="BK16" s="1902"/>
      <c r="BL16" s="1902"/>
      <c r="BM16" s="1903"/>
      <c r="BN16" s="1791">
        <f>AN16</f>
        <v>12000</v>
      </c>
      <c r="BO16" s="1792"/>
      <c r="BP16" s="1792"/>
      <c r="BQ16" s="1792"/>
      <c r="BR16" s="1792"/>
      <c r="BS16" s="1792"/>
      <c r="BT16" s="1792"/>
      <c r="BU16" s="1792"/>
      <c r="BV16" s="1792"/>
      <c r="BW16" s="1792"/>
      <c r="BX16" s="1792"/>
      <c r="BY16" s="1792"/>
      <c r="BZ16" s="1792"/>
      <c r="CA16" s="1792"/>
      <c r="CB16" s="1793"/>
      <c r="CC16" s="17"/>
      <c r="CD16" s="253">
        <f>BN16</f>
        <v>12000</v>
      </c>
      <c r="CE16" s="17"/>
      <c r="CF16" s="17"/>
      <c r="CG16" s="17"/>
      <c r="CH16" s="17"/>
    </row>
    <row r="17" spans="1:86" ht="17.25" customHeight="1" x14ac:dyDescent="0.2">
      <c r="A17" s="1843">
        <v>10</v>
      </c>
      <c r="B17" s="1844"/>
      <c r="C17" s="1844"/>
      <c r="D17" s="1845"/>
      <c r="E17" s="1904" t="s">
        <v>645</v>
      </c>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6"/>
      <c r="AN17" s="1914">
        <v>40000</v>
      </c>
      <c r="AO17" s="1915"/>
      <c r="AP17" s="1915"/>
      <c r="AQ17" s="1915"/>
      <c r="AR17" s="1915"/>
      <c r="AS17" s="1915"/>
      <c r="AT17" s="1915"/>
      <c r="AU17" s="1915"/>
      <c r="AV17" s="1915"/>
      <c r="AW17" s="1915"/>
      <c r="AX17" s="1915"/>
      <c r="AY17" s="1915"/>
      <c r="AZ17" s="1915"/>
      <c r="BA17" s="1915"/>
      <c r="BB17" s="1915"/>
      <c r="BC17" s="1916"/>
      <c r="BD17" s="1901">
        <v>1</v>
      </c>
      <c r="BE17" s="1902"/>
      <c r="BF17" s="1902"/>
      <c r="BG17" s="1902"/>
      <c r="BH17" s="1902"/>
      <c r="BI17" s="1902"/>
      <c r="BJ17" s="1902"/>
      <c r="BK17" s="1902"/>
      <c r="BL17" s="1902"/>
      <c r="BM17" s="1903"/>
      <c r="BN17" s="1791">
        <f>AN17</f>
        <v>40000</v>
      </c>
      <c r="BO17" s="1792"/>
      <c r="BP17" s="1792"/>
      <c r="BQ17" s="1792"/>
      <c r="BR17" s="1792"/>
      <c r="BS17" s="1792"/>
      <c r="BT17" s="1792"/>
      <c r="BU17" s="1792"/>
      <c r="BV17" s="1792"/>
      <c r="BW17" s="1792"/>
      <c r="BX17" s="1792"/>
      <c r="BY17" s="1792"/>
      <c r="BZ17" s="1792"/>
      <c r="CA17" s="1792"/>
      <c r="CB17" s="1793"/>
      <c r="CC17" s="17"/>
      <c r="CD17" s="253">
        <f>BN17</f>
        <v>40000</v>
      </c>
      <c r="CE17" s="17"/>
      <c r="CF17" s="17"/>
      <c r="CG17" s="17"/>
      <c r="CH17" s="17"/>
    </row>
    <row r="18" spans="1:86" ht="17.25" customHeight="1" x14ac:dyDescent="0.2">
      <c r="A18" s="1843">
        <v>11</v>
      </c>
      <c r="B18" s="1844"/>
      <c r="C18" s="1844"/>
      <c r="D18" s="1845"/>
      <c r="E18" s="1904" t="s">
        <v>646</v>
      </c>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6"/>
      <c r="AN18" s="1914">
        <v>40000</v>
      </c>
      <c r="AO18" s="1915"/>
      <c r="AP18" s="1915"/>
      <c r="AQ18" s="1915"/>
      <c r="AR18" s="1915"/>
      <c r="AS18" s="1915"/>
      <c r="AT18" s="1915"/>
      <c r="AU18" s="1915"/>
      <c r="AV18" s="1915"/>
      <c r="AW18" s="1915"/>
      <c r="AX18" s="1915"/>
      <c r="AY18" s="1915"/>
      <c r="AZ18" s="1915"/>
      <c r="BA18" s="1915"/>
      <c r="BB18" s="1915"/>
      <c r="BC18" s="1916"/>
      <c r="BD18" s="1901">
        <v>1</v>
      </c>
      <c r="BE18" s="1902"/>
      <c r="BF18" s="1902"/>
      <c r="BG18" s="1902"/>
      <c r="BH18" s="1902"/>
      <c r="BI18" s="1902"/>
      <c r="BJ18" s="1902"/>
      <c r="BK18" s="1902"/>
      <c r="BL18" s="1902"/>
      <c r="BM18" s="1903"/>
      <c r="BN18" s="1791">
        <f>AN18</f>
        <v>40000</v>
      </c>
      <c r="BO18" s="1792"/>
      <c r="BP18" s="1792"/>
      <c r="BQ18" s="1792"/>
      <c r="BR18" s="1792"/>
      <c r="BS18" s="1792"/>
      <c r="BT18" s="1792"/>
      <c r="BU18" s="1792"/>
      <c r="BV18" s="1792"/>
      <c r="BW18" s="1792"/>
      <c r="BX18" s="1792"/>
      <c r="BY18" s="1792"/>
      <c r="BZ18" s="1792"/>
      <c r="CA18" s="1792"/>
      <c r="CB18" s="1793"/>
      <c r="CC18" s="50"/>
      <c r="CD18" s="253">
        <f>BN18</f>
        <v>40000</v>
      </c>
      <c r="CE18" s="50"/>
      <c r="CF18" s="50"/>
      <c r="CG18" s="50"/>
      <c r="CH18" s="50"/>
    </row>
    <row r="19" spans="1:86" ht="19.5" customHeight="1" x14ac:dyDescent="0.2">
      <c r="A19" s="1843">
        <v>12</v>
      </c>
      <c r="B19" s="1844"/>
      <c r="C19" s="1844"/>
      <c r="D19" s="1845"/>
      <c r="E19" s="1904" t="s">
        <v>145</v>
      </c>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1905"/>
      <c r="AM19" s="1906"/>
      <c r="AN19" s="1914">
        <v>20000</v>
      </c>
      <c r="AO19" s="1915"/>
      <c r="AP19" s="1915"/>
      <c r="AQ19" s="1915"/>
      <c r="AR19" s="1915"/>
      <c r="AS19" s="1915"/>
      <c r="AT19" s="1915"/>
      <c r="AU19" s="1915"/>
      <c r="AV19" s="1915"/>
      <c r="AW19" s="1915"/>
      <c r="AX19" s="1915"/>
      <c r="AY19" s="1915"/>
      <c r="AZ19" s="1915"/>
      <c r="BA19" s="1915"/>
      <c r="BB19" s="1915"/>
      <c r="BC19" s="1916"/>
      <c r="BD19" s="1901">
        <v>1</v>
      </c>
      <c r="BE19" s="1902"/>
      <c r="BF19" s="1902"/>
      <c r="BG19" s="1902"/>
      <c r="BH19" s="1902"/>
      <c r="BI19" s="1902"/>
      <c r="BJ19" s="1902"/>
      <c r="BK19" s="1902"/>
      <c r="BL19" s="1902"/>
      <c r="BM19" s="1903"/>
      <c r="BN19" s="1791">
        <f>AN19*BD19</f>
        <v>20000</v>
      </c>
      <c r="BO19" s="1792"/>
      <c r="BP19" s="1792"/>
      <c r="BQ19" s="1792"/>
      <c r="BR19" s="1792"/>
      <c r="BS19" s="1792"/>
      <c r="BT19" s="1792"/>
      <c r="BU19" s="1792"/>
      <c r="BV19" s="1792"/>
      <c r="BW19" s="1792"/>
      <c r="BX19" s="1792"/>
      <c r="BY19" s="1792"/>
      <c r="BZ19" s="1792"/>
      <c r="CA19" s="1792"/>
      <c r="CB19" s="1793"/>
      <c r="CC19" s="17"/>
      <c r="CD19" s="253">
        <f>BN19</f>
        <v>20000</v>
      </c>
      <c r="CE19" s="50"/>
      <c r="CF19" s="50"/>
      <c r="CG19" s="50"/>
      <c r="CH19" s="50"/>
    </row>
    <row r="20" spans="1:86" ht="24.75" customHeight="1" x14ac:dyDescent="0.2">
      <c r="A20" s="1843">
        <v>13</v>
      </c>
      <c r="B20" s="1844"/>
      <c r="C20" s="1844"/>
      <c r="D20" s="1845"/>
      <c r="E20" s="1904" t="s">
        <v>146</v>
      </c>
      <c r="F20" s="1905"/>
      <c r="G20" s="1905"/>
      <c r="H20" s="1905"/>
      <c r="I20" s="1905"/>
      <c r="J20" s="1905"/>
      <c r="K20" s="1905"/>
      <c r="L20" s="1905"/>
      <c r="M20" s="1905"/>
      <c r="N20" s="1905"/>
      <c r="O20" s="1905"/>
      <c r="P20" s="1905"/>
      <c r="Q20" s="1905"/>
      <c r="R20" s="1905"/>
      <c r="S20" s="1905"/>
      <c r="T20" s="1905"/>
      <c r="U20" s="1905"/>
      <c r="V20" s="1905"/>
      <c r="W20" s="1905"/>
      <c r="X20" s="1905"/>
      <c r="Y20" s="1905"/>
      <c r="Z20" s="1905"/>
      <c r="AA20" s="1905"/>
      <c r="AB20" s="1905"/>
      <c r="AC20" s="1905"/>
      <c r="AD20" s="1905"/>
      <c r="AE20" s="1905"/>
      <c r="AF20" s="1905"/>
      <c r="AG20" s="1905"/>
      <c r="AH20" s="1905"/>
      <c r="AI20" s="1905"/>
      <c r="AJ20" s="1905"/>
      <c r="AK20" s="1905"/>
      <c r="AL20" s="1905"/>
      <c r="AM20" s="1906"/>
      <c r="AN20" s="1914">
        <v>20000</v>
      </c>
      <c r="AO20" s="1915"/>
      <c r="AP20" s="1915"/>
      <c r="AQ20" s="1915"/>
      <c r="AR20" s="1915"/>
      <c r="AS20" s="1915"/>
      <c r="AT20" s="1915"/>
      <c r="AU20" s="1915"/>
      <c r="AV20" s="1915"/>
      <c r="AW20" s="1915"/>
      <c r="AX20" s="1915"/>
      <c r="AY20" s="1915"/>
      <c r="AZ20" s="1915"/>
      <c r="BA20" s="1915"/>
      <c r="BB20" s="1915"/>
      <c r="BC20" s="1916"/>
      <c r="BD20" s="1901">
        <v>1</v>
      </c>
      <c r="BE20" s="1902"/>
      <c r="BF20" s="1902"/>
      <c r="BG20" s="1902"/>
      <c r="BH20" s="1902"/>
      <c r="BI20" s="1902"/>
      <c r="BJ20" s="1902"/>
      <c r="BK20" s="1902"/>
      <c r="BL20" s="1902"/>
      <c r="BM20" s="1903"/>
      <c r="BN20" s="1791">
        <f>AN20*BD20</f>
        <v>20000</v>
      </c>
      <c r="BO20" s="1792"/>
      <c r="BP20" s="1792"/>
      <c r="BQ20" s="1792"/>
      <c r="BR20" s="1792"/>
      <c r="BS20" s="1792"/>
      <c r="BT20" s="1792"/>
      <c r="BU20" s="1792"/>
      <c r="BV20" s="1792"/>
      <c r="BW20" s="1792"/>
      <c r="BX20" s="1792"/>
      <c r="BY20" s="1792"/>
      <c r="BZ20" s="1792"/>
      <c r="CA20" s="1792"/>
      <c r="CB20" s="1793"/>
      <c r="CC20" s="17"/>
      <c r="CD20" s="253">
        <f>BN20</f>
        <v>20000</v>
      </c>
      <c r="CE20" s="17"/>
      <c r="CF20" s="17"/>
      <c r="CG20" s="17"/>
      <c r="CH20" s="17"/>
    </row>
    <row r="21" spans="1:86" ht="27" customHeight="1" x14ac:dyDescent="0.2">
      <c r="A21" s="1843">
        <v>14</v>
      </c>
      <c r="B21" s="1844"/>
      <c r="C21" s="1844"/>
      <c r="D21" s="1845"/>
      <c r="E21" s="1904" t="s">
        <v>148</v>
      </c>
      <c r="F21" s="1917"/>
      <c r="G21" s="1917"/>
      <c r="H21" s="1917"/>
      <c r="I21" s="1917"/>
      <c r="J21" s="1917"/>
      <c r="K21" s="1917"/>
      <c r="L21" s="1917"/>
      <c r="M21" s="1917"/>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7"/>
      <c r="AJ21" s="1917"/>
      <c r="AK21" s="1917"/>
      <c r="AL21" s="1917"/>
      <c r="AM21" s="1918"/>
      <c r="AN21" s="1914">
        <v>6000</v>
      </c>
      <c r="AO21" s="1915"/>
      <c r="AP21" s="1915"/>
      <c r="AQ21" s="1915"/>
      <c r="AR21" s="1915"/>
      <c r="AS21" s="1915"/>
      <c r="AT21" s="1915"/>
      <c r="AU21" s="1915"/>
      <c r="AV21" s="1915"/>
      <c r="AW21" s="1915"/>
      <c r="AX21" s="1915"/>
      <c r="AY21" s="1915"/>
      <c r="AZ21" s="1915"/>
      <c r="BA21" s="1915"/>
      <c r="BB21" s="1915"/>
      <c r="BC21" s="1916"/>
      <c r="BD21" s="1901">
        <v>2</v>
      </c>
      <c r="BE21" s="1902"/>
      <c r="BF21" s="1902"/>
      <c r="BG21" s="1902"/>
      <c r="BH21" s="1902"/>
      <c r="BI21" s="1902"/>
      <c r="BJ21" s="1902"/>
      <c r="BK21" s="1902"/>
      <c r="BL21" s="1902"/>
      <c r="BM21" s="1903"/>
      <c r="BN21" s="1791">
        <v>12000</v>
      </c>
      <c r="BO21" s="1792"/>
      <c r="BP21" s="1792"/>
      <c r="BQ21" s="1792"/>
      <c r="BR21" s="1792"/>
      <c r="BS21" s="1792"/>
      <c r="BT21" s="1792"/>
      <c r="BU21" s="1792"/>
      <c r="BV21" s="1792"/>
      <c r="BW21" s="1792"/>
      <c r="BX21" s="1792"/>
      <c r="BY21" s="1792"/>
      <c r="BZ21" s="1792"/>
      <c r="CA21" s="1792"/>
      <c r="CB21" s="1793"/>
      <c r="CC21" s="17"/>
      <c r="CD21" s="253">
        <v>12000</v>
      </c>
      <c r="CE21" s="17"/>
      <c r="CF21" s="17"/>
      <c r="CG21" s="17"/>
      <c r="CH21" s="17"/>
    </row>
    <row r="22" spans="1:86" ht="31.5" customHeight="1" x14ac:dyDescent="0.2">
      <c r="A22" s="1843">
        <v>15</v>
      </c>
      <c r="B22" s="1844"/>
      <c r="C22" s="1844"/>
      <c r="D22" s="1845"/>
      <c r="E22" s="1904" t="s">
        <v>149</v>
      </c>
      <c r="F22" s="1905"/>
      <c r="G22" s="1905"/>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1905"/>
      <c r="AM22" s="1906"/>
      <c r="AN22" s="1914">
        <v>2000</v>
      </c>
      <c r="AO22" s="1915"/>
      <c r="AP22" s="1915"/>
      <c r="AQ22" s="1915"/>
      <c r="AR22" s="1915"/>
      <c r="AS22" s="1915"/>
      <c r="AT22" s="1915"/>
      <c r="AU22" s="1915"/>
      <c r="AV22" s="1915"/>
      <c r="AW22" s="1915"/>
      <c r="AX22" s="1915"/>
      <c r="AY22" s="1915"/>
      <c r="AZ22" s="1915"/>
      <c r="BA22" s="1915"/>
      <c r="BB22" s="1915"/>
      <c r="BC22" s="1916"/>
      <c r="BD22" s="1901">
        <v>2</v>
      </c>
      <c r="BE22" s="1902"/>
      <c r="BF22" s="1902"/>
      <c r="BG22" s="1902"/>
      <c r="BH22" s="1902"/>
      <c r="BI22" s="1902"/>
      <c r="BJ22" s="1902"/>
      <c r="BK22" s="1902"/>
      <c r="BL22" s="1902"/>
      <c r="BM22" s="1903"/>
      <c r="BN22" s="1791">
        <f t="shared" ref="BN22:BN28" si="1">AN22*BD22</f>
        <v>4000</v>
      </c>
      <c r="BO22" s="1792"/>
      <c r="BP22" s="1792"/>
      <c r="BQ22" s="1792"/>
      <c r="BR22" s="1792"/>
      <c r="BS22" s="1792"/>
      <c r="BT22" s="1792"/>
      <c r="BU22" s="1792"/>
      <c r="BV22" s="1792"/>
      <c r="BW22" s="1792"/>
      <c r="BX22" s="1792"/>
      <c r="BY22" s="1792"/>
      <c r="BZ22" s="1792"/>
      <c r="CA22" s="1792"/>
      <c r="CB22" s="1793"/>
      <c r="CC22" s="17"/>
      <c r="CD22" s="253">
        <f t="shared" ref="CD22:CD28" si="2">BN22</f>
        <v>4000</v>
      </c>
      <c r="CE22" s="17"/>
      <c r="CF22" s="17"/>
      <c r="CG22" s="17"/>
      <c r="CH22" s="17"/>
    </row>
    <row r="23" spans="1:86" x14ac:dyDescent="0.2">
      <c r="A23" s="1843">
        <v>16</v>
      </c>
      <c r="B23" s="1844"/>
      <c r="C23" s="1844"/>
      <c r="D23" s="1845"/>
      <c r="E23" s="1904" t="s">
        <v>150</v>
      </c>
      <c r="F23" s="1905"/>
      <c r="G23" s="1905"/>
      <c r="H23" s="1905"/>
      <c r="I23" s="1905"/>
      <c r="J23" s="1905"/>
      <c r="K23" s="1905"/>
      <c r="L23" s="1905"/>
      <c r="M23" s="1905"/>
      <c r="N23" s="1905"/>
      <c r="O23" s="1905"/>
      <c r="P23" s="1905"/>
      <c r="Q23" s="1905"/>
      <c r="R23" s="1905"/>
      <c r="S23" s="1905"/>
      <c r="T23" s="1905"/>
      <c r="U23" s="1905"/>
      <c r="V23" s="1905"/>
      <c r="W23" s="1905"/>
      <c r="X23" s="1905"/>
      <c r="Y23" s="1905"/>
      <c r="Z23" s="1905"/>
      <c r="AA23" s="1905"/>
      <c r="AB23" s="1905"/>
      <c r="AC23" s="1905"/>
      <c r="AD23" s="1905"/>
      <c r="AE23" s="1905"/>
      <c r="AF23" s="1905"/>
      <c r="AG23" s="1905"/>
      <c r="AH23" s="1905"/>
      <c r="AI23" s="1905"/>
      <c r="AJ23" s="1905"/>
      <c r="AK23" s="1905"/>
      <c r="AL23" s="1905"/>
      <c r="AM23" s="1906"/>
      <c r="AN23" s="1914">
        <v>9000</v>
      </c>
      <c r="AO23" s="1915"/>
      <c r="AP23" s="1915"/>
      <c r="AQ23" s="1915"/>
      <c r="AR23" s="1915"/>
      <c r="AS23" s="1915"/>
      <c r="AT23" s="1915"/>
      <c r="AU23" s="1915"/>
      <c r="AV23" s="1915"/>
      <c r="AW23" s="1915"/>
      <c r="AX23" s="1915"/>
      <c r="AY23" s="1915"/>
      <c r="AZ23" s="1915"/>
      <c r="BA23" s="1915"/>
      <c r="BB23" s="1915"/>
      <c r="BC23" s="1916"/>
      <c r="BD23" s="1901">
        <v>1</v>
      </c>
      <c r="BE23" s="1902"/>
      <c r="BF23" s="1902"/>
      <c r="BG23" s="1902"/>
      <c r="BH23" s="1902"/>
      <c r="BI23" s="1902"/>
      <c r="BJ23" s="1902"/>
      <c r="BK23" s="1902"/>
      <c r="BL23" s="1902"/>
      <c r="BM23" s="1903"/>
      <c r="BN23" s="1791">
        <f t="shared" si="1"/>
        <v>9000</v>
      </c>
      <c r="BO23" s="1792"/>
      <c r="BP23" s="1792"/>
      <c r="BQ23" s="1792"/>
      <c r="BR23" s="1792"/>
      <c r="BS23" s="1792"/>
      <c r="BT23" s="1792"/>
      <c r="BU23" s="1792"/>
      <c r="BV23" s="1792"/>
      <c r="BW23" s="1792"/>
      <c r="BX23" s="1792"/>
      <c r="BY23" s="1792"/>
      <c r="BZ23" s="1792"/>
      <c r="CA23" s="1792"/>
      <c r="CB23" s="1793"/>
      <c r="CC23" s="17"/>
      <c r="CD23" s="253">
        <f t="shared" si="2"/>
        <v>9000</v>
      </c>
      <c r="CE23" s="17"/>
      <c r="CF23" s="17"/>
      <c r="CG23" s="17"/>
      <c r="CH23" s="17"/>
    </row>
    <row r="24" spans="1:86" x14ac:dyDescent="0.2">
      <c r="A24" s="1843">
        <v>17</v>
      </c>
      <c r="B24" s="1844"/>
      <c r="C24" s="1844"/>
      <c r="D24" s="1845"/>
      <c r="E24" s="1904" t="s">
        <v>647</v>
      </c>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6"/>
      <c r="AN24" s="1914">
        <v>20000</v>
      </c>
      <c r="AO24" s="1915"/>
      <c r="AP24" s="1915"/>
      <c r="AQ24" s="1915"/>
      <c r="AR24" s="1915"/>
      <c r="AS24" s="1915"/>
      <c r="AT24" s="1915"/>
      <c r="AU24" s="1915"/>
      <c r="AV24" s="1915"/>
      <c r="AW24" s="1915"/>
      <c r="AX24" s="1915"/>
      <c r="AY24" s="1915"/>
      <c r="AZ24" s="1915"/>
      <c r="BA24" s="1915"/>
      <c r="BB24" s="1915"/>
      <c r="BC24" s="1916"/>
      <c r="BD24" s="1901">
        <v>1</v>
      </c>
      <c r="BE24" s="1902"/>
      <c r="BF24" s="1902"/>
      <c r="BG24" s="1902"/>
      <c r="BH24" s="1902"/>
      <c r="BI24" s="1902"/>
      <c r="BJ24" s="1902"/>
      <c r="BK24" s="1902"/>
      <c r="BL24" s="1902"/>
      <c r="BM24" s="1903"/>
      <c r="BN24" s="1791">
        <f t="shared" si="1"/>
        <v>20000</v>
      </c>
      <c r="BO24" s="1792"/>
      <c r="BP24" s="1792"/>
      <c r="BQ24" s="1792"/>
      <c r="BR24" s="1792"/>
      <c r="BS24" s="1792"/>
      <c r="BT24" s="1792"/>
      <c r="BU24" s="1792"/>
      <c r="BV24" s="1792"/>
      <c r="BW24" s="1792"/>
      <c r="BX24" s="1792"/>
      <c r="BY24" s="1792"/>
      <c r="BZ24" s="1792"/>
      <c r="CA24" s="1792"/>
      <c r="CB24" s="1793"/>
      <c r="CC24" s="17"/>
      <c r="CD24" s="253">
        <f t="shared" si="2"/>
        <v>20000</v>
      </c>
      <c r="CE24" s="17"/>
      <c r="CF24" s="17"/>
      <c r="CG24" s="17"/>
      <c r="CH24" s="17"/>
    </row>
    <row r="25" spans="1:86" ht="27.75" customHeight="1" x14ac:dyDescent="0.2">
      <c r="A25" s="1843">
        <v>18</v>
      </c>
      <c r="B25" s="1844"/>
      <c r="C25" s="1844"/>
      <c r="D25" s="1845"/>
      <c r="E25" s="1904" t="s">
        <v>1185</v>
      </c>
      <c r="F25" s="1905"/>
      <c r="G25" s="1905"/>
      <c r="H25" s="1905"/>
      <c r="I25" s="1905"/>
      <c r="J25" s="1905"/>
      <c r="K25" s="1905"/>
      <c r="L25" s="1905"/>
      <c r="M25" s="1905"/>
      <c r="N25" s="1905"/>
      <c r="O25" s="1905"/>
      <c r="P25" s="1905"/>
      <c r="Q25" s="1905"/>
      <c r="R25" s="1905"/>
      <c r="S25" s="1905"/>
      <c r="T25" s="1905"/>
      <c r="U25" s="1905"/>
      <c r="V25" s="1905"/>
      <c r="W25" s="1905"/>
      <c r="X25" s="1905"/>
      <c r="Y25" s="1905"/>
      <c r="Z25" s="1905"/>
      <c r="AA25" s="1905"/>
      <c r="AB25" s="1905"/>
      <c r="AC25" s="1905"/>
      <c r="AD25" s="1905"/>
      <c r="AE25" s="1905"/>
      <c r="AF25" s="1905"/>
      <c r="AG25" s="1905"/>
      <c r="AH25" s="1905"/>
      <c r="AI25" s="1905"/>
      <c r="AJ25" s="1905"/>
      <c r="AK25" s="1905"/>
      <c r="AL25" s="1905"/>
      <c r="AM25" s="1906"/>
      <c r="AN25" s="1914">
        <v>1643</v>
      </c>
      <c r="AO25" s="1915"/>
      <c r="AP25" s="1915"/>
      <c r="AQ25" s="1915"/>
      <c r="AR25" s="1915"/>
      <c r="AS25" s="1915"/>
      <c r="AT25" s="1915"/>
      <c r="AU25" s="1915"/>
      <c r="AV25" s="1915"/>
      <c r="AW25" s="1915"/>
      <c r="AX25" s="1915"/>
      <c r="AY25" s="1915"/>
      <c r="AZ25" s="1915"/>
      <c r="BA25" s="1915"/>
      <c r="BB25" s="1915"/>
      <c r="BC25" s="1916"/>
      <c r="BD25" s="1901">
        <v>12</v>
      </c>
      <c r="BE25" s="1902"/>
      <c r="BF25" s="1902"/>
      <c r="BG25" s="1902"/>
      <c r="BH25" s="1902"/>
      <c r="BI25" s="1902"/>
      <c r="BJ25" s="1902"/>
      <c r="BK25" s="1902"/>
      <c r="BL25" s="1902"/>
      <c r="BM25" s="1903"/>
      <c r="BN25" s="1791">
        <f t="shared" si="1"/>
        <v>19716</v>
      </c>
      <c r="BO25" s="1792"/>
      <c r="BP25" s="1792"/>
      <c r="BQ25" s="1792"/>
      <c r="BR25" s="1792"/>
      <c r="BS25" s="1792"/>
      <c r="BT25" s="1792"/>
      <c r="BU25" s="1792"/>
      <c r="BV25" s="1792"/>
      <c r="BW25" s="1792"/>
      <c r="BX25" s="1792"/>
      <c r="BY25" s="1792"/>
      <c r="BZ25" s="1792"/>
      <c r="CA25" s="1792"/>
      <c r="CB25" s="1793"/>
      <c r="CC25" s="17"/>
      <c r="CD25" s="253">
        <f t="shared" si="2"/>
        <v>19716</v>
      </c>
      <c r="CE25" s="17"/>
      <c r="CF25" s="17"/>
      <c r="CG25" s="17"/>
      <c r="CH25" s="17"/>
    </row>
    <row r="26" spans="1:86" ht="26.25" customHeight="1" x14ac:dyDescent="0.2">
      <c r="A26" s="1843">
        <v>19</v>
      </c>
      <c r="B26" s="1844"/>
      <c r="C26" s="1844"/>
      <c r="D26" s="1845"/>
      <c r="E26" s="1904" t="s">
        <v>587</v>
      </c>
      <c r="F26" s="1917"/>
      <c r="G26" s="1917"/>
      <c r="H26" s="1917"/>
      <c r="I26" s="1917"/>
      <c r="J26" s="1917"/>
      <c r="K26" s="1917"/>
      <c r="L26" s="1917"/>
      <c r="M26" s="1917"/>
      <c r="N26" s="1917"/>
      <c r="O26" s="1917"/>
      <c r="P26" s="1917"/>
      <c r="Q26" s="1917"/>
      <c r="R26" s="1917"/>
      <c r="S26" s="1917"/>
      <c r="T26" s="1917"/>
      <c r="U26" s="1917"/>
      <c r="V26" s="1917"/>
      <c r="W26" s="1917"/>
      <c r="X26" s="1917"/>
      <c r="Y26" s="1917"/>
      <c r="Z26" s="1917"/>
      <c r="AA26" s="1917"/>
      <c r="AB26" s="1917"/>
      <c r="AC26" s="1917"/>
      <c r="AD26" s="1917"/>
      <c r="AE26" s="1917"/>
      <c r="AF26" s="1917"/>
      <c r="AG26" s="1917"/>
      <c r="AH26" s="1917"/>
      <c r="AI26" s="1917"/>
      <c r="AJ26" s="1917"/>
      <c r="AK26" s="1917"/>
      <c r="AL26" s="1917"/>
      <c r="AM26" s="1918"/>
      <c r="AN26" s="1919">
        <v>1246</v>
      </c>
      <c r="AO26" s="1920"/>
      <c r="AP26" s="1920"/>
      <c r="AQ26" s="1920"/>
      <c r="AR26" s="1920"/>
      <c r="AS26" s="1920"/>
      <c r="AT26" s="1920"/>
      <c r="AU26" s="1920"/>
      <c r="AV26" s="1920"/>
      <c r="AW26" s="1920"/>
      <c r="AX26" s="1920"/>
      <c r="AY26" s="1920"/>
      <c r="AZ26" s="1920"/>
      <c r="BA26" s="1920"/>
      <c r="BB26" s="1920"/>
      <c r="BC26" s="1921"/>
      <c r="BD26" s="1901">
        <v>12</v>
      </c>
      <c r="BE26" s="1546"/>
      <c r="BF26" s="1546"/>
      <c r="BG26" s="1546"/>
      <c r="BH26" s="1546"/>
      <c r="BI26" s="1546"/>
      <c r="BJ26" s="1546"/>
      <c r="BK26" s="1546"/>
      <c r="BL26" s="1546"/>
      <c r="BM26" s="1547"/>
      <c r="BN26" s="1852">
        <f t="shared" si="1"/>
        <v>14952</v>
      </c>
      <c r="BO26" s="1853"/>
      <c r="BP26" s="1853"/>
      <c r="BQ26" s="1853"/>
      <c r="BR26" s="1853"/>
      <c r="BS26" s="1853"/>
      <c r="BT26" s="1853"/>
      <c r="BU26" s="1853"/>
      <c r="BV26" s="1853"/>
      <c r="BW26" s="1853"/>
      <c r="BX26" s="1853"/>
      <c r="BY26" s="1853"/>
      <c r="BZ26" s="1853"/>
      <c r="CA26" s="1853"/>
      <c r="CB26" s="1854"/>
      <c r="CC26" s="17"/>
      <c r="CD26" s="23">
        <f t="shared" si="2"/>
        <v>14952</v>
      </c>
      <c r="CE26" s="17"/>
      <c r="CF26" s="17"/>
      <c r="CG26" s="17"/>
      <c r="CH26" s="17"/>
    </row>
    <row r="27" spans="1:86" x14ac:dyDescent="0.2">
      <c r="A27" s="1843">
        <v>20</v>
      </c>
      <c r="B27" s="1844"/>
      <c r="C27" s="1844"/>
      <c r="D27" s="1845"/>
      <c r="E27" s="1904" t="s">
        <v>1107</v>
      </c>
      <c r="F27" s="1905"/>
      <c r="G27" s="1905"/>
      <c r="H27" s="1905"/>
      <c r="I27" s="1905"/>
      <c r="J27" s="1905"/>
      <c r="K27" s="1905"/>
      <c r="L27" s="1905"/>
      <c r="M27" s="1905"/>
      <c r="N27" s="1905"/>
      <c r="O27" s="1905"/>
      <c r="P27" s="1905"/>
      <c r="Q27" s="1905"/>
      <c r="R27" s="1905"/>
      <c r="S27" s="1905"/>
      <c r="T27" s="1905"/>
      <c r="U27" s="1905"/>
      <c r="V27" s="1905"/>
      <c r="W27" s="1905"/>
      <c r="X27" s="1905"/>
      <c r="Y27" s="1905"/>
      <c r="Z27" s="1905"/>
      <c r="AA27" s="1905"/>
      <c r="AB27" s="1905"/>
      <c r="AC27" s="1905"/>
      <c r="AD27" s="1905"/>
      <c r="AE27" s="1905"/>
      <c r="AF27" s="1905"/>
      <c r="AG27" s="1905"/>
      <c r="AH27" s="1905"/>
      <c r="AI27" s="1905"/>
      <c r="AJ27" s="1905"/>
      <c r="AK27" s="1905"/>
      <c r="AL27" s="1905"/>
      <c r="AM27" s="1906"/>
      <c r="AN27" s="1914">
        <v>3783.24</v>
      </c>
      <c r="AO27" s="1915"/>
      <c r="AP27" s="1915"/>
      <c r="AQ27" s="1915"/>
      <c r="AR27" s="1915"/>
      <c r="AS27" s="1915"/>
      <c r="AT27" s="1915"/>
      <c r="AU27" s="1915"/>
      <c r="AV27" s="1915"/>
      <c r="AW27" s="1915"/>
      <c r="AX27" s="1915"/>
      <c r="AY27" s="1915"/>
      <c r="AZ27" s="1915"/>
      <c r="BA27" s="1915"/>
      <c r="BB27" s="1915"/>
      <c r="BC27" s="1916"/>
      <c r="BD27" s="1901">
        <v>12</v>
      </c>
      <c r="BE27" s="1902"/>
      <c r="BF27" s="1902"/>
      <c r="BG27" s="1902"/>
      <c r="BH27" s="1902"/>
      <c r="BI27" s="1902"/>
      <c r="BJ27" s="1902"/>
      <c r="BK27" s="1902"/>
      <c r="BL27" s="1902"/>
      <c r="BM27" s="1903"/>
      <c r="BN27" s="1791">
        <f t="shared" si="1"/>
        <v>45398.879999999997</v>
      </c>
      <c r="BO27" s="1792"/>
      <c r="BP27" s="1792"/>
      <c r="BQ27" s="1792"/>
      <c r="BR27" s="1792"/>
      <c r="BS27" s="1792"/>
      <c r="BT27" s="1792"/>
      <c r="BU27" s="1792"/>
      <c r="BV27" s="1792"/>
      <c r="BW27" s="1792"/>
      <c r="BX27" s="1792"/>
      <c r="BY27" s="1792"/>
      <c r="BZ27" s="1792"/>
      <c r="CA27" s="1792"/>
      <c r="CB27" s="1793"/>
      <c r="CC27" s="17"/>
      <c r="CD27" s="253">
        <f t="shared" si="2"/>
        <v>45398.879999999997</v>
      </c>
      <c r="CE27" s="17"/>
      <c r="CF27" s="17"/>
      <c r="CG27" s="17"/>
      <c r="CH27" s="17"/>
    </row>
    <row r="28" spans="1:86" ht="17.25" customHeight="1" x14ac:dyDescent="0.2">
      <c r="A28" s="1843">
        <v>21</v>
      </c>
      <c r="B28" s="1844"/>
      <c r="C28" s="1844"/>
      <c r="D28" s="1845"/>
      <c r="E28" s="1904" t="s">
        <v>157</v>
      </c>
      <c r="F28" s="1917"/>
      <c r="G28" s="1917"/>
      <c r="H28" s="1917"/>
      <c r="I28" s="1917"/>
      <c r="J28" s="1917"/>
      <c r="K28" s="1917"/>
      <c r="L28" s="1917"/>
      <c r="M28" s="1917"/>
      <c r="N28" s="1917"/>
      <c r="O28" s="1917"/>
      <c r="P28" s="1917"/>
      <c r="Q28" s="1917"/>
      <c r="R28" s="1917"/>
      <c r="S28" s="1917"/>
      <c r="T28" s="1917"/>
      <c r="U28" s="1917"/>
      <c r="V28" s="1917"/>
      <c r="W28" s="1917"/>
      <c r="X28" s="1917"/>
      <c r="Y28" s="1917"/>
      <c r="Z28" s="1917"/>
      <c r="AA28" s="1917"/>
      <c r="AB28" s="1917"/>
      <c r="AC28" s="1917"/>
      <c r="AD28" s="1917"/>
      <c r="AE28" s="1917"/>
      <c r="AF28" s="1917"/>
      <c r="AG28" s="1917"/>
      <c r="AH28" s="1917"/>
      <c r="AI28" s="1917"/>
      <c r="AJ28" s="1917"/>
      <c r="AK28" s="1917"/>
      <c r="AL28" s="1917"/>
      <c r="AM28" s="1918"/>
      <c r="AN28" s="1919">
        <v>10000</v>
      </c>
      <c r="AO28" s="1920"/>
      <c r="AP28" s="1920"/>
      <c r="AQ28" s="1920"/>
      <c r="AR28" s="1920"/>
      <c r="AS28" s="1920"/>
      <c r="AT28" s="1920"/>
      <c r="AU28" s="1920"/>
      <c r="AV28" s="1920"/>
      <c r="AW28" s="1920"/>
      <c r="AX28" s="1920"/>
      <c r="AY28" s="1920"/>
      <c r="AZ28" s="1920"/>
      <c r="BA28" s="1920"/>
      <c r="BB28" s="1920"/>
      <c r="BC28" s="1921"/>
      <c r="BD28" s="1901">
        <v>1</v>
      </c>
      <c r="BE28" s="1546"/>
      <c r="BF28" s="1546"/>
      <c r="BG28" s="1546"/>
      <c r="BH28" s="1546"/>
      <c r="BI28" s="1546"/>
      <c r="BJ28" s="1546"/>
      <c r="BK28" s="1546"/>
      <c r="BL28" s="1546"/>
      <c r="BM28" s="1547"/>
      <c r="BN28" s="1852">
        <f t="shared" si="1"/>
        <v>10000</v>
      </c>
      <c r="BO28" s="1853"/>
      <c r="BP28" s="1853"/>
      <c r="BQ28" s="1853"/>
      <c r="BR28" s="1853"/>
      <c r="BS28" s="1853"/>
      <c r="BT28" s="1853"/>
      <c r="BU28" s="1853"/>
      <c r="BV28" s="1853"/>
      <c r="BW28" s="1853"/>
      <c r="BX28" s="1853"/>
      <c r="BY28" s="1853"/>
      <c r="BZ28" s="1853"/>
      <c r="CA28" s="1853"/>
      <c r="CB28" s="1854"/>
      <c r="CC28" s="17"/>
      <c r="CD28" s="23">
        <f t="shared" si="2"/>
        <v>10000</v>
      </c>
      <c r="CE28" s="17"/>
      <c r="CF28" s="17"/>
      <c r="CG28" s="17"/>
      <c r="CH28" s="17"/>
    </row>
    <row r="29" spans="1:86" x14ac:dyDescent="0.2">
      <c r="A29" s="1803"/>
      <c r="B29" s="1804"/>
      <c r="C29" s="1804"/>
      <c r="D29" s="1805"/>
      <c r="E29" s="1831" t="s">
        <v>151</v>
      </c>
      <c r="F29" s="1832"/>
      <c r="G29" s="1832"/>
      <c r="H29" s="1832"/>
      <c r="I29" s="1832"/>
      <c r="J29" s="1832"/>
      <c r="K29" s="1832"/>
      <c r="L29" s="1832"/>
      <c r="M29" s="1832"/>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c r="AL29" s="1832"/>
      <c r="AM29" s="1833"/>
      <c r="AN29" s="1824" t="s">
        <v>3</v>
      </c>
      <c r="AO29" s="1825"/>
      <c r="AP29" s="1825"/>
      <c r="AQ29" s="1825"/>
      <c r="AR29" s="1825"/>
      <c r="AS29" s="1825"/>
      <c r="AT29" s="1825"/>
      <c r="AU29" s="1825"/>
      <c r="AV29" s="1825"/>
      <c r="AW29" s="1825"/>
      <c r="AX29" s="1825"/>
      <c r="AY29" s="1825"/>
      <c r="AZ29" s="1825"/>
      <c r="BA29" s="1825"/>
      <c r="BB29" s="1825"/>
      <c r="BC29" s="1826"/>
      <c r="BD29" s="1797" t="s">
        <v>3</v>
      </c>
      <c r="BE29" s="1798"/>
      <c r="BF29" s="1798"/>
      <c r="BG29" s="1798"/>
      <c r="BH29" s="1798"/>
      <c r="BI29" s="1798"/>
      <c r="BJ29" s="1798"/>
      <c r="BK29" s="1798"/>
      <c r="BL29" s="1798"/>
      <c r="BM29" s="1799"/>
      <c r="BN29" s="1800">
        <f>SUM(BN8:CB28)</f>
        <v>475746.88</v>
      </c>
      <c r="BO29" s="1801"/>
      <c r="BP29" s="1801"/>
      <c r="BQ29" s="1801"/>
      <c r="BR29" s="1801"/>
      <c r="BS29" s="1801"/>
      <c r="BT29" s="1801"/>
      <c r="BU29" s="1801"/>
      <c r="BV29" s="1801"/>
      <c r="BW29" s="1801"/>
      <c r="BX29" s="1801"/>
      <c r="BY29" s="1801"/>
      <c r="BZ29" s="1801"/>
      <c r="CA29" s="1801"/>
      <c r="CB29" s="1802"/>
      <c r="CC29" s="17"/>
      <c r="CD29" s="254">
        <f>SUM(CD8:CD28)</f>
        <v>475746.88</v>
      </c>
      <c r="CE29" s="254"/>
      <c r="CF29" s="254"/>
      <c r="CG29" s="254"/>
      <c r="CH29" s="17"/>
    </row>
    <row r="30" spans="1:86" s="4" customFormat="1" ht="30.75" customHeight="1" x14ac:dyDescent="0.25">
      <c r="A30" s="1817" t="s">
        <v>152</v>
      </c>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817"/>
      <c r="AM30" s="1817"/>
      <c r="AN30" s="1817"/>
      <c r="AO30" s="1817"/>
      <c r="AP30" s="1817"/>
      <c r="AQ30" s="1817"/>
      <c r="AR30" s="1817"/>
      <c r="AS30" s="1817"/>
      <c r="AT30" s="1817"/>
      <c r="AU30" s="1817"/>
      <c r="AV30" s="1817"/>
      <c r="AW30" s="1817"/>
      <c r="AX30" s="1817"/>
      <c r="AY30" s="1817"/>
      <c r="AZ30" s="1817"/>
      <c r="BA30" s="1817"/>
      <c r="BB30" s="1817"/>
      <c r="BC30" s="1817"/>
      <c r="BD30" s="1817"/>
      <c r="BE30" s="1817"/>
      <c r="BF30" s="1817"/>
      <c r="BG30" s="1817"/>
      <c r="BH30" s="1817"/>
      <c r="BI30" s="1817"/>
      <c r="BJ30" s="1817"/>
      <c r="BK30" s="1817"/>
      <c r="BL30" s="1817"/>
      <c r="BM30" s="1817"/>
      <c r="BN30" s="1817"/>
      <c r="BO30" s="1817"/>
      <c r="BP30" s="1817"/>
      <c r="BQ30" s="1817"/>
      <c r="BR30" s="1817"/>
      <c r="BS30" s="1817"/>
      <c r="BT30" s="1817"/>
      <c r="BU30" s="1817"/>
      <c r="BV30" s="1817"/>
      <c r="BW30" s="1817"/>
      <c r="BX30" s="1817"/>
      <c r="BY30" s="1817"/>
      <c r="BZ30" s="1817"/>
      <c r="CA30" s="1817"/>
      <c r="CB30" s="1817"/>
      <c r="CD30" s="255"/>
    </row>
    <row r="31" spans="1:86" x14ac:dyDescent="0.2">
      <c r="A31" s="1818" t="s">
        <v>71</v>
      </c>
      <c r="B31" s="1819"/>
      <c r="C31" s="1819"/>
      <c r="D31" s="1820"/>
      <c r="E31" s="1818" t="s">
        <v>4</v>
      </c>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3"/>
      <c r="AK31" s="1933"/>
      <c r="AL31" s="1933"/>
      <c r="AM31" s="1934"/>
      <c r="AN31" s="1781" t="s">
        <v>139</v>
      </c>
      <c r="AO31" s="1925"/>
      <c r="AP31" s="1925"/>
      <c r="AQ31" s="1925"/>
      <c r="AR31" s="1925"/>
      <c r="AS31" s="1925"/>
      <c r="AT31" s="1925"/>
      <c r="AU31" s="1925"/>
      <c r="AV31" s="1925"/>
      <c r="AW31" s="1925"/>
      <c r="AX31" s="1925"/>
      <c r="AY31" s="1925"/>
      <c r="AZ31" s="1925"/>
      <c r="BA31" s="1925"/>
      <c r="BB31" s="1925"/>
      <c r="BC31" s="1782"/>
      <c r="BD31" s="1781" t="s">
        <v>140</v>
      </c>
      <c r="BE31" s="1925"/>
      <c r="BF31" s="1925"/>
      <c r="BG31" s="1925"/>
      <c r="BH31" s="1925"/>
      <c r="BI31" s="1925"/>
      <c r="BJ31" s="1925"/>
      <c r="BK31" s="1925"/>
      <c r="BL31" s="1925"/>
      <c r="BM31" s="1782"/>
      <c r="BN31" s="1818" t="s">
        <v>105</v>
      </c>
      <c r="BO31" s="1819"/>
      <c r="BP31" s="1819"/>
      <c r="BQ31" s="1819"/>
      <c r="BR31" s="1819"/>
      <c r="BS31" s="1819"/>
      <c r="BT31" s="1819"/>
      <c r="BU31" s="1819"/>
      <c r="BV31" s="1819"/>
      <c r="BW31" s="1819"/>
      <c r="BX31" s="1819"/>
      <c r="BY31" s="1819"/>
      <c r="BZ31" s="1819"/>
      <c r="CA31" s="1819"/>
      <c r="CB31" s="1820"/>
      <c r="CC31" s="1799" t="s">
        <v>52</v>
      </c>
      <c r="CD31" s="1806"/>
      <c r="CE31" s="1806"/>
      <c r="CF31" s="1806"/>
      <c r="CG31" s="1806"/>
      <c r="CH31" s="1806"/>
    </row>
    <row r="32" spans="1:86" ht="12.75" customHeight="1" x14ac:dyDescent="0.2">
      <c r="A32" s="1807" t="s">
        <v>77</v>
      </c>
      <c r="B32" s="1808"/>
      <c r="C32" s="1808"/>
      <c r="D32" s="1809"/>
      <c r="E32" s="1935"/>
      <c r="F32" s="1936"/>
      <c r="G32" s="1936"/>
      <c r="H32" s="1936"/>
      <c r="I32" s="1936"/>
      <c r="J32" s="1936"/>
      <c r="K32" s="1936"/>
      <c r="L32" s="1936"/>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7"/>
      <c r="AN32" s="1783"/>
      <c r="AO32" s="1926"/>
      <c r="AP32" s="1926"/>
      <c r="AQ32" s="1926"/>
      <c r="AR32" s="1926"/>
      <c r="AS32" s="1926"/>
      <c r="AT32" s="1926"/>
      <c r="AU32" s="1926"/>
      <c r="AV32" s="1926"/>
      <c r="AW32" s="1926"/>
      <c r="AX32" s="1926"/>
      <c r="AY32" s="1926"/>
      <c r="AZ32" s="1926"/>
      <c r="BA32" s="1926"/>
      <c r="BB32" s="1926"/>
      <c r="BC32" s="1784"/>
      <c r="BD32" s="1783"/>
      <c r="BE32" s="1926"/>
      <c r="BF32" s="1926"/>
      <c r="BG32" s="1926"/>
      <c r="BH32" s="1926"/>
      <c r="BI32" s="1926"/>
      <c r="BJ32" s="1926"/>
      <c r="BK32" s="1926"/>
      <c r="BL32" s="1926"/>
      <c r="BM32" s="1784"/>
      <c r="BN32" s="1807" t="s">
        <v>153</v>
      </c>
      <c r="BO32" s="1808"/>
      <c r="BP32" s="1808"/>
      <c r="BQ32" s="1808"/>
      <c r="BR32" s="1808"/>
      <c r="BS32" s="1808"/>
      <c r="BT32" s="1808"/>
      <c r="BU32" s="1808"/>
      <c r="BV32" s="1808"/>
      <c r="BW32" s="1808"/>
      <c r="BX32" s="1808"/>
      <c r="BY32" s="1808"/>
      <c r="BZ32" s="1808"/>
      <c r="CA32" s="1808"/>
      <c r="CB32" s="1809"/>
      <c r="CC32" s="1789" t="s">
        <v>35</v>
      </c>
      <c r="CD32" s="1810"/>
      <c r="CE32" s="1788" t="s">
        <v>45</v>
      </c>
      <c r="CF32" s="1790"/>
      <c r="CG32" s="1789"/>
      <c r="CH32" s="1778" t="s">
        <v>46</v>
      </c>
    </row>
    <row r="33" spans="1:86" ht="12.75" customHeight="1" x14ac:dyDescent="0.2">
      <c r="A33" s="1807"/>
      <c r="B33" s="1808"/>
      <c r="C33" s="1808"/>
      <c r="D33" s="1809"/>
      <c r="E33" s="1935"/>
      <c r="F33" s="1936"/>
      <c r="G33" s="1936"/>
      <c r="H33" s="1936"/>
      <c r="I33" s="1936"/>
      <c r="J33" s="1936"/>
      <c r="K33" s="1936"/>
      <c r="L33" s="1936"/>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7"/>
      <c r="AN33" s="1783"/>
      <c r="AO33" s="1926"/>
      <c r="AP33" s="1926"/>
      <c r="AQ33" s="1926"/>
      <c r="AR33" s="1926"/>
      <c r="AS33" s="1926"/>
      <c r="AT33" s="1926"/>
      <c r="AU33" s="1926"/>
      <c r="AV33" s="1926"/>
      <c r="AW33" s="1926"/>
      <c r="AX33" s="1926"/>
      <c r="AY33" s="1926"/>
      <c r="AZ33" s="1926"/>
      <c r="BA33" s="1926"/>
      <c r="BB33" s="1926"/>
      <c r="BC33" s="1784"/>
      <c r="BD33" s="1783"/>
      <c r="BE33" s="1926"/>
      <c r="BF33" s="1926"/>
      <c r="BG33" s="1926"/>
      <c r="BH33" s="1926"/>
      <c r="BI33" s="1926"/>
      <c r="BJ33" s="1926"/>
      <c r="BK33" s="1926"/>
      <c r="BL33" s="1926"/>
      <c r="BM33" s="1784"/>
      <c r="BN33" s="1807"/>
      <c r="BO33" s="1808"/>
      <c r="BP33" s="1808"/>
      <c r="BQ33" s="1808"/>
      <c r="BR33" s="1808"/>
      <c r="BS33" s="1808"/>
      <c r="BT33" s="1808"/>
      <c r="BU33" s="1808"/>
      <c r="BV33" s="1808"/>
      <c r="BW33" s="1808"/>
      <c r="BX33" s="1808"/>
      <c r="BY33" s="1808"/>
      <c r="BZ33" s="1808"/>
      <c r="CA33" s="1808"/>
      <c r="CB33" s="1809"/>
      <c r="CC33" s="1930" t="s">
        <v>43</v>
      </c>
      <c r="CD33" s="1811" t="s">
        <v>44</v>
      </c>
      <c r="CE33" s="1812" t="s">
        <v>55</v>
      </c>
      <c r="CF33" s="1811" t="s">
        <v>43</v>
      </c>
      <c r="CG33" s="1811" t="s">
        <v>44</v>
      </c>
      <c r="CH33" s="1779"/>
    </row>
    <row r="34" spans="1:86" x14ac:dyDescent="0.2">
      <c r="A34" s="1814"/>
      <c r="B34" s="1815"/>
      <c r="C34" s="1815"/>
      <c r="D34" s="1816"/>
      <c r="E34" s="1938"/>
      <c r="F34" s="1939"/>
      <c r="G34" s="1939"/>
      <c r="H34" s="1939"/>
      <c r="I34" s="1939"/>
      <c r="J34" s="1939"/>
      <c r="K34" s="1939"/>
      <c r="L34" s="1939"/>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40"/>
      <c r="AN34" s="1785"/>
      <c r="AO34" s="1927"/>
      <c r="AP34" s="1927"/>
      <c r="AQ34" s="1927"/>
      <c r="AR34" s="1927"/>
      <c r="AS34" s="1927"/>
      <c r="AT34" s="1927"/>
      <c r="AU34" s="1927"/>
      <c r="AV34" s="1927"/>
      <c r="AW34" s="1927"/>
      <c r="AX34" s="1927"/>
      <c r="AY34" s="1927"/>
      <c r="AZ34" s="1927"/>
      <c r="BA34" s="1927"/>
      <c r="BB34" s="1927"/>
      <c r="BC34" s="1786"/>
      <c r="BD34" s="1785"/>
      <c r="BE34" s="1927"/>
      <c r="BF34" s="1927"/>
      <c r="BG34" s="1927"/>
      <c r="BH34" s="1927"/>
      <c r="BI34" s="1927"/>
      <c r="BJ34" s="1927"/>
      <c r="BK34" s="1927"/>
      <c r="BL34" s="1927"/>
      <c r="BM34" s="1786"/>
      <c r="BN34" s="1814"/>
      <c r="BO34" s="1815"/>
      <c r="BP34" s="1815"/>
      <c r="BQ34" s="1815"/>
      <c r="BR34" s="1815"/>
      <c r="BS34" s="1815"/>
      <c r="BT34" s="1815"/>
      <c r="BU34" s="1815"/>
      <c r="BV34" s="1815"/>
      <c r="BW34" s="1815"/>
      <c r="BX34" s="1815"/>
      <c r="BY34" s="1815"/>
      <c r="BZ34" s="1815"/>
      <c r="CA34" s="1815"/>
      <c r="CB34" s="1816"/>
      <c r="CC34" s="1930"/>
      <c r="CD34" s="1811"/>
      <c r="CE34" s="1813"/>
      <c r="CF34" s="1811"/>
      <c r="CG34" s="1811"/>
      <c r="CH34" s="1780"/>
    </row>
    <row r="35" spans="1:86" x14ac:dyDescent="0.2">
      <c r="A35" s="1814">
        <v>1</v>
      </c>
      <c r="B35" s="1815"/>
      <c r="C35" s="1815"/>
      <c r="D35" s="1816"/>
      <c r="E35" s="1770">
        <v>2</v>
      </c>
      <c r="F35" s="1944"/>
      <c r="G35" s="1944"/>
      <c r="H35" s="1944"/>
      <c r="I35" s="1944"/>
      <c r="J35" s="1944"/>
      <c r="K35" s="1944"/>
      <c r="L35" s="1944"/>
      <c r="M35" s="1944"/>
      <c r="N35" s="1944"/>
      <c r="O35" s="1944"/>
      <c r="P35" s="1944"/>
      <c r="Q35" s="1944"/>
      <c r="R35" s="1944"/>
      <c r="S35" s="1944"/>
      <c r="T35" s="1944"/>
      <c r="U35" s="1944"/>
      <c r="V35" s="1944"/>
      <c r="W35" s="1944"/>
      <c r="X35" s="1944"/>
      <c r="Y35" s="1944"/>
      <c r="Z35" s="1944"/>
      <c r="AA35" s="1944"/>
      <c r="AB35" s="1944"/>
      <c r="AC35" s="1944"/>
      <c r="AD35" s="1944"/>
      <c r="AE35" s="1944"/>
      <c r="AF35" s="1944"/>
      <c r="AG35" s="1944"/>
      <c r="AH35" s="1944"/>
      <c r="AI35" s="1944"/>
      <c r="AJ35" s="1944"/>
      <c r="AK35" s="1944"/>
      <c r="AL35" s="1944"/>
      <c r="AM35" s="1945"/>
      <c r="AN35" s="1770">
        <v>3</v>
      </c>
      <c r="AO35" s="1944"/>
      <c r="AP35" s="1944"/>
      <c r="AQ35" s="1944"/>
      <c r="AR35" s="1944"/>
      <c r="AS35" s="1944"/>
      <c r="AT35" s="1944"/>
      <c r="AU35" s="1944"/>
      <c r="AV35" s="1944"/>
      <c r="AW35" s="1944"/>
      <c r="AX35" s="1944"/>
      <c r="AY35" s="1944"/>
      <c r="AZ35" s="1944"/>
      <c r="BA35" s="1944"/>
      <c r="BB35" s="1944"/>
      <c r="BC35" s="1945"/>
      <c r="BD35" s="1770">
        <v>4</v>
      </c>
      <c r="BE35" s="1546"/>
      <c r="BF35" s="1546"/>
      <c r="BG35" s="1546"/>
      <c r="BH35" s="1546"/>
      <c r="BI35" s="1546"/>
      <c r="BJ35" s="1546"/>
      <c r="BK35" s="1546"/>
      <c r="BL35" s="1546"/>
      <c r="BM35" s="1547"/>
      <c r="BN35" s="1830" t="s">
        <v>49</v>
      </c>
      <c r="BO35" s="1830"/>
      <c r="BP35" s="1830"/>
      <c r="BQ35" s="1830"/>
      <c r="BR35" s="1830"/>
      <c r="BS35" s="1830"/>
      <c r="BT35" s="1830"/>
      <c r="BU35" s="1830"/>
      <c r="BV35" s="1830"/>
      <c r="BW35" s="1830"/>
      <c r="BX35" s="1830"/>
      <c r="BY35" s="1830"/>
      <c r="BZ35" s="1830"/>
      <c r="CA35" s="1830"/>
      <c r="CB35" s="1830"/>
      <c r="CC35" s="249">
        <v>6</v>
      </c>
      <c r="CD35" s="249">
        <v>7</v>
      </c>
      <c r="CE35" s="250">
        <v>8</v>
      </c>
      <c r="CF35" s="249">
        <v>9</v>
      </c>
      <c r="CG35" s="249">
        <v>10</v>
      </c>
      <c r="CH35" s="252">
        <v>11</v>
      </c>
    </row>
    <row r="36" spans="1:86" ht="30" hidden="1" customHeight="1" x14ac:dyDescent="0.2">
      <c r="A36" s="1803"/>
      <c r="B36" s="1804"/>
      <c r="C36" s="1804"/>
      <c r="D36" s="1805"/>
      <c r="E36" s="1843"/>
      <c r="F36" s="1946"/>
      <c r="G36" s="1946"/>
      <c r="H36" s="1946"/>
      <c r="I36" s="1946"/>
      <c r="J36" s="1946"/>
      <c r="K36" s="1946"/>
      <c r="L36" s="1946"/>
      <c r="M36" s="1946"/>
      <c r="N36" s="1946"/>
      <c r="O36" s="1946"/>
      <c r="P36" s="1946"/>
      <c r="Q36" s="1946"/>
      <c r="R36" s="1946"/>
      <c r="S36" s="1946"/>
      <c r="T36" s="1946"/>
      <c r="U36" s="1946"/>
      <c r="V36" s="1946"/>
      <c r="W36" s="1946"/>
      <c r="X36" s="1946"/>
      <c r="Y36" s="1946"/>
      <c r="Z36" s="1946"/>
      <c r="AA36" s="1946"/>
      <c r="AB36" s="1946"/>
      <c r="AC36" s="1946"/>
      <c r="AD36" s="1946"/>
      <c r="AE36" s="1946"/>
      <c r="AF36" s="1946"/>
      <c r="AG36" s="1946"/>
      <c r="AH36" s="1946"/>
      <c r="AI36" s="1946"/>
      <c r="AJ36" s="1946"/>
      <c r="AK36" s="1946"/>
      <c r="AL36" s="1946"/>
      <c r="AM36" s="1947"/>
      <c r="AN36" s="1843"/>
      <c r="AO36" s="1946"/>
      <c r="AP36" s="1946"/>
      <c r="AQ36" s="1946"/>
      <c r="AR36" s="1946"/>
      <c r="AS36" s="1946"/>
      <c r="AT36" s="1946"/>
      <c r="AU36" s="1946"/>
      <c r="AV36" s="1946"/>
      <c r="AW36" s="1946"/>
      <c r="AX36" s="1946"/>
      <c r="AY36" s="1946"/>
      <c r="AZ36" s="1946"/>
      <c r="BA36" s="1946"/>
      <c r="BB36" s="1946"/>
      <c r="BC36" s="1947"/>
      <c r="BD36" s="1901"/>
      <c r="BE36" s="1546"/>
      <c r="BF36" s="1546"/>
      <c r="BG36" s="1546"/>
      <c r="BH36" s="1546"/>
      <c r="BI36" s="1546"/>
      <c r="BJ36" s="1546"/>
      <c r="BK36" s="1546"/>
      <c r="BL36" s="1546"/>
      <c r="BM36" s="1547"/>
      <c r="BN36" s="1852"/>
      <c r="BO36" s="1853"/>
      <c r="BP36" s="1853"/>
      <c r="BQ36" s="1853"/>
      <c r="BR36" s="1853"/>
      <c r="BS36" s="1853"/>
      <c r="BT36" s="1853"/>
      <c r="BU36" s="1853"/>
      <c r="BV36" s="1853"/>
      <c r="BW36" s="1853"/>
      <c r="BX36" s="1853"/>
      <c r="BY36" s="1853"/>
      <c r="BZ36" s="1853"/>
      <c r="CA36" s="1853"/>
      <c r="CB36" s="1854"/>
      <c r="CC36" s="17"/>
      <c r="CD36" s="23"/>
      <c r="CE36" s="17"/>
      <c r="CF36" s="256"/>
      <c r="CG36" s="256"/>
      <c r="CH36" s="17"/>
    </row>
    <row r="37" spans="1:86" ht="29.25" customHeight="1" x14ac:dyDescent="0.2">
      <c r="A37" s="1843">
        <v>1</v>
      </c>
      <c r="B37" s="1844"/>
      <c r="C37" s="1844"/>
      <c r="D37" s="1845"/>
      <c r="E37" s="1904" t="s">
        <v>1189</v>
      </c>
      <c r="F37" s="1917"/>
      <c r="G37" s="1917"/>
      <c r="H37" s="1917"/>
      <c r="I37" s="1917"/>
      <c r="J37" s="1917"/>
      <c r="K37" s="1917"/>
      <c r="L37" s="1917"/>
      <c r="M37" s="1917"/>
      <c r="N37" s="1917"/>
      <c r="O37" s="1917"/>
      <c r="P37" s="1917"/>
      <c r="Q37" s="1917"/>
      <c r="R37" s="1917"/>
      <c r="S37" s="1917"/>
      <c r="T37" s="1917"/>
      <c r="U37" s="1917"/>
      <c r="V37" s="1917"/>
      <c r="W37" s="1917"/>
      <c r="X37" s="1917"/>
      <c r="Y37" s="1917"/>
      <c r="Z37" s="1917"/>
      <c r="AA37" s="1917"/>
      <c r="AB37" s="1917"/>
      <c r="AC37" s="1917"/>
      <c r="AD37" s="1917"/>
      <c r="AE37" s="1917"/>
      <c r="AF37" s="1917"/>
      <c r="AG37" s="1917"/>
      <c r="AH37" s="1917"/>
      <c r="AI37" s="1917"/>
      <c r="AJ37" s="1917"/>
      <c r="AK37" s="1917"/>
      <c r="AL37" s="1917"/>
      <c r="AM37" s="1918"/>
      <c r="AN37" s="1919">
        <v>4487.16</v>
      </c>
      <c r="AO37" s="1920"/>
      <c r="AP37" s="1920"/>
      <c r="AQ37" s="1920"/>
      <c r="AR37" s="1920"/>
      <c r="AS37" s="1920"/>
      <c r="AT37" s="1920"/>
      <c r="AU37" s="1920"/>
      <c r="AV37" s="1920"/>
      <c r="AW37" s="1920"/>
      <c r="AX37" s="1920"/>
      <c r="AY37" s="1920"/>
      <c r="AZ37" s="1920"/>
      <c r="BA37" s="1920"/>
      <c r="BB37" s="1920"/>
      <c r="BC37" s="1921"/>
      <c r="BD37" s="1901">
        <v>12</v>
      </c>
      <c r="BE37" s="1546"/>
      <c r="BF37" s="1546"/>
      <c r="BG37" s="1546"/>
      <c r="BH37" s="1546"/>
      <c r="BI37" s="1546"/>
      <c r="BJ37" s="1546"/>
      <c r="BK37" s="1546"/>
      <c r="BL37" s="1546"/>
      <c r="BM37" s="1547"/>
      <c r="BN37" s="1852">
        <f>AN37*BD37</f>
        <v>53845.919999999998</v>
      </c>
      <c r="BO37" s="1853"/>
      <c r="BP37" s="1853"/>
      <c r="BQ37" s="1853"/>
      <c r="BR37" s="1853"/>
      <c r="BS37" s="1853"/>
      <c r="BT37" s="1853"/>
      <c r="BU37" s="1853"/>
      <c r="BV37" s="1853"/>
      <c r="BW37" s="1853"/>
      <c r="BX37" s="1853"/>
      <c r="BY37" s="1853"/>
      <c r="BZ37" s="1853"/>
      <c r="CA37" s="1853"/>
      <c r="CB37" s="1854"/>
      <c r="CC37" s="17"/>
      <c r="CD37" s="23">
        <f t="shared" ref="CD37:CD43" si="3">BN37</f>
        <v>53845.919999999998</v>
      </c>
      <c r="CE37" s="17"/>
      <c r="CF37" s="17"/>
      <c r="CG37" s="17"/>
      <c r="CH37" s="17"/>
    </row>
    <row r="38" spans="1:86" ht="19.5" customHeight="1" x14ac:dyDescent="0.2">
      <c r="A38" s="1803">
        <v>2</v>
      </c>
      <c r="B38" s="1804"/>
      <c r="C38" s="1804"/>
      <c r="D38" s="1805"/>
      <c r="E38" s="1904" t="s">
        <v>154</v>
      </c>
      <c r="F38" s="1917"/>
      <c r="G38" s="1917"/>
      <c r="H38" s="1917"/>
      <c r="I38" s="1917"/>
      <c r="J38" s="1917"/>
      <c r="K38" s="1917"/>
      <c r="L38" s="1917"/>
      <c r="M38" s="1917"/>
      <c r="N38" s="1917"/>
      <c r="O38" s="1917"/>
      <c r="P38" s="1917"/>
      <c r="Q38" s="1917"/>
      <c r="R38" s="1917"/>
      <c r="S38" s="1917"/>
      <c r="T38" s="1917"/>
      <c r="U38" s="1917"/>
      <c r="V38" s="1917"/>
      <c r="W38" s="1917"/>
      <c r="X38" s="1917"/>
      <c r="Y38" s="1917"/>
      <c r="Z38" s="1917"/>
      <c r="AA38" s="1917"/>
      <c r="AB38" s="1917"/>
      <c r="AC38" s="1917"/>
      <c r="AD38" s="1917"/>
      <c r="AE38" s="1917"/>
      <c r="AF38" s="1917"/>
      <c r="AG38" s="1917"/>
      <c r="AH38" s="1917"/>
      <c r="AI38" s="1917"/>
      <c r="AJ38" s="1917"/>
      <c r="AK38" s="1917"/>
      <c r="AL38" s="1917"/>
      <c r="AM38" s="1918"/>
      <c r="AN38" s="1919">
        <v>150000</v>
      </c>
      <c r="AO38" s="1920"/>
      <c r="AP38" s="1920"/>
      <c r="AQ38" s="1920"/>
      <c r="AR38" s="1920"/>
      <c r="AS38" s="1920"/>
      <c r="AT38" s="1920"/>
      <c r="AU38" s="1920"/>
      <c r="AV38" s="1920"/>
      <c r="AW38" s="1920"/>
      <c r="AX38" s="1920"/>
      <c r="AY38" s="1920"/>
      <c r="AZ38" s="1920"/>
      <c r="BA38" s="1920"/>
      <c r="BB38" s="1920"/>
      <c r="BC38" s="1921"/>
      <c r="BD38" s="1901">
        <v>1</v>
      </c>
      <c r="BE38" s="1546"/>
      <c r="BF38" s="1546"/>
      <c r="BG38" s="1546"/>
      <c r="BH38" s="1546"/>
      <c r="BI38" s="1546"/>
      <c r="BJ38" s="1546"/>
      <c r="BK38" s="1546"/>
      <c r="BL38" s="1546"/>
      <c r="BM38" s="1547"/>
      <c r="BN38" s="1852">
        <f>AN38</f>
        <v>150000</v>
      </c>
      <c r="BO38" s="1853"/>
      <c r="BP38" s="1853"/>
      <c r="BQ38" s="1853"/>
      <c r="BR38" s="1853"/>
      <c r="BS38" s="1853"/>
      <c r="BT38" s="1853"/>
      <c r="BU38" s="1853"/>
      <c r="BV38" s="1853"/>
      <c r="BW38" s="1853"/>
      <c r="BX38" s="1853"/>
      <c r="BY38" s="1853"/>
      <c r="BZ38" s="1853"/>
      <c r="CA38" s="1853"/>
      <c r="CB38" s="1854"/>
      <c r="CC38" s="17"/>
      <c r="CD38" s="23">
        <f t="shared" si="3"/>
        <v>150000</v>
      </c>
      <c r="CE38" s="17"/>
      <c r="CF38" s="17"/>
      <c r="CG38" s="17"/>
      <c r="CH38" s="17"/>
    </row>
    <row r="39" spans="1:86" ht="31.5" customHeight="1" x14ac:dyDescent="0.2">
      <c r="A39" s="1803">
        <v>3</v>
      </c>
      <c r="B39" s="1804"/>
      <c r="C39" s="1804"/>
      <c r="D39" s="1805"/>
      <c r="E39" s="1904" t="s">
        <v>642</v>
      </c>
      <c r="F39" s="1917"/>
      <c r="G39" s="1917"/>
      <c r="H39" s="1917"/>
      <c r="I39" s="1917"/>
      <c r="J39" s="1917"/>
      <c r="K39" s="1917"/>
      <c r="L39" s="1917"/>
      <c r="M39" s="1917"/>
      <c r="N39" s="1917"/>
      <c r="O39" s="1917"/>
      <c r="P39" s="1917"/>
      <c r="Q39" s="1917"/>
      <c r="R39" s="1917"/>
      <c r="S39" s="1917"/>
      <c r="T39" s="1917"/>
      <c r="U39" s="1917"/>
      <c r="V39" s="1917"/>
      <c r="W39" s="1917"/>
      <c r="X39" s="1917"/>
      <c r="Y39" s="1917"/>
      <c r="Z39" s="1917"/>
      <c r="AA39" s="1917"/>
      <c r="AB39" s="1917"/>
      <c r="AC39" s="1917"/>
      <c r="AD39" s="1917"/>
      <c r="AE39" s="1917"/>
      <c r="AF39" s="1917"/>
      <c r="AG39" s="1917"/>
      <c r="AH39" s="1917"/>
      <c r="AI39" s="1917"/>
      <c r="AJ39" s="1917"/>
      <c r="AK39" s="1917"/>
      <c r="AL39" s="1917"/>
      <c r="AM39" s="1918"/>
      <c r="AN39" s="1941">
        <v>5060</v>
      </c>
      <c r="AO39" s="1942"/>
      <c r="AP39" s="1942"/>
      <c r="AQ39" s="1942"/>
      <c r="AR39" s="1942"/>
      <c r="AS39" s="1942"/>
      <c r="AT39" s="1942"/>
      <c r="AU39" s="1942"/>
      <c r="AV39" s="1942"/>
      <c r="AW39" s="1942"/>
      <c r="AX39" s="1942"/>
      <c r="AY39" s="1942"/>
      <c r="AZ39" s="1942"/>
      <c r="BA39" s="1942"/>
      <c r="BB39" s="1942"/>
      <c r="BC39" s="1943"/>
      <c r="BD39" s="1901">
        <v>12</v>
      </c>
      <c r="BE39" s="1546"/>
      <c r="BF39" s="1546"/>
      <c r="BG39" s="1546"/>
      <c r="BH39" s="1546"/>
      <c r="BI39" s="1546"/>
      <c r="BJ39" s="1546"/>
      <c r="BK39" s="1546"/>
      <c r="BL39" s="1546"/>
      <c r="BM39" s="1547"/>
      <c r="BN39" s="1852">
        <f>AN39*BD39</f>
        <v>60720</v>
      </c>
      <c r="BO39" s="1853"/>
      <c r="BP39" s="1853"/>
      <c r="BQ39" s="1853"/>
      <c r="BR39" s="1853"/>
      <c r="BS39" s="1853"/>
      <c r="BT39" s="1853"/>
      <c r="BU39" s="1853"/>
      <c r="BV39" s="1853"/>
      <c r="BW39" s="1853"/>
      <c r="BX39" s="1853"/>
      <c r="BY39" s="1853"/>
      <c r="BZ39" s="1853"/>
      <c r="CA39" s="1853"/>
      <c r="CB39" s="1854"/>
      <c r="CC39" s="17"/>
      <c r="CD39" s="23">
        <f t="shared" si="3"/>
        <v>60720</v>
      </c>
      <c r="CE39" s="17"/>
      <c r="CF39" s="17"/>
      <c r="CG39" s="17"/>
      <c r="CH39" s="17"/>
    </row>
    <row r="40" spans="1:86" ht="91.5" customHeight="1" x14ac:dyDescent="0.2">
      <c r="A40" s="1803">
        <v>4</v>
      </c>
      <c r="B40" s="1804"/>
      <c r="C40" s="1804"/>
      <c r="D40" s="1805"/>
      <c r="E40" s="1904" t="s">
        <v>1202</v>
      </c>
      <c r="F40" s="1917"/>
      <c r="G40" s="1917"/>
      <c r="H40" s="1917"/>
      <c r="I40" s="1917"/>
      <c r="J40" s="1917"/>
      <c r="K40" s="1917"/>
      <c r="L40" s="1917"/>
      <c r="M40" s="1917"/>
      <c r="N40" s="1917"/>
      <c r="O40" s="1917"/>
      <c r="P40" s="1917"/>
      <c r="Q40" s="1917"/>
      <c r="R40" s="1917"/>
      <c r="S40" s="1917"/>
      <c r="T40" s="1917"/>
      <c r="U40" s="1917"/>
      <c r="V40" s="1917"/>
      <c r="W40" s="1917"/>
      <c r="X40" s="1917"/>
      <c r="Y40" s="1917"/>
      <c r="Z40" s="1917"/>
      <c r="AA40" s="1917"/>
      <c r="AB40" s="1917"/>
      <c r="AC40" s="1917"/>
      <c r="AD40" s="1917"/>
      <c r="AE40" s="1917"/>
      <c r="AF40" s="1917"/>
      <c r="AG40" s="1917"/>
      <c r="AH40" s="1917"/>
      <c r="AI40" s="1917"/>
      <c r="AJ40" s="1917"/>
      <c r="AK40" s="1917"/>
      <c r="AL40" s="1917"/>
      <c r="AM40" s="1918"/>
      <c r="AN40" s="1919">
        <v>60000</v>
      </c>
      <c r="AO40" s="1920"/>
      <c r="AP40" s="1920"/>
      <c r="AQ40" s="1920"/>
      <c r="AR40" s="1920"/>
      <c r="AS40" s="1920"/>
      <c r="AT40" s="1920"/>
      <c r="AU40" s="1920"/>
      <c r="AV40" s="1920"/>
      <c r="AW40" s="1920"/>
      <c r="AX40" s="1920"/>
      <c r="AY40" s="1920"/>
      <c r="AZ40" s="1920"/>
      <c r="BA40" s="1920"/>
      <c r="BB40" s="1920"/>
      <c r="BC40" s="1921"/>
      <c r="BD40" s="1901">
        <v>1</v>
      </c>
      <c r="BE40" s="1546"/>
      <c r="BF40" s="1546"/>
      <c r="BG40" s="1546"/>
      <c r="BH40" s="1546"/>
      <c r="BI40" s="1546"/>
      <c r="BJ40" s="1546"/>
      <c r="BK40" s="1546"/>
      <c r="BL40" s="1546"/>
      <c r="BM40" s="1547"/>
      <c r="BN40" s="1852">
        <f t="shared" ref="BN40" si="4">AN40*BD40</f>
        <v>60000</v>
      </c>
      <c r="BO40" s="1853"/>
      <c r="BP40" s="1853"/>
      <c r="BQ40" s="1853"/>
      <c r="BR40" s="1853"/>
      <c r="BS40" s="1853"/>
      <c r="BT40" s="1853"/>
      <c r="BU40" s="1853"/>
      <c r="BV40" s="1853"/>
      <c r="BW40" s="1853"/>
      <c r="BX40" s="1853"/>
      <c r="BY40" s="1853"/>
      <c r="BZ40" s="1853"/>
      <c r="CA40" s="1853"/>
      <c r="CB40" s="1854"/>
      <c r="CC40" s="17"/>
      <c r="CD40" s="23">
        <f t="shared" si="3"/>
        <v>60000</v>
      </c>
      <c r="CE40" s="17"/>
      <c r="CF40" s="17"/>
      <c r="CG40" s="17"/>
      <c r="CH40" s="17"/>
    </row>
    <row r="41" spans="1:86" ht="18.75" customHeight="1" x14ac:dyDescent="0.2">
      <c r="A41" s="1803">
        <v>5</v>
      </c>
      <c r="B41" s="1804"/>
      <c r="C41" s="1804"/>
      <c r="D41" s="1805"/>
      <c r="E41" s="1904" t="s">
        <v>593</v>
      </c>
      <c r="F41" s="1917"/>
      <c r="G41" s="1917"/>
      <c r="H41" s="1917"/>
      <c r="I41" s="1917"/>
      <c r="J41" s="1917"/>
      <c r="K41" s="1917"/>
      <c r="L41" s="1917"/>
      <c r="M41" s="1917"/>
      <c r="N41" s="1917"/>
      <c r="O41" s="1917"/>
      <c r="P41" s="1917"/>
      <c r="Q41" s="1917"/>
      <c r="R41" s="1917"/>
      <c r="S41" s="1917"/>
      <c r="T41" s="1917"/>
      <c r="U41" s="1917"/>
      <c r="V41" s="1917"/>
      <c r="W41" s="1917"/>
      <c r="X41" s="1917"/>
      <c r="Y41" s="1917"/>
      <c r="Z41" s="1917"/>
      <c r="AA41" s="1917"/>
      <c r="AB41" s="1917"/>
      <c r="AC41" s="1917"/>
      <c r="AD41" s="1917"/>
      <c r="AE41" s="1917"/>
      <c r="AF41" s="1917"/>
      <c r="AG41" s="1917"/>
      <c r="AH41" s="1917"/>
      <c r="AI41" s="1917"/>
      <c r="AJ41" s="1917"/>
      <c r="AK41" s="1917"/>
      <c r="AL41" s="1917"/>
      <c r="AM41" s="1918"/>
      <c r="AN41" s="1948">
        <v>50000</v>
      </c>
      <c r="AO41" s="1942"/>
      <c r="AP41" s="1942"/>
      <c r="AQ41" s="1942"/>
      <c r="AR41" s="1942"/>
      <c r="AS41" s="1942"/>
      <c r="AT41" s="1942"/>
      <c r="AU41" s="1942"/>
      <c r="AV41" s="1942"/>
      <c r="AW41" s="1942"/>
      <c r="AX41" s="1942"/>
      <c r="AY41" s="1942"/>
      <c r="AZ41" s="1942"/>
      <c r="BA41" s="1942"/>
      <c r="BB41" s="1942"/>
      <c r="BC41" s="1943"/>
      <c r="BD41" s="1901">
        <v>1</v>
      </c>
      <c r="BE41" s="1546"/>
      <c r="BF41" s="1546"/>
      <c r="BG41" s="1546"/>
      <c r="BH41" s="1546"/>
      <c r="BI41" s="1546"/>
      <c r="BJ41" s="1546"/>
      <c r="BK41" s="1546"/>
      <c r="BL41" s="1546"/>
      <c r="BM41" s="1547"/>
      <c r="BN41" s="1852">
        <f>AN41</f>
        <v>50000</v>
      </c>
      <c r="BO41" s="1853"/>
      <c r="BP41" s="1853"/>
      <c r="BQ41" s="1853"/>
      <c r="BR41" s="1853"/>
      <c r="BS41" s="1853"/>
      <c r="BT41" s="1853"/>
      <c r="BU41" s="1853"/>
      <c r="BV41" s="1853"/>
      <c r="BW41" s="1853"/>
      <c r="BX41" s="1853"/>
      <c r="BY41" s="1853"/>
      <c r="BZ41" s="1853"/>
      <c r="CA41" s="1853"/>
      <c r="CB41" s="1854"/>
      <c r="CC41" s="17"/>
      <c r="CD41" s="23">
        <f t="shared" si="3"/>
        <v>50000</v>
      </c>
      <c r="CE41" s="17"/>
      <c r="CF41" s="17"/>
      <c r="CG41" s="17"/>
      <c r="CH41" s="17"/>
    </row>
    <row r="42" spans="1:86" ht="17.25" customHeight="1" x14ac:dyDescent="0.2">
      <c r="A42" s="1803">
        <v>6</v>
      </c>
      <c r="B42" s="1804"/>
      <c r="C42" s="1804"/>
      <c r="D42" s="1805"/>
      <c r="E42" s="1904" t="s">
        <v>1190</v>
      </c>
      <c r="F42" s="1917"/>
      <c r="G42" s="1917"/>
      <c r="H42" s="1917"/>
      <c r="I42" s="1917"/>
      <c r="J42" s="1917"/>
      <c r="K42" s="1917"/>
      <c r="L42" s="1917"/>
      <c r="M42" s="1917"/>
      <c r="N42" s="1917"/>
      <c r="O42" s="1917"/>
      <c r="P42" s="1917"/>
      <c r="Q42" s="1917"/>
      <c r="R42" s="1917"/>
      <c r="S42" s="1917"/>
      <c r="T42" s="1917"/>
      <c r="U42" s="1917"/>
      <c r="V42" s="1917"/>
      <c r="W42" s="1917"/>
      <c r="X42" s="1917"/>
      <c r="Y42" s="1917"/>
      <c r="Z42" s="1917"/>
      <c r="AA42" s="1917"/>
      <c r="AB42" s="1917"/>
      <c r="AC42" s="1917"/>
      <c r="AD42" s="1917"/>
      <c r="AE42" s="1917"/>
      <c r="AF42" s="1917"/>
      <c r="AG42" s="1917"/>
      <c r="AH42" s="1917"/>
      <c r="AI42" s="1917"/>
      <c r="AJ42" s="1917"/>
      <c r="AK42" s="1917"/>
      <c r="AL42" s="1917"/>
      <c r="AM42" s="1918"/>
      <c r="AN42" s="1919">
        <v>9000</v>
      </c>
      <c r="AO42" s="1920"/>
      <c r="AP42" s="1920"/>
      <c r="AQ42" s="1920"/>
      <c r="AR42" s="1920"/>
      <c r="AS42" s="1920"/>
      <c r="AT42" s="1920"/>
      <c r="AU42" s="1920"/>
      <c r="AV42" s="1920"/>
      <c r="AW42" s="1920"/>
      <c r="AX42" s="1920"/>
      <c r="AY42" s="1920"/>
      <c r="AZ42" s="1920"/>
      <c r="BA42" s="1920"/>
      <c r="BB42" s="1920"/>
      <c r="BC42" s="1921"/>
      <c r="BD42" s="1901">
        <v>1</v>
      </c>
      <c r="BE42" s="1546"/>
      <c r="BF42" s="1546"/>
      <c r="BG42" s="1546"/>
      <c r="BH42" s="1546"/>
      <c r="BI42" s="1546"/>
      <c r="BJ42" s="1546"/>
      <c r="BK42" s="1546"/>
      <c r="BL42" s="1546"/>
      <c r="BM42" s="1547"/>
      <c r="BN42" s="1852">
        <f>AN42*BD42</f>
        <v>9000</v>
      </c>
      <c r="BO42" s="1853"/>
      <c r="BP42" s="1853"/>
      <c r="BQ42" s="1853"/>
      <c r="BR42" s="1853"/>
      <c r="BS42" s="1853"/>
      <c r="BT42" s="1853"/>
      <c r="BU42" s="1853"/>
      <c r="BV42" s="1853"/>
      <c r="BW42" s="1853"/>
      <c r="BX42" s="1853"/>
      <c r="BY42" s="1853"/>
      <c r="BZ42" s="1853"/>
      <c r="CA42" s="1853"/>
      <c r="CB42" s="1854"/>
      <c r="CC42" s="17"/>
      <c r="CD42" s="23">
        <f t="shared" si="3"/>
        <v>9000</v>
      </c>
      <c r="CE42" s="17"/>
      <c r="CF42" s="17"/>
      <c r="CG42" s="17"/>
      <c r="CH42" s="242"/>
    </row>
    <row r="43" spans="1:86" ht="17.25" customHeight="1" x14ac:dyDescent="0.2">
      <c r="A43" s="1803">
        <v>7</v>
      </c>
      <c r="B43" s="1804"/>
      <c r="C43" s="1804"/>
      <c r="D43" s="1805"/>
      <c r="E43" s="1904" t="s">
        <v>1194</v>
      </c>
      <c r="F43" s="1917"/>
      <c r="G43" s="1917"/>
      <c r="H43" s="1917"/>
      <c r="I43" s="1917"/>
      <c r="J43" s="1917"/>
      <c r="K43" s="1917"/>
      <c r="L43" s="1917"/>
      <c r="M43" s="1917"/>
      <c r="N43" s="1917"/>
      <c r="O43" s="1917"/>
      <c r="P43" s="1917"/>
      <c r="Q43" s="1917"/>
      <c r="R43" s="1917"/>
      <c r="S43" s="1917"/>
      <c r="T43" s="1917"/>
      <c r="U43" s="1917"/>
      <c r="V43" s="1917"/>
      <c r="W43" s="1917"/>
      <c r="X43" s="1917"/>
      <c r="Y43" s="1917"/>
      <c r="Z43" s="1917"/>
      <c r="AA43" s="1917"/>
      <c r="AB43" s="1917"/>
      <c r="AC43" s="1917"/>
      <c r="AD43" s="1917"/>
      <c r="AE43" s="1917"/>
      <c r="AF43" s="1917"/>
      <c r="AG43" s="1917"/>
      <c r="AH43" s="1917"/>
      <c r="AI43" s="1917"/>
      <c r="AJ43" s="1917"/>
      <c r="AK43" s="1917"/>
      <c r="AL43" s="1917"/>
      <c r="AM43" s="1918"/>
      <c r="AN43" s="1919">
        <v>18900</v>
      </c>
      <c r="AO43" s="1920"/>
      <c r="AP43" s="1920"/>
      <c r="AQ43" s="1920"/>
      <c r="AR43" s="1920"/>
      <c r="AS43" s="1920"/>
      <c r="AT43" s="1920"/>
      <c r="AU43" s="1920"/>
      <c r="AV43" s="1920"/>
      <c r="AW43" s="1920"/>
      <c r="AX43" s="1920"/>
      <c r="AY43" s="1920"/>
      <c r="AZ43" s="1920"/>
      <c r="BA43" s="1920"/>
      <c r="BB43" s="1920"/>
      <c r="BC43" s="1921"/>
      <c r="BD43" s="1901">
        <v>1</v>
      </c>
      <c r="BE43" s="1546"/>
      <c r="BF43" s="1546"/>
      <c r="BG43" s="1546"/>
      <c r="BH43" s="1546"/>
      <c r="BI43" s="1546"/>
      <c r="BJ43" s="1546"/>
      <c r="BK43" s="1546"/>
      <c r="BL43" s="1546"/>
      <c r="BM43" s="1547"/>
      <c r="BN43" s="1852">
        <f>AN43*BD43</f>
        <v>18900</v>
      </c>
      <c r="BO43" s="1853"/>
      <c r="BP43" s="1853"/>
      <c r="BQ43" s="1853"/>
      <c r="BR43" s="1853"/>
      <c r="BS43" s="1853"/>
      <c r="BT43" s="1853"/>
      <c r="BU43" s="1853"/>
      <c r="BV43" s="1853"/>
      <c r="BW43" s="1853"/>
      <c r="BX43" s="1853"/>
      <c r="BY43" s="1853"/>
      <c r="BZ43" s="1853"/>
      <c r="CA43" s="1853"/>
      <c r="CB43" s="1854"/>
      <c r="CC43" s="17"/>
      <c r="CD43" s="23">
        <f t="shared" si="3"/>
        <v>18900</v>
      </c>
      <c r="CE43" s="17"/>
      <c r="CF43" s="17"/>
      <c r="CG43" s="17"/>
      <c r="CH43" s="242"/>
    </row>
    <row r="44" spans="1:86" x14ac:dyDescent="0.2">
      <c r="A44" s="1843"/>
      <c r="B44" s="1844"/>
      <c r="C44" s="1844"/>
      <c r="D44" s="1845"/>
      <c r="E44" s="1879" t="s">
        <v>159</v>
      </c>
      <c r="F44" s="1880"/>
      <c r="G44" s="1880"/>
      <c r="H44" s="1880"/>
      <c r="I44" s="1880"/>
      <c r="J44" s="1880"/>
      <c r="K44" s="1880"/>
      <c r="L44" s="1880"/>
      <c r="M44" s="1880"/>
      <c r="N44" s="1880"/>
      <c r="O44" s="1880"/>
      <c r="P44" s="1880"/>
      <c r="Q44" s="1880"/>
      <c r="R44" s="1880"/>
      <c r="S44" s="1880"/>
      <c r="T44" s="1880"/>
      <c r="U44" s="1880"/>
      <c r="V44" s="1880"/>
      <c r="W44" s="1880"/>
      <c r="X44" s="1880"/>
      <c r="Y44" s="1880"/>
      <c r="Z44" s="1880"/>
      <c r="AA44" s="1880"/>
      <c r="AB44" s="1880"/>
      <c r="AC44" s="1880"/>
      <c r="AD44" s="1880"/>
      <c r="AE44" s="1880"/>
      <c r="AF44" s="1880"/>
      <c r="AG44" s="1880"/>
      <c r="AH44" s="1880"/>
      <c r="AI44" s="1880"/>
      <c r="AJ44" s="1880"/>
      <c r="AK44" s="1880"/>
      <c r="AL44" s="1880"/>
      <c r="AM44" s="1880"/>
      <c r="AN44" s="1880"/>
      <c r="AO44" s="1880"/>
      <c r="AP44" s="1880"/>
      <c r="AQ44" s="1880"/>
      <c r="AR44" s="1880"/>
      <c r="AS44" s="1880"/>
      <c r="AT44" s="1880"/>
      <c r="AU44" s="1880"/>
      <c r="AV44" s="1880"/>
      <c r="AW44" s="1880"/>
      <c r="AX44" s="1880"/>
      <c r="AY44" s="1880"/>
      <c r="AZ44" s="1880"/>
      <c r="BA44" s="1880"/>
      <c r="BB44" s="1880"/>
      <c r="BC44" s="1881"/>
      <c r="BD44" s="1797" t="s">
        <v>3</v>
      </c>
      <c r="BE44" s="1798"/>
      <c r="BF44" s="1798"/>
      <c r="BG44" s="1798"/>
      <c r="BH44" s="1798"/>
      <c r="BI44" s="1798"/>
      <c r="BJ44" s="1798"/>
      <c r="BK44" s="1798"/>
      <c r="BL44" s="1798"/>
      <c r="BM44" s="1799"/>
      <c r="BN44" s="1855">
        <f>SUM(BN36:BO43)</f>
        <v>402465.92</v>
      </c>
      <c r="BO44" s="1856"/>
      <c r="BP44" s="1856"/>
      <c r="BQ44" s="1856"/>
      <c r="BR44" s="1856"/>
      <c r="BS44" s="1856"/>
      <c r="BT44" s="1856"/>
      <c r="BU44" s="1856"/>
      <c r="BV44" s="1856"/>
      <c r="BW44" s="1856"/>
      <c r="BX44" s="1856"/>
      <c r="BY44" s="1856"/>
      <c r="BZ44" s="1856"/>
      <c r="CA44" s="1856"/>
      <c r="CB44" s="1857"/>
      <c r="CC44" s="28">
        <f>SUM(CC36:CC41)</f>
        <v>0</v>
      </c>
      <c r="CD44" s="28">
        <f>SUM(CD36:CD43)</f>
        <v>402465.92</v>
      </c>
      <c r="CE44" s="17"/>
      <c r="CF44" s="257">
        <f>SUM(CF36:CF41)</f>
        <v>0</v>
      </c>
      <c r="CG44" s="257"/>
      <c r="CH44" s="300">
        <f>CH42</f>
        <v>0</v>
      </c>
    </row>
    <row r="45" spans="1:86" x14ac:dyDescent="0.2">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45"/>
      <c r="BE45" s="45"/>
      <c r="BF45" s="45"/>
      <c r="BG45" s="45"/>
      <c r="BH45" s="45"/>
      <c r="BI45" s="45"/>
      <c r="BJ45" s="45"/>
      <c r="BK45" s="45"/>
      <c r="BL45" s="45"/>
      <c r="BM45" s="45"/>
      <c r="BN45" s="47"/>
      <c r="BO45" s="47"/>
      <c r="BP45" s="47"/>
      <c r="BQ45" s="47"/>
      <c r="BR45" s="47"/>
      <c r="BS45" s="47"/>
      <c r="BT45" s="47"/>
      <c r="BU45" s="47"/>
      <c r="BV45" s="47"/>
      <c r="BW45" s="47"/>
      <c r="BX45" s="47"/>
      <c r="BY45" s="47"/>
      <c r="BZ45" s="47"/>
      <c r="CA45" s="47"/>
      <c r="CB45" s="47"/>
      <c r="CD45" s="258"/>
    </row>
    <row r="46" spans="1:86" s="4" customFormat="1" ht="15.75" x14ac:dyDescent="0.25">
      <c r="A46" s="19" t="s">
        <v>160</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row>
    <row r="47" spans="1:86" s="7" customFormat="1" ht="3" customHeight="1" x14ac:dyDescent="0.2">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row>
    <row r="48" spans="1:86" x14ac:dyDescent="0.2">
      <c r="A48" s="1810" t="s">
        <v>38</v>
      </c>
      <c r="B48" s="1810"/>
      <c r="C48" s="1810"/>
      <c r="D48" s="1810"/>
      <c r="E48" s="1830" t="s">
        <v>4</v>
      </c>
      <c r="F48" s="1830"/>
      <c r="G48" s="1830"/>
      <c r="H48" s="1830"/>
      <c r="I48" s="1830"/>
      <c r="J48" s="1830"/>
      <c r="K48" s="1830"/>
      <c r="L48" s="1830"/>
      <c r="M48" s="1830"/>
      <c r="N48" s="1830"/>
      <c r="O48" s="1830"/>
      <c r="P48" s="1830"/>
      <c r="Q48" s="1830"/>
      <c r="R48" s="1830"/>
      <c r="S48" s="1830"/>
      <c r="T48" s="1830"/>
      <c r="U48" s="1830"/>
      <c r="V48" s="1830"/>
      <c r="W48" s="1830"/>
      <c r="X48" s="1830"/>
      <c r="Y48" s="1830"/>
      <c r="Z48" s="1830"/>
      <c r="AA48" s="1830"/>
      <c r="AB48" s="1830"/>
      <c r="AC48" s="1830"/>
      <c r="AD48" s="1830"/>
      <c r="AE48" s="1830"/>
      <c r="AF48" s="1830"/>
      <c r="AG48" s="1830"/>
      <c r="AH48" s="1830"/>
      <c r="AI48" s="1830"/>
      <c r="AJ48" s="1830"/>
      <c r="AK48" s="1830"/>
      <c r="AL48" s="1830"/>
      <c r="AM48" s="1830"/>
      <c r="AN48" s="1830"/>
      <c r="AO48" s="1830"/>
      <c r="AP48" s="1830"/>
      <c r="AQ48" s="1830"/>
      <c r="AR48" s="1830"/>
      <c r="AS48" s="1830" t="s">
        <v>5</v>
      </c>
      <c r="AT48" s="1830"/>
      <c r="AU48" s="1830"/>
      <c r="AV48" s="1830"/>
      <c r="AW48" s="1830"/>
      <c r="AX48" s="1830"/>
      <c r="AY48" s="1830"/>
      <c r="AZ48" s="1830"/>
      <c r="BA48" s="1830"/>
      <c r="BB48" s="1830"/>
      <c r="BC48" s="1810" t="s">
        <v>51</v>
      </c>
      <c r="BD48" s="1810"/>
      <c r="BE48" s="1810"/>
      <c r="BF48" s="1810"/>
      <c r="BG48" s="1810"/>
      <c r="BH48" s="1810"/>
      <c r="BI48" s="1810"/>
      <c r="BJ48" s="1810"/>
      <c r="BK48" s="1810"/>
      <c r="BL48" s="1810"/>
      <c r="BM48" s="1810"/>
      <c r="BN48" s="1830" t="s">
        <v>6</v>
      </c>
      <c r="BO48" s="1830"/>
      <c r="BP48" s="1830"/>
      <c r="BQ48" s="1830"/>
      <c r="BR48" s="1830"/>
      <c r="BS48" s="1830"/>
      <c r="BT48" s="1830"/>
      <c r="BU48" s="1830"/>
      <c r="BV48" s="1830"/>
      <c r="BW48" s="1830"/>
      <c r="BX48" s="1830"/>
      <c r="BY48" s="1830"/>
      <c r="BZ48" s="1830"/>
      <c r="CA48" s="1830"/>
      <c r="CB48" s="1830"/>
      <c r="CC48" s="1806" t="s">
        <v>52</v>
      </c>
      <c r="CD48" s="1806"/>
      <c r="CE48" s="1806"/>
      <c r="CF48" s="1806"/>
      <c r="CG48" s="1806"/>
      <c r="CH48" s="1806"/>
    </row>
    <row r="49" spans="1:86" ht="48" customHeight="1" x14ac:dyDescent="0.2">
      <c r="A49" s="1810"/>
      <c r="B49" s="1810"/>
      <c r="C49" s="1810"/>
      <c r="D49" s="1810"/>
      <c r="E49" s="1830"/>
      <c r="F49" s="1830"/>
      <c r="G49" s="1830"/>
      <c r="H49" s="1830"/>
      <c r="I49" s="1830"/>
      <c r="J49" s="1830"/>
      <c r="K49" s="1830"/>
      <c r="L49" s="1830"/>
      <c r="M49" s="1830"/>
      <c r="N49" s="1830"/>
      <c r="O49" s="1830"/>
      <c r="P49" s="1830"/>
      <c r="Q49" s="1830"/>
      <c r="R49" s="1830"/>
      <c r="S49" s="1830"/>
      <c r="T49" s="1830"/>
      <c r="U49" s="1830"/>
      <c r="V49" s="1830"/>
      <c r="W49" s="1830"/>
      <c r="X49" s="1830"/>
      <c r="Y49" s="1830"/>
      <c r="Z49" s="1830"/>
      <c r="AA49" s="1830"/>
      <c r="AB49" s="1830"/>
      <c r="AC49" s="1830"/>
      <c r="AD49" s="1830"/>
      <c r="AE49" s="1830"/>
      <c r="AF49" s="1830"/>
      <c r="AG49" s="1830"/>
      <c r="AH49" s="1830"/>
      <c r="AI49" s="1830"/>
      <c r="AJ49" s="1830"/>
      <c r="AK49" s="1830"/>
      <c r="AL49" s="1830"/>
      <c r="AM49" s="1830"/>
      <c r="AN49" s="1830"/>
      <c r="AO49" s="1830"/>
      <c r="AP49" s="1830"/>
      <c r="AQ49" s="1830"/>
      <c r="AR49" s="1830"/>
      <c r="AS49" s="1830"/>
      <c r="AT49" s="1830"/>
      <c r="AU49" s="1830"/>
      <c r="AV49" s="1830"/>
      <c r="AW49" s="1830"/>
      <c r="AX49" s="1830"/>
      <c r="AY49" s="1830"/>
      <c r="AZ49" s="1830"/>
      <c r="BA49" s="1830"/>
      <c r="BB49" s="1830"/>
      <c r="BC49" s="1810"/>
      <c r="BD49" s="1810"/>
      <c r="BE49" s="1810"/>
      <c r="BF49" s="1810"/>
      <c r="BG49" s="1810"/>
      <c r="BH49" s="1810"/>
      <c r="BI49" s="1810"/>
      <c r="BJ49" s="1810"/>
      <c r="BK49" s="1810"/>
      <c r="BL49" s="1810"/>
      <c r="BM49" s="1810"/>
      <c r="BN49" s="1830"/>
      <c r="BO49" s="1830"/>
      <c r="BP49" s="1830"/>
      <c r="BQ49" s="1830"/>
      <c r="BR49" s="1830"/>
      <c r="BS49" s="1830"/>
      <c r="BT49" s="1830"/>
      <c r="BU49" s="1830"/>
      <c r="BV49" s="1830"/>
      <c r="BW49" s="1830"/>
      <c r="BX49" s="1830"/>
      <c r="BY49" s="1830"/>
      <c r="BZ49" s="1830"/>
      <c r="CA49" s="1830"/>
      <c r="CB49" s="1830"/>
      <c r="CC49" s="1810" t="s">
        <v>35</v>
      </c>
      <c r="CD49" s="1810"/>
      <c r="CE49" s="1788" t="s">
        <v>45</v>
      </c>
      <c r="CF49" s="1790"/>
      <c r="CG49" s="1789"/>
      <c r="CH49" s="1778" t="s">
        <v>46</v>
      </c>
    </row>
    <row r="50" spans="1:86" ht="12.75" customHeight="1" x14ac:dyDescent="0.2">
      <c r="A50" s="1810"/>
      <c r="B50" s="1810"/>
      <c r="C50" s="1810"/>
      <c r="D50" s="1810"/>
      <c r="E50" s="1830"/>
      <c r="F50" s="1830"/>
      <c r="G50" s="1830"/>
      <c r="H50" s="1830"/>
      <c r="I50" s="1830"/>
      <c r="J50" s="1830"/>
      <c r="K50" s="1830"/>
      <c r="L50" s="1830"/>
      <c r="M50" s="1830"/>
      <c r="N50" s="1830"/>
      <c r="O50" s="1830"/>
      <c r="P50" s="1830"/>
      <c r="Q50" s="1830"/>
      <c r="R50" s="1830"/>
      <c r="S50" s="1830"/>
      <c r="T50" s="1830"/>
      <c r="U50" s="1830"/>
      <c r="V50" s="1830"/>
      <c r="W50" s="1830"/>
      <c r="X50" s="1830"/>
      <c r="Y50" s="1830"/>
      <c r="Z50" s="1830"/>
      <c r="AA50" s="1830"/>
      <c r="AB50" s="1830"/>
      <c r="AC50" s="1830"/>
      <c r="AD50" s="1830"/>
      <c r="AE50" s="1830"/>
      <c r="AF50" s="1830"/>
      <c r="AG50" s="1830"/>
      <c r="AH50" s="1830"/>
      <c r="AI50" s="1830"/>
      <c r="AJ50" s="1830"/>
      <c r="AK50" s="1830"/>
      <c r="AL50" s="1830"/>
      <c r="AM50" s="1830"/>
      <c r="AN50" s="1830"/>
      <c r="AO50" s="1830"/>
      <c r="AP50" s="1830"/>
      <c r="AQ50" s="1830"/>
      <c r="AR50" s="1830"/>
      <c r="AS50" s="1830"/>
      <c r="AT50" s="1830"/>
      <c r="AU50" s="1830"/>
      <c r="AV50" s="1830"/>
      <c r="AW50" s="1830"/>
      <c r="AX50" s="1830"/>
      <c r="AY50" s="1830"/>
      <c r="AZ50" s="1830"/>
      <c r="BA50" s="1830"/>
      <c r="BB50" s="1830"/>
      <c r="BC50" s="1810"/>
      <c r="BD50" s="1810"/>
      <c r="BE50" s="1810"/>
      <c r="BF50" s="1810"/>
      <c r="BG50" s="1810"/>
      <c r="BH50" s="1810"/>
      <c r="BI50" s="1810"/>
      <c r="BJ50" s="1810"/>
      <c r="BK50" s="1810"/>
      <c r="BL50" s="1810"/>
      <c r="BM50" s="1810"/>
      <c r="BN50" s="1830"/>
      <c r="BO50" s="1830"/>
      <c r="BP50" s="1830"/>
      <c r="BQ50" s="1830"/>
      <c r="BR50" s="1830"/>
      <c r="BS50" s="1830"/>
      <c r="BT50" s="1830"/>
      <c r="BU50" s="1830"/>
      <c r="BV50" s="1830"/>
      <c r="BW50" s="1830"/>
      <c r="BX50" s="1830"/>
      <c r="BY50" s="1830"/>
      <c r="BZ50" s="1830"/>
      <c r="CA50" s="1830"/>
      <c r="CB50" s="1830"/>
      <c r="CC50" s="1811" t="s">
        <v>43</v>
      </c>
      <c r="CD50" s="1811" t="s">
        <v>44</v>
      </c>
      <c r="CE50" s="1812" t="s">
        <v>55</v>
      </c>
      <c r="CF50" s="1811" t="s">
        <v>43</v>
      </c>
      <c r="CG50" s="1811" t="s">
        <v>44</v>
      </c>
      <c r="CH50" s="1779"/>
    </row>
    <row r="51" spans="1:86" x14ac:dyDescent="0.2">
      <c r="A51" s="1810"/>
      <c r="B51" s="1810"/>
      <c r="C51" s="1810"/>
      <c r="D51" s="1810"/>
      <c r="E51" s="1830"/>
      <c r="F51" s="1830"/>
      <c r="G51" s="1830"/>
      <c r="H51" s="1830"/>
      <c r="I51" s="1830"/>
      <c r="J51" s="1830"/>
      <c r="K51" s="1830"/>
      <c r="L51" s="1830"/>
      <c r="M51" s="1830"/>
      <c r="N51" s="1830"/>
      <c r="O51" s="1830"/>
      <c r="P51" s="1830"/>
      <c r="Q51" s="1830"/>
      <c r="R51" s="1830"/>
      <c r="S51" s="1830"/>
      <c r="T51" s="1830"/>
      <c r="U51" s="1830"/>
      <c r="V51" s="1830"/>
      <c r="W51" s="1830"/>
      <c r="X51" s="1830"/>
      <c r="Y51" s="1830"/>
      <c r="Z51" s="1830"/>
      <c r="AA51" s="1830"/>
      <c r="AB51" s="1830"/>
      <c r="AC51" s="1830"/>
      <c r="AD51" s="1830"/>
      <c r="AE51" s="1830"/>
      <c r="AF51" s="1830"/>
      <c r="AG51" s="1830"/>
      <c r="AH51" s="1830"/>
      <c r="AI51" s="1830"/>
      <c r="AJ51" s="1830"/>
      <c r="AK51" s="1830"/>
      <c r="AL51" s="1830"/>
      <c r="AM51" s="1830"/>
      <c r="AN51" s="1830"/>
      <c r="AO51" s="1830"/>
      <c r="AP51" s="1830"/>
      <c r="AQ51" s="1830"/>
      <c r="AR51" s="1830"/>
      <c r="AS51" s="1830"/>
      <c r="AT51" s="1830"/>
      <c r="AU51" s="1830"/>
      <c r="AV51" s="1830"/>
      <c r="AW51" s="1830"/>
      <c r="AX51" s="1830"/>
      <c r="AY51" s="1830"/>
      <c r="AZ51" s="1830"/>
      <c r="BA51" s="1830"/>
      <c r="BB51" s="1830"/>
      <c r="BC51" s="1810"/>
      <c r="BD51" s="1810"/>
      <c r="BE51" s="1810"/>
      <c r="BF51" s="1810"/>
      <c r="BG51" s="1810"/>
      <c r="BH51" s="1810"/>
      <c r="BI51" s="1810"/>
      <c r="BJ51" s="1810"/>
      <c r="BK51" s="1810"/>
      <c r="BL51" s="1810"/>
      <c r="BM51" s="1810"/>
      <c r="BN51" s="1830"/>
      <c r="BO51" s="1830"/>
      <c r="BP51" s="1830"/>
      <c r="BQ51" s="1830"/>
      <c r="BR51" s="1830"/>
      <c r="BS51" s="1830"/>
      <c r="BT51" s="1830"/>
      <c r="BU51" s="1830"/>
      <c r="BV51" s="1830"/>
      <c r="BW51" s="1830"/>
      <c r="BX51" s="1830"/>
      <c r="BY51" s="1830"/>
      <c r="BZ51" s="1830"/>
      <c r="CA51" s="1830"/>
      <c r="CB51" s="1830"/>
      <c r="CC51" s="1811"/>
      <c r="CD51" s="1811"/>
      <c r="CE51" s="1813"/>
      <c r="CF51" s="1811"/>
      <c r="CG51" s="1811"/>
      <c r="CH51" s="1780"/>
    </row>
    <row r="52" spans="1:86" x14ac:dyDescent="0.2">
      <c r="A52" s="1770">
        <v>1</v>
      </c>
      <c r="B52" s="1787"/>
      <c r="C52" s="1787"/>
      <c r="D52" s="1771"/>
      <c r="E52" s="1770">
        <v>2</v>
      </c>
      <c r="F52" s="1787"/>
      <c r="G52" s="1787"/>
      <c r="H52" s="1787"/>
      <c r="I52" s="1787"/>
      <c r="J52" s="1787"/>
      <c r="K52" s="1787"/>
      <c r="L52" s="1787"/>
      <c r="M52" s="1787"/>
      <c r="N52" s="1787"/>
      <c r="O52" s="1787"/>
      <c r="P52" s="1787"/>
      <c r="Q52" s="1787"/>
      <c r="R52" s="1787"/>
      <c r="S52" s="1787"/>
      <c r="T52" s="1787"/>
      <c r="U52" s="1787"/>
      <c r="V52" s="1787"/>
      <c r="W52" s="1787"/>
      <c r="X52" s="1787"/>
      <c r="Y52" s="1787"/>
      <c r="Z52" s="1787"/>
      <c r="AA52" s="1787"/>
      <c r="AB52" s="1787"/>
      <c r="AC52" s="1787"/>
      <c r="AD52" s="1787"/>
      <c r="AE52" s="1787"/>
      <c r="AF52" s="1787"/>
      <c r="AG52" s="1787"/>
      <c r="AH52" s="1787"/>
      <c r="AI52" s="1787"/>
      <c r="AJ52" s="1787"/>
      <c r="AK52" s="1787"/>
      <c r="AL52" s="1787"/>
      <c r="AM52" s="1787"/>
      <c r="AN52" s="1787"/>
      <c r="AO52" s="1787"/>
      <c r="AP52" s="1787"/>
      <c r="AQ52" s="1787"/>
      <c r="AR52" s="1771"/>
      <c r="AS52" s="1770">
        <v>3</v>
      </c>
      <c r="AT52" s="1787"/>
      <c r="AU52" s="1787"/>
      <c r="AV52" s="1787"/>
      <c r="AW52" s="1787"/>
      <c r="AX52" s="1787"/>
      <c r="AY52" s="1787"/>
      <c r="AZ52" s="1787"/>
      <c r="BA52" s="1787"/>
      <c r="BB52" s="1771"/>
      <c r="BC52" s="1770">
        <v>4</v>
      </c>
      <c r="BD52" s="1787"/>
      <c r="BE52" s="1787"/>
      <c r="BF52" s="1787"/>
      <c r="BG52" s="1787"/>
      <c r="BH52" s="1787"/>
      <c r="BI52" s="1787"/>
      <c r="BJ52" s="1787"/>
      <c r="BK52" s="1787"/>
      <c r="BL52" s="1787"/>
      <c r="BM52" s="1771"/>
      <c r="BN52" s="1770" t="s">
        <v>49</v>
      </c>
      <c r="BO52" s="1787"/>
      <c r="BP52" s="1787"/>
      <c r="BQ52" s="1787"/>
      <c r="BR52" s="1787"/>
      <c r="BS52" s="1787"/>
      <c r="BT52" s="1787"/>
      <c r="BU52" s="1787"/>
      <c r="BV52" s="1787"/>
      <c r="BW52" s="1787"/>
      <c r="BX52" s="1787"/>
      <c r="BY52" s="1787"/>
      <c r="BZ52" s="1787"/>
      <c r="CA52" s="1787"/>
      <c r="CB52" s="1771"/>
      <c r="CC52" s="15">
        <v>6</v>
      </c>
      <c r="CD52" s="15">
        <v>7</v>
      </c>
      <c r="CE52" s="15">
        <v>8</v>
      </c>
      <c r="CF52" s="15">
        <v>9</v>
      </c>
      <c r="CG52" s="15">
        <v>10</v>
      </c>
      <c r="CH52" s="15">
        <v>11</v>
      </c>
    </row>
    <row r="53" spans="1:86" ht="12.75" customHeight="1" x14ac:dyDescent="0.2">
      <c r="A53" s="2219">
        <v>1</v>
      </c>
      <c r="B53" s="2219"/>
      <c r="C53" s="2219"/>
      <c r="D53" s="2219"/>
      <c r="E53" s="1887"/>
      <c r="F53" s="1888"/>
      <c r="G53" s="1888"/>
      <c r="H53" s="1888"/>
      <c r="I53" s="1888"/>
      <c r="J53" s="1888"/>
      <c r="K53" s="1888"/>
      <c r="L53" s="1888"/>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c r="AN53" s="1888"/>
      <c r="AO53" s="1888"/>
      <c r="AP53" s="1888"/>
      <c r="AQ53" s="1888"/>
      <c r="AR53" s="1889"/>
      <c r="AS53" s="1890"/>
      <c r="AT53" s="1890"/>
      <c r="AU53" s="1890"/>
      <c r="AV53" s="1890"/>
      <c r="AW53" s="1890"/>
      <c r="AX53" s="1890"/>
      <c r="AY53" s="1890"/>
      <c r="AZ53" s="1890"/>
      <c r="BA53" s="1890"/>
      <c r="BB53" s="1890"/>
      <c r="BC53" s="1891"/>
      <c r="BD53" s="1891"/>
      <c r="BE53" s="1891"/>
      <c r="BF53" s="1891"/>
      <c r="BG53" s="1891"/>
      <c r="BH53" s="1891"/>
      <c r="BI53" s="1891"/>
      <c r="BJ53" s="1891"/>
      <c r="BK53" s="1891"/>
      <c r="BL53" s="1891"/>
      <c r="BM53" s="1891"/>
      <c r="BN53" s="1891"/>
      <c r="BO53" s="1891"/>
      <c r="BP53" s="1891"/>
      <c r="BQ53" s="1891"/>
      <c r="BR53" s="1891"/>
      <c r="BS53" s="1891"/>
      <c r="BT53" s="1891"/>
      <c r="BU53" s="1891"/>
      <c r="BV53" s="1891"/>
      <c r="BW53" s="1891"/>
      <c r="BX53" s="1891"/>
      <c r="BY53" s="1891"/>
      <c r="BZ53" s="1891"/>
      <c r="CA53" s="1891"/>
      <c r="CB53" s="1891"/>
      <c r="CC53" s="259"/>
      <c r="CD53" s="259"/>
      <c r="CE53" s="260"/>
      <c r="CF53" s="259"/>
      <c r="CG53" s="259"/>
      <c r="CH53" s="259"/>
    </row>
    <row r="54" spans="1:86" x14ac:dyDescent="0.2">
      <c r="A54" s="1831" t="s">
        <v>162</v>
      </c>
      <c r="B54" s="1832"/>
      <c r="C54" s="1832"/>
      <c r="D54" s="1832"/>
      <c r="E54" s="1832"/>
      <c r="F54" s="1832"/>
      <c r="G54" s="1832"/>
      <c r="H54" s="1832"/>
      <c r="I54" s="1832"/>
      <c r="J54" s="1832"/>
      <c r="K54" s="1832"/>
      <c r="L54" s="1832"/>
      <c r="M54" s="1832"/>
      <c r="N54" s="1832"/>
      <c r="O54" s="1832"/>
      <c r="P54" s="1832"/>
      <c r="Q54" s="1832"/>
      <c r="R54" s="1832"/>
      <c r="S54" s="1832"/>
      <c r="T54" s="1832"/>
      <c r="U54" s="1832"/>
      <c r="V54" s="1832"/>
      <c r="W54" s="1832"/>
      <c r="X54" s="1832"/>
      <c r="Y54" s="1832"/>
      <c r="Z54" s="1832"/>
      <c r="AA54" s="1832"/>
      <c r="AB54" s="1832"/>
      <c r="AC54" s="1832"/>
      <c r="AD54" s="1832"/>
      <c r="AE54" s="1832"/>
      <c r="AF54" s="1832"/>
      <c r="AG54" s="1832"/>
      <c r="AH54" s="1832"/>
      <c r="AI54" s="1832"/>
      <c r="AJ54" s="1832"/>
      <c r="AK54" s="1832"/>
      <c r="AL54" s="1832"/>
      <c r="AM54" s="1832"/>
      <c r="AN54" s="1832"/>
      <c r="AO54" s="1832"/>
      <c r="AP54" s="1832"/>
      <c r="AQ54" s="1832"/>
      <c r="AR54" s="1833"/>
      <c r="AS54" s="1913" t="s">
        <v>3</v>
      </c>
      <c r="AT54" s="1913"/>
      <c r="AU54" s="1913"/>
      <c r="AV54" s="1913"/>
      <c r="AW54" s="1913"/>
      <c r="AX54" s="1913"/>
      <c r="AY54" s="1913"/>
      <c r="AZ54" s="1913"/>
      <c r="BA54" s="1913"/>
      <c r="BB54" s="1913"/>
      <c r="BC54" s="1913" t="s">
        <v>3</v>
      </c>
      <c r="BD54" s="1913"/>
      <c r="BE54" s="1913"/>
      <c r="BF54" s="1913"/>
      <c r="BG54" s="1913"/>
      <c r="BH54" s="1913"/>
      <c r="BI54" s="1913"/>
      <c r="BJ54" s="1913"/>
      <c r="BK54" s="1913"/>
      <c r="BL54" s="1913"/>
      <c r="BM54" s="1913"/>
      <c r="BN54" s="1972">
        <f>SUM(BN53:CB53)</f>
        <v>0</v>
      </c>
      <c r="BO54" s="1972"/>
      <c r="BP54" s="1972"/>
      <c r="BQ54" s="1972"/>
      <c r="BR54" s="1972"/>
      <c r="BS54" s="1972"/>
      <c r="BT54" s="1972"/>
      <c r="BU54" s="1972"/>
      <c r="BV54" s="1972"/>
      <c r="BW54" s="1972"/>
      <c r="BX54" s="1972"/>
      <c r="BY54" s="1972"/>
      <c r="BZ54" s="1972"/>
      <c r="CA54" s="1972"/>
      <c r="CB54" s="1972"/>
      <c r="CC54" s="251"/>
      <c r="CD54" s="251"/>
      <c r="CE54" s="251"/>
      <c r="CF54" s="251"/>
      <c r="CG54" s="251">
        <f>SUM(CG53:CG53)</f>
        <v>0</v>
      </c>
      <c r="CH54" s="251"/>
    </row>
    <row r="55" spans="1:86" ht="8.25" customHeight="1" x14ac:dyDescent="0.2"/>
    <row r="56" spans="1:86" ht="0.75" customHeight="1" x14ac:dyDescent="0.2">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5"/>
      <c r="AT56" s="45"/>
      <c r="AU56" s="45"/>
      <c r="AV56" s="45"/>
      <c r="AW56" s="45"/>
      <c r="AX56" s="45"/>
      <c r="AY56" s="45"/>
      <c r="AZ56" s="45"/>
      <c r="BA56" s="45"/>
      <c r="BB56" s="45"/>
      <c r="BC56" s="45"/>
      <c r="BD56" s="45"/>
      <c r="BE56" s="45"/>
      <c r="BF56" s="45"/>
      <c r="BG56" s="45"/>
      <c r="BH56" s="45"/>
      <c r="BI56" s="45"/>
      <c r="BJ56" s="45"/>
      <c r="BK56" s="45"/>
      <c r="BL56" s="45"/>
      <c r="BM56" s="45"/>
      <c r="BN56" s="47"/>
      <c r="BO56" s="47"/>
      <c r="BP56" s="47"/>
      <c r="BQ56" s="47"/>
      <c r="BR56" s="47"/>
      <c r="BS56" s="47"/>
      <c r="BT56" s="47"/>
      <c r="BU56" s="47"/>
      <c r="BV56" s="47"/>
      <c r="BW56" s="47"/>
      <c r="BX56" s="47"/>
      <c r="BY56" s="47"/>
      <c r="BZ56" s="47"/>
      <c r="CA56" s="47"/>
      <c r="CB56" s="47"/>
    </row>
    <row r="57" spans="1:86" ht="15.75" x14ac:dyDescent="0.25">
      <c r="A57" s="19" t="s">
        <v>163</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row>
    <row r="58" spans="1:86" ht="6" customHeight="1" x14ac:dyDescent="0.2">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5"/>
      <c r="AT58" s="45"/>
      <c r="AU58" s="45"/>
      <c r="AV58" s="45"/>
      <c r="AW58" s="45"/>
      <c r="AX58" s="45"/>
      <c r="AY58" s="45"/>
      <c r="AZ58" s="45"/>
      <c r="BA58" s="45"/>
      <c r="BB58" s="45"/>
      <c r="BC58" s="45"/>
      <c r="BD58" s="45"/>
      <c r="BE58" s="45"/>
      <c r="BF58" s="45"/>
      <c r="BG58" s="45"/>
      <c r="BH58" s="45"/>
      <c r="BI58" s="45"/>
      <c r="BJ58" s="45"/>
      <c r="BK58" s="45"/>
      <c r="BL58" s="45"/>
      <c r="BM58" s="45"/>
      <c r="BN58" s="47"/>
      <c r="BO58" s="47"/>
      <c r="BP58" s="47"/>
      <c r="BQ58" s="47"/>
      <c r="BR58" s="47"/>
      <c r="BS58" s="47"/>
      <c r="BT58" s="47"/>
      <c r="BU58" s="47"/>
      <c r="BV58" s="47"/>
      <c r="BW58" s="47"/>
      <c r="BX58" s="47"/>
      <c r="BY58" s="47"/>
      <c r="BZ58" s="47"/>
      <c r="CA58" s="47"/>
      <c r="CB58" s="47"/>
    </row>
    <row r="59" spans="1:86" ht="12.75" customHeight="1" x14ac:dyDescent="0.2">
      <c r="A59" s="1818" t="s">
        <v>71</v>
      </c>
      <c r="B59" s="1819"/>
      <c r="C59" s="1819"/>
      <c r="D59" s="1820"/>
      <c r="E59" s="1818" t="s">
        <v>4</v>
      </c>
      <c r="F59" s="1819"/>
      <c r="G59" s="1819"/>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c r="AM59" s="1819"/>
      <c r="AN59" s="1819"/>
      <c r="AO59" s="1819"/>
      <c r="AP59" s="1819"/>
      <c r="AQ59" s="1819"/>
      <c r="AR59" s="1820"/>
      <c r="AS59" s="1818" t="s">
        <v>5</v>
      </c>
      <c r="AT59" s="1819"/>
      <c r="AU59" s="1819"/>
      <c r="AV59" s="1819"/>
      <c r="AW59" s="1819"/>
      <c r="AX59" s="1819"/>
      <c r="AY59" s="1819"/>
      <c r="AZ59" s="1819"/>
      <c r="BA59" s="1819"/>
      <c r="BB59" s="1820"/>
      <c r="BC59" s="1818" t="s">
        <v>164</v>
      </c>
      <c r="BD59" s="1975"/>
      <c r="BE59" s="1975"/>
      <c r="BF59" s="1975"/>
      <c r="BG59" s="1975"/>
      <c r="BH59" s="1975"/>
      <c r="BI59" s="1975"/>
      <c r="BJ59" s="1975"/>
      <c r="BK59" s="1975"/>
      <c r="BL59" s="1975"/>
      <c r="BM59" s="1976"/>
      <c r="BN59" s="1818" t="s">
        <v>6</v>
      </c>
      <c r="BO59" s="1819"/>
      <c r="BP59" s="1819"/>
      <c r="BQ59" s="1819"/>
      <c r="BR59" s="1819"/>
      <c r="BS59" s="1819"/>
      <c r="BT59" s="1819"/>
      <c r="BU59" s="1819"/>
      <c r="BV59" s="1819"/>
      <c r="BW59" s="1819"/>
      <c r="BX59" s="1819"/>
      <c r="BY59" s="1819"/>
      <c r="BZ59" s="1819"/>
      <c r="CA59" s="1819"/>
      <c r="CB59" s="1820"/>
      <c r="CC59" s="1806" t="s">
        <v>52</v>
      </c>
      <c r="CD59" s="1806"/>
      <c r="CE59" s="1806"/>
      <c r="CF59" s="1806"/>
      <c r="CG59" s="1806"/>
      <c r="CH59" s="1806"/>
    </row>
    <row r="60" spans="1:86" ht="55.5" customHeight="1" x14ac:dyDescent="0.2">
      <c r="A60" s="1807" t="s">
        <v>77</v>
      </c>
      <c r="B60" s="1808"/>
      <c r="C60" s="1808"/>
      <c r="D60" s="1809"/>
      <c r="E60" s="1807"/>
      <c r="F60" s="1808"/>
      <c r="G60" s="1808"/>
      <c r="H60" s="1808"/>
      <c r="I60" s="1808"/>
      <c r="J60" s="1808"/>
      <c r="K60" s="1808"/>
      <c r="L60" s="1808"/>
      <c r="M60" s="1808"/>
      <c r="N60" s="1808"/>
      <c r="O60" s="1808"/>
      <c r="P60" s="1808"/>
      <c r="Q60" s="1808"/>
      <c r="R60" s="1808"/>
      <c r="S60" s="1808"/>
      <c r="T60" s="1808"/>
      <c r="U60" s="1808"/>
      <c r="V60" s="1808"/>
      <c r="W60" s="1808"/>
      <c r="X60" s="1808"/>
      <c r="Y60" s="1808"/>
      <c r="Z60" s="1808"/>
      <c r="AA60" s="1808"/>
      <c r="AB60" s="1808"/>
      <c r="AC60" s="1808"/>
      <c r="AD60" s="1808"/>
      <c r="AE60" s="1808"/>
      <c r="AF60" s="1808"/>
      <c r="AG60" s="1808"/>
      <c r="AH60" s="1808"/>
      <c r="AI60" s="1808"/>
      <c r="AJ60" s="1808"/>
      <c r="AK60" s="1808"/>
      <c r="AL60" s="1808"/>
      <c r="AM60" s="1808"/>
      <c r="AN60" s="1808"/>
      <c r="AO60" s="1808"/>
      <c r="AP60" s="1808"/>
      <c r="AQ60" s="1808"/>
      <c r="AR60" s="1809"/>
      <c r="AS60" s="1807"/>
      <c r="AT60" s="1808"/>
      <c r="AU60" s="1808"/>
      <c r="AV60" s="1808"/>
      <c r="AW60" s="1808"/>
      <c r="AX60" s="1808"/>
      <c r="AY60" s="1808"/>
      <c r="AZ60" s="1808"/>
      <c r="BA60" s="1808"/>
      <c r="BB60" s="1809"/>
      <c r="BC60" s="1807" t="s">
        <v>165</v>
      </c>
      <c r="BD60" s="1928"/>
      <c r="BE60" s="1928"/>
      <c r="BF60" s="1928"/>
      <c r="BG60" s="1928"/>
      <c r="BH60" s="1928"/>
      <c r="BI60" s="1928"/>
      <c r="BJ60" s="1928"/>
      <c r="BK60" s="1928"/>
      <c r="BL60" s="1928"/>
      <c r="BM60" s="1929"/>
      <c r="BN60" s="1807"/>
      <c r="BO60" s="1808"/>
      <c r="BP60" s="1808"/>
      <c r="BQ60" s="1808"/>
      <c r="BR60" s="1808"/>
      <c r="BS60" s="1808"/>
      <c r="BT60" s="1808"/>
      <c r="BU60" s="1808"/>
      <c r="BV60" s="1808"/>
      <c r="BW60" s="1808"/>
      <c r="BX60" s="1808"/>
      <c r="BY60" s="1808"/>
      <c r="BZ60" s="1808"/>
      <c r="CA60" s="1808"/>
      <c r="CB60" s="1809"/>
      <c r="CC60" s="1810" t="s">
        <v>35</v>
      </c>
      <c r="CD60" s="1810"/>
      <c r="CE60" s="1788" t="s">
        <v>45</v>
      </c>
      <c r="CF60" s="1790"/>
      <c r="CG60" s="1789"/>
      <c r="CH60" s="1778" t="s">
        <v>46</v>
      </c>
    </row>
    <row r="61" spans="1:86" ht="12.75" customHeight="1" x14ac:dyDescent="0.2">
      <c r="A61" s="1807"/>
      <c r="B61" s="1808"/>
      <c r="C61" s="1808"/>
      <c r="D61" s="1809"/>
      <c r="E61" s="1807"/>
      <c r="F61" s="1808"/>
      <c r="G61" s="1808"/>
      <c r="H61" s="1808"/>
      <c r="I61" s="1808"/>
      <c r="J61" s="1808"/>
      <c r="K61" s="1808"/>
      <c r="L61" s="1808"/>
      <c r="M61" s="1808"/>
      <c r="N61" s="1808"/>
      <c r="O61" s="1808"/>
      <c r="P61" s="1808"/>
      <c r="Q61" s="1808"/>
      <c r="R61" s="1808"/>
      <c r="S61" s="1808"/>
      <c r="T61" s="1808"/>
      <c r="U61" s="1808"/>
      <c r="V61" s="1808"/>
      <c r="W61" s="1808"/>
      <c r="X61" s="1808"/>
      <c r="Y61" s="1808"/>
      <c r="Z61" s="1808"/>
      <c r="AA61" s="1808"/>
      <c r="AB61" s="1808"/>
      <c r="AC61" s="1808"/>
      <c r="AD61" s="1808"/>
      <c r="AE61" s="1808"/>
      <c r="AF61" s="1808"/>
      <c r="AG61" s="1808"/>
      <c r="AH61" s="1808"/>
      <c r="AI61" s="1808"/>
      <c r="AJ61" s="1808"/>
      <c r="AK61" s="1808"/>
      <c r="AL61" s="1808"/>
      <c r="AM61" s="1808"/>
      <c r="AN61" s="1808"/>
      <c r="AO61" s="1808"/>
      <c r="AP61" s="1808"/>
      <c r="AQ61" s="1808"/>
      <c r="AR61" s="1809"/>
      <c r="AS61" s="1807"/>
      <c r="AT61" s="1808"/>
      <c r="AU61" s="1808"/>
      <c r="AV61" s="1808"/>
      <c r="AW61" s="1808"/>
      <c r="AX61" s="1808"/>
      <c r="AY61" s="1808"/>
      <c r="AZ61" s="1808"/>
      <c r="BA61" s="1808"/>
      <c r="BB61" s="1809"/>
      <c r="BC61" s="1807" t="s">
        <v>111</v>
      </c>
      <c r="BD61" s="1928"/>
      <c r="BE61" s="1928"/>
      <c r="BF61" s="1928"/>
      <c r="BG61" s="1928"/>
      <c r="BH61" s="1928"/>
      <c r="BI61" s="1928"/>
      <c r="BJ61" s="1928"/>
      <c r="BK61" s="1928"/>
      <c r="BL61" s="1928"/>
      <c r="BM61" s="1929"/>
      <c r="BN61" s="1807"/>
      <c r="BO61" s="1808"/>
      <c r="BP61" s="1808"/>
      <c r="BQ61" s="1808"/>
      <c r="BR61" s="1808"/>
      <c r="BS61" s="1808"/>
      <c r="BT61" s="1808"/>
      <c r="BU61" s="1808"/>
      <c r="BV61" s="1808"/>
      <c r="BW61" s="1808"/>
      <c r="BX61" s="1808"/>
      <c r="BY61" s="1808"/>
      <c r="BZ61" s="1808"/>
      <c r="CA61" s="1808"/>
      <c r="CB61" s="1809"/>
      <c r="CC61" s="1811" t="s">
        <v>43</v>
      </c>
      <c r="CD61" s="1811" t="s">
        <v>44</v>
      </c>
      <c r="CE61" s="1812" t="s">
        <v>55</v>
      </c>
      <c r="CF61" s="1811" t="s">
        <v>43</v>
      </c>
      <c r="CG61" s="1811" t="s">
        <v>44</v>
      </c>
      <c r="CH61" s="1779"/>
    </row>
    <row r="62" spans="1:86" ht="12.75" customHeight="1" x14ac:dyDescent="0.2">
      <c r="A62" s="246"/>
      <c r="B62" s="247"/>
      <c r="C62" s="247"/>
      <c r="D62" s="248"/>
      <c r="E62" s="1814"/>
      <c r="F62" s="1815"/>
      <c r="G62" s="1815"/>
      <c r="H62" s="1815"/>
      <c r="I62" s="1815"/>
      <c r="J62" s="1815"/>
      <c r="K62" s="1815"/>
      <c r="L62" s="1815"/>
      <c r="M62" s="1815"/>
      <c r="N62" s="1815"/>
      <c r="O62" s="1815"/>
      <c r="P62" s="1815"/>
      <c r="Q62" s="1815"/>
      <c r="R62" s="1815"/>
      <c r="S62" s="1815"/>
      <c r="T62" s="1815"/>
      <c r="U62" s="1815"/>
      <c r="V62" s="1815"/>
      <c r="W62" s="1815"/>
      <c r="X62" s="1815"/>
      <c r="Y62" s="1815"/>
      <c r="Z62" s="1815"/>
      <c r="AA62" s="1815"/>
      <c r="AB62" s="1815"/>
      <c r="AC62" s="1815"/>
      <c r="AD62" s="1815"/>
      <c r="AE62" s="1815"/>
      <c r="AF62" s="1815"/>
      <c r="AG62" s="1815"/>
      <c r="AH62" s="1815"/>
      <c r="AI62" s="1815"/>
      <c r="AJ62" s="1815"/>
      <c r="AK62" s="1815"/>
      <c r="AL62" s="1815"/>
      <c r="AM62" s="1815"/>
      <c r="AN62" s="1815"/>
      <c r="AO62" s="1815"/>
      <c r="AP62" s="1815"/>
      <c r="AQ62" s="1815"/>
      <c r="AR62" s="1816"/>
      <c r="AS62" s="1814"/>
      <c r="AT62" s="1815"/>
      <c r="AU62" s="1815"/>
      <c r="AV62" s="1815"/>
      <c r="AW62" s="1815"/>
      <c r="AX62" s="1815"/>
      <c r="AY62" s="1815"/>
      <c r="AZ62" s="1815"/>
      <c r="BA62" s="1815"/>
      <c r="BB62" s="1816"/>
      <c r="BC62" s="1814"/>
      <c r="BD62" s="1815"/>
      <c r="BE62" s="1815"/>
      <c r="BF62" s="1815"/>
      <c r="BG62" s="1815"/>
      <c r="BH62" s="1815"/>
      <c r="BI62" s="1815"/>
      <c r="BJ62" s="1815"/>
      <c r="BK62" s="1815"/>
      <c r="BL62" s="1815"/>
      <c r="BM62" s="1816"/>
      <c r="BN62" s="1814"/>
      <c r="BO62" s="1815"/>
      <c r="BP62" s="1815"/>
      <c r="BQ62" s="1815"/>
      <c r="BR62" s="1815"/>
      <c r="BS62" s="1815"/>
      <c r="BT62" s="1815"/>
      <c r="BU62" s="1815"/>
      <c r="BV62" s="1815"/>
      <c r="BW62" s="1815"/>
      <c r="BX62" s="1815"/>
      <c r="BY62" s="1815"/>
      <c r="BZ62" s="1815"/>
      <c r="CA62" s="1815"/>
      <c r="CB62" s="1816"/>
      <c r="CC62" s="1811"/>
      <c r="CD62" s="1811"/>
      <c r="CE62" s="1813"/>
      <c r="CF62" s="1811"/>
      <c r="CG62" s="1811"/>
      <c r="CH62" s="1780"/>
    </row>
    <row r="63" spans="1:86" x14ac:dyDescent="0.2">
      <c r="A63" s="1814">
        <v>1</v>
      </c>
      <c r="B63" s="1815"/>
      <c r="C63" s="1815"/>
      <c r="D63" s="1816"/>
      <c r="E63" s="1814">
        <v>2</v>
      </c>
      <c r="F63" s="1815"/>
      <c r="G63" s="1815"/>
      <c r="H63" s="1815"/>
      <c r="I63" s="1815"/>
      <c r="J63" s="1815"/>
      <c r="K63" s="1815"/>
      <c r="L63" s="1815"/>
      <c r="M63" s="1815"/>
      <c r="N63" s="1815"/>
      <c r="O63" s="1815"/>
      <c r="P63" s="1815"/>
      <c r="Q63" s="1815"/>
      <c r="R63" s="1815"/>
      <c r="S63" s="1815"/>
      <c r="T63" s="1815"/>
      <c r="U63" s="1815"/>
      <c r="V63" s="1815"/>
      <c r="W63" s="1815"/>
      <c r="X63" s="1815"/>
      <c r="Y63" s="1815"/>
      <c r="Z63" s="1815"/>
      <c r="AA63" s="1815"/>
      <c r="AB63" s="1815"/>
      <c r="AC63" s="1815"/>
      <c r="AD63" s="1815"/>
      <c r="AE63" s="1815"/>
      <c r="AF63" s="1815"/>
      <c r="AG63" s="1815"/>
      <c r="AH63" s="1815"/>
      <c r="AI63" s="1815"/>
      <c r="AJ63" s="1815"/>
      <c r="AK63" s="1815"/>
      <c r="AL63" s="1815"/>
      <c r="AM63" s="1815"/>
      <c r="AN63" s="1815"/>
      <c r="AO63" s="1815"/>
      <c r="AP63" s="1815"/>
      <c r="AQ63" s="1815"/>
      <c r="AR63" s="1816"/>
      <c r="AS63" s="1814">
        <v>3</v>
      </c>
      <c r="AT63" s="1815"/>
      <c r="AU63" s="1815"/>
      <c r="AV63" s="1815"/>
      <c r="AW63" s="1815"/>
      <c r="AX63" s="1815"/>
      <c r="AY63" s="1815"/>
      <c r="AZ63" s="1815"/>
      <c r="BA63" s="1815"/>
      <c r="BB63" s="1816"/>
      <c r="BC63" s="1814">
        <v>4</v>
      </c>
      <c r="BD63" s="1815"/>
      <c r="BE63" s="1815"/>
      <c r="BF63" s="1815"/>
      <c r="BG63" s="1815"/>
      <c r="BH63" s="1815"/>
      <c r="BI63" s="1815"/>
      <c r="BJ63" s="1815"/>
      <c r="BK63" s="1815"/>
      <c r="BL63" s="1815"/>
      <c r="BM63" s="1816"/>
      <c r="BN63" s="1830" t="s">
        <v>49</v>
      </c>
      <c r="BO63" s="1830"/>
      <c r="BP63" s="1830"/>
      <c r="BQ63" s="1830"/>
      <c r="BR63" s="1830"/>
      <c r="BS63" s="1830"/>
      <c r="BT63" s="1830"/>
      <c r="BU63" s="1830"/>
      <c r="BV63" s="1830"/>
      <c r="BW63" s="1830"/>
      <c r="BX63" s="1830"/>
      <c r="BY63" s="1830"/>
      <c r="BZ63" s="1830"/>
      <c r="CA63" s="1830"/>
      <c r="CB63" s="1830"/>
      <c r="CC63" s="15">
        <v>6</v>
      </c>
      <c r="CD63" s="15">
        <v>7</v>
      </c>
      <c r="CE63" s="15">
        <v>8</v>
      </c>
      <c r="CF63" s="15">
        <v>9</v>
      </c>
      <c r="CG63" s="15">
        <v>10</v>
      </c>
      <c r="CH63" s="15">
        <v>11</v>
      </c>
    </row>
    <row r="64" spans="1:86" ht="18.75" customHeight="1" x14ac:dyDescent="0.2">
      <c r="A64" s="1772">
        <v>1</v>
      </c>
      <c r="B64" s="1882"/>
      <c r="C64" s="1882"/>
      <c r="D64" s="1882"/>
      <c r="E64" s="1772" t="s">
        <v>588</v>
      </c>
      <c r="F64" s="1882"/>
      <c r="G64" s="1882"/>
      <c r="H64" s="1882"/>
      <c r="I64" s="1882"/>
      <c r="J64" s="1882"/>
      <c r="K64" s="1882"/>
      <c r="L64" s="1882"/>
      <c r="M64" s="1882"/>
      <c r="N64" s="1882"/>
      <c r="O64" s="1882"/>
      <c r="P64" s="1882"/>
      <c r="Q64" s="1882"/>
      <c r="R64" s="1882"/>
      <c r="S64" s="1882"/>
      <c r="T64" s="1882"/>
      <c r="U64" s="1882"/>
      <c r="V64" s="1882"/>
      <c r="W64" s="1882"/>
      <c r="X64" s="1882"/>
      <c r="Y64" s="1882"/>
      <c r="Z64" s="1882"/>
      <c r="AA64" s="1882"/>
      <c r="AB64" s="1882"/>
      <c r="AC64" s="1882"/>
      <c r="AD64" s="1882"/>
      <c r="AE64" s="1882"/>
      <c r="AF64" s="1882"/>
      <c r="AG64" s="1882"/>
      <c r="AH64" s="1882"/>
      <c r="AI64" s="1882"/>
      <c r="AJ64" s="1882"/>
      <c r="AK64" s="1882"/>
      <c r="AL64" s="1882"/>
      <c r="AM64" s="1882"/>
      <c r="AN64" s="1882"/>
      <c r="AO64" s="1882"/>
      <c r="AP64" s="1882"/>
      <c r="AQ64" s="1882"/>
      <c r="AR64" s="1773"/>
      <c r="AS64" s="1895"/>
      <c r="AT64" s="1896"/>
      <c r="AU64" s="1896"/>
      <c r="AV64" s="1896"/>
      <c r="AW64" s="1896"/>
      <c r="AX64" s="1896"/>
      <c r="AY64" s="1896"/>
      <c r="AZ64" s="1896"/>
      <c r="BA64" s="1896"/>
      <c r="BB64" s="1897"/>
      <c r="BC64" s="1898"/>
      <c r="BD64" s="1899"/>
      <c r="BE64" s="1899"/>
      <c r="BF64" s="1899"/>
      <c r="BG64" s="1899"/>
      <c r="BH64" s="1899"/>
      <c r="BI64" s="1899"/>
      <c r="BJ64" s="1899"/>
      <c r="BK64" s="1899"/>
      <c r="BL64" s="1899"/>
      <c r="BM64" s="1900"/>
      <c r="BN64" s="1910">
        <f>CD64</f>
        <v>10000</v>
      </c>
      <c r="BO64" s="1911"/>
      <c r="BP64" s="1911"/>
      <c r="BQ64" s="1911"/>
      <c r="BR64" s="1911"/>
      <c r="BS64" s="1911"/>
      <c r="BT64" s="1911"/>
      <c r="BU64" s="1911"/>
      <c r="BV64" s="1911"/>
      <c r="BW64" s="1911"/>
      <c r="BX64" s="1911"/>
      <c r="BY64" s="1911"/>
      <c r="BZ64" s="1911"/>
      <c r="CA64" s="1911"/>
      <c r="CB64" s="1912"/>
      <c r="CC64" s="261"/>
      <c r="CD64" s="261">
        <v>10000</v>
      </c>
      <c r="CE64" s="262"/>
      <c r="CF64" s="262"/>
      <c r="CG64" s="261"/>
      <c r="CH64" s="262"/>
    </row>
    <row r="65" spans="1:87" ht="20.25" customHeight="1" x14ac:dyDescent="0.2">
      <c r="A65" s="1843"/>
      <c r="B65" s="1844"/>
      <c r="C65" s="1844"/>
      <c r="D65" s="1845"/>
      <c r="E65" s="1892" t="s">
        <v>166</v>
      </c>
      <c r="F65" s="1893"/>
      <c r="G65" s="1893"/>
      <c r="H65" s="1893"/>
      <c r="I65" s="1893"/>
      <c r="J65" s="1893"/>
      <c r="K65" s="1893"/>
      <c r="L65" s="1893"/>
      <c r="M65" s="1893"/>
      <c r="N65" s="1893"/>
      <c r="O65" s="1893"/>
      <c r="P65" s="1893"/>
      <c r="Q65" s="1893"/>
      <c r="R65" s="1893"/>
      <c r="S65" s="1893"/>
      <c r="T65" s="1893"/>
      <c r="U65" s="1893"/>
      <c r="V65" s="1893"/>
      <c r="W65" s="1893"/>
      <c r="X65" s="1893"/>
      <c r="Y65" s="1893"/>
      <c r="Z65" s="1893"/>
      <c r="AA65" s="1893"/>
      <c r="AB65" s="1893"/>
      <c r="AC65" s="1893"/>
      <c r="AD65" s="1893"/>
      <c r="AE65" s="1893"/>
      <c r="AF65" s="1893"/>
      <c r="AG65" s="1893"/>
      <c r="AH65" s="1893"/>
      <c r="AI65" s="1893"/>
      <c r="AJ65" s="1893"/>
      <c r="AK65" s="1893"/>
      <c r="AL65" s="1893"/>
      <c r="AM65" s="1893"/>
      <c r="AN65" s="1893"/>
      <c r="AO65" s="1893"/>
      <c r="AP65" s="1893"/>
      <c r="AQ65" s="1893"/>
      <c r="AR65" s="1894"/>
      <c r="AS65" s="1895"/>
      <c r="AT65" s="1896"/>
      <c r="AU65" s="1896"/>
      <c r="AV65" s="1896"/>
      <c r="AW65" s="1896"/>
      <c r="AX65" s="1896"/>
      <c r="AY65" s="1896"/>
      <c r="AZ65" s="1896"/>
      <c r="BA65" s="1896"/>
      <c r="BB65" s="1897"/>
      <c r="BC65" s="1898"/>
      <c r="BD65" s="1899"/>
      <c r="BE65" s="1899"/>
      <c r="BF65" s="1899"/>
      <c r="BG65" s="1899"/>
      <c r="BH65" s="1899"/>
      <c r="BI65" s="1899"/>
      <c r="BJ65" s="1899"/>
      <c r="BK65" s="1899"/>
      <c r="BL65" s="1899"/>
      <c r="BM65" s="1900"/>
      <c r="BN65" s="1984">
        <f>CD65+CG65</f>
        <v>10000</v>
      </c>
      <c r="BO65" s="1985"/>
      <c r="BP65" s="1985"/>
      <c r="BQ65" s="1985"/>
      <c r="BR65" s="1985"/>
      <c r="BS65" s="1985"/>
      <c r="BT65" s="1985"/>
      <c r="BU65" s="1985"/>
      <c r="BV65" s="1985"/>
      <c r="BW65" s="1985"/>
      <c r="BX65" s="1985"/>
      <c r="BY65" s="1985"/>
      <c r="BZ65" s="1985"/>
      <c r="CA65" s="1985"/>
      <c r="CB65" s="1986"/>
      <c r="CC65" s="261"/>
      <c r="CD65" s="263">
        <f>SUM(CD64)</f>
        <v>10000</v>
      </c>
      <c r="CE65" s="262"/>
      <c r="CF65" s="262"/>
      <c r="CG65" s="586">
        <f>CG64</f>
        <v>0</v>
      </c>
      <c r="CH65" s="262"/>
    </row>
    <row r="66" spans="1:87" ht="19.5" customHeight="1" x14ac:dyDescent="0.2">
      <c r="A66" s="1772">
        <v>1</v>
      </c>
      <c r="B66" s="1882"/>
      <c r="C66" s="1882"/>
      <c r="D66" s="1882"/>
      <c r="E66" s="1772" t="s">
        <v>167</v>
      </c>
      <c r="F66" s="1882"/>
      <c r="G66" s="1882"/>
      <c r="H66" s="1882"/>
      <c r="I66" s="1882"/>
      <c r="J66" s="1882"/>
      <c r="K66" s="1882"/>
      <c r="L66" s="1882"/>
      <c r="M66" s="1882"/>
      <c r="N66" s="1882"/>
      <c r="O66" s="1882"/>
      <c r="P66" s="1882"/>
      <c r="Q66" s="1882"/>
      <c r="R66" s="1882"/>
      <c r="S66" s="1882"/>
      <c r="T66" s="1882"/>
      <c r="U66" s="1882"/>
      <c r="V66" s="1882"/>
      <c r="W66" s="1882"/>
      <c r="X66" s="1882"/>
      <c r="Y66" s="1882"/>
      <c r="Z66" s="1882"/>
      <c r="AA66" s="1882"/>
      <c r="AB66" s="1882"/>
      <c r="AC66" s="1882"/>
      <c r="AD66" s="1882"/>
      <c r="AE66" s="1882"/>
      <c r="AF66" s="1882"/>
      <c r="AG66" s="1882"/>
      <c r="AH66" s="1882"/>
      <c r="AI66" s="1882"/>
      <c r="AJ66" s="1882"/>
      <c r="AK66" s="1882"/>
      <c r="AL66" s="1882"/>
      <c r="AM66" s="1882"/>
      <c r="AN66" s="1882"/>
      <c r="AO66" s="1882"/>
      <c r="AP66" s="1882"/>
      <c r="AQ66" s="1882"/>
      <c r="AR66" s="1773"/>
      <c r="AS66" s="1981"/>
      <c r="AT66" s="1982"/>
      <c r="AU66" s="1982"/>
      <c r="AV66" s="1982"/>
      <c r="AW66" s="1982"/>
      <c r="AX66" s="1982"/>
      <c r="AY66" s="1982"/>
      <c r="AZ66" s="1982"/>
      <c r="BA66" s="1982"/>
      <c r="BB66" s="1983"/>
      <c r="BC66" s="1978"/>
      <c r="BD66" s="1884"/>
      <c r="BE66" s="1884"/>
      <c r="BF66" s="1884"/>
      <c r="BG66" s="1884"/>
      <c r="BH66" s="1884"/>
      <c r="BI66" s="1884"/>
      <c r="BJ66" s="1884"/>
      <c r="BK66" s="1884"/>
      <c r="BL66" s="1884"/>
      <c r="BM66" s="1885"/>
      <c r="BN66" s="2216" t="e">
        <f>CD66+CH66</f>
        <v>#REF!</v>
      </c>
      <c r="BO66" s="2217"/>
      <c r="BP66" s="2217"/>
      <c r="BQ66" s="2217"/>
      <c r="BR66" s="2217"/>
      <c r="BS66" s="2217"/>
      <c r="BT66" s="2217"/>
      <c r="BU66" s="2217"/>
      <c r="BV66" s="2217"/>
      <c r="BW66" s="2217"/>
      <c r="BX66" s="2217"/>
      <c r="BY66" s="2217"/>
      <c r="BZ66" s="2217"/>
      <c r="CA66" s="2217"/>
      <c r="CB66" s="2218"/>
      <c r="CC66" s="264"/>
      <c r="CD66" s="261" t="e">
        <f>#REF!</f>
        <v>#REF!</v>
      </c>
      <c r="CE66" s="265"/>
      <c r="CF66" s="266"/>
      <c r="CG66" s="265"/>
      <c r="CH66" s="267" t="e">
        <f>#REF!</f>
        <v>#REF!</v>
      </c>
      <c r="CI66" s="51"/>
    </row>
    <row r="67" spans="1:87" ht="19.5" customHeight="1" x14ac:dyDescent="0.2">
      <c r="A67" s="1772">
        <v>2</v>
      </c>
      <c r="B67" s="1882"/>
      <c r="C67" s="1882"/>
      <c r="D67" s="1882"/>
      <c r="E67" s="1772" t="s">
        <v>1195</v>
      </c>
      <c r="F67" s="1882"/>
      <c r="G67" s="1882"/>
      <c r="H67" s="1882"/>
      <c r="I67" s="1882"/>
      <c r="J67" s="1882"/>
      <c r="K67" s="1882"/>
      <c r="L67" s="1882"/>
      <c r="M67" s="1882"/>
      <c r="N67" s="1882"/>
      <c r="O67" s="1882"/>
      <c r="P67" s="1882"/>
      <c r="Q67" s="1882"/>
      <c r="R67" s="1882"/>
      <c r="S67" s="1882"/>
      <c r="T67" s="1882"/>
      <c r="U67" s="1882"/>
      <c r="V67" s="1882"/>
      <c r="W67" s="1882"/>
      <c r="X67" s="1882"/>
      <c r="Y67" s="1882"/>
      <c r="Z67" s="1882"/>
      <c r="AA67" s="1882"/>
      <c r="AB67" s="1882"/>
      <c r="AC67" s="1882"/>
      <c r="AD67" s="1882"/>
      <c r="AE67" s="1882"/>
      <c r="AF67" s="1882"/>
      <c r="AG67" s="1882"/>
      <c r="AH67" s="1882"/>
      <c r="AI67" s="1882"/>
      <c r="AJ67" s="1882"/>
      <c r="AK67" s="1882"/>
      <c r="AL67" s="1882"/>
      <c r="AM67" s="1882"/>
      <c r="AN67" s="1882"/>
      <c r="AO67" s="1882"/>
      <c r="AP67" s="1882"/>
      <c r="AQ67" s="1882"/>
      <c r="AR67" s="1773"/>
      <c r="AS67" s="1981"/>
      <c r="AT67" s="1982"/>
      <c r="AU67" s="1982"/>
      <c r="AV67" s="1982"/>
      <c r="AW67" s="1982"/>
      <c r="AX67" s="1982"/>
      <c r="AY67" s="1982"/>
      <c r="AZ67" s="1982"/>
      <c r="BA67" s="1982"/>
      <c r="BB67" s="1983"/>
      <c r="BC67" s="1978"/>
      <c r="BD67" s="1884"/>
      <c r="BE67" s="1884"/>
      <c r="BF67" s="1884"/>
      <c r="BG67" s="1884"/>
      <c r="BH67" s="1884"/>
      <c r="BI67" s="1884"/>
      <c r="BJ67" s="1884"/>
      <c r="BK67" s="1884"/>
      <c r="BL67" s="1884"/>
      <c r="BM67" s="1885"/>
      <c r="BN67" s="2216">
        <f>CD67+CH67</f>
        <v>0</v>
      </c>
      <c r="BO67" s="2217"/>
      <c r="BP67" s="2217"/>
      <c r="BQ67" s="2217"/>
      <c r="BR67" s="2217"/>
      <c r="BS67" s="2217"/>
      <c r="BT67" s="2217"/>
      <c r="BU67" s="2217"/>
      <c r="BV67" s="2217"/>
      <c r="BW67" s="2217"/>
      <c r="BX67" s="2217"/>
      <c r="BY67" s="2217"/>
      <c r="BZ67" s="2217"/>
      <c r="CA67" s="2217"/>
      <c r="CB67" s="2218"/>
      <c r="CC67" s="264"/>
      <c r="CD67" s="261">
        <v>0</v>
      </c>
      <c r="CE67" s="265"/>
      <c r="CF67" s="266"/>
      <c r="CG67" s="265"/>
      <c r="CH67" s="267"/>
      <c r="CI67" s="51"/>
    </row>
    <row r="68" spans="1:87" ht="20.25" customHeight="1" x14ac:dyDescent="0.2">
      <c r="A68" s="243"/>
      <c r="B68" s="244"/>
      <c r="C68" s="244"/>
      <c r="D68" s="245"/>
      <c r="E68" s="1892" t="s">
        <v>168</v>
      </c>
      <c r="F68" s="1893"/>
      <c r="G68" s="1893"/>
      <c r="H68" s="1893"/>
      <c r="I68" s="1893"/>
      <c r="J68" s="1893"/>
      <c r="K68" s="1893"/>
      <c r="L68" s="1893"/>
      <c r="M68" s="1893"/>
      <c r="N68" s="1893"/>
      <c r="O68" s="1893"/>
      <c r="P68" s="1893"/>
      <c r="Q68" s="1893"/>
      <c r="R68" s="1893"/>
      <c r="S68" s="1893"/>
      <c r="T68" s="1893"/>
      <c r="U68" s="1893"/>
      <c r="V68" s="1893"/>
      <c r="W68" s="1893"/>
      <c r="X68" s="1893"/>
      <c r="Y68" s="1893"/>
      <c r="Z68" s="1893"/>
      <c r="AA68" s="1893"/>
      <c r="AB68" s="1893"/>
      <c r="AC68" s="1893"/>
      <c r="AD68" s="1893"/>
      <c r="AE68" s="1893"/>
      <c r="AF68" s="1893"/>
      <c r="AG68" s="1893"/>
      <c r="AH68" s="1893"/>
      <c r="AI68" s="1893"/>
      <c r="AJ68" s="1893"/>
      <c r="AK68" s="1893"/>
      <c r="AL68" s="1893"/>
      <c r="AM68" s="1893"/>
      <c r="AN68" s="1893"/>
      <c r="AO68" s="1893"/>
      <c r="AP68" s="1893"/>
      <c r="AQ68" s="1893"/>
      <c r="AR68" s="1894"/>
      <c r="AS68" s="1895"/>
      <c r="AT68" s="1896"/>
      <c r="AU68" s="1896"/>
      <c r="AV68" s="1896"/>
      <c r="AW68" s="1896"/>
      <c r="AX68" s="1896"/>
      <c r="AY68" s="1896"/>
      <c r="AZ68" s="1896"/>
      <c r="BA68" s="1896"/>
      <c r="BB68" s="1897"/>
      <c r="BC68" s="1898"/>
      <c r="BD68" s="1899"/>
      <c r="BE68" s="1899"/>
      <c r="BF68" s="1899"/>
      <c r="BG68" s="1899"/>
      <c r="BH68" s="1899"/>
      <c r="BI68" s="1899"/>
      <c r="BJ68" s="1899"/>
      <c r="BK68" s="1899"/>
      <c r="BL68" s="1899"/>
      <c r="BM68" s="1900"/>
      <c r="BN68" s="1984" t="e">
        <f>SUM(BN66:CB67)</f>
        <v>#REF!</v>
      </c>
      <c r="BO68" s="1985"/>
      <c r="BP68" s="1985"/>
      <c r="BQ68" s="1985"/>
      <c r="BR68" s="1985"/>
      <c r="BS68" s="1985"/>
      <c r="BT68" s="1985"/>
      <c r="BU68" s="1985"/>
      <c r="BV68" s="1985"/>
      <c r="BW68" s="1985"/>
      <c r="BX68" s="1985"/>
      <c r="BY68" s="1985"/>
      <c r="BZ68" s="1985"/>
      <c r="CA68" s="1985"/>
      <c r="CB68" s="1986"/>
      <c r="CC68" s="263"/>
      <c r="CD68" s="263" t="e">
        <f>SUM(CD66:CD67)</f>
        <v>#REF!</v>
      </c>
      <c r="CE68" s="262"/>
      <c r="CF68" s="262"/>
      <c r="CG68" s="262"/>
      <c r="CH68" s="268" t="e">
        <f>SUM(CH66:CH67)</f>
        <v>#REF!</v>
      </c>
    </row>
    <row r="69" spans="1:87" x14ac:dyDescent="0.2">
      <c r="A69" s="1973">
        <v>1</v>
      </c>
      <c r="B69" s="1973"/>
      <c r="C69" s="1973"/>
      <c r="D69" s="1973"/>
      <c r="E69" s="1973" t="s">
        <v>880</v>
      </c>
      <c r="F69" s="1973"/>
      <c r="G69" s="1973"/>
      <c r="H69" s="1973"/>
      <c r="I69" s="1973"/>
      <c r="J69" s="1973"/>
      <c r="K69" s="1973"/>
      <c r="L69" s="1973"/>
      <c r="M69" s="1973"/>
      <c r="N69" s="1973"/>
      <c r="O69" s="1973"/>
      <c r="P69" s="1973"/>
      <c r="Q69" s="1973"/>
      <c r="R69" s="1973"/>
      <c r="S69" s="1973"/>
      <c r="T69" s="1973"/>
      <c r="U69" s="1973"/>
      <c r="V69" s="1973"/>
      <c r="W69" s="1973"/>
      <c r="X69" s="1973"/>
      <c r="Y69" s="1973"/>
      <c r="Z69" s="1973"/>
      <c r="AA69" s="1973"/>
      <c r="AB69" s="1973"/>
      <c r="AC69" s="1973"/>
      <c r="AD69" s="1973"/>
      <c r="AE69" s="1973"/>
      <c r="AF69" s="1973"/>
      <c r="AG69" s="1973"/>
      <c r="AH69" s="1973"/>
      <c r="AI69" s="1973"/>
      <c r="AJ69" s="1973"/>
      <c r="AK69" s="1973"/>
      <c r="AL69" s="1973"/>
      <c r="AM69" s="1973"/>
      <c r="AN69" s="1973"/>
      <c r="AO69" s="1973"/>
      <c r="AP69" s="1973"/>
      <c r="AQ69" s="1973"/>
      <c r="AR69" s="1973"/>
      <c r="AS69" s="1974">
        <v>20</v>
      </c>
      <c r="AT69" s="1974"/>
      <c r="AU69" s="1974"/>
      <c r="AV69" s="1974"/>
      <c r="AW69" s="1974"/>
      <c r="AX69" s="1974"/>
      <c r="AY69" s="1974"/>
      <c r="AZ69" s="1974"/>
      <c r="BA69" s="1974"/>
      <c r="BB69" s="1974"/>
      <c r="BC69" s="1977">
        <v>50</v>
      </c>
      <c r="BD69" s="1977"/>
      <c r="BE69" s="1977"/>
      <c r="BF69" s="1977"/>
      <c r="BG69" s="1977"/>
      <c r="BH69" s="1977"/>
      <c r="BI69" s="1977"/>
      <c r="BJ69" s="1977"/>
      <c r="BK69" s="1977"/>
      <c r="BL69" s="1977"/>
      <c r="BM69" s="1977"/>
      <c r="BN69" s="1977">
        <f>AS69*BC69</f>
        <v>1000</v>
      </c>
      <c r="BO69" s="1977"/>
      <c r="BP69" s="1977"/>
      <c r="BQ69" s="1977"/>
      <c r="BR69" s="1977"/>
      <c r="BS69" s="1977"/>
      <c r="BT69" s="1977"/>
      <c r="BU69" s="1977"/>
      <c r="BV69" s="1977"/>
      <c r="BW69" s="1977"/>
      <c r="BX69" s="1977"/>
      <c r="BY69" s="1977"/>
      <c r="BZ69" s="1977"/>
      <c r="CA69" s="1977"/>
      <c r="CB69" s="1977"/>
      <c r="CC69" s="223"/>
      <c r="CD69" s="223">
        <v>1000</v>
      </c>
      <c r="CE69" s="223"/>
      <c r="CF69" s="223"/>
      <c r="CG69" s="223"/>
      <c r="CH69" s="223"/>
    </row>
    <row r="70" spans="1:87" s="29" customFormat="1" x14ac:dyDescent="0.2">
      <c r="A70" s="1831" t="s">
        <v>620</v>
      </c>
      <c r="B70" s="1832"/>
      <c r="C70" s="1832"/>
      <c r="D70" s="1832"/>
      <c r="E70" s="1832"/>
      <c r="F70" s="1832"/>
      <c r="G70" s="1832"/>
      <c r="H70" s="1832"/>
      <c r="I70" s="1832"/>
      <c r="J70" s="1832"/>
      <c r="K70" s="1832"/>
      <c r="L70" s="1832"/>
      <c r="M70" s="1832"/>
      <c r="N70" s="1832"/>
      <c r="O70" s="1832"/>
      <c r="P70" s="1832"/>
      <c r="Q70" s="1832"/>
      <c r="R70" s="1832"/>
      <c r="S70" s="1832"/>
      <c r="T70" s="1832"/>
      <c r="U70" s="1832"/>
      <c r="V70" s="1832"/>
      <c r="W70" s="1832"/>
      <c r="X70" s="1832"/>
      <c r="Y70" s="1832"/>
      <c r="Z70" s="1832"/>
      <c r="AA70" s="1832"/>
      <c r="AB70" s="1832"/>
      <c r="AC70" s="1832"/>
      <c r="AD70" s="1832"/>
      <c r="AE70" s="1832"/>
      <c r="AF70" s="1832"/>
      <c r="AG70" s="1832"/>
      <c r="AH70" s="1832"/>
      <c r="AI70" s="1832"/>
      <c r="AJ70" s="1832"/>
      <c r="AK70" s="1832"/>
      <c r="AL70" s="1832"/>
      <c r="AM70" s="1832"/>
      <c r="AN70" s="1832"/>
      <c r="AO70" s="1832"/>
      <c r="AP70" s="1832"/>
      <c r="AQ70" s="1832"/>
      <c r="AR70" s="1833"/>
      <c r="AS70" s="1913" t="s">
        <v>3</v>
      </c>
      <c r="AT70" s="1913"/>
      <c r="AU70" s="1913"/>
      <c r="AV70" s="1913"/>
      <c r="AW70" s="1913"/>
      <c r="AX70" s="1913"/>
      <c r="AY70" s="1913"/>
      <c r="AZ70" s="1913"/>
      <c r="BA70" s="1913"/>
      <c r="BB70" s="1913"/>
      <c r="BC70" s="1971" t="s">
        <v>3</v>
      </c>
      <c r="BD70" s="1971"/>
      <c r="BE70" s="1971"/>
      <c r="BF70" s="1971"/>
      <c r="BG70" s="1971"/>
      <c r="BH70" s="1971"/>
      <c r="BI70" s="1971"/>
      <c r="BJ70" s="1971"/>
      <c r="BK70" s="1971"/>
      <c r="BL70" s="1971"/>
      <c r="BM70" s="1971"/>
      <c r="BN70" s="1971">
        <f>BN69</f>
        <v>1000</v>
      </c>
      <c r="BO70" s="1971"/>
      <c r="BP70" s="1971"/>
      <c r="BQ70" s="1971"/>
      <c r="BR70" s="1971"/>
      <c r="BS70" s="1971"/>
      <c r="BT70" s="1971"/>
      <c r="BU70" s="1971"/>
      <c r="BV70" s="1971"/>
      <c r="BW70" s="1971"/>
      <c r="BX70" s="1971"/>
      <c r="BY70" s="1971"/>
      <c r="BZ70" s="1971"/>
      <c r="CA70" s="1971"/>
      <c r="CB70" s="1971"/>
      <c r="CC70" s="239"/>
      <c r="CD70" s="239">
        <f>SUM(CD69)</f>
        <v>1000</v>
      </c>
      <c r="CE70" s="239"/>
      <c r="CF70" s="239"/>
      <c r="CG70" s="239"/>
      <c r="CH70" s="239"/>
    </row>
    <row r="71" spans="1:87" ht="17.25" customHeight="1" x14ac:dyDescent="0.2">
      <c r="A71" s="1772">
        <v>1</v>
      </c>
      <c r="B71" s="1882"/>
      <c r="C71" s="1882"/>
      <c r="D71" s="1773"/>
      <c r="E71" s="1772" t="s">
        <v>169</v>
      </c>
      <c r="F71" s="1882"/>
      <c r="G71" s="1882"/>
      <c r="H71" s="1882"/>
      <c r="I71" s="1882"/>
      <c r="J71" s="1882"/>
      <c r="K71" s="1882"/>
      <c r="L71" s="1882"/>
      <c r="M71" s="1882"/>
      <c r="N71" s="1882"/>
      <c r="O71" s="1882"/>
      <c r="P71" s="1882"/>
      <c r="Q71" s="1882"/>
      <c r="R71" s="1882"/>
      <c r="S71" s="1882"/>
      <c r="T71" s="1882"/>
      <c r="U71" s="1882"/>
      <c r="V71" s="1882"/>
      <c r="W71" s="1882"/>
      <c r="X71" s="1882"/>
      <c r="Y71" s="1882"/>
      <c r="Z71" s="1882"/>
      <c r="AA71" s="1882"/>
      <c r="AB71" s="1882"/>
      <c r="AC71" s="1882"/>
      <c r="AD71" s="1882"/>
      <c r="AE71" s="1882"/>
      <c r="AF71" s="1882"/>
      <c r="AG71" s="1882"/>
      <c r="AH71" s="1882"/>
      <c r="AI71" s="1882"/>
      <c r="AJ71" s="1882"/>
      <c r="AK71" s="1882"/>
      <c r="AL71" s="1882"/>
      <c r="AM71" s="1882"/>
      <c r="AN71" s="1882"/>
      <c r="AO71" s="1882"/>
      <c r="AP71" s="1882"/>
      <c r="AQ71" s="1882"/>
      <c r="AR71" s="1773"/>
      <c r="AS71" s="1895"/>
      <c r="AT71" s="1896"/>
      <c r="AU71" s="1896"/>
      <c r="AV71" s="1896"/>
      <c r="AW71" s="1896"/>
      <c r="AX71" s="1896"/>
      <c r="AY71" s="1896"/>
      <c r="AZ71" s="1896"/>
      <c r="BA71" s="1896"/>
      <c r="BB71" s="1897"/>
      <c r="BC71" s="1898"/>
      <c r="BD71" s="1899"/>
      <c r="BE71" s="1899"/>
      <c r="BF71" s="1899"/>
      <c r="BG71" s="1899"/>
      <c r="BH71" s="1899"/>
      <c r="BI71" s="1899"/>
      <c r="BJ71" s="1899"/>
      <c r="BK71" s="1899"/>
      <c r="BL71" s="1899"/>
      <c r="BM71" s="1900"/>
      <c r="BN71" s="1910">
        <f>CD71</f>
        <v>20000</v>
      </c>
      <c r="BO71" s="1911"/>
      <c r="BP71" s="1911"/>
      <c r="BQ71" s="1911"/>
      <c r="BR71" s="1911"/>
      <c r="BS71" s="1911"/>
      <c r="BT71" s="1911"/>
      <c r="BU71" s="1911"/>
      <c r="BV71" s="1911"/>
      <c r="BW71" s="1911"/>
      <c r="BX71" s="1911"/>
      <c r="BY71" s="1911"/>
      <c r="BZ71" s="1911"/>
      <c r="CA71" s="1911"/>
      <c r="CB71" s="1912"/>
      <c r="CC71" s="261"/>
      <c r="CD71" s="261">
        <v>20000</v>
      </c>
      <c r="CE71" s="262"/>
      <c r="CF71" s="262"/>
      <c r="CG71" s="262"/>
      <c r="CH71" s="269"/>
    </row>
    <row r="72" spans="1:87" ht="18.75" customHeight="1" x14ac:dyDescent="0.2">
      <c r="A72" s="48"/>
      <c r="B72" s="9"/>
      <c r="C72" s="9"/>
      <c r="D72" s="49"/>
      <c r="E72" s="1892" t="s">
        <v>170</v>
      </c>
      <c r="F72" s="1893"/>
      <c r="G72" s="1893"/>
      <c r="H72" s="1893"/>
      <c r="I72" s="1893"/>
      <c r="J72" s="1893"/>
      <c r="K72" s="1893"/>
      <c r="L72" s="1893"/>
      <c r="M72" s="1893"/>
      <c r="N72" s="1893"/>
      <c r="O72" s="1893"/>
      <c r="P72" s="1893"/>
      <c r="Q72" s="1893"/>
      <c r="R72" s="1893"/>
      <c r="S72" s="1893"/>
      <c r="T72" s="1893"/>
      <c r="U72" s="1893"/>
      <c r="V72" s="1893"/>
      <c r="W72" s="1893"/>
      <c r="X72" s="1893"/>
      <c r="Y72" s="1893"/>
      <c r="Z72" s="1893"/>
      <c r="AA72" s="1893"/>
      <c r="AB72" s="1893"/>
      <c r="AC72" s="1893"/>
      <c r="AD72" s="1893"/>
      <c r="AE72" s="1893"/>
      <c r="AF72" s="1893"/>
      <c r="AG72" s="1893"/>
      <c r="AH72" s="1893"/>
      <c r="AI72" s="1893"/>
      <c r="AJ72" s="1893"/>
      <c r="AK72" s="1893"/>
      <c r="AL72" s="1893"/>
      <c r="AM72" s="1893"/>
      <c r="AN72" s="1893"/>
      <c r="AO72" s="1893"/>
      <c r="AP72" s="1893"/>
      <c r="AQ72" s="1893"/>
      <c r="AR72" s="1894"/>
      <c r="AS72" s="1895"/>
      <c r="AT72" s="1896"/>
      <c r="AU72" s="1896"/>
      <c r="AV72" s="1896"/>
      <c r="AW72" s="1896"/>
      <c r="AX72" s="1896"/>
      <c r="AY72" s="1896"/>
      <c r="AZ72" s="1896"/>
      <c r="BA72" s="1896"/>
      <c r="BB72" s="1897"/>
      <c r="BC72" s="1898"/>
      <c r="BD72" s="1899"/>
      <c r="BE72" s="1899"/>
      <c r="BF72" s="1899"/>
      <c r="BG72" s="1899"/>
      <c r="BH72" s="1899"/>
      <c r="BI72" s="1899"/>
      <c r="BJ72" s="1899"/>
      <c r="BK72" s="1899"/>
      <c r="BL72" s="1899"/>
      <c r="BM72" s="1900"/>
      <c r="BN72" s="1984">
        <f>SUM(BN71:BN71)</f>
        <v>20000</v>
      </c>
      <c r="BO72" s="1985"/>
      <c r="BP72" s="1985"/>
      <c r="BQ72" s="1985"/>
      <c r="BR72" s="1985"/>
      <c r="BS72" s="1985"/>
      <c r="BT72" s="1985"/>
      <c r="BU72" s="1985"/>
      <c r="BV72" s="1985"/>
      <c r="BW72" s="1985"/>
      <c r="BX72" s="1985"/>
      <c r="BY72" s="1985"/>
      <c r="BZ72" s="1985"/>
      <c r="CA72" s="1985"/>
      <c r="CB72" s="1986"/>
      <c r="CC72" s="261"/>
      <c r="CD72" s="263">
        <f>SUM(CD71:CD71)</f>
        <v>20000</v>
      </c>
      <c r="CE72" s="262"/>
      <c r="CF72" s="262"/>
      <c r="CG72" s="262"/>
      <c r="CH72" s="268"/>
    </row>
    <row r="73" spans="1:87" ht="27" customHeight="1" x14ac:dyDescent="0.2">
      <c r="A73" s="1772">
        <v>1</v>
      </c>
      <c r="B73" s="1882"/>
      <c r="C73" s="1882"/>
      <c r="D73" s="1882"/>
      <c r="E73" s="1772" t="s">
        <v>171</v>
      </c>
      <c r="F73" s="1882"/>
      <c r="G73" s="1882"/>
      <c r="H73" s="1882"/>
      <c r="I73" s="1882"/>
      <c r="J73" s="1882"/>
      <c r="K73" s="1882"/>
      <c r="L73" s="1882"/>
      <c r="M73" s="1882"/>
      <c r="N73" s="1882"/>
      <c r="O73" s="1882"/>
      <c r="P73" s="1882"/>
      <c r="Q73" s="1882"/>
      <c r="R73" s="1882"/>
      <c r="S73" s="1882"/>
      <c r="T73" s="1882"/>
      <c r="U73" s="1882"/>
      <c r="V73" s="1882"/>
      <c r="W73" s="1882"/>
      <c r="X73" s="1882"/>
      <c r="Y73" s="1882"/>
      <c r="Z73" s="1882"/>
      <c r="AA73" s="1882"/>
      <c r="AB73" s="1882"/>
      <c r="AC73" s="1882"/>
      <c r="AD73" s="1882"/>
      <c r="AE73" s="1882"/>
      <c r="AF73" s="1882"/>
      <c r="AG73" s="1882"/>
      <c r="AH73" s="1882"/>
      <c r="AI73" s="1882"/>
      <c r="AJ73" s="1882"/>
      <c r="AK73" s="1882"/>
      <c r="AL73" s="1882"/>
      <c r="AM73" s="1882"/>
      <c r="AN73" s="1882"/>
      <c r="AO73" s="1882"/>
      <c r="AP73" s="1882"/>
      <c r="AQ73" s="1882"/>
      <c r="AR73" s="1773"/>
      <c r="AS73" s="1901"/>
      <c r="AT73" s="1902"/>
      <c r="AU73" s="1902"/>
      <c r="AV73" s="1902"/>
      <c r="AW73" s="1902"/>
      <c r="AX73" s="1902"/>
      <c r="AY73" s="1902"/>
      <c r="AZ73" s="1902"/>
      <c r="BA73" s="1902"/>
      <c r="BB73" s="1903"/>
      <c r="BC73" s="1907"/>
      <c r="BD73" s="1908"/>
      <c r="BE73" s="1908"/>
      <c r="BF73" s="1908"/>
      <c r="BG73" s="1908"/>
      <c r="BH73" s="1908"/>
      <c r="BI73" s="1908"/>
      <c r="BJ73" s="1908"/>
      <c r="BK73" s="1908"/>
      <c r="BL73" s="1908"/>
      <c r="BM73" s="1909"/>
      <c r="BN73" s="1910">
        <f t="shared" ref="BN73:BN77" si="5">CD73</f>
        <v>122692.85</v>
      </c>
      <c r="BO73" s="1911"/>
      <c r="BP73" s="1911"/>
      <c r="BQ73" s="1911"/>
      <c r="BR73" s="1911"/>
      <c r="BS73" s="1911"/>
      <c r="BT73" s="1911"/>
      <c r="BU73" s="1911"/>
      <c r="BV73" s="1911"/>
      <c r="BW73" s="1911"/>
      <c r="BX73" s="1911"/>
      <c r="BY73" s="1911"/>
      <c r="BZ73" s="1911"/>
      <c r="CA73" s="1911"/>
      <c r="CB73" s="1912"/>
      <c r="CC73" s="261"/>
      <c r="CD73" s="261">
        <v>122692.85</v>
      </c>
      <c r="CE73" s="262"/>
      <c r="CF73" s="262"/>
      <c r="CG73" s="262"/>
      <c r="CH73" s="269"/>
    </row>
    <row r="74" spans="1:87" ht="27" customHeight="1" x14ac:dyDescent="0.2">
      <c r="A74" s="1772">
        <v>2</v>
      </c>
      <c r="B74" s="1882"/>
      <c r="C74" s="1882"/>
      <c r="D74" s="1882"/>
      <c r="E74" s="1772" t="s">
        <v>172</v>
      </c>
      <c r="F74" s="1882"/>
      <c r="G74" s="1882"/>
      <c r="H74" s="1882"/>
      <c r="I74" s="1882"/>
      <c r="J74" s="1882"/>
      <c r="K74" s="1882"/>
      <c r="L74" s="1882"/>
      <c r="M74" s="1882"/>
      <c r="N74" s="1882"/>
      <c r="O74" s="1882"/>
      <c r="P74" s="1882"/>
      <c r="Q74" s="1882"/>
      <c r="R74" s="1882"/>
      <c r="S74" s="1882"/>
      <c r="T74" s="1882"/>
      <c r="U74" s="1882"/>
      <c r="V74" s="1882"/>
      <c r="W74" s="1882"/>
      <c r="X74" s="1882"/>
      <c r="Y74" s="1882"/>
      <c r="Z74" s="1882"/>
      <c r="AA74" s="1882"/>
      <c r="AB74" s="1882"/>
      <c r="AC74" s="1882"/>
      <c r="AD74" s="1882"/>
      <c r="AE74" s="1882"/>
      <c r="AF74" s="1882"/>
      <c r="AG74" s="1882"/>
      <c r="AH74" s="1882"/>
      <c r="AI74" s="1882"/>
      <c r="AJ74" s="1882"/>
      <c r="AK74" s="1882"/>
      <c r="AL74" s="1882"/>
      <c r="AM74" s="1882"/>
      <c r="AN74" s="1882"/>
      <c r="AO74" s="1882"/>
      <c r="AP74" s="1882"/>
      <c r="AQ74" s="1882"/>
      <c r="AR74" s="1773"/>
      <c r="AS74" s="1901"/>
      <c r="AT74" s="1902"/>
      <c r="AU74" s="1902"/>
      <c r="AV74" s="1902"/>
      <c r="AW74" s="1902"/>
      <c r="AX74" s="1902"/>
      <c r="AY74" s="1902"/>
      <c r="AZ74" s="1902"/>
      <c r="BA74" s="1902"/>
      <c r="BB74" s="1903"/>
      <c r="BC74" s="1907"/>
      <c r="BD74" s="1908"/>
      <c r="BE74" s="1908"/>
      <c r="BF74" s="1908"/>
      <c r="BG74" s="1908"/>
      <c r="BH74" s="1908"/>
      <c r="BI74" s="1908"/>
      <c r="BJ74" s="1908"/>
      <c r="BK74" s="1908"/>
      <c r="BL74" s="1908"/>
      <c r="BM74" s="1909"/>
      <c r="BN74" s="1910">
        <f t="shared" si="5"/>
        <v>30000</v>
      </c>
      <c r="BO74" s="1911"/>
      <c r="BP74" s="1911"/>
      <c r="BQ74" s="1911"/>
      <c r="BR74" s="1911"/>
      <c r="BS74" s="1911"/>
      <c r="BT74" s="1911"/>
      <c r="BU74" s="1911"/>
      <c r="BV74" s="1911"/>
      <c r="BW74" s="1911"/>
      <c r="BX74" s="1911"/>
      <c r="BY74" s="1911"/>
      <c r="BZ74" s="1911"/>
      <c r="CA74" s="1911"/>
      <c r="CB74" s="1912"/>
      <c r="CC74" s="261"/>
      <c r="CD74" s="261">
        <v>30000</v>
      </c>
      <c r="CE74" s="262"/>
      <c r="CF74" s="262"/>
      <c r="CG74" s="262"/>
      <c r="CH74" s="269"/>
    </row>
    <row r="75" spans="1:87" ht="27" customHeight="1" x14ac:dyDescent="0.2">
      <c r="A75" s="1772">
        <v>3</v>
      </c>
      <c r="B75" s="1882"/>
      <c r="C75" s="1882"/>
      <c r="D75" s="1882"/>
      <c r="E75" s="1772" t="s">
        <v>584</v>
      </c>
      <c r="F75" s="1882"/>
      <c r="G75" s="1882"/>
      <c r="H75" s="1882"/>
      <c r="I75" s="1882"/>
      <c r="J75" s="1882"/>
      <c r="K75" s="1882"/>
      <c r="L75" s="1882"/>
      <c r="M75" s="1882"/>
      <c r="N75" s="1882"/>
      <c r="O75" s="1882"/>
      <c r="P75" s="1882"/>
      <c r="Q75" s="1882"/>
      <c r="R75" s="1882"/>
      <c r="S75" s="1882"/>
      <c r="T75" s="1882"/>
      <c r="U75" s="1882"/>
      <c r="V75" s="1882"/>
      <c r="W75" s="1882"/>
      <c r="X75" s="1882"/>
      <c r="Y75" s="1882"/>
      <c r="Z75" s="1882"/>
      <c r="AA75" s="1882"/>
      <c r="AB75" s="1882"/>
      <c r="AC75" s="1882"/>
      <c r="AD75" s="1882"/>
      <c r="AE75" s="1882"/>
      <c r="AF75" s="1882"/>
      <c r="AG75" s="1882"/>
      <c r="AH75" s="1882"/>
      <c r="AI75" s="1882"/>
      <c r="AJ75" s="1882"/>
      <c r="AK75" s="1882"/>
      <c r="AL75" s="1882"/>
      <c r="AM75" s="1882"/>
      <c r="AN75" s="1882"/>
      <c r="AO75" s="1882"/>
      <c r="AP75" s="1882"/>
      <c r="AQ75" s="1882"/>
      <c r="AR75" s="1773"/>
      <c r="AS75" s="1901"/>
      <c r="AT75" s="1902"/>
      <c r="AU75" s="1902"/>
      <c r="AV75" s="1902"/>
      <c r="AW75" s="1902"/>
      <c r="AX75" s="1902"/>
      <c r="AY75" s="1902"/>
      <c r="AZ75" s="1902"/>
      <c r="BA75" s="1902"/>
      <c r="BB75" s="1903"/>
      <c r="BC75" s="1907"/>
      <c r="BD75" s="1908"/>
      <c r="BE75" s="1908"/>
      <c r="BF75" s="1908"/>
      <c r="BG75" s="1908"/>
      <c r="BH75" s="1908"/>
      <c r="BI75" s="1908"/>
      <c r="BJ75" s="1908"/>
      <c r="BK75" s="1908"/>
      <c r="BL75" s="1908"/>
      <c r="BM75" s="1909"/>
      <c r="BN75" s="1910">
        <f t="shared" si="5"/>
        <v>20000</v>
      </c>
      <c r="BO75" s="1911"/>
      <c r="BP75" s="1911"/>
      <c r="BQ75" s="1911"/>
      <c r="BR75" s="1911"/>
      <c r="BS75" s="1911"/>
      <c r="BT75" s="1911"/>
      <c r="BU75" s="1911"/>
      <c r="BV75" s="1911"/>
      <c r="BW75" s="1911"/>
      <c r="BX75" s="1911"/>
      <c r="BY75" s="1911"/>
      <c r="BZ75" s="1911"/>
      <c r="CA75" s="1911"/>
      <c r="CB75" s="1912"/>
      <c r="CC75" s="261"/>
      <c r="CD75" s="261">
        <v>20000</v>
      </c>
      <c r="CE75" s="262"/>
      <c r="CF75" s="262"/>
      <c r="CG75" s="262"/>
      <c r="CH75" s="269"/>
    </row>
    <row r="76" spans="1:87" ht="27" customHeight="1" x14ac:dyDescent="0.2">
      <c r="A76" s="1772">
        <v>4</v>
      </c>
      <c r="B76" s="1882"/>
      <c r="C76" s="1882"/>
      <c r="D76" s="1882"/>
      <c r="E76" s="1772" t="s">
        <v>1201</v>
      </c>
      <c r="F76" s="1882"/>
      <c r="G76" s="1882"/>
      <c r="H76" s="1882"/>
      <c r="I76" s="1882"/>
      <c r="J76" s="1882"/>
      <c r="K76" s="1882"/>
      <c r="L76" s="1882"/>
      <c r="M76" s="1882"/>
      <c r="N76" s="1882"/>
      <c r="O76" s="1882"/>
      <c r="P76" s="1882"/>
      <c r="Q76" s="1882"/>
      <c r="R76" s="1882"/>
      <c r="S76" s="1882"/>
      <c r="T76" s="1882"/>
      <c r="U76" s="1882"/>
      <c r="V76" s="1882"/>
      <c r="W76" s="1882"/>
      <c r="X76" s="1882"/>
      <c r="Y76" s="1882"/>
      <c r="Z76" s="1882"/>
      <c r="AA76" s="1882"/>
      <c r="AB76" s="1882"/>
      <c r="AC76" s="1882"/>
      <c r="AD76" s="1882"/>
      <c r="AE76" s="1882"/>
      <c r="AF76" s="1882"/>
      <c r="AG76" s="1882"/>
      <c r="AH76" s="1882"/>
      <c r="AI76" s="1882"/>
      <c r="AJ76" s="1882"/>
      <c r="AK76" s="1882"/>
      <c r="AL76" s="1882"/>
      <c r="AM76" s="1882"/>
      <c r="AN76" s="1882"/>
      <c r="AO76" s="1882"/>
      <c r="AP76" s="1882"/>
      <c r="AQ76" s="1882"/>
      <c r="AR76" s="1773"/>
      <c r="AS76" s="1901"/>
      <c r="AT76" s="1902"/>
      <c r="AU76" s="1902"/>
      <c r="AV76" s="1902"/>
      <c r="AW76" s="1902"/>
      <c r="AX76" s="1902"/>
      <c r="AY76" s="1902"/>
      <c r="AZ76" s="1902"/>
      <c r="BA76" s="1902"/>
      <c r="BB76" s="1903"/>
      <c r="BC76" s="1907"/>
      <c r="BD76" s="1908"/>
      <c r="BE76" s="1908"/>
      <c r="BF76" s="1908"/>
      <c r="BG76" s="1908"/>
      <c r="BH76" s="1908"/>
      <c r="BI76" s="1908"/>
      <c r="BJ76" s="1908"/>
      <c r="BK76" s="1908"/>
      <c r="BL76" s="1908"/>
      <c r="BM76" s="1909"/>
      <c r="BN76" s="1910">
        <f t="shared" si="5"/>
        <v>150000</v>
      </c>
      <c r="BO76" s="1911"/>
      <c r="BP76" s="1911"/>
      <c r="BQ76" s="1911"/>
      <c r="BR76" s="1911"/>
      <c r="BS76" s="1911"/>
      <c r="BT76" s="1911"/>
      <c r="BU76" s="1911"/>
      <c r="BV76" s="1911"/>
      <c r="BW76" s="1911"/>
      <c r="BX76" s="1911"/>
      <c r="BY76" s="1911"/>
      <c r="BZ76" s="1911"/>
      <c r="CA76" s="1911"/>
      <c r="CB76" s="1912"/>
      <c r="CC76" s="261"/>
      <c r="CD76" s="261">
        <v>150000</v>
      </c>
      <c r="CE76" s="262"/>
      <c r="CF76" s="262"/>
      <c r="CG76" s="262"/>
      <c r="CH76" s="269"/>
    </row>
    <row r="77" spans="1:87" ht="27" customHeight="1" x14ac:dyDescent="0.2">
      <c r="A77" s="1772">
        <v>5</v>
      </c>
      <c r="B77" s="1882"/>
      <c r="C77" s="1882"/>
      <c r="D77" s="1882"/>
      <c r="E77" s="1772" t="s">
        <v>590</v>
      </c>
      <c r="F77" s="1882"/>
      <c r="G77" s="1882"/>
      <c r="H77" s="1882"/>
      <c r="I77" s="1882"/>
      <c r="J77" s="1882"/>
      <c r="K77" s="1882"/>
      <c r="L77" s="1882"/>
      <c r="M77" s="1882"/>
      <c r="N77" s="1882"/>
      <c r="O77" s="1882"/>
      <c r="P77" s="1882"/>
      <c r="Q77" s="1882"/>
      <c r="R77" s="1882"/>
      <c r="S77" s="1882"/>
      <c r="T77" s="1882"/>
      <c r="U77" s="1882"/>
      <c r="V77" s="1882"/>
      <c r="W77" s="1882"/>
      <c r="X77" s="1882"/>
      <c r="Y77" s="1882"/>
      <c r="Z77" s="1882"/>
      <c r="AA77" s="1882"/>
      <c r="AB77" s="1882"/>
      <c r="AC77" s="1882"/>
      <c r="AD77" s="1882"/>
      <c r="AE77" s="1882"/>
      <c r="AF77" s="1882"/>
      <c r="AG77" s="1882"/>
      <c r="AH77" s="1882"/>
      <c r="AI77" s="1882"/>
      <c r="AJ77" s="1882"/>
      <c r="AK77" s="1882"/>
      <c r="AL77" s="1882"/>
      <c r="AM77" s="1882"/>
      <c r="AN77" s="1882"/>
      <c r="AO77" s="1882"/>
      <c r="AP77" s="1882"/>
      <c r="AQ77" s="1882"/>
      <c r="AR77" s="1773"/>
      <c r="AS77" s="1901"/>
      <c r="AT77" s="1902"/>
      <c r="AU77" s="1902"/>
      <c r="AV77" s="1902"/>
      <c r="AW77" s="1902"/>
      <c r="AX77" s="1902"/>
      <c r="AY77" s="1902"/>
      <c r="AZ77" s="1902"/>
      <c r="BA77" s="1902"/>
      <c r="BB77" s="1903"/>
      <c r="BC77" s="1907"/>
      <c r="BD77" s="1908"/>
      <c r="BE77" s="1908"/>
      <c r="BF77" s="1908"/>
      <c r="BG77" s="1908"/>
      <c r="BH77" s="1908"/>
      <c r="BI77" s="1908"/>
      <c r="BJ77" s="1908"/>
      <c r="BK77" s="1908"/>
      <c r="BL77" s="1908"/>
      <c r="BM77" s="1909"/>
      <c r="BN77" s="1910">
        <f t="shared" si="5"/>
        <v>15000</v>
      </c>
      <c r="BO77" s="1911"/>
      <c r="BP77" s="1911"/>
      <c r="BQ77" s="1911"/>
      <c r="BR77" s="1911"/>
      <c r="BS77" s="1911"/>
      <c r="BT77" s="1911"/>
      <c r="BU77" s="1911"/>
      <c r="BV77" s="1911"/>
      <c r="BW77" s="1911"/>
      <c r="BX77" s="1911"/>
      <c r="BY77" s="1911"/>
      <c r="BZ77" s="1911"/>
      <c r="CA77" s="1911"/>
      <c r="CB77" s="1912"/>
      <c r="CC77" s="261"/>
      <c r="CD77" s="261">
        <v>15000</v>
      </c>
      <c r="CE77" s="262"/>
      <c r="CF77" s="262"/>
      <c r="CG77" s="262"/>
      <c r="CH77" s="269"/>
    </row>
    <row r="78" spans="1:87" x14ac:dyDescent="0.2">
      <c r="A78" s="1814"/>
      <c r="B78" s="1815"/>
      <c r="C78" s="1815"/>
      <c r="D78" s="1816"/>
      <c r="E78" s="1892" t="s">
        <v>174</v>
      </c>
      <c r="F78" s="1893"/>
      <c r="G78" s="1893"/>
      <c r="H78" s="1893"/>
      <c r="I78" s="1893"/>
      <c r="J78" s="1893"/>
      <c r="K78" s="1893"/>
      <c r="L78" s="1893"/>
      <c r="M78" s="1893"/>
      <c r="N78" s="1893"/>
      <c r="O78" s="1893"/>
      <c r="P78" s="1893"/>
      <c r="Q78" s="1893"/>
      <c r="R78" s="1893"/>
      <c r="S78" s="1893"/>
      <c r="T78" s="1893"/>
      <c r="U78" s="1893"/>
      <c r="V78" s="1893"/>
      <c r="W78" s="1893"/>
      <c r="X78" s="1893"/>
      <c r="Y78" s="1893"/>
      <c r="Z78" s="1893"/>
      <c r="AA78" s="1893"/>
      <c r="AB78" s="1893"/>
      <c r="AC78" s="1893"/>
      <c r="AD78" s="1893"/>
      <c r="AE78" s="1893"/>
      <c r="AF78" s="1893"/>
      <c r="AG78" s="1893"/>
      <c r="AH78" s="1893"/>
      <c r="AI78" s="1893"/>
      <c r="AJ78" s="1893"/>
      <c r="AK78" s="1893"/>
      <c r="AL78" s="1893"/>
      <c r="AM78" s="1893"/>
      <c r="AN78" s="1893"/>
      <c r="AO78" s="1893"/>
      <c r="AP78" s="1893"/>
      <c r="AQ78" s="1893"/>
      <c r="AR78" s="1894"/>
      <c r="AS78" s="1895"/>
      <c r="AT78" s="1896"/>
      <c r="AU78" s="1896"/>
      <c r="AV78" s="1896"/>
      <c r="AW78" s="1896"/>
      <c r="AX78" s="1896"/>
      <c r="AY78" s="1896"/>
      <c r="AZ78" s="1896"/>
      <c r="BA78" s="1896"/>
      <c r="BB78" s="1897"/>
      <c r="BC78" s="1898"/>
      <c r="BD78" s="1899"/>
      <c r="BE78" s="1899"/>
      <c r="BF78" s="1899"/>
      <c r="BG78" s="1899"/>
      <c r="BH78" s="1899"/>
      <c r="BI78" s="1899"/>
      <c r="BJ78" s="1899"/>
      <c r="BK78" s="1899"/>
      <c r="BL78" s="1899"/>
      <c r="BM78" s="1900"/>
      <c r="BN78" s="1959">
        <f>SUM(BN73:BN77)</f>
        <v>337692.85</v>
      </c>
      <c r="BO78" s="1960"/>
      <c r="BP78" s="1960"/>
      <c r="BQ78" s="1960"/>
      <c r="BR78" s="1960"/>
      <c r="BS78" s="1960"/>
      <c r="BT78" s="1960"/>
      <c r="BU78" s="1960"/>
      <c r="BV78" s="1960"/>
      <c r="BW78" s="1960"/>
      <c r="BX78" s="1960"/>
      <c r="BY78" s="1960"/>
      <c r="BZ78" s="1960"/>
      <c r="CA78" s="1960"/>
      <c r="CB78" s="1961"/>
      <c r="CC78" s="257"/>
      <c r="CD78" s="272">
        <f>SUM(CD73:CD77)</f>
        <v>337692.85</v>
      </c>
      <c r="CE78" s="272"/>
      <c r="CF78" s="272">
        <f>SUM(CF73:CF77)</f>
        <v>0</v>
      </c>
      <c r="CG78" s="272"/>
      <c r="CH78" s="272">
        <f>SUM(CH73:CH77)</f>
        <v>0</v>
      </c>
    </row>
    <row r="79" spans="1:87" x14ac:dyDescent="0.2">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73"/>
      <c r="AE79" s="273"/>
      <c r="AF79" s="273"/>
      <c r="AG79" s="273"/>
      <c r="AH79" s="273"/>
      <c r="AI79" s="273"/>
      <c r="AJ79" s="273"/>
      <c r="AK79" s="273"/>
      <c r="AL79" s="273"/>
      <c r="AM79" s="273"/>
      <c r="AN79" s="273"/>
      <c r="AO79" s="273"/>
      <c r="AP79" s="273"/>
      <c r="AQ79" s="273"/>
      <c r="AR79" s="273"/>
      <c r="AS79" s="33"/>
      <c r="AT79" s="33"/>
      <c r="AU79" s="33"/>
      <c r="AV79" s="33"/>
      <c r="AW79" s="33"/>
      <c r="AX79" s="33"/>
      <c r="AY79" s="33"/>
      <c r="AZ79" s="33"/>
      <c r="BA79" s="33"/>
      <c r="BB79" s="33"/>
      <c r="BC79" s="33"/>
      <c r="BD79" s="33"/>
      <c r="BE79" s="33"/>
      <c r="BF79" s="33"/>
      <c r="BG79" s="33"/>
      <c r="BH79" s="33"/>
      <c r="BI79" s="33"/>
      <c r="BJ79" s="33"/>
      <c r="BK79" s="33"/>
      <c r="BL79" s="33"/>
      <c r="BM79" s="33"/>
      <c r="BN79" s="274"/>
      <c r="BO79" s="274"/>
      <c r="BP79" s="274"/>
      <c r="BQ79" s="274"/>
      <c r="BR79" s="274"/>
      <c r="BS79" s="274"/>
      <c r="BT79" s="274"/>
      <c r="BU79" s="274"/>
      <c r="BV79" s="274"/>
      <c r="BW79" s="274"/>
      <c r="BX79" s="274"/>
      <c r="BY79" s="274"/>
      <c r="BZ79" s="274"/>
      <c r="CA79" s="274"/>
      <c r="CB79" s="274"/>
      <c r="CC79" s="275"/>
      <c r="CD79" s="276"/>
      <c r="CE79" s="275"/>
      <c r="CF79" s="275"/>
      <c r="CG79" s="275"/>
      <c r="CH79" s="275"/>
    </row>
    <row r="80" spans="1:87" s="4" customFormat="1" ht="15.75" x14ac:dyDescent="0.25">
      <c r="A80" s="1955" t="s">
        <v>175</v>
      </c>
      <c r="B80" s="1955"/>
      <c r="C80" s="1955"/>
      <c r="D80" s="1955"/>
      <c r="E80" s="1955"/>
      <c r="F80" s="1955"/>
      <c r="G80" s="1955"/>
      <c r="H80" s="1955"/>
      <c r="I80" s="1955"/>
      <c r="J80" s="1955"/>
      <c r="K80" s="1955"/>
      <c r="L80" s="1955"/>
      <c r="M80" s="1955"/>
      <c r="N80" s="1955"/>
      <c r="O80" s="1955"/>
      <c r="P80" s="1955"/>
      <c r="Q80" s="1955"/>
      <c r="R80" s="1955"/>
      <c r="S80" s="1955"/>
      <c r="T80" s="1955"/>
      <c r="U80" s="1955"/>
      <c r="V80" s="1955"/>
      <c r="W80" s="1955"/>
      <c r="X80" s="1955"/>
      <c r="Y80" s="1955"/>
      <c r="Z80" s="1955"/>
      <c r="AA80" s="1955"/>
      <c r="AB80" s="1955"/>
      <c r="AC80" s="1955"/>
      <c r="AD80" s="1955"/>
      <c r="AE80" s="1955"/>
      <c r="AF80" s="1955"/>
      <c r="AG80" s="1955"/>
      <c r="AH80" s="1955"/>
      <c r="AI80" s="1955"/>
      <c r="AJ80" s="1955"/>
      <c r="AK80" s="1955"/>
      <c r="AL80" s="1955"/>
      <c r="AM80" s="1955"/>
      <c r="AN80" s="1955"/>
      <c r="AO80" s="1955"/>
      <c r="AP80" s="1955"/>
      <c r="AQ80" s="1955"/>
      <c r="AR80" s="1955"/>
      <c r="AS80" s="1955"/>
      <c r="AT80" s="1955"/>
      <c r="AU80" s="1955"/>
      <c r="AV80" s="1955"/>
      <c r="AW80" s="1955"/>
      <c r="AX80" s="1955"/>
      <c r="AY80" s="1955"/>
      <c r="AZ80" s="1955"/>
      <c r="BA80" s="1955"/>
      <c r="BB80" s="1955"/>
      <c r="BC80" s="1955"/>
      <c r="BD80" s="1955"/>
      <c r="BE80" s="1955"/>
      <c r="BF80" s="1955"/>
      <c r="BG80" s="1955"/>
      <c r="BH80" s="1955"/>
      <c r="BI80" s="1955"/>
      <c r="BJ80" s="1955"/>
      <c r="BK80" s="1955"/>
      <c r="BL80" s="1955"/>
      <c r="BM80" s="1955"/>
      <c r="BN80" s="1955"/>
      <c r="BO80" s="1955"/>
      <c r="BP80" s="1955"/>
      <c r="BQ80" s="1955"/>
      <c r="BR80" s="1955"/>
      <c r="BS80" s="1955"/>
      <c r="BT80" s="1955"/>
      <c r="BU80" s="1955"/>
      <c r="BV80" s="1955"/>
      <c r="BW80" s="1955"/>
      <c r="BX80" s="1955"/>
      <c r="BY80" s="1955"/>
      <c r="BZ80" s="1955"/>
      <c r="CA80" s="1955"/>
      <c r="CB80" s="1955"/>
      <c r="CC80" s="1955"/>
      <c r="CD80" s="1955"/>
      <c r="CE80" s="1955"/>
      <c r="CF80" s="1955"/>
      <c r="CG80" s="1955"/>
      <c r="CH80" s="1955"/>
    </row>
    <row r="81" spans="1:86" ht="15.75" x14ac:dyDescent="0.25">
      <c r="A81" s="19" t="s">
        <v>176</v>
      </c>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row>
    <row r="83" spans="1:86" ht="12.75" customHeight="1" x14ac:dyDescent="0.2">
      <c r="A83" s="1818" t="s">
        <v>71</v>
      </c>
      <c r="B83" s="1819"/>
      <c r="C83" s="1819"/>
      <c r="D83" s="1820"/>
      <c r="E83" s="1818" t="s">
        <v>4</v>
      </c>
      <c r="F83" s="1819"/>
      <c r="G83" s="1819"/>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c r="AL83" s="1819"/>
      <c r="AM83" s="1819"/>
      <c r="AN83" s="1819"/>
      <c r="AO83" s="1819"/>
      <c r="AP83" s="1819"/>
      <c r="AQ83" s="1819"/>
      <c r="AR83" s="1820"/>
      <c r="AS83" s="1818" t="s">
        <v>5</v>
      </c>
      <c r="AT83" s="1819"/>
      <c r="AU83" s="1819"/>
      <c r="AV83" s="1819"/>
      <c r="AW83" s="1819"/>
      <c r="AX83" s="1819"/>
      <c r="AY83" s="1819"/>
      <c r="AZ83" s="1819"/>
      <c r="BA83" s="1819"/>
      <c r="BB83" s="1820"/>
      <c r="BC83" s="1818" t="s">
        <v>164</v>
      </c>
      <c r="BD83" s="1819"/>
      <c r="BE83" s="1819"/>
      <c r="BF83" s="1819"/>
      <c r="BG83" s="1819"/>
      <c r="BH83" s="1819"/>
      <c r="BI83" s="1819"/>
      <c r="BJ83" s="1819"/>
      <c r="BK83" s="1819"/>
      <c r="BL83" s="1819"/>
      <c r="BM83" s="1820"/>
      <c r="BN83" s="1818" t="s">
        <v>6</v>
      </c>
      <c r="BO83" s="1819"/>
      <c r="BP83" s="1819"/>
      <c r="BQ83" s="1819"/>
      <c r="BR83" s="1819"/>
      <c r="BS83" s="1819"/>
      <c r="BT83" s="1819"/>
      <c r="BU83" s="1819"/>
      <c r="BV83" s="1819"/>
      <c r="BW83" s="1819"/>
      <c r="BX83" s="1819"/>
      <c r="BY83" s="1819"/>
      <c r="BZ83" s="1819"/>
      <c r="CA83" s="1819"/>
      <c r="CB83" s="1820"/>
      <c r="CC83" s="1797" t="s">
        <v>52</v>
      </c>
      <c r="CD83" s="1798"/>
      <c r="CE83" s="1798"/>
      <c r="CF83" s="1798"/>
      <c r="CG83" s="1798"/>
      <c r="CH83" s="1799"/>
    </row>
    <row r="84" spans="1:86" ht="55.5" customHeight="1" x14ac:dyDescent="0.2">
      <c r="A84" s="1807" t="s">
        <v>77</v>
      </c>
      <c r="B84" s="1808"/>
      <c r="C84" s="1808"/>
      <c r="D84" s="1809"/>
      <c r="E84" s="1807"/>
      <c r="F84" s="1808"/>
      <c r="G84" s="1808"/>
      <c r="H84" s="1808"/>
      <c r="I84" s="1808"/>
      <c r="J84" s="1808"/>
      <c r="K84" s="1808"/>
      <c r="L84" s="1808"/>
      <c r="M84" s="1808"/>
      <c r="N84" s="1808"/>
      <c r="O84" s="1808"/>
      <c r="P84" s="1808"/>
      <c r="Q84" s="1808"/>
      <c r="R84" s="1808"/>
      <c r="S84" s="1808"/>
      <c r="T84" s="1808"/>
      <c r="U84" s="1808"/>
      <c r="V84" s="1808"/>
      <c r="W84" s="1808"/>
      <c r="X84" s="1808"/>
      <c r="Y84" s="1808"/>
      <c r="Z84" s="1808"/>
      <c r="AA84" s="1808"/>
      <c r="AB84" s="1808"/>
      <c r="AC84" s="1808"/>
      <c r="AD84" s="1808"/>
      <c r="AE84" s="1808"/>
      <c r="AF84" s="1808"/>
      <c r="AG84" s="1808"/>
      <c r="AH84" s="1808"/>
      <c r="AI84" s="1808"/>
      <c r="AJ84" s="1808"/>
      <c r="AK84" s="1808"/>
      <c r="AL84" s="1808"/>
      <c r="AM84" s="1808"/>
      <c r="AN84" s="1808"/>
      <c r="AO84" s="1808"/>
      <c r="AP84" s="1808"/>
      <c r="AQ84" s="1808"/>
      <c r="AR84" s="1809"/>
      <c r="AS84" s="1807"/>
      <c r="AT84" s="1808"/>
      <c r="AU84" s="1808"/>
      <c r="AV84" s="1808"/>
      <c r="AW84" s="1808"/>
      <c r="AX84" s="1808"/>
      <c r="AY84" s="1808"/>
      <c r="AZ84" s="1808"/>
      <c r="BA84" s="1808"/>
      <c r="BB84" s="1809"/>
      <c r="BC84" s="1807" t="s">
        <v>165</v>
      </c>
      <c r="BD84" s="1808"/>
      <c r="BE84" s="1808"/>
      <c r="BF84" s="1808"/>
      <c r="BG84" s="1808"/>
      <c r="BH84" s="1808"/>
      <c r="BI84" s="1808"/>
      <c r="BJ84" s="1808"/>
      <c r="BK84" s="1808"/>
      <c r="BL84" s="1808"/>
      <c r="BM84" s="1809"/>
      <c r="BN84" s="1807"/>
      <c r="BO84" s="1808"/>
      <c r="BP84" s="1808"/>
      <c r="BQ84" s="1808"/>
      <c r="BR84" s="1808"/>
      <c r="BS84" s="1808"/>
      <c r="BT84" s="1808"/>
      <c r="BU84" s="1808"/>
      <c r="BV84" s="1808"/>
      <c r="BW84" s="1808"/>
      <c r="BX84" s="1808"/>
      <c r="BY84" s="1808"/>
      <c r="BZ84" s="1808"/>
      <c r="CA84" s="1808"/>
      <c r="CB84" s="1809"/>
      <c r="CC84" s="1788" t="s">
        <v>35</v>
      </c>
      <c r="CD84" s="1789"/>
      <c r="CE84" s="1788" t="s">
        <v>45</v>
      </c>
      <c r="CF84" s="1790"/>
      <c r="CG84" s="1789"/>
      <c r="CH84" s="1778" t="s">
        <v>46</v>
      </c>
    </row>
    <row r="85" spans="1:86" ht="12.75" customHeight="1" x14ac:dyDescent="0.2">
      <c r="A85" s="1807"/>
      <c r="B85" s="1808"/>
      <c r="C85" s="1808"/>
      <c r="D85" s="1809"/>
      <c r="E85" s="1807"/>
      <c r="F85" s="1808"/>
      <c r="G85" s="1808"/>
      <c r="H85" s="1808"/>
      <c r="I85" s="1808"/>
      <c r="J85" s="1808"/>
      <c r="K85" s="1808"/>
      <c r="L85" s="1808"/>
      <c r="M85" s="1808"/>
      <c r="N85" s="1808"/>
      <c r="O85" s="1808"/>
      <c r="P85" s="1808"/>
      <c r="Q85" s="1808"/>
      <c r="R85" s="1808"/>
      <c r="S85" s="1808"/>
      <c r="T85" s="1808"/>
      <c r="U85" s="1808"/>
      <c r="V85" s="1808"/>
      <c r="W85" s="1808"/>
      <c r="X85" s="1808"/>
      <c r="Y85" s="1808"/>
      <c r="Z85" s="1808"/>
      <c r="AA85" s="1808"/>
      <c r="AB85" s="1808"/>
      <c r="AC85" s="1808"/>
      <c r="AD85" s="1808"/>
      <c r="AE85" s="1808"/>
      <c r="AF85" s="1808"/>
      <c r="AG85" s="1808"/>
      <c r="AH85" s="1808"/>
      <c r="AI85" s="1808"/>
      <c r="AJ85" s="1808"/>
      <c r="AK85" s="1808"/>
      <c r="AL85" s="1808"/>
      <c r="AM85" s="1808"/>
      <c r="AN85" s="1808"/>
      <c r="AO85" s="1808"/>
      <c r="AP85" s="1808"/>
      <c r="AQ85" s="1808"/>
      <c r="AR85" s="1809"/>
      <c r="AS85" s="1807"/>
      <c r="AT85" s="1808"/>
      <c r="AU85" s="1808"/>
      <c r="AV85" s="1808"/>
      <c r="AW85" s="1808"/>
      <c r="AX85" s="1808"/>
      <c r="AY85" s="1808"/>
      <c r="AZ85" s="1808"/>
      <c r="BA85" s="1808"/>
      <c r="BB85" s="1809"/>
      <c r="BC85" s="1807" t="s">
        <v>111</v>
      </c>
      <c r="BD85" s="1808"/>
      <c r="BE85" s="1808"/>
      <c r="BF85" s="1808"/>
      <c r="BG85" s="1808"/>
      <c r="BH85" s="1808"/>
      <c r="BI85" s="1808"/>
      <c r="BJ85" s="1808"/>
      <c r="BK85" s="1808"/>
      <c r="BL85" s="1808"/>
      <c r="BM85" s="1809"/>
      <c r="BN85" s="1807"/>
      <c r="BO85" s="1808"/>
      <c r="BP85" s="1808"/>
      <c r="BQ85" s="1808"/>
      <c r="BR85" s="1808"/>
      <c r="BS85" s="1808"/>
      <c r="BT85" s="1808"/>
      <c r="BU85" s="1808"/>
      <c r="BV85" s="1808"/>
      <c r="BW85" s="1808"/>
      <c r="BX85" s="1808"/>
      <c r="BY85" s="1808"/>
      <c r="BZ85" s="1808"/>
      <c r="CA85" s="1808"/>
      <c r="CB85" s="1809"/>
      <c r="CC85" s="1812" t="s">
        <v>43</v>
      </c>
      <c r="CD85" s="1812" t="s">
        <v>44</v>
      </c>
      <c r="CE85" s="1812" t="s">
        <v>55</v>
      </c>
      <c r="CF85" s="1812" t="s">
        <v>43</v>
      </c>
      <c r="CG85" s="1812" t="s">
        <v>44</v>
      </c>
      <c r="CH85" s="1779"/>
    </row>
    <row r="86" spans="1:86" ht="12.75" customHeight="1" x14ac:dyDescent="0.2">
      <c r="A86" s="246"/>
      <c r="B86" s="247"/>
      <c r="C86" s="247"/>
      <c r="D86" s="248"/>
      <c r="E86" s="1814"/>
      <c r="F86" s="1815"/>
      <c r="G86" s="1815"/>
      <c r="H86" s="1815"/>
      <c r="I86" s="1815"/>
      <c r="J86" s="1815"/>
      <c r="K86" s="1815"/>
      <c r="L86" s="1815"/>
      <c r="M86" s="1815"/>
      <c r="N86" s="1815"/>
      <c r="O86" s="1815"/>
      <c r="P86" s="1815"/>
      <c r="Q86" s="1815"/>
      <c r="R86" s="1815"/>
      <c r="S86" s="1815"/>
      <c r="T86" s="1815"/>
      <c r="U86" s="1815"/>
      <c r="V86" s="1815"/>
      <c r="W86" s="1815"/>
      <c r="X86" s="1815"/>
      <c r="Y86" s="1815"/>
      <c r="Z86" s="1815"/>
      <c r="AA86" s="1815"/>
      <c r="AB86" s="1815"/>
      <c r="AC86" s="1815"/>
      <c r="AD86" s="1815"/>
      <c r="AE86" s="1815"/>
      <c r="AF86" s="1815"/>
      <c r="AG86" s="1815"/>
      <c r="AH86" s="1815"/>
      <c r="AI86" s="1815"/>
      <c r="AJ86" s="1815"/>
      <c r="AK86" s="1815"/>
      <c r="AL86" s="1815"/>
      <c r="AM86" s="1815"/>
      <c r="AN86" s="1815"/>
      <c r="AO86" s="1815"/>
      <c r="AP86" s="1815"/>
      <c r="AQ86" s="1815"/>
      <c r="AR86" s="1816"/>
      <c r="AS86" s="1814"/>
      <c r="AT86" s="1815"/>
      <c r="AU86" s="1815"/>
      <c r="AV86" s="1815"/>
      <c r="AW86" s="1815"/>
      <c r="AX86" s="1815"/>
      <c r="AY86" s="1815"/>
      <c r="AZ86" s="1815"/>
      <c r="BA86" s="1815"/>
      <c r="BB86" s="1816"/>
      <c r="BC86" s="1814"/>
      <c r="BD86" s="1815"/>
      <c r="BE86" s="1815"/>
      <c r="BF86" s="1815"/>
      <c r="BG86" s="1815"/>
      <c r="BH86" s="1815"/>
      <c r="BI86" s="1815"/>
      <c r="BJ86" s="1815"/>
      <c r="BK86" s="1815"/>
      <c r="BL86" s="1815"/>
      <c r="BM86" s="1816"/>
      <c r="BN86" s="1814"/>
      <c r="BO86" s="1815"/>
      <c r="BP86" s="1815"/>
      <c r="BQ86" s="1815"/>
      <c r="BR86" s="1815"/>
      <c r="BS86" s="1815"/>
      <c r="BT86" s="1815"/>
      <c r="BU86" s="1815"/>
      <c r="BV86" s="1815"/>
      <c r="BW86" s="1815"/>
      <c r="BX86" s="1815"/>
      <c r="BY86" s="1815"/>
      <c r="BZ86" s="1815"/>
      <c r="CA86" s="1815"/>
      <c r="CB86" s="1816"/>
      <c r="CC86" s="1813"/>
      <c r="CD86" s="1813"/>
      <c r="CE86" s="1813"/>
      <c r="CF86" s="1813"/>
      <c r="CG86" s="1813"/>
      <c r="CH86" s="1780"/>
    </row>
    <row r="87" spans="1:86" x14ac:dyDescent="0.2">
      <c r="A87" s="1770">
        <v>1</v>
      </c>
      <c r="B87" s="1787"/>
      <c r="C87" s="1787"/>
      <c r="D87" s="1771"/>
      <c r="E87" s="1770">
        <v>2</v>
      </c>
      <c r="F87" s="1787"/>
      <c r="G87" s="1787"/>
      <c r="H87" s="1787"/>
      <c r="I87" s="1787"/>
      <c r="J87" s="1787"/>
      <c r="K87" s="1787"/>
      <c r="L87" s="1787"/>
      <c r="M87" s="1787"/>
      <c r="N87" s="1787"/>
      <c r="O87" s="1787"/>
      <c r="P87" s="1787"/>
      <c r="Q87" s="1787"/>
      <c r="R87" s="1787"/>
      <c r="S87" s="1787"/>
      <c r="T87" s="1787"/>
      <c r="U87" s="1787"/>
      <c r="V87" s="1787"/>
      <c r="W87" s="1787"/>
      <c r="X87" s="1787"/>
      <c r="Y87" s="1787"/>
      <c r="Z87" s="1787"/>
      <c r="AA87" s="1787"/>
      <c r="AB87" s="1787"/>
      <c r="AC87" s="1787"/>
      <c r="AD87" s="1787"/>
      <c r="AE87" s="1787"/>
      <c r="AF87" s="1787"/>
      <c r="AG87" s="1787"/>
      <c r="AH87" s="1787"/>
      <c r="AI87" s="1787"/>
      <c r="AJ87" s="1787"/>
      <c r="AK87" s="1787"/>
      <c r="AL87" s="1787"/>
      <c r="AM87" s="1787"/>
      <c r="AN87" s="1787"/>
      <c r="AO87" s="1787"/>
      <c r="AP87" s="1787"/>
      <c r="AQ87" s="1787"/>
      <c r="AR87" s="1771"/>
      <c r="AS87" s="1770">
        <v>3</v>
      </c>
      <c r="AT87" s="1787"/>
      <c r="AU87" s="1787"/>
      <c r="AV87" s="1787"/>
      <c r="AW87" s="1787"/>
      <c r="AX87" s="1787"/>
      <c r="AY87" s="1787"/>
      <c r="AZ87" s="1787"/>
      <c r="BA87" s="1787"/>
      <c r="BB87" s="1771"/>
      <c r="BC87" s="1770">
        <v>4</v>
      </c>
      <c r="BD87" s="1787"/>
      <c r="BE87" s="1787"/>
      <c r="BF87" s="1787"/>
      <c r="BG87" s="1787"/>
      <c r="BH87" s="1787"/>
      <c r="BI87" s="1787"/>
      <c r="BJ87" s="1787"/>
      <c r="BK87" s="1787"/>
      <c r="BL87" s="1787"/>
      <c r="BM87" s="1771"/>
      <c r="BN87" s="1770" t="s">
        <v>49</v>
      </c>
      <c r="BO87" s="1787"/>
      <c r="BP87" s="1787"/>
      <c r="BQ87" s="1787"/>
      <c r="BR87" s="1787"/>
      <c r="BS87" s="1787"/>
      <c r="BT87" s="1787"/>
      <c r="BU87" s="1787"/>
      <c r="BV87" s="1787"/>
      <c r="BW87" s="1787"/>
      <c r="BX87" s="1787"/>
      <c r="BY87" s="1787"/>
      <c r="BZ87" s="1787"/>
      <c r="CA87" s="1787"/>
      <c r="CB87" s="1771"/>
      <c r="CC87" s="15">
        <v>6</v>
      </c>
      <c r="CD87" s="15">
        <v>7</v>
      </c>
      <c r="CE87" s="15">
        <v>8</v>
      </c>
      <c r="CF87" s="15">
        <v>9</v>
      </c>
      <c r="CG87" s="15">
        <v>10</v>
      </c>
      <c r="CH87" s="15">
        <v>11</v>
      </c>
    </row>
    <row r="88" spans="1:86" ht="33" customHeight="1" x14ac:dyDescent="0.2">
      <c r="A88" s="243"/>
      <c r="B88" s="244"/>
      <c r="C88" s="244"/>
      <c r="D88" s="245"/>
      <c r="E88" s="1772" t="s">
        <v>793</v>
      </c>
      <c r="F88" s="1882"/>
      <c r="G88" s="1882"/>
      <c r="H88" s="1882"/>
      <c r="I88" s="1882"/>
      <c r="J88" s="1882"/>
      <c r="K88" s="1882"/>
      <c r="L88" s="1882"/>
      <c r="M88" s="1882"/>
      <c r="N88" s="1882"/>
      <c r="O88" s="1882"/>
      <c r="P88" s="1882"/>
      <c r="Q88" s="1882"/>
      <c r="R88" s="1882"/>
      <c r="S88" s="1882"/>
      <c r="T88" s="1882"/>
      <c r="U88" s="1882"/>
      <c r="V88" s="1882"/>
      <c r="W88" s="1882"/>
      <c r="X88" s="1882"/>
      <c r="Y88" s="1882"/>
      <c r="Z88" s="1882"/>
      <c r="AA88" s="1882"/>
      <c r="AB88" s="1882"/>
      <c r="AC88" s="1882"/>
      <c r="AD88" s="1882"/>
      <c r="AE88" s="1882"/>
      <c r="AF88" s="1882"/>
      <c r="AG88" s="1882"/>
      <c r="AH88" s="1882"/>
      <c r="AI88" s="1882"/>
      <c r="AJ88" s="1882"/>
      <c r="AK88" s="1882"/>
      <c r="AL88" s="1882"/>
      <c r="AM88" s="1882"/>
      <c r="AN88" s="1882"/>
      <c r="AO88" s="1882"/>
      <c r="AP88" s="1882"/>
      <c r="AQ88" s="1882"/>
      <c r="AR88" s="1773"/>
      <c r="AS88" s="1895"/>
      <c r="AT88" s="1896"/>
      <c r="AU88" s="1896"/>
      <c r="AV88" s="1896"/>
      <c r="AW88" s="1896"/>
      <c r="AX88" s="1896"/>
      <c r="AY88" s="1896"/>
      <c r="AZ88" s="1896"/>
      <c r="BA88" s="1896"/>
      <c r="BB88" s="1897"/>
      <c r="BC88" s="1898"/>
      <c r="BD88" s="1899"/>
      <c r="BE88" s="1899"/>
      <c r="BF88" s="1899"/>
      <c r="BG88" s="1899"/>
      <c r="BH88" s="1899"/>
      <c r="BI88" s="1899"/>
      <c r="BJ88" s="1899"/>
      <c r="BK88" s="1899"/>
      <c r="BL88" s="1899"/>
      <c r="BM88" s="1900"/>
      <c r="BN88" s="1949">
        <f>CC88</f>
        <v>0</v>
      </c>
      <c r="BO88" s="1950"/>
      <c r="BP88" s="1950"/>
      <c r="BQ88" s="1950"/>
      <c r="BR88" s="1950"/>
      <c r="BS88" s="1950"/>
      <c r="BT88" s="1950"/>
      <c r="BU88" s="1950"/>
      <c r="BV88" s="1950"/>
      <c r="BW88" s="1950"/>
      <c r="BX88" s="1950"/>
      <c r="BY88" s="1950"/>
      <c r="BZ88" s="1950"/>
      <c r="CA88" s="1950"/>
      <c r="CB88" s="1951"/>
      <c r="CC88" s="277"/>
      <c r="CD88" s="270"/>
      <c r="CE88" s="17"/>
      <c r="CF88" s="17"/>
      <c r="CG88" s="17"/>
      <c r="CH88" s="17"/>
    </row>
    <row r="89" spans="1:86" ht="20.25" customHeight="1" x14ac:dyDescent="0.2">
      <c r="A89" s="243"/>
      <c r="B89" s="244"/>
      <c r="C89" s="244"/>
      <c r="D89" s="245"/>
      <c r="E89" s="1892" t="s">
        <v>168</v>
      </c>
      <c r="F89" s="1893"/>
      <c r="G89" s="1893"/>
      <c r="H89" s="1893"/>
      <c r="I89" s="1893"/>
      <c r="J89" s="1893"/>
      <c r="K89" s="1893"/>
      <c r="L89" s="1893"/>
      <c r="M89" s="1893"/>
      <c r="N89" s="1893"/>
      <c r="O89" s="1893"/>
      <c r="P89" s="1893"/>
      <c r="Q89" s="1893"/>
      <c r="R89" s="1893"/>
      <c r="S89" s="1893"/>
      <c r="T89" s="1893"/>
      <c r="U89" s="1893"/>
      <c r="V89" s="1893"/>
      <c r="W89" s="1893"/>
      <c r="X89" s="1893"/>
      <c r="Y89" s="1893"/>
      <c r="Z89" s="1893"/>
      <c r="AA89" s="1893"/>
      <c r="AB89" s="1893"/>
      <c r="AC89" s="1893"/>
      <c r="AD89" s="1893"/>
      <c r="AE89" s="1893"/>
      <c r="AF89" s="1893"/>
      <c r="AG89" s="1893"/>
      <c r="AH89" s="1893"/>
      <c r="AI89" s="1893"/>
      <c r="AJ89" s="1893"/>
      <c r="AK89" s="1893"/>
      <c r="AL89" s="1893"/>
      <c r="AM89" s="1893"/>
      <c r="AN89" s="1893"/>
      <c r="AO89" s="1893"/>
      <c r="AP89" s="1893"/>
      <c r="AQ89" s="1893"/>
      <c r="AR89" s="1894"/>
      <c r="AS89" s="1895"/>
      <c r="AT89" s="1896"/>
      <c r="AU89" s="1896"/>
      <c r="AV89" s="1896"/>
      <c r="AW89" s="1896"/>
      <c r="AX89" s="1896"/>
      <c r="AY89" s="1896"/>
      <c r="AZ89" s="1896"/>
      <c r="BA89" s="1896"/>
      <c r="BB89" s="1897"/>
      <c r="BC89" s="1898"/>
      <c r="BD89" s="1899"/>
      <c r="BE89" s="1899"/>
      <c r="BF89" s="1899"/>
      <c r="BG89" s="1899"/>
      <c r="BH89" s="1899"/>
      <c r="BI89" s="1899"/>
      <c r="BJ89" s="1899"/>
      <c r="BK89" s="1899"/>
      <c r="BL89" s="1899"/>
      <c r="BM89" s="1900"/>
      <c r="BN89" s="1959">
        <f>SUM(BN88:BN88)</f>
        <v>0</v>
      </c>
      <c r="BO89" s="1960"/>
      <c r="BP89" s="1960"/>
      <c r="BQ89" s="1960"/>
      <c r="BR89" s="1960"/>
      <c r="BS89" s="1960"/>
      <c r="BT89" s="1960"/>
      <c r="BU89" s="1960"/>
      <c r="BV89" s="1960"/>
      <c r="BW89" s="1960"/>
      <c r="BX89" s="1960"/>
      <c r="BY89" s="1960"/>
      <c r="BZ89" s="1960"/>
      <c r="CA89" s="1960"/>
      <c r="CB89" s="1961"/>
      <c r="CC89" s="278">
        <f>CC88</f>
        <v>0</v>
      </c>
      <c r="CD89" s="279"/>
      <c r="CE89" s="17"/>
      <c r="CF89" s="17"/>
      <c r="CG89" s="17"/>
      <c r="CH89" s="280"/>
    </row>
    <row r="90" spans="1:86" x14ac:dyDescent="0.2">
      <c r="A90" s="1843"/>
      <c r="B90" s="1844"/>
      <c r="C90" s="1844"/>
      <c r="D90" s="1845"/>
      <c r="E90" s="2063" t="s">
        <v>102</v>
      </c>
      <c r="F90" s="2064"/>
      <c r="G90" s="2064"/>
      <c r="H90" s="2064"/>
      <c r="I90" s="2064"/>
      <c r="J90" s="2064"/>
      <c r="K90" s="2064"/>
      <c r="L90" s="2064"/>
      <c r="M90" s="2064"/>
      <c r="N90" s="2064"/>
      <c r="O90" s="2064"/>
      <c r="P90" s="2064"/>
      <c r="Q90" s="2064"/>
      <c r="R90" s="2064"/>
      <c r="S90" s="2064"/>
      <c r="T90" s="2064"/>
      <c r="U90" s="2064"/>
      <c r="V90" s="2064"/>
      <c r="W90" s="2064"/>
      <c r="X90" s="2064"/>
      <c r="Y90" s="2064"/>
      <c r="Z90" s="2064"/>
      <c r="AA90" s="2064"/>
      <c r="AB90" s="2064"/>
      <c r="AC90" s="2064"/>
      <c r="AD90" s="2064"/>
      <c r="AE90" s="2064"/>
      <c r="AF90" s="2064"/>
      <c r="AG90" s="2064"/>
      <c r="AH90" s="2064"/>
      <c r="AI90" s="2064"/>
      <c r="AJ90" s="2064"/>
      <c r="AK90" s="2064"/>
      <c r="AL90" s="2064"/>
      <c r="AM90" s="2064"/>
      <c r="AN90" s="2064"/>
      <c r="AO90" s="2064"/>
      <c r="AP90" s="2064"/>
      <c r="AQ90" s="2064"/>
      <c r="AR90" s="2065"/>
      <c r="AS90" s="1770" t="s">
        <v>3</v>
      </c>
      <c r="AT90" s="1787"/>
      <c r="AU90" s="1787"/>
      <c r="AV90" s="1787"/>
      <c r="AW90" s="1787"/>
      <c r="AX90" s="1787"/>
      <c r="AY90" s="1787"/>
      <c r="AZ90" s="1787"/>
      <c r="BA90" s="1787"/>
      <c r="BB90" s="1771"/>
      <c r="BC90" s="1770" t="s">
        <v>3</v>
      </c>
      <c r="BD90" s="1787"/>
      <c r="BE90" s="1787"/>
      <c r="BF90" s="1787"/>
      <c r="BG90" s="1787"/>
      <c r="BH90" s="1787"/>
      <c r="BI90" s="1787"/>
      <c r="BJ90" s="1787"/>
      <c r="BK90" s="1787"/>
      <c r="BL90" s="1787"/>
      <c r="BM90" s="1771"/>
      <c r="BN90" s="2296">
        <f>BN89</f>
        <v>0</v>
      </c>
      <c r="BO90" s="2297"/>
      <c r="BP90" s="2297"/>
      <c r="BQ90" s="2297"/>
      <c r="BR90" s="2297"/>
      <c r="BS90" s="2297"/>
      <c r="BT90" s="2297"/>
      <c r="BU90" s="2297"/>
      <c r="BV90" s="2297"/>
      <c r="BW90" s="2297"/>
      <c r="BX90" s="2297"/>
      <c r="BY90" s="2297"/>
      <c r="BZ90" s="2297"/>
      <c r="CA90" s="2297"/>
      <c r="CB90" s="2298"/>
      <c r="CC90" s="257">
        <f>CC89</f>
        <v>0</v>
      </c>
      <c r="CD90" s="272"/>
      <c r="CE90" s="257">
        <f>SUM(CE88:CE89)</f>
        <v>0</v>
      </c>
      <c r="CF90" s="257">
        <f>SUM(CF88:CF89)</f>
        <v>0</v>
      </c>
      <c r="CG90" s="257">
        <f>SUM(CG88:CG89)</f>
        <v>0</v>
      </c>
      <c r="CH90" s="257"/>
    </row>
    <row r="92" spans="1:86" s="4" customFormat="1" ht="13.5"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
      <c r="CD92" s="281"/>
    </row>
    <row r="93" spans="1:86" x14ac:dyDescent="0.2">
      <c r="CC93" s="8" t="s">
        <v>1197</v>
      </c>
      <c r="CD93" s="52">
        <v>6337600</v>
      </c>
    </row>
    <row r="94" spans="1:86" x14ac:dyDescent="0.2">
      <c r="CC94" s="8" t="s">
        <v>1198</v>
      </c>
      <c r="CD94" s="52">
        <v>2342112.4900000002</v>
      </c>
    </row>
    <row r="95" spans="1:86" x14ac:dyDescent="0.2">
      <c r="CC95" s="8" t="s">
        <v>1199</v>
      </c>
      <c r="CD95" s="258">
        <v>1939925.02</v>
      </c>
      <c r="CF95" s="52"/>
    </row>
    <row r="96" spans="1:86" x14ac:dyDescent="0.2">
      <c r="CD96" s="142"/>
    </row>
    <row r="97" spans="81:82" x14ac:dyDescent="0.2">
      <c r="CC97" s="8" t="s">
        <v>819</v>
      </c>
      <c r="CD97" s="52">
        <f>CD93-CD94-CD95</f>
        <v>2055562.4899999998</v>
      </c>
    </row>
    <row r="98" spans="81:82" x14ac:dyDescent="0.2">
      <c r="CD98" s="142" t="e">
        <f>CD78+CD72+CD70+CD68+CD65+CD44+CD29+'0701 221,223'!CD12+'0701 221,223'!CD34</f>
        <v>#REF!</v>
      </c>
    </row>
    <row r="99" spans="81:82" x14ac:dyDescent="0.2">
      <c r="CD99" s="52" t="e">
        <f>CD97-CD98</f>
        <v>#REF!</v>
      </c>
    </row>
  </sheetData>
  <mergeCells count="389">
    <mergeCell ref="A1:CB1"/>
    <mergeCell ref="A3:D3"/>
    <mergeCell ref="E3:AM3"/>
    <mergeCell ref="AN3:BC6"/>
    <mergeCell ref="BD3:BM6"/>
    <mergeCell ref="BN3:CB3"/>
    <mergeCell ref="CC5:CC6"/>
    <mergeCell ref="CD5:CD6"/>
    <mergeCell ref="CE5:CE6"/>
    <mergeCell ref="CF5:CF6"/>
    <mergeCell ref="CG5:CG6"/>
    <mergeCell ref="A6:D6"/>
    <mergeCell ref="E6:AM6"/>
    <mergeCell ref="BN6:CB6"/>
    <mergeCell ref="CC3:CH3"/>
    <mergeCell ref="A4:D4"/>
    <mergeCell ref="E4:AM4"/>
    <mergeCell ref="BN4:CB4"/>
    <mergeCell ref="CC4:CD4"/>
    <mergeCell ref="CE4:CG4"/>
    <mergeCell ref="CH4:CH6"/>
    <mergeCell ref="A5:D5"/>
    <mergeCell ref="E5:AM5"/>
    <mergeCell ref="BN5:CB5"/>
    <mergeCell ref="A7:D7"/>
    <mergeCell ref="E7:AM7"/>
    <mergeCell ref="AN7:BC7"/>
    <mergeCell ref="BD7:BM7"/>
    <mergeCell ref="BN7:CB7"/>
    <mergeCell ref="A8:D8"/>
    <mergeCell ref="E8:AM8"/>
    <mergeCell ref="AN8:BC8"/>
    <mergeCell ref="BD8:BM8"/>
    <mergeCell ref="BN8:CB8"/>
    <mergeCell ref="A9:D9"/>
    <mergeCell ref="E9:AM9"/>
    <mergeCell ref="AN9:BC9"/>
    <mergeCell ref="BD9:BM9"/>
    <mergeCell ref="BN9:CB9"/>
    <mergeCell ref="A10:D10"/>
    <mergeCell ref="E10:AM10"/>
    <mergeCell ref="AN10:BC10"/>
    <mergeCell ref="BD10:BM10"/>
    <mergeCell ref="BN10:CB10"/>
    <mergeCell ref="A11:D11"/>
    <mergeCell ref="E11:AM11"/>
    <mergeCell ref="AN11:BC11"/>
    <mergeCell ref="BD11:BM11"/>
    <mergeCell ref="BN11:CB11"/>
    <mergeCell ref="A12:D12"/>
    <mergeCell ref="E12:AM12"/>
    <mergeCell ref="AN12:BC12"/>
    <mergeCell ref="BD12:BM12"/>
    <mergeCell ref="BN12:CB12"/>
    <mergeCell ref="A13:D13"/>
    <mergeCell ref="E13:AM13"/>
    <mergeCell ref="AN13:BC13"/>
    <mergeCell ref="BD13:BM13"/>
    <mergeCell ref="BN13:CB13"/>
    <mergeCell ref="A14:D14"/>
    <mergeCell ref="E14:AM14"/>
    <mergeCell ref="AN14:BC14"/>
    <mergeCell ref="BD14:BM14"/>
    <mergeCell ref="BN14:CB14"/>
    <mergeCell ref="A15:D15"/>
    <mergeCell ref="E15:AM15"/>
    <mergeCell ref="AN15:BC15"/>
    <mergeCell ref="BD15:BM15"/>
    <mergeCell ref="BN15:CB15"/>
    <mergeCell ref="A16:D16"/>
    <mergeCell ref="E16:AM16"/>
    <mergeCell ref="AN16:BC16"/>
    <mergeCell ref="BD16:BM16"/>
    <mergeCell ref="BN16:CB16"/>
    <mergeCell ref="A17:D17"/>
    <mergeCell ref="E17:AM17"/>
    <mergeCell ref="AN17:BC17"/>
    <mergeCell ref="BD17:BM17"/>
    <mergeCell ref="BN17:CB17"/>
    <mergeCell ref="A18:D18"/>
    <mergeCell ref="E18:AM18"/>
    <mergeCell ref="AN18:BC18"/>
    <mergeCell ref="BD18:BM18"/>
    <mergeCell ref="BN18:CB18"/>
    <mergeCell ref="A19:D19"/>
    <mergeCell ref="E19:AM19"/>
    <mergeCell ref="AN19:BC19"/>
    <mergeCell ref="BD19:BM19"/>
    <mergeCell ref="BN19:CB19"/>
    <mergeCell ref="A20:D20"/>
    <mergeCell ref="E20:AM20"/>
    <mergeCell ref="AN20:BC20"/>
    <mergeCell ref="BD20:BM20"/>
    <mergeCell ref="BN20:CB20"/>
    <mergeCell ref="A21:D21"/>
    <mergeCell ref="E21:AM21"/>
    <mergeCell ref="AN21:BC21"/>
    <mergeCell ref="BD21:BM21"/>
    <mergeCell ref="BN21:CB21"/>
    <mergeCell ref="A22:D22"/>
    <mergeCell ref="E22:AM22"/>
    <mergeCell ref="AN22:BC22"/>
    <mergeCell ref="BD22:BM22"/>
    <mergeCell ref="BN22:CB22"/>
    <mergeCell ref="A23:D23"/>
    <mergeCell ref="E23:AM23"/>
    <mergeCell ref="AN23:BC23"/>
    <mergeCell ref="BD23:BM23"/>
    <mergeCell ref="BN23:CB23"/>
    <mergeCell ref="A24:D24"/>
    <mergeCell ref="E24:AM24"/>
    <mergeCell ref="AN24:BC24"/>
    <mergeCell ref="BD24:BM24"/>
    <mergeCell ref="BN24:CB24"/>
    <mergeCell ref="A25:D25"/>
    <mergeCell ref="E25:AM25"/>
    <mergeCell ref="AN25:BC25"/>
    <mergeCell ref="BD25:BM25"/>
    <mergeCell ref="BN25:CB25"/>
    <mergeCell ref="A26:D26"/>
    <mergeCell ref="E26:AM26"/>
    <mergeCell ref="AN26:BC26"/>
    <mergeCell ref="BD26:BM26"/>
    <mergeCell ref="BN26:CB26"/>
    <mergeCell ref="A29:D29"/>
    <mergeCell ref="E29:AM29"/>
    <mergeCell ref="AN29:BC29"/>
    <mergeCell ref="BD29:BM29"/>
    <mergeCell ref="BN29:CB29"/>
    <mergeCell ref="A30:CB30"/>
    <mergeCell ref="A27:D27"/>
    <mergeCell ref="E27:AM27"/>
    <mergeCell ref="AN27:BC27"/>
    <mergeCell ref="BD27:BM27"/>
    <mergeCell ref="BN27:CB27"/>
    <mergeCell ref="A28:D28"/>
    <mergeCell ref="E28:AM28"/>
    <mergeCell ref="AN28:BC28"/>
    <mergeCell ref="BD28:BM28"/>
    <mergeCell ref="BN28:CB28"/>
    <mergeCell ref="A31:D31"/>
    <mergeCell ref="E31:AM34"/>
    <mergeCell ref="AN31:BC34"/>
    <mergeCell ref="BD31:BM34"/>
    <mergeCell ref="BN31:CB31"/>
    <mergeCell ref="CC31:CH31"/>
    <mergeCell ref="A32:D32"/>
    <mergeCell ref="BN32:CB32"/>
    <mergeCell ref="CC32:CD32"/>
    <mergeCell ref="CE32:CG32"/>
    <mergeCell ref="CH32:CH34"/>
    <mergeCell ref="A33:D33"/>
    <mergeCell ref="BN33:CB33"/>
    <mergeCell ref="CC33:CC34"/>
    <mergeCell ref="CD33:CD34"/>
    <mergeCell ref="CE33:CE34"/>
    <mergeCell ref="CF33:CF34"/>
    <mergeCell ref="CG33:CG34"/>
    <mergeCell ref="A34:D34"/>
    <mergeCell ref="BN34:CB34"/>
    <mergeCell ref="A35:D35"/>
    <mergeCell ref="E35:AM35"/>
    <mergeCell ref="AN35:BC35"/>
    <mergeCell ref="BD35:BM35"/>
    <mergeCell ref="BN35:CB35"/>
    <mergeCell ref="A36:D36"/>
    <mergeCell ref="E36:AM36"/>
    <mergeCell ref="AN36:BC36"/>
    <mergeCell ref="BD36:BM36"/>
    <mergeCell ref="BN36:CB36"/>
    <mergeCell ref="A37:D37"/>
    <mergeCell ref="E37:AM37"/>
    <mergeCell ref="AN37:BC37"/>
    <mergeCell ref="BD37:BM37"/>
    <mergeCell ref="BN37:CB37"/>
    <mergeCell ref="A38:D38"/>
    <mergeCell ref="E38:AM38"/>
    <mergeCell ref="AN38:BC38"/>
    <mergeCell ref="BD38:BM38"/>
    <mergeCell ref="BN38:CB38"/>
    <mergeCell ref="A39:D39"/>
    <mergeCell ref="E39:AM39"/>
    <mergeCell ref="AN39:BC39"/>
    <mergeCell ref="BD39:BM39"/>
    <mergeCell ref="BN39:CB39"/>
    <mergeCell ref="A40:D40"/>
    <mergeCell ref="E40:AM40"/>
    <mergeCell ref="AN40:BC40"/>
    <mergeCell ref="BD40:BM40"/>
    <mergeCell ref="BN40:CB40"/>
    <mergeCell ref="A41:D41"/>
    <mergeCell ref="E41:AM41"/>
    <mergeCell ref="AN41:BC41"/>
    <mergeCell ref="BD41:BM41"/>
    <mergeCell ref="BN41:CB41"/>
    <mergeCell ref="A42:D42"/>
    <mergeCell ref="E42:AM42"/>
    <mergeCell ref="AN42:BC42"/>
    <mergeCell ref="BD42:BM42"/>
    <mergeCell ref="BN42:CB42"/>
    <mergeCell ref="A43:D43"/>
    <mergeCell ref="E43:AM43"/>
    <mergeCell ref="AN43:BC43"/>
    <mergeCell ref="BD43:BM43"/>
    <mergeCell ref="BN43:CB43"/>
    <mergeCell ref="A44:D44"/>
    <mergeCell ref="E44:BC44"/>
    <mergeCell ref="BD44:BM44"/>
    <mergeCell ref="BN44:CB44"/>
    <mergeCell ref="A53:D53"/>
    <mergeCell ref="E53:AR53"/>
    <mergeCell ref="AS53:BB53"/>
    <mergeCell ref="BC53:BM53"/>
    <mergeCell ref="BN53:CB53"/>
    <mergeCell ref="CD50:CD51"/>
    <mergeCell ref="CE50:CE51"/>
    <mergeCell ref="CF50:CF51"/>
    <mergeCell ref="CG50:CG51"/>
    <mergeCell ref="A52:D52"/>
    <mergeCell ref="E52:AR52"/>
    <mergeCell ref="AS52:BB52"/>
    <mergeCell ref="BC52:BM52"/>
    <mergeCell ref="BN52:CB52"/>
    <mergeCell ref="A48:D51"/>
    <mergeCell ref="E48:AR51"/>
    <mergeCell ref="AS48:BB51"/>
    <mergeCell ref="BC48:BM51"/>
    <mergeCell ref="BN48:CB51"/>
    <mergeCell ref="CC48:CH48"/>
    <mergeCell ref="CC49:CD49"/>
    <mergeCell ref="CE49:CG49"/>
    <mergeCell ref="CH49:CH51"/>
    <mergeCell ref="CC50:CC51"/>
    <mergeCell ref="A59:D59"/>
    <mergeCell ref="E59:AR59"/>
    <mergeCell ref="AS59:BB59"/>
    <mergeCell ref="BC59:BM59"/>
    <mergeCell ref="BN59:CB59"/>
    <mergeCell ref="CC59:CH59"/>
    <mergeCell ref="A54:AR54"/>
    <mergeCell ref="AS54:BB54"/>
    <mergeCell ref="BC54:BM54"/>
    <mergeCell ref="BN54:CB54"/>
    <mergeCell ref="CF61:CF62"/>
    <mergeCell ref="CG61:CG62"/>
    <mergeCell ref="E62:AR62"/>
    <mergeCell ref="AS62:BB62"/>
    <mergeCell ref="BC62:BM62"/>
    <mergeCell ref="BN62:CB62"/>
    <mergeCell ref="CE60:CG60"/>
    <mergeCell ref="CH60:CH62"/>
    <mergeCell ref="A61:D61"/>
    <mergeCell ref="E61:AR61"/>
    <mergeCell ref="AS61:BB61"/>
    <mergeCell ref="BC61:BM61"/>
    <mergeCell ref="BN61:CB61"/>
    <mergeCell ref="CC61:CC62"/>
    <mergeCell ref="CD61:CD62"/>
    <mergeCell ref="CE61:CE62"/>
    <mergeCell ref="A60:D60"/>
    <mergeCell ref="E60:AR60"/>
    <mergeCell ref="AS60:BB60"/>
    <mergeCell ref="BC60:BM60"/>
    <mergeCell ref="BN60:CB60"/>
    <mergeCell ref="CC60:CD60"/>
    <mergeCell ref="A63:D63"/>
    <mergeCell ref="E63:AR63"/>
    <mergeCell ref="AS63:BB63"/>
    <mergeCell ref="BC63:BM63"/>
    <mergeCell ref="BN63:CB63"/>
    <mergeCell ref="A64:D64"/>
    <mergeCell ref="E64:AR64"/>
    <mergeCell ref="AS64:BB64"/>
    <mergeCell ref="BC64:BM64"/>
    <mergeCell ref="BN64:CB64"/>
    <mergeCell ref="A65:D65"/>
    <mergeCell ref="E65:AR65"/>
    <mergeCell ref="AS65:BB65"/>
    <mergeCell ref="BC65:BM65"/>
    <mergeCell ref="BN65:CB65"/>
    <mergeCell ref="A66:D66"/>
    <mergeCell ref="E66:AR66"/>
    <mergeCell ref="AS66:BB66"/>
    <mergeCell ref="BC66:BM66"/>
    <mergeCell ref="BN66:CB66"/>
    <mergeCell ref="A67:D67"/>
    <mergeCell ref="E67:AR67"/>
    <mergeCell ref="AS67:BB67"/>
    <mergeCell ref="BC67:BM67"/>
    <mergeCell ref="BN67:CB67"/>
    <mergeCell ref="E68:AR68"/>
    <mergeCell ref="AS68:BB68"/>
    <mergeCell ref="BC68:BM68"/>
    <mergeCell ref="BN68:CB68"/>
    <mergeCell ref="A69:D69"/>
    <mergeCell ref="E69:AR69"/>
    <mergeCell ref="AS69:BB69"/>
    <mergeCell ref="BC69:BM69"/>
    <mergeCell ref="BN69:CB69"/>
    <mergeCell ref="A70:AR70"/>
    <mergeCell ref="AS70:BB70"/>
    <mergeCell ref="BC70:BM70"/>
    <mergeCell ref="BN70:CB70"/>
    <mergeCell ref="A71:D71"/>
    <mergeCell ref="E71:AR71"/>
    <mergeCell ref="AS71:BB71"/>
    <mergeCell ref="BC71:BM71"/>
    <mergeCell ref="BN71:CB71"/>
    <mergeCell ref="E72:AR72"/>
    <mergeCell ref="AS72:BB72"/>
    <mergeCell ref="BC72:BM72"/>
    <mergeCell ref="BN72:CB72"/>
    <mergeCell ref="A73:D73"/>
    <mergeCell ref="E73:AR73"/>
    <mergeCell ref="AS73:BB73"/>
    <mergeCell ref="BC73:BM73"/>
    <mergeCell ref="BN73:CB73"/>
    <mergeCell ref="A74:D74"/>
    <mergeCell ref="E74:AR74"/>
    <mergeCell ref="AS74:BB74"/>
    <mergeCell ref="BC74:BM74"/>
    <mergeCell ref="BN74:CB74"/>
    <mergeCell ref="A75:D75"/>
    <mergeCell ref="E75:AR75"/>
    <mergeCell ref="AS75:BB75"/>
    <mergeCell ref="BC75:BM75"/>
    <mergeCell ref="BN75:CB75"/>
    <mergeCell ref="A76:D76"/>
    <mergeCell ref="E76:AR76"/>
    <mergeCell ref="AS76:BB76"/>
    <mergeCell ref="BC76:BM76"/>
    <mergeCell ref="BN76:CB76"/>
    <mergeCell ref="A80:CH80"/>
    <mergeCell ref="A83:D83"/>
    <mergeCell ref="E83:AR83"/>
    <mergeCell ref="AS83:BB83"/>
    <mergeCell ref="BC83:BM83"/>
    <mergeCell ref="BN83:CB83"/>
    <mergeCell ref="CC83:CH83"/>
    <mergeCell ref="A77:D77"/>
    <mergeCell ref="E77:AR77"/>
    <mergeCell ref="AS77:BB77"/>
    <mergeCell ref="BC77:BM77"/>
    <mergeCell ref="BN77:CB77"/>
    <mergeCell ref="A78:D78"/>
    <mergeCell ref="E78:AR78"/>
    <mergeCell ref="AS78:BB78"/>
    <mergeCell ref="BC78:BM78"/>
    <mergeCell ref="BN78:CB78"/>
    <mergeCell ref="CF85:CF86"/>
    <mergeCell ref="CG85:CG86"/>
    <mergeCell ref="E86:AR86"/>
    <mergeCell ref="AS86:BB86"/>
    <mergeCell ref="BC86:BM86"/>
    <mergeCell ref="BN86:CB86"/>
    <mergeCell ref="CE84:CG84"/>
    <mergeCell ref="CH84:CH86"/>
    <mergeCell ref="A85:D85"/>
    <mergeCell ref="E85:AR85"/>
    <mergeCell ref="AS85:BB85"/>
    <mergeCell ref="BC85:BM85"/>
    <mergeCell ref="BN85:CB85"/>
    <mergeCell ref="CC85:CC86"/>
    <mergeCell ref="CD85:CD86"/>
    <mergeCell ref="CE85:CE86"/>
    <mergeCell ref="A84:D84"/>
    <mergeCell ref="E84:AR84"/>
    <mergeCell ref="AS84:BB84"/>
    <mergeCell ref="BC84:BM84"/>
    <mergeCell ref="BN84:CB84"/>
    <mergeCell ref="CC84:CD84"/>
    <mergeCell ref="A87:D87"/>
    <mergeCell ref="E87:AR87"/>
    <mergeCell ref="AS87:BB87"/>
    <mergeCell ref="BC87:BM87"/>
    <mergeCell ref="BN87:CB87"/>
    <mergeCell ref="E88:AR88"/>
    <mergeCell ref="AS88:BB88"/>
    <mergeCell ref="BC88:BM88"/>
    <mergeCell ref="BN88:CB88"/>
    <mergeCell ref="E89:AR89"/>
    <mergeCell ref="AS89:BB89"/>
    <mergeCell ref="BC89:BM89"/>
    <mergeCell ref="BN89:CB89"/>
    <mergeCell ref="A90:D90"/>
    <mergeCell ref="E90:AR90"/>
    <mergeCell ref="AS90:BB90"/>
    <mergeCell ref="BC90:BM90"/>
    <mergeCell ref="BN90:CB90"/>
  </mergeCells>
  <pageMargins left="0.25" right="0.25" top="0.75" bottom="0.75" header="0.3" footer="0.3"/>
  <pageSetup paperSize="9" scale="25" orientation="landscape"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C765"/>
  <sheetViews>
    <sheetView zoomScale="75" zoomScaleNormal="75" workbookViewId="0">
      <pane xSplit="1" ySplit="10" topLeftCell="K160" activePane="bottomRight" state="frozen"/>
      <selection pane="topRight" activeCell="B1" sqref="B1"/>
      <selection pane="bottomLeft" activeCell="A11" sqref="A11"/>
      <selection pane="bottomRight" activeCell="T166" sqref="T166"/>
    </sheetView>
  </sheetViews>
  <sheetFormatPr defaultColWidth="9.140625" defaultRowHeight="15.75" x14ac:dyDescent="0.2"/>
  <cols>
    <col min="1" max="1" width="36.85546875" style="610" customWidth="1"/>
    <col min="2" max="2" width="11.5703125" style="610" customWidth="1"/>
    <col min="3" max="3" width="9.42578125" style="610" customWidth="1"/>
    <col min="4" max="4" width="11.7109375" style="610" customWidth="1"/>
    <col min="5" max="5" width="24.140625" style="599" customWidth="1"/>
    <col min="6" max="6" width="19.42578125" style="593" customWidth="1"/>
    <col min="7" max="7" width="14.5703125" style="593" customWidth="1"/>
    <col min="8" max="8" width="26.28515625" style="593" customWidth="1"/>
    <col min="9" max="9" width="14.42578125" style="611" customWidth="1"/>
    <col min="10" max="10" width="17.5703125" style="593" customWidth="1"/>
    <col min="11" max="11" width="18" style="593" customWidth="1"/>
    <col min="12" max="12" width="20.42578125" style="593" customWidth="1"/>
    <col min="13" max="13" width="16.28515625" style="599" customWidth="1"/>
    <col min="14" max="14" width="15.42578125" style="593" customWidth="1"/>
    <col min="15" max="15" width="15.85546875" style="593" customWidth="1"/>
    <col min="16" max="16" width="12.5703125" style="593" customWidth="1"/>
    <col min="17" max="17" width="18.5703125" style="611" customWidth="1"/>
    <col min="18" max="18" width="11.5703125" style="593" customWidth="1"/>
    <col min="19" max="19" width="14.42578125" style="593" customWidth="1"/>
    <col min="20" max="20" width="15" style="593" customWidth="1"/>
    <col min="21" max="21" width="18.5703125" style="599" customWidth="1"/>
    <col min="22" max="22" width="20.42578125" style="593" customWidth="1"/>
    <col min="23" max="23" width="17.7109375" style="593" customWidth="1"/>
    <col min="24" max="24" width="19.85546875" style="593" customWidth="1"/>
    <col min="25" max="25" width="14.85546875" style="611" customWidth="1"/>
    <col min="26" max="26" width="10.5703125" style="593" bestFit="1" customWidth="1"/>
    <col min="27" max="27" width="19" style="593" customWidth="1"/>
    <col min="28" max="28" width="18.42578125" style="593" customWidth="1"/>
    <col min="29" max="29" width="17.42578125" style="622" customWidth="1"/>
    <col min="30" max="16384" width="9.140625" style="610"/>
  </cols>
  <sheetData>
    <row r="1" spans="1:29" ht="51.75" customHeight="1" x14ac:dyDescent="0.2">
      <c r="Z1" s="2302" t="s">
        <v>721</v>
      </c>
      <c r="AA1" s="2303"/>
      <c r="AB1" s="2303"/>
      <c r="AC1" s="612"/>
    </row>
    <row r="2" spans="1:29" ht="31.9" customHeight="1" x14ac:dyDescent="0.2">
      <c r="Z2" s="2303" t="s">
        <v>722</v>
      </c>
      <c r="AA2" s="2303"/>
      <c r="AB2" s="2303"/>
      <c r="AC2" s="612"/>
    </row>
    <row r="3" spans="1:29" s="614" customFormat="1" ht="24.75" customHeight="1" x14ac:dyDescent="0.2">
      <c r="A3" s="1574" t="s">
        <v>1249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613"/>
      <c r="Z3" s="599"/>
      <c r="AA3" s="599"/>
      <c r="AB3" s="599"/>
      <c r="AC3" s="612"/>
    </row>
    <row r="4" spans="1:29" s="614" customFormat="1" ht="25.5" customHeight="1" x14ac:dyDescent="0.2">
      <c r="A4" s="1574" t="s">
        <v>1277</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613"/>
      <c r="Z4" s="599"/>
      <c r="AA4" s="599"/>
      <c r="AB4" s="599"/>
      <c r="AC4" s="612"/>
    </row>
    <row r="5" spans="1:29" x14ac:dyDescent="0.2">
      <c r="A5" s="610" t="s">
        <v>723</v>
      </c>
      <c r="D5" s="2304" t="s">
        <v>204</v>
      </c>
      <c r="E5" s="2305"/>
      <c r="F5" s="2305"/>
      <c r="G5" s="2305"/>
      <c r="H5" s="2305"/>
      <c r="I5" s="2305"/>
      <c r="J5" s="2305"/>
      <c r="K5" s="2305"/>
      <c r="L5" s="2305"/>
      <c r="M5" s="2305"/>
      <c r="N5" s="2305"/>
      <c r="O5" s="2305"/>
      <c r="P5" s="2305"/>
      <c r="Q5" s="615"/>
      <c r="R5" s="600"/>
      <c r="S5" s="600"/>
      <c r="T5" s="600"/>
      <c r="U5" s="601"/>
      <c r="V5" s="600"/>
      <c r="W5" s="600"/>
      <c r="X5" s="600"/>
      <c r="AC5" s="612"/>
    </row>
    <row r="6" spans="1:29" x14ac:dyDescent="0.2">
      <c r="AC6" s="612"/>
    </row>
    <row r="7" spans="1:29" s="614" customFormat="1" ht="37.5" customHeight="1" x14ac:dyDescent="0.2">
      <c r="A7" s="1565" t="s">
        <v>724</v>
      </c>
      <c r="B7" s="1566" t="s">
        <v>577</v>
      </c>
      <c r="C7" s="1566" t="s">
        <v>578</v>
      </c>
      <c r="D7" s="1566" t="s">
        <v>579</v>
      </c>
      <c r="E7" s="1567" t="s">
        <v>725</v>
      </c>
      <c r="F7" s="1567"/>
      <c r="G7" s="1567"/>
      <c r="H7" s="1567"/>
      <c r="I7" s="1567"/>
      <c r="J7" s="1567"/>
      <c r="K7" s="1567"/>
      <c r="L7" s="1567"/>
      <c r="M7" s="1567" t="s">
        <v>726</v>
      </c>
      <c r="N7" s="1567"/>
      <c r="O7" s="1567"/>
      <c r="P7" s="1567"/>
      <c r="Q7" s="1567"/>
      <c r="R7" s="1567"/>
      <c r="S7" s="1567"/>
      <c r="T7" s="1567"/>
      <c r="U7" s="1567" t="s">
        <v>727</v>
      </c>
      <c r="V7" s="1567"/>
      <c r="W7" s="1567"/>
      <c r="X7" s="1567"/>
      <c r="Y7" s="1567"/>
      <c r="Z7" s="1567"/>
      <c r="AA7" s="1567"/>
      <c r="AB7" s="1567"/>
      <c r="AC7" s="2299" t="s">
        <v>1178</v>
      </c>
    </row>
    <row r="8" spans="1:29" s="616" customFormat="1" ht="39.75" customHeight="1" x14ac:dyDescent="0.2">
      <c r="A8" s="1565"/>
      <c r="B8" s="1566"/>
      <c r="C8" s="1566"/>
      <c r="D8" s="1566"/>
      <c r="E8" s="2306" t="s">
        <v>6</v>
      </c>
      <c r="F8" s="1569" t="s">
        <v>52</v>
      </c>
      <c r="G8" s="1569"/>
      <c r="H8" s="1569"/>
      <c r="I8" s="1569"/>
      <c r="J8" s="1569"/>
      <c r="K8" s="1569"/>
      <c r="L8" s="1569"/>
      <c r="M8" s="2301" t="s">
        <v>6</v>
      </c>
      <c r="N8" s="1569" t="s">
        <v>52</v>
      </c>
      <c r="O8" s="1569"/>
      <c r="P8" s="1569"/>
      <c r="Q8" s="1569"/>
      <c r="R8" s="1569"/>
      <c r="S8" s="1569"/>
      <c r="T8" s="1569"/>
      <c r="U8" s="2301" t="s">
        <v>6</v>
      </c>
      <c r="V8" s="1569" t="s">
        <v>52</v>
      </c>
      <c r="W8" s="1569"/>
      <c r="X8" s="1569"/>
      <c r="Y8" s="1569"/>
      <c r="Z8" s="1569"/>
      <c r="AA8" s="1569"/>
      <c r="AB8" s="1569"/>
      <c r="AC8" s="2299"/>
    </row>
    <row r="9" spans="1:29" s="616" customFormat="1" ht="39.75" customHeight="1" x14ac:dyDescent="0.2">
      <c r="A9" s="1565"/>
      <c r="B9" s="1566"/>
      <c r="C9" s="1566"/>
      <c r="D9" s="1566"/>
      <c r="E9" s="2306"/>
      <c r="F9" s="1570" t="s">
        <v>35</v>
      </c>
      <c r="G9" s="1570"/>
      <c r="H9" s="1570"/>
      <c r="I9" s="1570" t="s">
        <v>45</v>
      </c>
      <c r="J9" s="1570"/>
      <c r="K9" s="1570"/>
      <c r="L9" s="2300" t="s">
        <v>46</v>
      </c>
      <c r="M9" s="2301"/>
      <c r="N9" s="1570" t="s">
        <v>35</v>
      </c>
      <c r="O9" s="1570"/>
      <c r="P9" s="1570"/>
      <c r="Q9" s="1570" t="s">
        <v>45</v>
      </c>
      <c r="R9" s="1570"/>
      <c r="S9" s="1570"/>
      <c r="T9" s="2300" t="s">
        <v>46</v>
      </c>
      <c r="U9" s="2301"/>
      <c r="V9" s="1570" t="s">
        <v>35</v>
      </c>
      <c r="W9" s="1570"/>
      <c r="X9" s="1570"/>
      <c r="Y9" s="1570" t="s">
        <v>45</v>
      </c>
      <c r="Z9" s="1570"/>
      <c r="AA9" s="1570"/>
      <c r="AB9" s="2300" t="s">
        <v>46</v>
      </c>
      <c r="AC9" s="2299"/>
    </row>
    <row r="10" spans="1:29" s="616" customFormat="1" ht="72" customHeight="1" x14ac:dyDescent="0.2">
      <c r="A10" s="1565"/>
      <c r="B10" s="1566"/>
      <c r="C10" s="1566"/>
      <c r="D10" s="1566"/>
      <c r="E10" s="2306"/>
      <c r="F10" s="594" t="s">
        <v>43</v>
      </c>
      <c r="G10" s="594" t="s">
        <v>592</v>
      </c>
      <c r="H10" s="594" t="s">
        <v>44</v>
      </c>
      <c r="I10" s="617" t="s">
        <v>55</v>
      </c>
      <c r="J10" s="594" t="s">
        <v>43</v>
      </c>
      <c r="K10" s="594" t="s">
        <v>44</v>
      </c>
      <c r="L10" s="2300"/>
      <c r="M10" s="2301"/>
      <c r="N10" s="594" t="s">
        <v>43</v>
      </c>
      <c r="O10" s="594" t="s">
        <v>592</v>
      </c>
      <c r="P10" s="594" t="s">
        <v>44</v>
      </c>
      <c r="Q10" s="617" t="s">
        <v>55</v>
      </c>
      <c r="R10" s="594" t="s">
        <v>43</v>
      </c>
      <c r="S10" s="594" t="s">
        <v>44</v>
      </c>
      <c r="T10" s="2300"/>
      <c r="U10" s="2301"/>
      <c r="V10" s="594" t="s">
        <v>43</v>
      </c>
      <c r="W10" s="594" t="s">
        <v>592</v>
      </c>
      <c r="X10" s="594" t="s">
        <v>44</v>
      </c>
      <c r="Y10" s="617" t="s">
        <v>55</v>
      </c>
      <c r="Z10" s="594" t="s">
        <v>43</v>
      </c>
      <c r="AA10" s="594" t="s">
        <v>44</v>
      </c>
      <c r="AB10" s="2300"/>
      <c r="AC10" s="2299"/>
    </row>
    <row r="11" spans="1:29" ht="31.5" x14ac:dyDescent="0.2">
      <c r="A11" s="618" t="s">
        <v>909</v>
      </c>
      <c r="B11" s="619" t="s">
        <v>747</v>
      </c>
      <c r="C11" s="620"/>
      <c r="D11" s="620">
        <v>510</v>
      </c>
      <c r="E11" s="596">
        <f>L11+K11+J11+H11+G11+F11</f>
        <v>0</v>
      </c>
      <c r="F11" s="595"/>
      <c r="G11" s="595"/>
      <c r="H11" s="595"/>
      <c r="I11" s="621"/>
      <c r="J11" s="595"/>
      <c r="K11" s="595"/>
      <c r="L11" s="595"/>
      <c r="M11" s="596">
        <f>N11+P11+R11+S11+T11+O11</f>
        <v>0</v>
      </c>
      <c r="N11" s="595"/>
      <c r="O11" s="595"/>
      <c r="P11" s="595"/>
      <c r="Q11" s="621"/>
      <c r="R11" s="595"/>
      <c r="S11" s="595"/>
      <c r="T11" s="595"/>
      <c r="U11" s="596">
        <f>X11+AB11</f>
        <v>0</v>
      </c>
      <c r="V11" s="595">
        <f>F11+N11</f>
        <v>0</v>
      </c>
      <c r="W11" s="595">
        <f>O11+G11</f>
        <v>0</v>
      </c>
      <c r="X11" s="595">
        <f>P11+H11</f>
        <v>0</v>
      </c>
      <c r="Y11" s="621"/>
      <c r="Z11" s="595">
        <f>R11+J11</f>
        <v>0</v>
      </c>
      <c r="AA11" s="595">
        <f>S11+K11</f>
        <v>0</v>
      </c>
      <c r="AB11" s="595">
        <f>T11+L11</f>
        <v>0</v>
      </c>
    </row>
    <row r="12" spans="1:29" ht="109.5" customHeight="1" x14ac:dyDescent="0.2">
      <c r="A12" s="618" t="s">
        <v>728</v>
      </c>
      <c r="B12" s="619" t="s">
        <v>747</v>
      </c>
      <c r="C12" s="620">
        <v>130</v>
      </c>
      <c r="D12" s="620">
        <v>131</v>
      </c>
      <c r="E12" s="596">
        <f t="shared" ref="E12:E93" si="0">L12+K12+J12+H12+G12+F12</f>
        <v>6337600</v>
      </c>
      <c r="F12" s="595"/>
      <c r="G12" s="595"/>
      <c r="H12" s="595">
        <v>6337600</v>
      </c>
      <c r="I12" s="621"/>
      <c r="J12" s="595"/>
      <c r="K12" s="595"/>
      <c r="L12" s="595"/>
      <c r="M12" s="596">
        <f>N12+P12+R12+S12+T12+O12</f>
        <v>0</v>
      </c>
      <c r="N12" s="595"/>
      <c r="O12" s="595"/>
      <c r="P12" s="595"/>
      <c r="Q12" s="621"/>
      <c r="R12" s="595"/>
      <c r="S12" s="595"/>
      <c r="T12" s="595"/>
      <c r="U12" s="596">
        <f>V12+X12+Z12+AA12+AB12+W12</f>
        <v>6337600</v>
      </c>
      <c r="V12" s="595">
        <f t="shared" ref="V12:V96" si="1">F12+N12</f>
        <v>0</v>
      </c>
      <c r="W12" s="595">
        <f t="shared" ref="W12:X96" si="2">O12+G12</f>
        <v>0</v>
      </c>
      <c r="X12" s="595">
        <f t="shared" si="2"/>
        <v>6337600</v>
      </c>
      <c r="Y12" s="621"/>
      <c r="Z12" s="595">
        <f t="shared" ref="Z12:AB96" si="3">R12+J12</f>
        <v>0</v>
      </c>
      <c r="AA12" s="595">
        <f t="shared" si="3"/>
        <v>0</v>
      </c>
      <c r="AB12" s="595">
        <f t="shared" si="3"/>
        <v>0</v>
      </c>
    </row>
    <row r="13" spans="1:29" ht="58.5" customHeight="1" x14ac:dyDescent="0.2">
      <c r="A13" s="618" t="s">
        <v>580</v>
      </c>
      <c r="B13" s="619" t="s">
        <v>729</v>
      </c>
      <c r="C13" s="620">
        <v>130</v>
      </c>
      <c r="D13" s="620">
        <v>131</v>
      </c>
      <c r="E13" s="596">
        <f t="shared" si="0"/>
        <v>926500</v>
      </c>
      <c r="F13" s="595"/>
      <c r="G13" s="595"/>
      <c r="H13" s="595">
        <v>926500</v>
      </c>
      <c r="I13" s="621"/>
      <c r="J13" s="595"/>
      <c r="K13" s="595"/>
      <c r="L13" s="595"/>
      <c r="M13" s="596">
        <f t="shared" ref="M13:M101" si="4">N13+P13+R13+S13+T13+O13</f>
        <v>0</v>
      </c>
      <c r="N13" s="595"/>
      <c r="O13" s="595"/>
      <c r="P13" s="595"/>
      <c r="Q13" s="621"/>
      <c r="R13" s="595"/>
      <c r="S13" s="595"/>
      <c r="T13" s="595"/>
      <c r="U13" s="596">
        <f t="shared" ref="U13:U94" si="5">V13+X13+Z13+AA13+AB13+W13</f>
        <v>926500</v>
      </c>
      <c r="V13" s="595">
        <f t="shared" si="1"/>
        <v>0</v>
      </c>
      <c r="W13" s="595">
        <f t="shared" si="2"/>
        <v>0</v>
      </c>
      <c r="X13" s="595">
        <f t="shared" si="2"/>
        <v>926500</v>
      </c>
      <c r="Y13" s="621"/>
      <c r="Z13" s="595">
        <f t="shared" si="3"/>
        <v>0</v>
      </c>
      <c r="AA13" s="595">
        <f t="shared" si="3"/>
        <v>0</v>
      </c>
      <c r="AB13" s="595">
        <f t="shared" si="3"/>
        <v>0</v>
      </c>
    </row>
    <row r="14" spans="1:29" ht="106.5" customHeight="1" x14ac:dyDescent="0.2">
      <c r="A14" s="618" t="s">
        <v>728</v>
      </c>
      <c r="B14" s="619" t="s">
        <v>729</v>
      </c>
      <c r="C14" s="620">
        <v>130</v>
      </c>
      <c r="D14" s="620">
        <v>131</v>
      </c>
      <c r="E14" s="596">
        <f t="shared" si="0"/>
        <v>3620866</v>
      </c>
      <c r="F14" s="595"/>
      <c r="G14" s="595"/>
      <c r="H14" s="595">
        <v>3620866</v>
      </c>
      <c r="I14" s="621"/>
      <c r="J14" s="595"/>
      <c r="K14" s="595"/>
      <c r="L14" s="595"/>
      <c r="M14" s="596">
        <f t="shared" si="4"/>
        <v>0</v>
      </c>
      <c r="N14" s="595"/>
      <c r="O14" s="595"/>
      <c r="P14" s="595"/>
      <c r="Q14" s="621"/>
      <c r="R14" s="595"/>
      <c r="S14" s="595"/>
      <c r="T14" s="595"/>
      <c r="U14" s="596">
        <f t="shared" si="5"/>
        <v>3620866</v>
      </c>
      <c r="V14" s="595">
        <f t="shared" si="1"/>
        <v>0</v>
      </c>
      <c r="W14" s="595">
        <f t="shared" si="2"/>
        <v>0</v>
      </c>
      <c r="X14" s="595">
        <f t="shared" si="2"/>
        <v>3620866</v>
      </c>
      <c r="Y14" s="621"/>
      <c r="Z14" s="595">
        <f t="shared" si="3"/>
        <v>0</v>
      </c>
      <c r="AA14" s="595">
        <f t="shared" si="3"/>
        <v>0</v>
      </c>
      <c r="AB14" s="595">
        <f t="shared" si="3"/>
        <v>0</v>
      </c>
    </row>
    <row r="15" spans="1:29" ht="118.5" customHeight="1" x14ac:dyDescent="0.2">
      <c r="A15" s="618" t="s">
        <v>945</v>
      </c>
      <c r="B15" s="619" t="s">
        <v>729</v>
      </c>
      <c r="C15" s="620">
        <v>130</v>
      </c>
      <c r="D15" s="620">
        <v>131</v>
      </c>
      <c r="E15" s="596">
        <f t="shared" si="0"/>
        <v>0</v>
      </c>
      <c r="F15" s="595"/>
      <c r="G15" s="595"/>
      <c r="H15" s="595">
        <f>'[7]Прилож 4 23 (7)'!X15</f>
        <v>0</v>
      </c>
      <c r="I15" s="621"/>
      <c r="J15" s="595"/>
      <c r="K15" s="595"/>
      <c r="L15" s="595"/>
      <c r="M15" s="596">
        <f t="shared" si="4"/>
        <v>0</v>
      </c>
      <c r="N15" s="595"/>
      <c r="O15" s="595"/>
      <c r="P15" s="595"/>
      <c r="Q15" s="621"/>
      <c r="R15" s="595"/>
      <c r="S15" s="595"/>
      <c r="T15" s="595"/>
      <c r="U15" s="596">
        <f t="shared" si="5"/>
        <v>0</v>
      </c>
      <c r="V15" s="595">
        <f t="shared" si="1"/>
        <v>0</v>
      </c>
      <c r="W15" s="595">
        <f t="shared" si="2"/>
        <v>0</v>
      </c>
      <c r="X15" s="595">
        <f t="shared" si="2"/>
        <v>0</v>
      </c>
      <c r="Y15" s="621"/>
      <c r="Z15" s="595">
        <f t="shared" si="3"/>
        <v>0</v>
      </c>
      <c r="AA15" s="595">
        <f t="shared" si="3"/>
        <v>0</v>
      </c>
      <c r="AB15" s="595">
        <f t="shared" si="3"/>
        <v>0</v>
      </c>
    </row>
    <row r="16" spans="1:29" ht="57" customHeight="1" x14ac:dyDescent="0.2">
      <c r="A16" s="618" t="s">
        <v>582</v>
      </c>
      <c r="B16" s="619" t="s">
        <v>691</v>
      </c>
      <c r="C16" s="620">
        <v>130</v>
      </c>
      <c r="D16" s="620">
        <v>131</v>
      </c>
      <c r="E16" s="596">
        <f t="shared" si="0"/>
        <v>320056.93</v>
      </c>
      <c r="F16" s="595"/>
      <c r="G16" s="595"/>
      <c r="H16" s="595">
        <f>21780.36+294688.94+3587.63</f>
        <v>320056.93</v>
      </c>
      <c r="I16" s="621"/>
      <c r="J16" s="595"/>
      <c r="K16" s="595"/>
      <c r="L16" s="595"/>
      <c r="M16" s="596">
        <f t="shared" si="4"/>
        <v>0</v>
      </c>
      <c r="N16" s="595"/>
      <c r="O16" s="595"/>
      <c r="P16" s="595"/>
      <c r="Q16" s="621"/>
      <c r="R16" s="595"/>
      <c r="S16" s="595"/>
      <c r="T16" s="595"/>
      <c r="U16" s="596">
        <f t="shared" si="5"/>
        <v>320056.93</v>
      </c>
      <c r="V16" s="595">
        <f t="shared" si="1"/>
        <v>0</v>
      </c>
      <c r="W16" s="595">
        <f t="shared" si="2"/>
        <v>0</v>
      </c>
      <c r="X16" s="595">
        <f t="shared" si="2"/>
        <v>320056.93</v>
      </c>
      <c r="Y16" s="621"/>
      <c r="Z16" s="595">
        <f t="shared" si="3"/>
        <v>0</v>
      </c>
      <c r="AA16" s="595">
        <f t="shared" si="3"/>
        <v>0</v>
      </c>
      <c r="AB16" s="595">
        <f t="shared" si="3"/>
        <v>0</v>
      </c>
    </row>
    <row r="17" spans="1:29" ht="62.25" customHeight="1" x14ac:dyDescent="0.2">
      <c r="A17" s="618" t="s">
        <v>283</v>
      </c>
      <c r="B17" s="619" t="s">
        <v>729</v>
      </c>
      <c r="C17" s="620">
        <v>130</v>
      </c>
      <c r="D17" s="620">
        <v>131</v>
      </c>
      <c r="E17" s="596">
        <f t="shared" si="0"/>
        <v>80080</v>
      </c>
      <c r="F17" s="595"/>
      <c r="G17" s="595"/>
      <c r="H17" s="595"/>
      <c r="I17" s="621"/>
      <c r="J17" s="595"/>
      <c r="K17" s="595"/>
      <c r="L17" s="595">
        <v>80080</v>
      </c>
      <c r="M17" s="596">
        <f t="shared" si="4"/>
        <v>0</v>
      </c>
      <c r="N17" s="595"/>
      <c r="O17" s="595"/>
      <c r="P17" s="595"/>
      <c r="Q17" s="621"/>
      <c r="R17" s="595"/>
      <c r="S17" s="595"/>
      <c r="T17" s="595"/>
      <c r="U17" s="596">
        <f t="shared" si="5"/>
        <v>80080</v>
      </c>
      <c r="V17" s="595">
        <f t="shared" si="1"/>
        <v>0</v>
      </c>
      <c r="W17" s="595">
        <f t="shared" si="2"/>
        <v>0</v>
      </c>
      <c r="X17" s="595">
        <f t="shared" si="2"/>
        <v>0</v>
      </c>
      <c r="Y17" s="621"/>
      <c r="Z17" s="595">
        <f t="shared" si="3"/>
        <v>0</v>
      </c>
      <c r="AA17" s="595">
        <f t="shared" si="3"/>
        <v>0</v>
      </c>
      <c r="AB17" s="595">
        <f t="shared" si="3"/>
        <v>80080</v>
      </c>
    </row>
    <row r="18" spans="1:29" ht="63.75" customHeight="1" x14ac:dyDescent="0.2">
      <c r="A18" s="618" t="s">
        <v>282</v>
      </c>
      <c r="B18" s="619" t="s">
        <v>729</v>
      </c>
      <c r="C18" s="620">
        <v>130</v>
      </c>
      <c r="D18" s="620">
        <v>131</v>
      </c>
      <c r="E18" s="596">
        <f t="shared" si="0"/>
        <v>0</v>
      </c>
      <c r="F18" s="595"/>
      <c r="G18" s="595"/>
      <c r="H18" s="595"/>
      <c r="I18" s="621"/>
      <c r="J18" s="595"/>
      <c r="K18" s="595"/>
      <c r="L18" s="595"/>
      <c r="M18" s="596"/>
      <c r="N18" s="595"/>
      <c r="O18" s="595"/>
      <c r="P18" s="595"/>
      <c r="Q18" s="621"/>
      <c r="R18" s="595"/>
      <c r="S18" s="595"/>
      <c r="T18" s="595"/>
      <c r="U18" s="596">
        <f t="shared" si="5"/>
        <v>0</v>
      </c>
      <c r="V18" s="595">
        <f t="shared" si="1"/>
        <v>0</v>
      </c>
      <c r="W18" s="595">
        <f t="shared" si="2"/>
        <v>0</v>
      </c>
      <c r="X18" s="595">
        <f t="shared" si="2"/>
        <v>0</v>
      </c>
      <c r="Y18" s="621"/>
      <c r="Z18" s="595">
        <f t="shared" si="3"/>
        <v>0</v>
      </c>
      <c r="AA18" s="595">
        <f t="shared" si="3"/>
        <v>0</v>
      </c>
      <c r="AB18" s="595">
        <f t="shared" si="3"/>
        <v>0</v>
      </c>
    </row>
    <row r="19" spans="1:29" ht="52.5" customHeight="1" x14ac:dyDescent="0.2">
      <c r="A19" s="618" t="s">
        <v>273</v>
      </c>
      <c r="B19" s="619" t="s">
        <v>729</v>
      </c>
      <c r="C19" s="620">
        <v>130</v>
      </c>
      <c r="D19" s="620">
        <v>131</v>
      </c>
      <c r="E19" s="596">
        <f t="shared" si="0"/>
        <v>0</v>
      </c>
      <c r="F19" s="595"/>
      <c r="G19" s="595"/>
      <c r="H19" s="595"/>
      <c r="I19" s="621"/>
      <c r="J19" s="595"/>
      <c r="K19" s="595"/>
      <c r="L19" s="595"/>
      <c r="M19" s="596">
        <f>T19</f>
        <v>0</v>
      </c>
      <c r="N19" s="595"/>
      <c r="O19" s="595"/>
      <c r="P19" s="595"/>
      <c r="Q19" s="621"/>
      <c r="R19" s="595"/>
      <c r="S19" s="595"/>
      <c r="T19" s="595"/>
      <c r="U19" s="596">
        <f t="shared" si="5"/>
        <v>0</v>
      </c>
      <c r="V19" s="595">
        <f t="shared" si="1"/>
        <v>0</v>
      </c>
      <c r="W19" s="595">
        <f t="shared" si="2"/>
        <v>0</v>
      </c>
      <c r="X19" s="595">
        <f t="shared" si="2"/>
        <v>0</v>
      </c>
      <c r="Y19" s="621"/>
      <c r="Z19" s="595">
        <f t="shared" si="3"/>
        <v>0</v>
      </c>
      <c r="AA19" s="595">
        <f t="shared" si="3"/>
        <v>0</v>
      </c>
      <c r="AB19" s="595">
        <f t="shared" si="3"/>
        <v>0</v>
      </c>
    </row>
    <row r="20" spans="1:29" ht="31.5" x14ac:dyDescent="0.2">
      <c r="A20" s="618" t="s">
        <v>789</v>
      </c>
      <c r="B20" s="619" t="s">
        <v>747</v>
      </c>
      <c r="C20" s="620">
        <v>130</v>
      </c>
      <c r="D20" s="620">
        <v>131</v>
      </c>
      <c r="E20" s="596">
        <f t="shared" si="0"/>
        <v>1770130</v>
      </c>
      <c r="F20" s="595"/>
      <c r="G20" s="595"/>
      <c r="H20" s="595"/>
      <c r="I20" s="621"/>
      <c r="J20" s="595"/>
      <c r="K20" s="595"/>
      <c r="L20" s="595">
        <v>1770130</v>
      </c>
      <c r="M20" s="596">
        <f t="shared" si="4"/>
        <v>0</v>
      </c>
      <c r="N20" s="595"/>
      <c r="O20" s="595"/>
      <c r="P20" s="595"/>
      <c r="Q20" s="621"/>
      <c r="R20" s="595"/>
      <c r="S20" s="595"/>
      <c r="T20" s="595"/>
      <c r="U20" s="596">
        <f t="shared" si="5"/>
        <v>1770130</v>
      </c>
      <c r="V20" s="595">
        <f t="shared" si="1"/>
        <v>0</v>
      </c>
      <c r="W20" s="595">
        <f t="shared" si="2"/>
        <v>0</v>
      </c>
      <c r="X20" s="595">
        <f t="shared" si="2"/>
        <v>0</v>
      </c>
      <c r="Y20" s="621"/>
      <c r="Z20" s="595">
        <f t="shared" si="3"/>
        <v>0</v>
      </c>
      <c r="AA20" s="595">
        <f t="shared" si="3"/>
        <v>0</v>
      </c>
      <c r="AB20" s="595">
        <f t="shared" si="3"/>
        <v>1770130</v>
      </c>
    </row>
    <row r="21" spans="1:29" ht="111.75" customHeight="1" x14ac:dyDescent="0.2">
      <c r="A21" s="618" t="s">
        <v>1237</v>
      </c>
      <c r="B21" s="619" t="s">
        <v>747</v>
      </c>
      <c r="C21" s="620">
        <v>150</v>
      </c>
      <c r="D21" s="620">
        <v>152</v>
      </c>
      <c r="E21" s="596">
        <f t="shared" si="0"/>
        <v>116466</v>
      </c>
      <c r="F21" s="595"/>
      <c r="G21" s="595"/>
      <c r="H21" s="595"/>
      <c r="I21" s="623" t="s">
        <v>1250</v>
      </c>
      <c r="J21" s="595"/>
      <c r="K21" s="595">
        <f>8663+93768+14035</f>
        <v>116466</v>
      </c>
      <c r="L21" s="595"/>
      <c r="M21" s="596">
        <f t="shared" si="4"/>
        <v>0</v>
      </c>
      <c r="N21" s="595"/>
      <c r="O21" s="595"/>
      <c r="P21" s="595"/>
      <c r="Q21" s="621"/>
      <c r="R21" s="595"/>
      <c r="S21" s="595"/>
      <c r="T21" s="595"/>
      <c r="U21" s="596">
        <f t="shared" si="5"/>
        <v>116466</v>
      </c>
      <c r="V21" s="595">
        <f t="shared" si="1"/>
        <v>0</v>
      </c>
      <c r="W21" s="595">
        <f t="shared" si="2"/>
        <v>0</v>
      </c>
      <c r="X21" s="595">
        <f t="shared" si="2"/>
        <v>0</v>
      </c>
      <c r="Y21" s="621" t="s">
        <v>1250</v>
      </c>
      <c r="Z21" s="595">
        <f t="shared" si="3"/>
        <v>0</v>
      </c>
      <c r="AA21" s="595">
        <f t="shared" si="3"/>
        <v>116466</v>
      </c>
      <c r="AB21" s="595">
        <f t="shared" si="3"/>
        <v>0</v>
      </c>
    </row>
    <row r="22" spans="1:29" ht="32.25" customHeight="1" x14ac:dyDescent="0.2">
      <c r="A22" s="618" t="s">
        <v>581</v>
      </c>
      <c r="B22" s="619" t="s">
        <v>64</v>
      </c>
      <c r="C22" s="620">
        <v>150</v>
      </c>
      <c r="D22" s="620">
        <v>152</v>
      </c>
      <c r="E22" s="596">
        <f t="shared" si="0"/>
        <v>87037.3</v>
      </c>
      <c r="F22" s="595"/>
      <c r="G22" s="595"/>
      <c r="H22" s="595"/>
      <c r="I22" s="623" t="s">
        <v>1235</v>
      </c>
      <c r="J22" s="595"/>
      <c r="K22" s="595">
        <v>87037.3</v>
      </c>
      <c r="L22" s="595"/>
      <c r="M22" s="596">
        <f t="shared" si="4"/>
        <v>0</v>
      </c>
      <c r="N22" s="595"/>
      <c r="O22" s="595"/>
      <c r="P22" s="595"/>
      <c r="Q22" s="621"/>
      <c r="R22" s="595"/>
      <c r="S22" s="595"/>
      <c r="T22" s="595"/>
      <c r="U22" s="596">
        <f t="shared" si="5"/>
        <v>87037.3</v>
      </c>
      <c r="V22" s="595">
        <f t="shared" si="1"/>
        <v>0</v>
      </c>
      <c r="W22" s="595">
        <f t="shared" si="2"/>
        <v>0</v>
      </c>
      <c r="X22" s="595">
        <f t="shared" si="2"/>
        <v>0</v>
      </c>
      <c r="Y22" s="621" t="s">
        <v>1235</v>
      </c>
      <c r="Z22" s="595">
        <f t="shared" si="3"/>
        <v>0</v>
      </c>
      <c r="AA22" s="595">
        <f t="shared" si="3"/>
        <v>87037.3</v>
      </c>
      <c r="AB22" s="595">
        <f t="shared" si="3"/>
        <v>0</v>
      </c>
    </row>
    <row r="23" spans="1:29" ht="84" customHeight="1" x14ac:dyDescent="0.2">
      <c r="A23" s="618" t="s">
        <v>790</v>
      </c>
      <c r="B23" s="619" t="s">
        <v>791</v>
      </c>
      <c r="C23" s="620">
        <v>130</v>
      </c>
      <c r="D23" s="620">
        <v>131</v>
      </c>
      <c r="E23" s="596">
        <f t="shared" si="0"/>
        <v>0</v>
      </c>
      <c r="F23" s="595"/>
      <c r="G23" s="595"/>
      <c r="H23" s="595"/>
      <c r="I23" s="623"/>
      <c r="J23" s="595"/>
      <c r="K23" s="595"/>
      <c r="L23" s="595"/>
      <c r="M23" s="596">
        <f t="shared" si="4"/>
        <v>0</v>
      </c>
      <c r="N23" s="595"/>
      <c r="O23" s="595"/>
      <c r="P23" s="595"/>
      <c r="Q23" s="621"/>
      <c r="R23" s="595"/>
      <c r="S23" s="595"/>
      <c r="T23" s="595"/>
      <c r="U23" s="596">
        <f t="shared" si="5"/>
        <v>0</v>
      </c>
      <c r="V23" s="595">
        <f t="shared" si="1"/>
        <v>0</v>
      </c>
      <c r="W23" s="595">
        <f t="shared" si="2"/>
        <v>0</v>
      </c>
      <c r="X23" s="595">
        <f t="shared" si="2"/>
        <v>0</v>
      </c>
      <c r="Y23" s="621"/>
      <c r="Z23" s="595">
        <f t="shared" si="3"/>
        <v>0</v>
      </c>
      <c r="AA23" s="595">
        <f t="shared" si="3"/>
        <v>0</v>
      </c>
      <c r="AB23" s="595">
        <f t="shared" si="3"/>
        <v>0</v>
      </c>
    </row>
    <row r="24" spans="1:29" ht="109.5" customHeight="1" x14ac:dyDescent="0.2">
      <c r="A24" s="618" t="s">
        <v>1236</v>
      </c>
      <c r="B24" s="619" t="s">
        <v>729</v>
      </c>
      <c r="C24" s="620">
        <v>150</v>
      </c>
      <c r="D24" s="620">
        <v>152</v>
      </c>
      <c r="E24" s="596">
        <f t="shared" si="0"/>
        <v>7777777.7800000003</v>
      </c>
      <c r="F24" s="595"/>
      <c r="G24" s="595"/>
      <c r="H24" s="595"/>
      <c r="I24" s="623" t="s">
        <v>1251</v>
      </c>
      <c r="J24" s="595"/>
      <c r="K24" s="595">
        <v>7777777.7800000003</v>
      </c>
      <c r="L24" s="595"/>
      <c r="M24" s="596">
        <f>S24</f>
        <v>0</v>
      </c>
      <c r="N24" s="595"/>
      <c r="O24" s="595"/>
      <c r="P24" s="595"/>
      <c r="Q24" s="621"/>
      <c r="R24" s="595"/>
      <c r="S24" s="595"/>
      <c r="T24" s="595"/>
      <c r="U24" s="596">
        <f t="shared" si="5"/>
        <v>7777777.7800000003</v>
      </c>
      <c r="V24" s="595">
        <f t="shared" si="1"/>
        <v>0</v>
      </c>
      <c r="W24" s="595">
        <f t="shared" si="2"/>
        <v>0</v>
      </c>
      <c r="X24" s="595">
        <f t="shared" si="2"/>
        <v>0</v>
      </c>
      <c r="Y24" s="621" t="s">
        <v>1251</v>
      </c>
      <c r="Z24" s="595">
        <f t="shared" si="3"/>
        <v>0</v>
      </c>
      <c r="AA24" s="595">
        <f t="shared" si="3"/>
        <v>7777777.7800000003</v>
      </c>
      <c r="AB24" s="595">
        <f t="shared" si="3"/>
        <v>0</v>
      </c>
    </row>
    <row r="25" spans="1:29" ht="60" customHeight="1" x14ac:dyDescent="0.2">
      <c r="A25" s="618" t="s">
        <v>284</v>
      </c>
      <c r="B25" s="619" t="s">
        <v>691</v>
      </c>
      <c r="C25" s="620">
        <v>130</v>
      </c>
      <c r="D25" s="620">
        <v>131</v>
      </c>
      <c r="E25" s="596">
        <f t="shared" si="0"/>
        <v>0</v>
      </c>
      <c r="F25" s="595"/>
      <c r="G25" s="595"/>
      <c r="H25" s="595"/>
      <c r="I25" s="623"/>
      <c r="J25" s="595"/>
      <c r="K25" s="595"/>
      <c r="L25" s="595"/>
      <c r="M25" s="596">
        <f>T25</f>
        <v>0</v>
      </c>
      <c r="N25" s="595"/>
      <c r="O25" s="595"/>
      <c r="P25" s="595"/>
      <c r="Q25" s="621"/>
      <c r="R25" s="595"/>
      <c r="S25" s="595"/>
      <c r="T25" s="595"/>
      <c r="U25" s="596">
        <f t="shared" si="5"/>
        <v>1370.25</v>
      </c>
      <c r="V25" s="595"/>
      <c r="W25" s="595"/>
      <c r="X25" s="595"/>
      <c r="Y25" s="621"/>
      <c r="Z25" s="595"/>
      <c r="AA25" s="595"/>
      <c r="AB25" s="595">
        <v>1370.25</v>
      </c>
    </row>
    <row r="26" spans="1:29" s="614" customFormat="1" ht="28.5" customHeight="1" x14ac:dyDescent="0.2">
      <c r="A26" s="624" t="s">
        <v>730</v>
      </c>
      <c r="B26" s="624"/>
      <c r="C26" s="624"/>
      <c r="D26" s="624"/>
      <c r="E26" s="596">
        <f>L26+K26+J26+H26+G26+F26</f>
        <v>21036514.009999998</v>
      </c>
      <c r="F26" s="595">
        <f>SUM(F12:F25)</f>
        <v>0</v>
      </c>
      <c r="G26" s="595">
        <f t="shared" ref="G26:L26" si="6">SUM(G12:G25)</f>
        <v>0</v>
      </c>
      <c r="H26" s="595">
        <f t="shared" si="6"/>
        <v>11205022.93</v>
      </c>
      <c r="I26" s="625"/>
      <c r="J26" s="595">
        <f t="shared" si="6"/>
        <v>0</v>
      </c>
      <c r="K26" s="595">
        <f t="shared" si="6"/>
        <v>7981281.0800000001</v>
      </c>
      <c r="L26" s="595">
        <f t="shared" si="6"/>
        <v>1850210</v>
      </c>
      <c r="M26" s="596">
        <f>N26+P26+R26+S26+T26+O26</f>
        <v>0</v>
      </c>
      <c r="N26" s="596">
        <f>SUM(N12:N23)</f>
        <v>0</v>
      </c>
      <c r="O26" s="596">
        <f>SUM(O12:O23)</f>
        <v>0</v>
      </c>
      <c r="P26" s="596">
        <f>SUM(P12:P23)</f>
        <v>0</v>
      </c>
      <c r="Q26" s="626"/>
      <c r="R26" s="596">
        <f>SUM(R12:R23)</f>
        <v>0</v>
      </c>
      <c r="S26" s="596">
        <f>SUM(S11:S25)</f>
        <v>0</v>
      </c>
      <c r="T26" s="596">
        <f>SUM(T11:T25)</f>
        <v>0</v>
      </c>
      <c r="U26" s="596">
        <f t="shared" si="5"/>
        <v>21036514.009999998</v>
      </c>
      <c r="V26" s="596">
        <f t="shared" si="1"/>
        <v>0</v>
      </c>
      <c r="W26" s="596">
        <f t="shared" si="2"/>
        <v>0</v>
      </c>
      <c r="X26" s="596">
        <f t="shared" si="2"/>
        <v>11205022.93</v>
      </c>
      <c r="Y26" s="626"/>
      <c r="Z26" s="596">
        <f t="shared" si="3"/>
        <v>0</v>
      </c>
      <c r="AA26" s="596">
        <f>S26+K26</f>
        <v>7981281.0800000001</v>
      </c>
      <c r="AB26" s="596">
        <f>T26+L26</f>
        <v>1850210</v>
      </c>
      <c r="AC26" s="627"/>
    </row>
    <row r="27" spans="1:29" x14ac:dyDescent="0.2">
      <c r="A27" s="620" t="s">
        <v>731</v>
      </c>
      <c r="B27" s="619" t="s">
        <v>747</v>
      </c>
      <c r="C27" s="620">
        <v>111</v>
      </c>
      <c r="D27" s="620">
        <v>211</v>
      </c>
      <c r="E27" s="596">
        <f t="shared" si="0"/>
        <v>2342112.4900000002</v>
      </c>
      <c r="F27" s="595"/>
      <c r="G27" s="595">
        <f>'[7]Прилож 4 23 (7)'!W29</f>
        <v>0</v>
      </c>
      <c r="H27" s="595">
        <v>2342112.4900000002</v>
      </c>
      <c r="I27" s="623"/>
      <c r="J27" s="595">
        <f>'[7]Прилож 4 23 (7)'!Z29</f>
        <v>0</v>
      </c>
      <c r="K27" s="595">
        <f>'[7]Прилож 4 23 (7)'!AA29</f>
        <v>0</v>
      </c>
      <c r="L27" s="595">
        <f>'[7]Прилож 4 23 (7)'!AB29</f>
        <v>0</v>
      </c>
      <c r="M27" s="596">
        <f t="shared" si="4"/>
        <v>0</v>
      </c>
      <c r="N27" s="595"/>
      <c r="O27" s="595"/>
      <c r="P27" s="595"/>
      <c r="Q27" s="621"/>
      <c r="R27" s="595"/>
      <c r="S27" s="595"/>
      <c r="T27" s="595"/>
      <c r="U27" s="596">
        <f t="shared" si="5"/>
        <v>2342112.4900000002</v>
      </c>
      <c r="V27" s="595">
        <f t="shared" si="1"/>
        <v>0</v>
      </c>
      <c r="W27" s="595">
        <f t="shared" si="2"/>
        <v>0</v>
      </c>
      <c r="X27" s="595">
        <f t="shared" si="2"/>
        <v>2342112.4900000002</v>
      </c>
      <c r="Y27" s="621"/>
      <c r="Z27" s="595">
        <f t="shared" si="3"/>
        <v>0</v>
      </c>
      <c r="AA27" s="595">
        <f t="shared" si="3"/>
        <v>0</v>
      </c>
      <c r="AB27" s="595">
        <f t="shared" si="3"/>
        <v>0</v>
      </c>
    </row>
    <row r="28" spans="1:29" x14ac:dyDescent="0.2">
      <c r="A28" s="620" t="s">
        <v>731</v>
      </c>
      <c r="B28" s="619" t="s">
        <v>729</v>
      </c>
      <c r="C28" s="620">
        <v>111</v>
      </c>
      <c r="D28" s="620">
        <v>211</v>
      </c>
      <c r="E28" s="596">
        <f t="shared" si="0"/>
        <v>711600</v>
      </c>
      <c r="F28" s="595"/>
      <c r="G28" s="595"/>
      <c r="H28" s="595">
        <v>711600</v>
      </c>
      <c r="I28" s="623"/>
      <c r="J28" s="595">
        <f>'[7]Прилож 4 23 (7)'!Z30</f>
        <v>0</v>
      </c>
      <c r="K28" s="595">
        <f>'[7]Прилож 4 23 (7)'!AA30</f>
        <v>0</v>
      </c>
      <c r="L28" s="595">
        <f>'[7]Прилож 4 23 (7)'!AB30</f>
        <v>0</v>
      </c>
      <c r="M28" s="596">
        <f t="shared" si="4"/>
        <v>0</v>
      </c>
      <c r="N28" s="595"/>
      <c r="O28" s="595"/>
      <c r="P28" s="595"/>
      <c r="Q28" s="621"/>
      <c r="R28" s="595"/>
      <c r="S28" s="595"/>
      <c r="T28" s="595"/>
      <c r="U28" s="596">
        <f t="shared" si="5"/>
        <v>15735807.41</v>
      </c>
      <c r="V28" s="595">
        <v>15024207.41</v>
      </c>
      <c r="W28" s="595">
        <f t="shared" si="2"/>
        <v>0</v>
      </c>
      <c r="X28" s="595">
        <f t="shared" si="2"/>
        <v>711600</v>
      </c>
      <c r="Y28" s="621"/>
      <c r="Z28" s="595">
        <f t="shared" si="3"/>
        <v>0</v>
      </c>
      <c r="AA28" s="595">
        <f t="shared" si="3"/>
        <v>0</v>
      </c>
      <c r="AB28" s="595">
        <f t="shared" si="3"/>
        <v>0</v>
      </c>
    </row>
    <row r="29" spans="1:29" x14ac:dyDescent="0.2">
      <c r="A29" s="620" t="s">
        <v>943</v>
      </c>
      <c r="B29" s="619" t="s">
        <v>729</v>
      </c>
      <c r="C29" s="620">
        <v>111</v>
      </c>
      <c r="D29" s="620">
        <v>211</v>
      </c>
      <c r="E29" s="596">
        <f t="shared" si="0"/>
        <v>0</v>
      </c>
      <c r="F29" s="595"/>
      <c r="G29" s="595"/>
      <c r="H29" s="595">
        <f>'[7]Прилож 4 23 (7)'!X31</f>
        <v>0</v>
      </c>
      <c r="I29" s="623"/>
      <c r="J29" s="595">
        <f>'[7]Прилож 4 23 (7)'!Z31</f>
        <v>0</v>
      </c>
      <c r="K29" s="595">
        <f>'[7]Прилож 4 23 (7)'!AA31</f>
        <v>0</v>
      </c>
      <c r="L29" s="595">
        <f>'[7]Прилож 4 23 (7)'!AB31</f>
        <v>0</v>
      </c>
      <c r="M29" s="596">
        <f t="shared" si="4"/>
        <v>0</v>
      </c>
      <c r="N29" s="595"/>
      <c r="O29" s="595"/>
      <c r="P29" s="595"/>
      <c r="Q29" s="621"/>
      <c r="R29" s="595"/>
      <c r="S29" s="595"/>
      <c r="T29" s="595"/>
      <c r="U29" s="596">
        <f t="shared" si="5"/>
        <v>0</v>
      </c>
      <c r="V29" s="595">
        <f t="shared" si="1"/>
        <v>0</v>
      </c>
      <c r="W29" s="595">
        <f t="shared" si="2"/>
        <v>0</v>
      </c>
      <c r="X29" s="595">
        <f t="shared" si="2"/>
        <v>0</v>
      </c>
      <c r="Y29" s="621"/>
      <c r="Z29" s="595">
        <f t="shared" si="3"/>
        <v>0</v>
      </c>
      <c r="AA29" s="595">
        <f t="shared" si="3"/>
        <v>0</v>
      </c>
      <c r="AB29" s="595">
        <f t="shared" si="3"/>
        <v>0</v>
      </c>
    </row>
    <row r="30" spans="1:29" x14ac:dyDescent="0.2">
      <c r="A30" s="620" t="s">
        <v>731</v>
      </c>
      <c r="B30" s="619" t="s">
        <v>64</v>
      </c>
      <c r="C30" s="620">
        <v>111</v>
      </c>
      <c r="D30" s="620">
        <v>211</v>
      </c>
      <c r="E30" s="596">
        <f t="shared" si="0"/>
        <v>64391.3</v>
      </c>
      <c r="F30" s="595">
        <f>'[7]Прилож 4 23 (7)'!V32</f>
        <v>0</v>
      </c>
      <c r="G30" s="595">
        <f>'[7]Прилож 4 23 (7)'!W32</f>
        <v>0</v>
      </c>
      <c r="H30" s="595">
        <f>'[7]Прилож 4 23 (7)'!X32</f>
        <v>0</v>
      </c>
      <c r="I30" s="623" t="s">
        <v>1235</v>
      </c>
      <c r="J30" s="595">
        <f>'[7]Прилож 4 23 (7)'!Z32</f>
        <v>0</v>
      </c>
      <c r="K30" s="595">
        <v>64391.3</v>
      </c>
      <c r="L30" s="595">
        <f>'[7]Прилож 4 23 (7)'!AB32</f>
        <v>0</v>
      </c>
      <c r="M30" s="596">
        <f t="shared" si="4"/>
        <v>0</v>
      </c>
      <c r="N30" s="595"/>
      <c r="O30" s="595"/>
      <c r="P30" s="595"/>
      <c r="Q30" s="621"/>
      <c r="R30" s="595"/>
      <c r="S30" s="595"/>
      <c r="T30" s="595"/>
      <c r="U30" s="596">
        <f t="shared" si="5"/>
        <v>64391.3</v>
      </c>
      <c r="V30" s="595">
        <f t="shared" si="1"/>
        <v>0</v>
      </c>
      <c r="W30" s="595">
        <f t="shared" si="2"/>
        <v>0</v>
      </c>
      <c r="X30" s="595">
        <f t="shared" si="2"/>
        <v>0</v>
      </c>
      <c r="Y30" s="621" t="s">
        <v>1235</v>
      </c>
      <c r="Z30" s="595">
        <f t="shared" si="3"/>
        <v>0</v>
      </c>
      <c r="AA30" s="595">
        <f t="shared" si="3"/>
        <v>64391.3</v>
      </c>
      <c r="AB30" s="595">
        <f t="shared" si="3"/>
        <v>0</v>
      </c>
    </row>
    <row r="31" spans="1:29" x14ac:dyDescent="0.2">
      <c r="A31" s="620" t="s">
        <v>731</v>
      </c>
      <c r="B31" s="619" t="s">
        <v>691</v>
      </c>
      <c r="C31" s="620">
        <v>111</v>
      </c>
      <c r="D31" s="620">
        <v>211</v>
      </c>
      <c r="E31" s="596">
        <f t="shared" si="0"/>
        <v>56017.74</v>
      </c>
      <c r="F31" s="595"/>
      <c r="G31" s="595">
        <f>'[7]Прилож 4 23 (7)'!W33</f>
        <v>0</v>
      </c>
      <c r="H31" s="595">
        <v>47558.6</v>
      </c>
      <c r="I31" s="623"/>
      <c r="J31" s="595">
        <f>'[7]Прилож 4 23 (7)'!Z33</f>
        <v>0</v>
      </c>
      <c r="K31" s="595">
        <f>'[7]Прилож 4 23 (7)'!AA33</f>
        <v>0</v>
      </c>
      <c r="L31" s="595">
        <v>8459.14</v>
      </c>
      <c r="M31" s="596">
        <f t="shared" si="4"/>
        <v>0</v>
      </c>
      <c r="N31" s="595"/>
      <c r="O31" s="595"/>
      <c r="P31" s="595"/>
      <c r="Q31" s="621"/>
      <c r="R31" s="595"/>
      <c r="S31" s="595"/>
      <c r="T31" s="595"/>
      <c r="U31" s="596">
        <f t="shared" si="5"/>
        <v>56017.74</v>
      </c>
      <c r="V31" s="595">
        <f t="shared" si="1"/>
        <v>0</v>
      </c>
      <c r="W31" s="595">
        <f t="shared" si="2"/>
        <v>0</v>
      </c>
      <c r="X31" s="595">
        <f t="shared" si="2"/>
        <v>47558.6</v>
      </c>
      <c r="Y31" s="621"/>
      <c r="Z31" s="595">
        <f t="shared" si="3"/>
        <v>0</v>
      </c>
      <c r="AA31" s="595">
        <f t="shared" si="3"/>
        <v>0</v>
      </c>
      <c r="AB31" s="595">
        <f t="shared" si="3"/>
        <v>8459.14</v>
      </c>
    </row>
    <row r="32" spans="1:29" s="614" customFormat="1" x14ac:dyDescent="0.2">
      <c r="A32" s="624" t="s">
        <v>732</v>
      </c>
      <c r="B32" s="624"/>
      <c r="C32" s="624"/>
      <c r="D32" s="624"/>
      <c r="E32" s="596">
        <f t="shared" si="0"/>
        <v>3174121.5300000003</v>
      </c>
      <c r="F32" s="595">
        <f>SUM(F27:F31)</f>
        <v>0</v>
      </c>
      <c r="G32" s="595">
        <f t="shared" ref="G32:T32" si="7">SUM(G27:G31)</f>
        <v>0</v>
      </c>
      <c r="H32" s="595">
        <f t="shared" si="7"/>
        <v>3101271.0900000003</v>
      </c>
      <c r="I32" s="625"/>
      <c r="J32" s="595">
        <f t="shared" si="7"/>
        <v>0</v>
      </c>
      <c r="K32" s="595">
        <f t="shared" si="7"/>
        <v>64391.3</v>
      </c>
      <c r="L32" s="595">
        <f t="shared" si="7"/>
        <v>8459.14</v>
      </c>
      <c r="M32" s="596">
        <f t="shared" si="7"/>
        <v>0</v>
      </c>
      <c r="N32" s="596">
        <f t="shared" si="7"/>
        <v>0</v>
      </c>
      <c r="O32" s="596">
        <f t="shared" si="7"/>
        <v>0</v>
      </c>
      <c r="P32" s="596">
        <f t="shared" si="7"/>
        <v>0</v>
      </c>
      <c r="Q32" s="626"/>
      <c r="R32" s="596">
        <f t="shared" si="7"/>
        <v>0</v>
      </c>
      <c r="S32" s="596">
        <f t="shared" si="7"/>
        <v>0</v>
      </c>
      <c r="T32" s="596">
        <f t="shared" si="7"/>
        <v>0</v>
      </c>
      <c r="U32" s="596">
        <f t="shared" si="5"/>
        <v>3174121.5300000003</v>
      </c>
      <c r="V32" s="596">
        <f>F32+N32</f>
        <v>0</v>
      </c>
      <c r="W32" s="596">
        <f t="shared" si="2"/>
        <v>0</v>
      </c>
      <c r="X32" s="596">
        <f t="shared" si="2"/>
        <v>3101271.0900000003</v>
      </c>
      <c r="Y32" s="626"/>
      <c r="Z32" s="596">
        <f t="shared" si="3"/>
        <v>0</v>
      </c>
      <c r="AA32" s="596">
        <f t="shared" si="3"/>
        <v>64391.3</v>
      </c>
      <c r="AB32" s="596">
        <f t="shared" si="3"/>
        <v>8459.14</v>
      </c>
      <c r="AC32" s="627"/>
    </row>
    <row r="33" spans="1:29" ht="51.75" customHeight="1" x14ac:dyDescent="0.2">
      <c r="A33" s="618" t="s">
        <v>845</v>
      </c>
      <c r="B33" s="619" t="s">
        <v>747</v>
      </c>
      <c r="C33" s="620">
        <v>111</v>
      </c>
      <c r="D33" s="620">
        <v>266</v>
      </c>
      <c r="E33" s="596">
        <f t="shared" si="0"/>
        <v>0</v>
      </c>
      <c r="F33" s="595"/>
      <c r="G33" s="595"/>
      <c r="H33" s="595"/>
      <c r="I33" s="623"/>
      <c r="J33" s="595"/>
      <c r="K33" s="595"/>
      <c r="L33" s="595"/>
      <c r="M33" s="596">
        <f t="shared" si="4"/>
        <v>0</v>
      </c>
      <c r="N33" s="595"/>
      <c r="O33" s="595"/>
      <c r="P33" s="595"/>
      <c r="Q33" s="621"/>
      <c r="R33" s="595"/>
      <c r="S33" s="595"/>
      <c r="T33" s="595"/>
      <c r="U33" s="596">
        <f t="shared" si="5"/>
        <v>0</v>
      </c>
      <c r="V33" s="595">
        <f t="shared" si="1"/>
        <v>0</v>
      </c>
      <c r="W33" s="595">
        <f t="shared" si="2"/>
        <v>0</v>
      </c>
      <c r="X33" s="595">
        <f t="shared" si="2"/>
        <v>0</v>
      </c>
      <c r="Y33" s="621"/>
      <c r="Z33" s="595">
        <f t="shared" si="3"/>
        <v>0</v>
      </c>
      <c r="AA33" s="595">
        <f t="shared" si="3"/>
        <v>0</v>
      </c>
      <c r="AB33" s="595">
        <f t="shared" si="3"/>
        <v>0</v>
      </c>
    </row>
    <row r="34" spans="1:29" ht="51.75" customHeight="1" x14ac:dyDescent="0.2">
      <c r="A34" s="618" t="s">
        <v>845</v>
      </c>
      <c r="B34" s="619" t="s">
        <v>729</v>
      </c>
      <c r="C34" s="620">
        <v>111</v>
      </c>
      <c r="D34" s="620">
        <v>266</v>
      </c>
      <c r="E34" s="596">
        <f t="shared" si="0"/>
        <v>0</v>
      </c>
      <c r="F34" s="595"/>
      <c r="G34" s="595"/>
      <c r="H34" s="595"/>
      <c r="I34" s="623"/>
      <c r="J34" s="595"/>
      <c r="K34" s="595"/>
      <c r="L34" s="595"/>
      <c r="M34" s="596">
        <f t="shared" si="4"/>
        <v>0</v>
      </c>
      <c r="N34" s="595"/>
      <c r="O34" s="595"/>
      <c r="P34" s="595"/>
      <c r="Q34" s="621"/>
      <c r="R34" s="595"/>
      <c r="S34" s="595"/>
      <c r="T34" s="595"/>
      <c r="U34" s="596">
        <f t="shared" si="5"/>
        <v>0</v>
      </c>
      <c r="V34" s="595">
        <f t="shared" si="1"/>
        <v>0</v>
      </c>
      <c r="W34" s="595">
        <f t="shared" si="2"/>
        <v>0</v>
      </c>
      <c r="X34" s="595">
        <f t="shared" si="2"/>
        <v>0</v>
      </c>
      <c r="Y34" s="621"/>
      <c r="Z34" s="595">
        <f t="shared" si="3"/>
        <v>0</v>
      </c>
      <c r="AA34" s="595">
        <f t="shared" si="3"/>
        <v>0</v>
      </c>
      <c r="AB34" s="595">
        <f t="shared" si="3"/>
        <v>0</v>
      </c>
    </row>
    <row r="35" spans="1:29" s="614" customFormat="1" x14ac:dyDescent="0.2">
      <c r="A35" s="624" t="s">
        <v>847</v>
      </c>
      <c r="B35" s="624"/>
      <c r="C35" s="624"/>
      <c r="D35" s="624"/>
      <c r="E35" s="596">
        <f t="shared" si="0"/>
        <v>0</v>
      </c>
      <c r="F35" s="595">
        <f>'[7]Прилож 4 23 (7)'!V37</f>
        <v>0</v>
      </c>
      <c r="G35" s="595">
        <f>'[7]Прилож 4 23 (7)'!W37</f>
        <v>0</v>
      </c>
      <c r="H35" s="595">
        <f>'[7]Прилож 4 23 (7)'!X37</f>
        <v>0</v>
      </c>
      <c r="I35" s="626"/>
      <c r="J35" s="595">
        <f>'[7]Прилож 4 23 (7)'!Z37</f>
        <v>0</v>
      </c>
      <c r="K35" s="595">
        <f>'[7]Прилож 4 23 (7)'!AA37</f>
        <v>0</v>
      </c>
      <c r="L35" s="595">
        <f>'[7]Прилож 4 23 (7)'!AB37</f>
        <v>0</v>
      </c>
      <c r="M35" s="596">
        <f t="shared" ref="M35:T35" si="8">SUM(M33:M34)</f>
        <v>0</v>
      </c>
      <c r="N35" s="596">
        <f t="shared" si="8"/>
        <v>0</v>
      </c>
      <c r="O35" s="596">
        <f t="shared" si="8"/>
        <v>0</v>
      </c>
      <c r="P35" s="596">
        <f t="shared" si="8"/>
        <v>0</v>
      </c>
      <c r="Q35" s="626"/>
      <c r="R35" s="596">
        <f t="shared" si="8"/>
        <v>0</v>
      </c>
      <c r="S35" s="596">
        <f t="shared" si="8"/>
        <v>0</v>
      </c>
      <c r="T35" s="596">
        <f t="shared" si="8"/>
        <v>0</v>
      </c>
      <c r="U35" s="596">
        <f t="shared" si="5"/>
        <v>0</v>
      </c>
      <c r="V35" s="596">
        <f t="shared" si="1"/>
        <v>0</v>
      </c>
      <c r="W35" s="596">
        <f t="shared" si="2"/>
        <v>0</v>
      </c>
      <c r="X35" s="596">
        <f t="shared" si="2"/>
        <v>0</v>
      </c>
      <c r="Y35" s="626">
        <f t="shared" ref="Y35:Y37" si="9">SUM(Y33:Y34)</f>
        <v>0</v>
      </c>
      <c r="Z35" s="596">
        <f t="shared" si="3"/>
        <v>0</v>
      </c>
      <c r="AA35" s="596">
        <f t="shared" si="3"/>
        <v>0</v>
      </c>
      <c r="AB35" s="596">
        <f t="shared" si="3"/>
        <v>0</v>
      </c>
      <c r="AC35" s="627"/>
    </row>
    <row r="36" spans="1:29" ht="66.75" customHeight="1" x14ac:dyDescent="0.2">
      <c r="A36" s="618" t="s">
        <v>1270</v>
      </c>
      <c r="B36" s="619" t="s">
        <v>691</v>
      </c>
      <c r="C36" s="620">
        <v>112</v>
      </c>
      <c r="D36" s="620">
        <v>222</v>
      </c>
      <c r="E36" s="596">
        <f t="shared" si="0"/>
        <v>2727.9</v>
      </c>
      <c r="F36" s="595"/>
      <c r="G36" s="595">
        <f>'[7]Прилож 4 23 (7)'!W38</f>
        <v>0</v>
      </c>
      <c r="H36" s="595">
        <v>2315.96</v>
      </c>
      <c r="I36" s="623"/>
      <c r="J36" s="595">
        <f>'[7]Прилож 4 23 (7)'!Z38</f>
        <v>0</v>
      </c>
      <c r="K36" s="595">
        <f>'[7]Прилож 4 23 (7)'!AA38</f>
        <v>0</v>
      </c>
      <c r="L36" s="595">
        <v>411.94</v>
      </c>
      <c r="M36" s="596">
        <f t="shared" ref="M36" si="10">N36+P36+R36+S36+T36+O36</f>
        <v>0</v>
      </c>
      <c r="N36" s="595"/>
      <c r="O36" s="595"/>
      <c r="P36" s="595"/>
      <c r="Q36" s="621"/>
      <c r="R36" s="595"/>
      <c r="S36" s="595"/>
      <c r="T36" s="595"/>
      <c r="U36" s="596">
        <f t="shared" si="5"/>
        <v>2727.9</v>
      </c>
      <c r="V36" s="595">
        <f t="shared" si="1"/>
        <v>0</v>
      </c>
      <c r="W36" s="595">
        <f t="shared" si="2"/>
        <v>0</v>
      </c>
      <c r="X36" s="595">
        <f t="shared" si="2"/>
        <v>2315.96</v>
      </c>
      <c r="Y36" s="621"/>
      <c r="Z36" s="595">
        <f t="shared" si="3"/>
        <v>0</v>
      </c>
      <c r="AA36" s="595">
        <f t="shared" si="3"/>
        <v>0</v>
      </c>
      <c r="AB36" s="595">
        <f t="shared" si="3"/>
        <v>411.94</v>
      </c>
    </row>
    <row r="37" spans="1:29" s="614" customFormat="1" x14ac:dyDescent="0.2">
      <c r="A37" s="624" t="s">
        <v>1264</v>
      </c>
      <c r="B37" s="624"/>
      <c r="C37" s="624"/>
      <c r="D37" s="624"/>
      <c r="E37" s="596">
        <f>SUM(E36)</f>
        <v>2727.9</v>
      </c>
      <c r="F37" s="596">
        <f t="shared" ref="F37:L37" si="11">SUM(F36)</f>
        <v>0</v>
      </c>
      <c r="G37" s="596">
        <f t="shared" si="11"/>
        <v>0</v>
      </c>
      <c r="H37" s="596">
        <f t="shared" si="11"/>
        <v>2315.96</v>
      </c>
      <c r="I37" s="626"/>
      <c r="J37" s="596">
        <f t="shared" si="11"/>
        <v>0</v>
      </c>
      <c r="K37" s="596">
        <f t="shared" si="11"/>
        <v>0</v>
      </c>
      <c r="L37" s="596">
        <f t="shared" si="11"/>
        <v>411.94</v>
      </c>
      <c r="M37" s="596">
        <f t="shared" ref="M37:T37" si="12">SUM(M35:M36)</f>
        <v>0</v>
      </c>
      <c r="N37" s="596">
        <f t="shared" si="12"/>
        <v>0</v>
      </c>
      <c r="O37" s="596">
        <f t="shared" si="12"/>
        <v>0</v>
      </c>
      <c r="P37" s="596">
        <f t="shared" si="12"/>
        <v>0</v>
      </c>
      <c r="Q37" s="626"/>
      <c r="R37" s="596">
        <f t="shared" si="12"/>
        <v>0</v>
      </c>
      <c r="S37" s="596">
        <f t="shared" si="12"/>
        <v>0</v>
      </c>
      <c r="T37" s="596">
        <f t="shared" si="12"/>
        <v>0</v>
      </c>
      <c r="U37" s="596">
        <f t="shared" si="5"/>
        <v>2727.9</v>
      </c>
      <c r="V37" s="596">
        <f t="shared" si="1"/>
        <v>0</v>
      </c>
      <c r="W37" s="596">
        <f t="shared" si="2"/>
        <v>0</v>
      </c>
      <c r="X37" s="596">
        <f t="shared" si="2"/>
        <v>2315.96</v>
      </c>
      <c r="Y37" s="626">
        <f t="shared" si="9"/>
        <v>0</v>
      </c>
      <c r="Z37" s="596">
        <f t="shared" si="3"/>
        <v>0</v>
      </c>
      <c r="AA37" s="596">
        <f t="shared" si="3"/>
        <v>0</v>
      </c>
      <c r="AB37" s="596">
        <f t="shared" si="3"/>
        <v>411.94</v>
      </c>
      <c r="AC37" s="627"/>
    </row>
    <row r="38" spans="1:29" s="614" customFormat="1" ht="78.75" x14ac:dyDescent="0.2">
      <c r="A38" s="618" t="s">
        <v>748</v>
      </c>
      <c r="B38" s="619" t="s">
        <v>747</v>
      </c>
      <c r="C38" s="620">
        <v>119</v>
      </c>
      <c r="D38" s="620">
        <v>213</v>
      </c>
      <c r="E38" s="596">
        <f t="shared" si="0"/>
        <v>707317.97</v>
      </c>
      <c r="F38" s="595"/>
      <c r="G38" s="595">
        <f>'[7]Прилож 4 23 (7)'!W38</f>
        <v>0</v>
      </c>
      <c r="H38" s="595">
        <v>707317.97</v>
      </c>
      <c r="I38" s="628"/>
      <c r="J38" s="595"/>
      <c r="K38" s="595"/>
      <c r="L38" s="595"/>
      <c r="M38" s="596">
        <f t="shared" si="4"/>
        <v>0</v>
      </c>
      <c r="N38" s="595"/>
      <c r="O38" s="595"/>
      <c r="P38" s="595"/>
      <c r="Q38" s="628"/>
      <c r="R38" s="595"/>
      <c r="S38" s="595"/>
      <c r="T38" s="595"/>
      <c r="U38" s="596">
        <f t="shared" si="5"/>
        <v>707317.97</v>
      </c>
      <c r="V38" s="595">
        <f t="shared" si="1"/>
        <v>0</v>
      </c>
      <c r="W38" s="595">
        <f t="shared" si="2"/>
        <v>0</v>
      </c>
      <c r="X38" s="595">
        <f t="shared" si="2"/>
        <v>707317.97</v>
      </c>
      <c r="Y38" s="628"/>
      <c r="Z38" s="595">
        <f t="shared" si="3"/>
        <v>0</v>
      </c>
      <c r="AA38" s="595">
        <f t="shared" si="3"/>
        <v>0</v>
      </c>
      <c r="AB38" s="595">
        <f t="shared" si="3"/>
        <v>0</v>
      </c>
      <c r="AC38" s="622"/>
    </row>
    <row r="39" spans="1:29" s="614" customFormat="1" ht="78.75" x14ac:dyDescent="0.2">
      <c r="A39" s="618" t="s">
        <v>748</v>
      </c>
      <c r="B39" s="619" t="s">
        <v>729</v>
      </c>
      <c r="C39" s="620">
        <v>119</v>
      </c>
      <c r="D39" s="620">
        <v>213</v>
      </c>
      <c r="E39" s="596">
        <f t="shared" si="0"/>
        <v>214900</v>
      </c>
      <c r="F39" s="595"/>
      <c r="G39" s="595"/>
      <c r="H39" s="595">
        <v>214900</v>
      </c>
      <c r="I39" s="628"/>
      <c r="J39" s="595"/>
      <c r="K39" s="595"/>
      <c r="L39" s="595"/>
      <c r="M39" s="596">
        <f t="shared" si="4"/>
        <v>0</v>
      </c>
      <c r="N39" s="595"/>
      <c r="O39" s="595"/>
      <c r="P39" s="595"/>
      <c r="Q39" s="628"/>
      <c r="R39" s="595"/>
      <c r="S39" s="595"/>
      <c r="T39" s="595"/>
      <c r="U39" s="596">
        <f t="shared" si="5"/>
        <v>214900</v>
      </c>
      <c r="V39" s="595">
        <f t="shared" si="1"/>
        <v>0</v>
      </c>
      <c r="W39" s="595">
        <f t="shared" si="2"/>
        <v>0</v>
      </c>
      <c r="X39" s="595">
        <f t="shared" si="2"/>
        <v>214900</v>
      </c>
      <c r="Y39" s="628"/>
      <c r="Z39" s="595">
        <f t="shared" si="3"/>
        <v>0</v>
      </c>
      <c r="AA39" s="595">
        <f t="shared" si="3"/>
        <v>0</v>
      </c>
      <c r="AB39" s="595">
        <f t="shared" si="3"/>
        <v>0</v>
      </c>
      <c r="AC39" s="622"/>
    </row>
    <row r="40" spans="1:29" s="614" customFormat="1" ht="94.5" x14ac:dyDescent="0.2">
      <c r="A40" s="618" t="s">
        <v>944</v>
      </c>
      <c r="B40" s="619" t="s">
        <v>729</v>
      </c>
      <c r="C40" s="620">
        <v>119</v>
      </c>
      <c r="D40" s="620">
        <v>213</v>
      </c>
      <c r="E40" s="596">
        <f t="shared" si="0"/>
        <v>0</v>
      </c>
      <c r="F40" s="595"/>
      <c r="G40" s="595"/>
      <c r="H40" s="595">
        <f>'[7]Прилож 4 23 (7)'!X40</f>
        <v>0</v>
      </c>
      <c r="I40" s="628"/>
      <c r="J40" s="595"/>
      <c r="K40" s="595"/>
      <c r="L40" s="595"/>
      <c r="M40" s="596">
        <f t="shared" si="4"/>
        <v>0</v>
      </c>
      <c r="N40" s="595"/>
      <c r="O40" s="595"/>
      <c r="P40" s="595"/>
      <c r="Q40" s="628"/>
      <c r="R40" s="595"/>
      <c r="S40" s="595"/>
      <c r="T40" s="595"/>
      <c r="U40" s="596">
        <f t="shared" si="5"/>
        <v>0</v>
      </c>
      <c r="V40" s="595">
        <f t="shared" si="1"/>
        <v>0</v>
      </c>
      <c r="W40" s="595">
        <f t="shared" si="2"/>
        <v>0</v>
      </c>
      <c r="X40" s="595">
        <f t="shared" si="2"/>
        <v>0</v>
      </c>
      <c r="Y40" s="628"/>
      <c r="Z40" s="595">
        <f t="shared" si="3"/>
        <v>0</v>
      </c>
      <c r="AA40" s="595">
        <f t="shared" si="3"/>
        <v>0</v>
      </c>
      <c r="AB40" s="595">
        <f t="shared" si="3"/>
        <v>0</v>
      </c>
      <c r="AC40" s="622"/>
    </row>
    <row r="41" spans="1:29" s="614" customFormat="1" ht="78.75" x14ac:dyDescent="0.2">
      <c r="A41" s="618" t="s">
        <v>748</v>
      </c>
      <c r="B41" s="619" t="s">
        <v>64</v>
      </c>
      <c r="C41" s="620">
        <v>119</v>
      </c>
      <c r="D41" s="620">
        <v>213</v>
      </c>
      <c r="E41" s="596">
        <f t="shared" si="0"/>
        <v>19446</v>
      </c>
      <c r="F41" s="595"/>
      <c r="G41" s="595"/>
      <c r="H41" s="595">
        <f>'[7]Прилож 4 23 (7)'!X41</f>
        <v>0</v>
      </c>
      <c r="I41" s="623" t="s">
        <v>1235</v>
      </c>
      <c r="J41" s="595"/>
      <c r="K41" s="595">
        <v>19446</v>
      </c>
      <c r="L41" s="595"/>
      <c r="M41" s="596">
        <f t="shared" si="4"/>
        <v>0</v>
      </c>
      <c r="N41" s="595"/>
      <c r="O41" s="595"/>
      <c r="P41" s="595"/>
      <c r="Q41" s="628"/>
      <c r="R41" s="595"/>
      <c r="S41" s="595"/>
      <c r="T41" s="595"/>
      <c r="U41" s="596">
        <f t="shared" si="5"/>
        <v>19446</v>
      </c>
      <c r="V41" s="595">
        <f t="shared" si="1"/>
        <v>0</v>
      </c>
      <c r="W41" s="595">
        <f t="shared" si="2"/>
        <v>0</v>
      </c>
      <c r="X41" s="595">
        <f t="shared" si="2"/>
        <v>0</v>
      </c>
      <c r="Y41" s="621" t="s">
        <v>1235</v>
      </c>
      <c r="Z41" s="595">
        <f t="shared" si="3"/>
        <v>0</v>
      </c>
      <c r="AA41" s="595">
        <f t="shared" si="3"/>
        <v>19446</v>
      </c>
      <c r="AB41" s="595">
        <f t="shared" si="3"/>
        <v>0</v>
      </c>
      <c r="AC41" s="622"/>
    </row>
    <row r="42" spans="1:29" s="614" customFormat="1" ht="78.75" x14ac:dyDescent="0.2">
      <c r="A42" s="618" t="s">
        <v>748</v>
      </c>
      <c r="B42" s="619" t="s">
        <v>691</v>
      </c>
      <c r="C42" s="620">
        <v>119</v>
      </c>
      <c r="D42" s="620">
        <v>213</v>
      </c>
      <c r="E42" s="596">
        <f t="shared" si="0"/>
        <v>16917.36</v>
      </c>
      <c r="F42" s="595"/>
      <c r="G42" s="595"/>
      <c r="H42" s="595">
        <v>14362.7</v>
      </c>
      <c r="I42" s="629"/>
      <c r="J42" s="595"/>
      <c r="K42" s="595"/>
      <c r="L42" s="595">
        <v>2554.66</v>
      </c>
      <c r="M42" s="596">
        <f t="shared" si="4"/>
        <v>0</v>
      </c>
      <c r="N42" s="595"/>
      <c r="O42" s="595"/>
      <c r="P42" s="595"/>
      <c r="Q42" s="628"/>
      <c r="R42" s="595"/>
      <c r="S42" s="595"/>
      <c r="T42" s="595"/>
      <c r="U42" s="596">
        <f t="shared" si="5"/>
        <v>16917.36</v>
      </c>
      <c r="V42" s="595">
        <f t="shared" si="1"/>
        <v>0</v>
      </c>
      <c r="W42" s="595">
        <f t="shared" si="2"/>
        <v>0</v>
      </c>
      <c r="X42" s="595">
        <f t="shared" si="2"/>
        <v>14362.7</v>
      </c>
      <c r="Y42" s="628"/>
      <c r="Z42" s="595">
        <f t="shared" si="3"/>
        <v>0</v>
      </c>
      <c r="AA42" s="595">
        <f t="shared" si="3"/>
        <v>0</v>
      </c>
      <c r="AB42" s="595">
        <f t="shared" si="3"/>
        <v>2554.66</v>
      </c>
      <c r="AC42" s="622"/>
    </row>
    <row r="43" spans="1:29" s="614" customFormat="1" x14ac:dyDescent="0.2">
      <c r="A43" s="630" t="s">
        <v>733</v>
      </c>
      <c r="B43" s="631"/>
      <c r="C43" s="624"/>
      <c r="D43" s="624"/>
      <c r="E43" s="596">
        <f>L43+K43+J43+H43+G43+F43</f>
        <v>958581.33</v>
      </c>
      <c r="F43" s="596"/>
      <c r="G43" s="596"/>
      <c r="H43" s="596">
        <f t="shared" ref="H43:L43" si="13">SUM(H38:H42)</f>
        <v>936580.66999999993</v>
      </c>
      <c r="I43" s="626"/>
      <c r="J43" s="596"/>
      <c r="K43" s="596">
        <f t="shared" si="13"/>
        <v>19446</v>
      </c>
      <c r="L43" s="596">
        <f t="shared" si="13"/>
        <v>2554.66</v>
      </c>
      <c r="M43" s="596">
        <f t="shared" ref="M43:T43" si="14">SUM(M38:M42)</f>
        <v>0</v>
      </c>
      <c r="N43" s="596">
        <f t="shared" si="14"/>
        <v>0</v>
      </c>
      <c r="O43" s="596">
        <f t="shared" si="14"/>
        <v>0</v>
      </c>
      <c r="P43" s="596">
        <f t="shared" si="14"/>
        <v>0</v>
      </c>
      <c r="Q43" s="626"/>
      <c r="R43" s="596">
        <f t="shared" si="14"/>
        <v>0</v>
      </c>
      <c r="S43" s="596">
        <f t="shared" si="14"/>
        <v>0</v>
      </c>
      <c r="T43" s="596">
        <f t="shared" si="14"/>
        <v>0</v>
      </c>
      <c r="U43" s="596">
        <f t="shared" si="5"/>
        <v>958581.33</v>
      </c>
      <c r="V43" s="596">
        <f t="shared" si="1"/>
        <v>0</v>
      </c>
      <c r="W43" s="596">
        <f t="shared" si="2"/>
        <v>0</v>
      </c>
      <c r="X43" s="596">
        <f t="shared" si="2"/>
        <v>936580.66999999993</v>
      </c>
      <c r="Y43" s="626"/>
      <c r="Z43" s="596">
        <f t="shared" si="3"/>
        <v>0</v>
      </c>
      <c r="AA43" s="596">
        <f t="shared" si="3"/>
        <v>19446</v>
      </c>
      <c r="AB43" s="596">
        <f t="shared" si="3"/>
        <v>2554.66</v>
      </c>
      <c r="AC43" s="627"/>
    </row>
    <row r="44" spans="1:29" ht="31.5" x14ac:dyDescent="0.2">
      <c r="A44" s="618" t="s">
        <v>1183</v>
      </c>
      <c r="B44" s="619" t="s">
        <v>747</v>
      </c>
      <c r="C44" s="620">
        <v>244</v>
      </c>
      <c r="D44" s="620">
        <v>221</v>
      </c>
      <c r="E44" s="596">
        <f t="shared" si="0"/>
        <v>14452.3</v>
      </c>
      <c r="F44" s="595">
        <f>'[7]Прилож 4 23 (7)'!V44</f>
        <v>0</v>
      </c>
      <c r="G44" s="595">
        <f>'[7]Прилож 4 23 (7)'!W44</f>
        <v>0</v>
      </c>
      <c r="H44" s="595">
        <v>14452.3</v>
      </c>
      <c r="I44" s="628"/>
      <c r="J44" s="595">
        <f>'[7]Прилож 4 23 (7)'!Z44</f>
        <v>0</v>
      </c>
      <c r="K44" s="595">
        <f>'[7]Прилож 4 23 (7)'!AA44</f>
        <v>0</v>
      </c>
      <c r="L44" s="595">
        <f>'[7]Прилож 4 23 (7)'!AB44</f>
        <v>0</v>
      </c>
      <c r="M44" s="596">
        <f t="shared" si="4"/>
        <v>0</v>
      </c>
      <c r="N44" s="595"/>
      <c r="O44" s="595"/>
      <c r="P44" s="595"/>
      <c r="Q44" s="621"/>
      <c r="R44" s="595"/>
      <c r="S44" s="595"/>
      <c r="T44" s="595"/>
      <c r="U44" s="596">
        <f t="shared" si="5"/>
        <v>14452.3</v>
      </c>
      <c r="V44" s="595">
        <f t="shared" si="1"/>
        <v>0</v>
      </c>
      <c r="W44" s="595">
        <f t="shared" si="2"/>
        <v>0</v>
      </c>
      <c r="X44" s="595">
        <f t="shared" si="2"/>
        <v>14452.3</v>
      </c>
      <c r="Y44" s="628"/>
      <c r="Z44" s="595">
        <f t="shared" si="3"/>
        <v>0</v>
      </c>
      <c r="AA44" s="595">
        <f t="shared" si="3"/>
        <v>0</v>
      </c>
      <c r="AB44" s="595">
        <f t="shared" si="3"/>
        <v>0</v>
      </c>
    </row>
    <row r="45" spans="1:29" x14ac:dyDescent="0.2">
      <c r="A45" s="618" t="s">
        <v>1184</v>
      </c>
      <c r="B45" s="619" t="s">
        <v>747</v>
      </c>
      <c r="C45" s="620">
        <v>244</v>
      </c>
      <c r="D45" s="620">
        <v>221</v>
      </c>
      <c r="E45" s="596">
        <f t="shared" si="0"/>
        <v>36000</v>
      </c>
      <c r="F45" s="595">
        <f>'[7]Прилож 4 23 (7)'!V45</f>
        <v>0</v>
      </c>
      <c r="G45" s="595">
        <f>'[7]Прилож 4 23 (7)'!W45</f>
        <v>0</v>
      </c>
      <c r="H45" s="595">
        <v>36000</v>
      </c>
      <c r="I45" s="628"/>
      <c r="J45" s="595">
        <f>'[7]Прилож 4 23 (7)'!Z45</f>
        <v>0</v>
      </c>
      <c r="K45" s="595">
        <f>'[7]Прилож 4 23 (7)'!AA45</f>
        <v>0</v>
      </c>
      <c r="L45" s="595">
        <f>'[7]Прилож 4 23 (7)'!AB45</f>
        <v>0</v>
      </c>
      <c r="M45" s="596">
        <f t="shared" si="4"/>
        <v>0</v>
      </c>
      <c r="N45" s="595"/>
      <c r="O45" s="595"/>
      <c r="P45" s="595"/>
      <c r="Q45" s="621"/>
      <c r="R45" s="595"/>
      <c r="S45" s="595"/>
      <c r="T45" s="595"/>
      <c r="U45" s="596">
        <f t="shared" si="5"/>
        <v>36000</v>
      </c>
      <c r="V45" s="595">
        <f t="shared" si="1"/>
        <v>0</v>
      </c>
      <c r="W45" s="595">
        <f t="shared" si="2"/>
        <v>0</v>
      </c>
      <c r="X45" s="595">
        <f t="shared" si="2"/>
        <v>36000</v>
      </c>
      <c r="Y45" s="628"/>
      <c r="Z45" s="595">
        <f t="shared" si="3"/>
        <v>0</v>
      </c>
      <c r="AA45" s="595">
        <f t="shared" si="3"/>
        <v>0</v>
      </c>
      <c r="AB45" s="595">
        <f t="shared" si="3"/>
        <v>0</v>
      </c>
    </row>
    <row r="46" spans="1:29" ht="31.5" x14ac:dyDescent="0.2">
      <c r="A46" s="618" t="s">
        <v>158</v>
      </c>
      <c r="B46" s="619" t="s">
        <v>747</v>
      </c>
      <c r="C46" s="620">
        <v>244</v>
      </c>
      <c r="D46" s="620">
        <v>221</v>
      </c>
      <c r="E46" s="596">
        <f t="shared" si="0"/>
        <v>6600</v>
      </c>
      <c r="F46" s="595">
        <f>'[7]Прилож 4 23 (7)'!V47</f>
        <v>0</v>
      </c>
      <c r="G46" s="595">
        <f>'[7]Прилож 4 23 (7)'!W47</f>
        <v>0</v>
      </c>
      <c r="H46" s="595">
        <f>'[7]Прилож 4 23 (7)'!X47</f>
        <v>6600</v>
      </c>
      <c r="I46" s="628"/>
      <c r="J46" s="595">
        <f>'[7]Прилож 4 23 (7)'!Z47</f>
        <v>0</v>
      </c>
      <c r="K46" s="595">
        <f>'[7]Прилож 4 23 (7)'!AA47</f>
        <v>0</v>
      </c>
      <c r="L46" s="595">
        <f>'[7]Прилож 4 23 (7)'!AB47</f>
        <v>0</v>
      </c>
      <c r="M46" s="596">
        <f t="shared" si="4"/>
        <v>0</v>
      </c>
      <c r="N46" s="595"/>
      <c r="O46" s="595"/>
      <c r="P46" s="595"/>
      <c r="Q46" s="621"/>
      <c r="R46" s="595"/>
      <c r="S46" s="595"/>
      <c r="T46" s="595"/>
      <c r="U46" s="596">
        <f t="shared" si="5"/>
        <v>6600</v>
      </c>
      <c r="V46" s="595">
        <f t="shared" si="1"/>
        <v>0</v>
      </c>
      <c r="W46" s="595">
        <f t="shared" si="2"/>
        <v>0</v>
      </c>
      <c r="X46" s="595">
        <f t="shared" si="2"/>
        <v>6600</v>
      </c>
      <c r="Y46" s="628"/>
      <c r="Z46" s="595">
        <f t="shared" si="3"/>
        <v>0</v>
      </c>
      <c r="AA46" s="595">
        <f t="shared" si="3"/>
        <v>0</v>
      </c>
      <c r="AB46" s="595">
        <f t="shared" si="3"/>
        <v>0</v>
      </c>
    </row>
    <row r="47" spans="1:29" s="637" customFormat="1" x14ac:dyDescent="0.2">
      <c r="A47" s="632" t="s">
        <v>1143</v>
      </c>
      <c r="B47" s="633" t="s">
        <v>747</v>
      </c>
      <c r="C47" s="634">
        <v>244</v>
      </c>
      <c r="D47" s="634">
        <v>221</v>
      </c>
      <c r="E47" s="597">
        <f>SUM(E44:E46)</f>
        <v>57052.3</v>
      </c>
      <c r="F47" s="597">
        <f t="shared" ref="F47:AB47" si="15">SUM(F44:F46)</f>
        <v>0</v>
      </c>
      <c r="G47" s="597">
        <f t="shared" si="15"/>
        <v>0</v>
      </c>
      <c r="H47" s="597">
        <f>SUM(H44:H46)</f>
        <v>57052.3</v>
      </c>
      <c r="I47" s="635"/>
      <c r="J47" s="597">
        <f t="shared" si="15"/>
        <v>0</v>
      </c>
      <c r="K47" s="597">
        <f t="shared" si="15"/>
        <v>0</v>
      </c>
      <c r="L47" s="597">
        <f t="shared" si="15"/>
        <v>0</v>
      </c>
      <c r="M47" s="597">
        <f t="shared" si="15"/>
        <v>0</v>
      </c>
      <c r="N47" s="597">
        <f t="shared" si="15"/>
        <v>0</v>
      </c>
      <c r="O47" s="597">
        <f t="shared" si="15"/>
        <v>0</v>
      </c>
      <c r="P47" s="597">
        <f t="shared" si="15"/>
        <v>0</v>
      </c>
      <c r="Q47" s="635"/>
      <c r="R47" s="597">
        <f t="shared" si="15"/>
        <v>0</v>
      </c>
      <c r="S47" s="597">
        <f t="shared" si="15"/>
        <v>0</v>
      </c>
      <c r="T47" s="597">
        <f t="shared" si="15"/>
        <v>0</v>
      </c>
      <c r="U47" s="597">
        <f t="shared" si="15"/>
        <v>57052.3</v>
      </c>
      <c r="V47" s="597">
        <f t="shared" si="15"/>
        <v>0</v>
      </c>
      <c r="W47" s="597">
        <f t="shared" si="15"/>
        <v>0</v>
      </c>
      <c r="X47" s="597">
        <f t="shared" si="15"/>
        <v>57052.3</v>
      </c>
      <c r="Y47" s="635"/>
      <c r="Z47" s="597">
        <f t="shared" si="15"/>
        <v>0</v>
      </c>
      <c r="AA47" s="597">
        <f t="shared" si="15"/>
        <v>0</v>
      </c>
      <c r="AB47" s="597">
        <f t="shared" si="15"/>
        <v>0</v>
      </c>
      <c r="AC47" s="636"/>
    </row>
    <row r="48" spans="1:29" ht="31.5" x14ac:dyDescent="0.2">
      <c r="A48" s="618" t="s">
        <v>1183</v>
      </c>
      <c r="B48" s="619" t="s">
        <v>729</v>
      </c>
      <c r="C48" s="620">
        <v>244</v>
      </c>
      <c r="D48" s="620">
        <v>221</v>
      </c>
      <c r="E48" s="596">
        <f t="shared" si="0"/>
        <v>44560.93</v>
      </c>
      <c r="F48" s="595">
        <f>'[7]Прилож 4 23 (7)'!V48</f>
        <v>0</v>
      </c>
      <c r="G48" s="595">
        <f>'[7]Прилож 4 23 (7)'!W48</f>
        <v>0</v>
      </c>
      <c r="H48" s="595">
        <v>44560.93</v>
      </c>
      <c r="I48" s="628"/>
      <c r="J48" s="595">
        <f>'[7]Прилож 4 23 (7)'!Z48</f>
        <v>0</v>
      </c>
      <c r="K48" s="595">
        <f>'[7]Прилож 4 23 (7)'!AA48</f>
        <v>0</v>
      </c>
      <c r="L48" s="595">
        <f>'[7]Прилож 4 23 (7)'!AB48</f>
        <v>0</v>
      </c>
      <c r="M48" s="596">
        <f t="shared" si="4"/>
        <v>0</v>
      </c>
      <c r="N48" s="595"/>
      <c r="O48" s="595"/>
      <c r="P48" s="595"/>
      <c r="Q48" s="621"/>
      <c r="R48" s="595"/>
      <c r="S48" s="595"/>
      <c r="T48" s="595"/>
      <c r="U48" s="596">
        <f t="shared" si="5"/>
        <v>44560.93</v>
      </c>
      <c r="V48" s="595">
        <f t="shared" si="1"/>
        <v>0</v>
      </c>
      <c r="W48" s="595">
        <f t="shared" si="2"/>
        <v>0</v>
      </c>
      <c r="X48" s="595">
        <f t="shared" si="2"/>
        <v>44560.93</v>
      </c>
      <c r="Y48" s="628"/>
      <c r="Z48" s="595">
        <f t="shared" si="3"/>
        <v>0</v>
      </c>
      <c r="AA48" s="595">
        <f t="shared" si="3"/>
        <v>0</v>
      </c>
      <c r="AB48" s="595">
        <f t="shared" si="3"/>
        <v>0</v>
      </c>
    </row>
    <row r="49" spans="1:29" x14ac:dyDescent="0.2">
      <c r="A49" s="618" t="s">
        <v>597</v>
      </c>
      <c r="B49" s="619" t="s">
        <v>729</v>
      </c>
      <c r="C49" s="620">
        <v>244</v>
      </c>
      <c r="D49" s="620">
        <v>221</v>
      </c>
      <c r="E49" s="596">
        <f t="shared" si="0"/>
        <v>34080</v>
      </c>
      <c r="F49" s="595">
        <f>'[7]Прилож 4 23 (7)'!V50</f>
        <v>0</v>
      </c>
      <c r="G49" s="595">
        <f>'[7]Прилож 4 23 (7)'!W50</f>
        <v>0</v>
      </c>
      <c r="H49" s="595">
        <v>34080</v>
      </c>
      <c r="I49" s="628"/>
      <c r="J49" s="595">
        <f>'[7]Прилож 4 23 (7)'!Z50</f>
        <v>0</v>
      </c>
      <c r="K49" s="595">
        <f>'[7]Прилож 4 23 (7)'!AA50</f>
        <v>0</v>
      </c>
      <c r="L49" s="595">
        <f>'[7]Прилож 4 23 (7)'!AB50</f>
        <v>0</v>
      </c>
      <c r="M49" s="596">
        <f t="shared" si="4"/>
        <v>0</v>
      </c>
      <c r="N49" s="595"/>
      <c r="O49" s="595"/>
      <c r="P49" s="595"/>
      <c r="Q49" s="621"/>
      <c r="R49" s="595"/>
      <c r="S49" s="595"/>
      <c r="T49" s="595"/>
      <c r="U49" s="596">
        <f t="shared" si="5"/>
        <v>34080</v>
      </c>
      <c r="V49" s="595">
        <f t="shared" si="1"/>
        <v>0</v>
      </c>
      <c r="W49" s="595">
        <f t="shared" si="2"/>
        <v>0</v>
      </c>
      <c r="X49" s="595">
        <f t="shared" si="2"/>
        <v>34080</v>
      </c>
      <c r="Y49" s="628"/>
      <c r="Z49" s="595">
        <f t="shared" si="3"/>
        <v>0</v>
      </c>
      <c r="AA49" s="595">
        <f t="shared" si="3"/>
        <v>0</v>
      </c>
      <c r="AB49" s="595">
        <f t="shared" si="3"/>
        <v>0</v>
      </c>
    </row>
    <row r="50" spans="1:29" ht="31.5" x14ac:dyDescent="0.2">
      <c r="A50" s="618" t="s">
        <v>158</v>
      </c>
      <c r="B50" s="619" t="s">
        <v>729</v>
      </c>
      <c r="C50" s="620">
        <v>244</v>
      </c>
      <c r="D50" s="620">
        <v>221</v>
      </c>
      <c r="E50" s="596">
        <f t="shared" si="0"/>
        <v>6600</v>
      </c>
      <c r="F50" s="595">
        <f>'[7]Прилож 4 23 (7)'!V51</f>
        <v>0</v>
      </c>
      <c r="G50" s="595">
        <f>'[7]Прилож 4 23 (7)'!W51</f>
        <v>0</v>
      </c>
      <c r="H50" s="595">
        <f>'[7]Прилож 4 23 (7)'!X51</f>
        <v>6600</v>
      </c>
      <c r="I50" s="628"/>
      <c r="J50" s="595">
        <f>'[7]Прилож 4 23 (7)'!Z51</f>
        <v>0</v>
      </c>
      <c r="K50" s="595">
        <f>'[7]Прилож 4 23 (7)'!AA51</f>
        <v>0</v>
      </c>
      <c r="L50" s="595">
        <f>'[7]Прилож 4 23 (7)'!AB51</f>
        <v>0</v>
      </c>
      <c r="M50" s="596">
        <f t="shared" si="4"/>
        <v>0</v>
      </c>
      <c r="N50" s="595"/>
      <c r="O50" s="595"/>
      <c r="P50" s="595"/>
      <c r="Q50" s="621"/>
      <c r="R50" s="595"/>
      <c r="S50" s="595"/>
      <c r="T50" s="595"/>
      <c r="U50" s="596">
        <f t="shared" si="5"/>
        <v>6600</v>
      </c>
      <c r="V50" s="595">
        <f t="shared" si="1"/>
        <v>0</v>
      </c>
      <c r="W50" s="595">
        <f t="shared" si="2"/>
        <v>0</v>
      </c>
      <c r="X50" s="595">
        <f t="shared" si="2"/>
        <v>6600</v>
      </c>
      <c r="Y50" s="628"/>
      <c r="Z50" s="595">
        <f t="shared" si="3"/>
        <v>0</v>
      </c>
      <c r="AA50" s="595">
        <f t="shared" si="3"/>
        <v>0</v>
      </c>
      <c r="AB50" s="595">
        <f t="shared" si="3"/>
        <v>0</v>
      </c>
    </row>
    <row r="51" spans="1:29" s="637" customFormat="1" x14ac:dyDescent="0.2">
      <c r="A51" s="632" t="s">
        <v>1143</v>
      </c>
      <c r="B51" s="633" t="s">
        <v>729</v>
      </c>
      <c r="C51" s="634">
        <v>244</v>
      </c>
      <c r="D51" s="634">
        <v>221</v>
      </c>
      <c r="E51" s="597">
        <f>SUM(E48:E50)</f>
        <v>85240.93</v>
      </c>
      <c r="F51" s="597">
        <f t="shared" ref="F51:AB51" si="16">SUM(F48:F50)</f>
        <v>0</v>
      </c>
      <c r="G51" s="597">
        <f t="shared" si="16"/>
        <v>0</v>
      </c>
      <c r="H51" s="597">
        <f t="shared" si="16"/>
        <v>85240.93</v>
      </c>
      <c r="I51" s="635"/>
      <c r="J51" s="597">
        <f t="shared" si="16"/>
        <v>0</v>
      </c>
      <c r="K51" s="597">
        <f t="shared" si="16"/>
        <v>0</v>
      </c>
      <c r="L51" s="597">
        <f t="shared" si="16"/>
        <v>0</v>
      </c>
      <c r="M51" s="597">
        <f t="shared" si="16"/>
        <v>0</v>
      </c>
      <c r="N51" s="597">
        <f t="shared" si="16"/>
        <v>0</v>
      </c>
      <c r="O51" s="597">
        <f t="shared" si="16"/>
        <v>0</v>
      </c>
      <c r="P51" s="597">
        <f t="shared" si="16"/>
        <v>0</v>
      </c>
      <c r="Q51" s="635"/>
      <c r="R51" s="597">
        <f t="shared" si="16"/>
        <v>0</v>
      </c>
      <c r="S51" s="597">
        <f t="shared" si="16"/>
        <v>0</v>
      </c>
      <c r="T51" s="597">
        <f t="shared" si="16"/>
        <v>0</v>
      </c>
      <c r="U51" s="597">
        <f t="shared" si="16"/>
        <v>85240.93</v>
      </c>
      <c r="V51" s="597">
        <f t="shared" si="16"/>
        <v>0</v>
      </c>
      <c r="W51" s="597">
        <f t="shared" si="16"/>
        <v>0</v>
      </c>
      <c r="X51" s="597">
        <f t="shared" si="16"/>
        <v>85240.93</v>
      </c>
      <c r="Y51" s="635"/>
      <c r="Z51" s="597">
        <f t="shared" si="16"/>
        <v>0</v>
      </c>
      <c r="AA51" s="597">
        <f t="shared" si="16"/>
        <v>0</v>
      </c>
      <c r="AB51" s="597">
        <f t="shared" si="16"/>
        <v>0</v>
      </c>
      <c r="AC51" s="636"/>
    </row>
    <row r="52" spans="1:29" s="614" customFormat="1" x14ac:dyDescent="0.2">
      <c r="A52" s="630" t="s">
        <v>734</v>
      </c>
      <c r="B52" s="631"/>
      <c r="C52" s="624"/>
      <c r="D52" s="624"/>
      <c r="E52" s="596">
        <f>E51+E47</f>
        <v>142293.22999999998</v>
      </c>
      <c r="F52" s="596">
        <f t="shared" ref="F52:AB52" si="17">F51+F47</f>
        <v>0</v>
      </c>
      <c r="G52" s="596">
        <f t="shared" si="17"/>
        <v>0</v>
      </c>
      <c r="H52" s="596">
        <f t="shared" si="17"/>
        <v>142293.22999999998</v>
      </c>
      <c r="I52" s="626"/>
      <c r="J52" s="596">
        <f t="shared" si="17"/>
        <v>0</v>
      </c>
      <c r="K52" s="596">
        <f t="shared" si="17"/>
        <v>0</v>
      </c>
      <c r="L52" s="596">
        <f t="shared" si="17"/>
        <v>0</v>
      </c>
      <c r="M52" s="596">
        <f t="shared" si="17"/>
        <v>0</v>
      </c>
      <c r="N52" s="596">
        <f t="shared" si="17"/>
        <v>0</v>
      </c>
      <c r="O52" s="596">
        <f t="shared" si="17"/>
        <v>0</v>
      </c>
      <c r="P52" s="596">
        <f t="shared" si="17"/>
        <v>0</v>
      </c>
      <c r="Q52" s="626"/>
      <c r="R52" s="596">
        <f t="shared" si="17"/>
        <v>0</v>
      </c>
      <c r="S52" s="596">
        <f t="shared" si="17"/>
        <v>0</v>
      </c>
      <c r="T52" s="596">
        <f t="shared" si="17"/>
        <v>0</v>
      </c>
      <c r="U52" s="596">
        <f t="shared" si="17"/>
        <v>142293.22999999998</v>
      </c>
      <c r="V52" s="596">
        <f t="shared" si="17"/>
        <v>0</v>
      </c>
      <c r="W52" s="596">
        <f t="shared" si="17"/>
        <v>0</v>
      </c>
      <c r="X52" s="596">
        <f t="shared" si="17"/>
        <v>142293.22999999998</v>
      </c>
      <c r="Y52" s="626"/>
      <c r="Z52" s="596">
        <f t="shared" si="17"/>
        <v>0</v>
      </c>
      <c r="AA52" s="596">
        <f t="shared" si="17"/>
        <v>0</v>
      </c>
      <c r="AB52" s="596">
        <f t="shared" si="17"/>
        <v>0</v>
      </c>
      <c r="AC52" s="627"/>
    </row>
    <row r="53" spans="1:29" x14ac:dyDescent="0.2">
      <c r="A53" s="618" t="s">
        <v>126</v>
      </c>
      <c r="B53" s="619" t="s">
        <v>747</v>
      </c>
      <c r="C53" s="620">
        <v>244</v>
      </c>
      <c r="D53" s="620">
        <v>223</v>
      </c>
      <c r="E53" s="596">
        <f t="shared" si="0"/>
        <v>30113.4</v>
      </c>
      <c r="F53" s="595">
        <f>'[7]Прилож 4 23 (7)'!V55</f>
        <v>0</v>
      </c>
      <c r="G53" s="595">
        <f>'[7]Прилож 4 23 (7)'!W55</f>
        <v>0</v>
      </c>
      <c r="H53" s="595">
        <v>30113.4</v>
      </c>
      <c r="I53" s="628"/>
      <c r="J53" s="595">
        <f>'[7]Прилож 4 23 (7)'!Z55</f>
        <v>0</v>
      </c>
      <c r="K53" s="595">
        <f>'[7]Прилож 4 23 (7)'!AA55</f>
        <v>0</v>
      </c>
      <c r="L53" s="595">
        <f>'[7]Прилож 4 23 (7)'!AB55</f>
        <v>0</v>
      </c>
      <c r="M53" s="596">
        <f t="shared" si="4"/>
        <v>0</v>
      </c>
      <c r="N53" s="595"/>
      <c r="O53" s="595"/>
      <c r="P53" s="595"/>
      <c r="Q53" s="621"/>
      <c r="R53" s="595"/>
      <c r="S53" s="595"/>
      <c r="T53" s="595"/>
      <c r="U53" s="596">
        <f t="shared" si="5"/>
        <v>30113.4</v>
      </c>
      <c r="V53" s="595">
        <f t="shared" si="1"/>
        <v>0</v>
      </c>
      <c r="W53" s="595">
        <f t="shared" si="2"/>
        <v>0</v>
      </c>
      <c r="X53" s="595">
        <f t="shared" si="2"/>
        <v>30113.4</v>
      </c>
      <c r="Y53" s="628"/>
      <c r="Z53" s="595">
        <f t="shared" si="3"/>
        <v>0</v>
      </c>
      <c r="AA53" s="595">
        <f t="shared" si="3"/>
        <v>0</v>
      </c>
      <c r="AB53" s="595">
        <f t="shared" si="3"/>
        <v>0</v>
      </c>
    </row>
    <row r="54" spans="1:29" x14ac:dyDescent="0.2">
      <c r="A54" s="618" t="s">
        <v>1261</v>
      </c>
      <c r="B54" s="619" t="s">
        <v>747</v>
      </c>
      <c r="C54" s="620">
        <v>244</v>
      </c>
      <c r="D54" s="620">
        <v>223</v>
      </c>
      <c r="E54" s="596">
        <f t="shared" si="0"/>
        <v>40636.9</v>
      </c>
      <c r="F54" s="595">
        <f>'[7]Прилож 4 23 (7)'!V56</f>
        <v>0</v>
      </c>
      <c r="G54" s="595">
        <f>'[7]Прилож 4 23 (7)'!W56</f>
        <v>0</v>
      </c>
      <c r="H54" s="595">
        <v>40636.9</v>
      </c>
      <c r="I54" s="628"/>
      <c r="J54" s="595">
        <f>'[7]Прилож 4 23 (7)'!Z56</f>
        <v>0</v>
      </c>
      <c r="K54" s="595">
        <f>'[7]Прилож 4 23 (7)'!AA56</f>
        <v>0</v>
      </c>
      <c r="L54" s="595">
        <f>'[7]Прилож 4 23 (7)'!AB56</f>
        <v>0</v>
      </c>
      <c r="M54" s="596">
        <f t="shared" si="4"/>
        <v>0</v>
      </c>
      <c r="N54" s="595"/>
      <c r="O54" s="595"/>
      <c r="P54" s="595"/>
      <c r="Q54" s="621"/>
      <c r="R54" s="595"/>
      <c r="S54" s="595"/>
      <c r="T54" s="595"/>
      <c r="U54" s="596">
        <f t="shared" si="5"/>
        <v>40636.9</v>
      </c>
      <c r="V54" s="595">
        <f t="shared" si="1"/>
        <v>0</v>
      </c>
      <c r="W54" s="595">
        <f t="shared" si="2"/>
        <v>0</v>
      </c>
      <c r="X54" s="595">
        <f t="shared" si="2"/>
        <v>40636.9</v>
      </c>
      <c r="Y54" s="628"/>
      <c r="Z54" s="595">
        <f t="shared" si="3"/>
        <v>0</v>
      </c>
      <c r="AA54" s="595">
        <f t="shared" si="3"/>
        <v>0</v>
      </c>
      <c r="AB54" s="595">
        <f t="shared" si="3"/>
        <v>0</v>
      </c>
    </row>
    <row r="55" spans="1:29" x14ac:dyDescent="0.2">
      <c r="A55" s="618" t="s">
        <v>128</v>
      </c>
      <c r="B55" s="619" t="s">
        <v>747</v>
      </c>
      <c r="C55" s="620">
        <v>244</v>
      </c>
      <c r="D55" s="620">
        <v>223</v>
      </c>
      <c r="E55" s="596">
        <f t="shared" si="0"/>
        <v>75941.84</v>
      </c>
      <c r="F55" s="595">
        <f>'[7]Прилож 4 23 (7)'!V56</f>
        <v>0</v>
      </c>
      <c r="G55" s="595">
        <f>'[7]Прилож 4 23 (7)'!W56</f>
        <v>0</v>
      </c>
      <c r="H55" s="595">
        <v>75941.84</v>
      </c>
      <c r="I55" s="628"/>
      <c r="J55" s="595">
        <f>'[7]Прилож 4 23 (7)'!Z56</f>
        <v>0</v>
      </c>
      <c r="K55" s="595">
        <f>'[7]Прилож 4 23 (7)'!AA56</f>
        <v>0</v>
      </c>
      <c r="L55" s="595">
        <f>'[7]Прилож 4 23 (7)'!AB56</f>
        <v>0</v>
      </c>
      <c r="M55" s="596">
        <f t="shared" si="4"/>
        <v>0</v>
      </c>
      <c r="N55" s="595"/>
      <c r="O55" s="595"/>
      <c r="P55" s="595"/>
      <c r="Q55" s="621"/>
      <c r="R55" s="595"/>
      <c r="S55" s="595"/>
      <c r="T55" s="595"/>
      <c r="U55" s="596">
        <f t="shared" si="5"/>
        <v>75941.84</v>
      </c>
      <c r="V55" s="595">
        <f t="shared" si="1"/>
        <v>0</v>
      </c>
      <c r="W55" s="595">
        <f t="shared" si="2"/>
        <v>0</v>
      </c>
      <c r="X55" s="595">
        <f t="shared" si="2"/>
        <v>75941.84</v>
      </c>
      <c r="Y55" s="628"/>
      <c r="Z55" s="595">
        <f t="shared" si="3"/>
        <v>0</v>
      </c>
      <c r="AA55" s="595">
        <f t="shared" si="3"/>
        <v>0</v>
      </c>
      <c r="AB55" s="595">
        <f t="shared" si="3"/>
        <v>0</v>
      </c>
    </row>
    <row r="56" spans="1:29" x14ac:dyDescent="0.2">
      <c r="A56" s="618" t="s">
        <v>1259</v>
      </c>
      <c r="B56" s="619" t="s">
        <v>747</v>
      </c>
      <c r="C56" s="620">
        <v>244</v>
      </c>
      <c r="D56" s="620">
        <v>223</v>
      </c>
      <c r="E56" s="596">
        <f t="shared" si="0"/>
        <v>78343.55</v>
      </c>
      <c r="F56" s="595">
        <f>'[7]Прилож 4 23 (7)'!V57</f>
        <v>0</v>
      </c>
      <c r="G56" s="595">
        <f>'[7]Прилож 4 23 (7)'!W57</f>
        <v>0</v>
      </c>
      <c r="H56" s="595">
        <v>78343.55</v>
      </c>
      <c r="I56" s="628"/>
      <c r="J56" s="595">
        <f>'[7]Прилож 4 23 (7)'!Z57</f>
        <v>0</v>
      </c>
      <c r="K56" s="595">
        <f>'[7]Прилож 4 23 (7)'!AA57</f>
        <v>0</v>
      </c>
      <c r="L56" s="595">
        <f>'[7]Прилож 4 23 (7)'!AB57</f>
        <v>0</v>
      </c>
      <c r="M56" s="596">
        <f t="shared" si="4"/>
        <v>0</v>
      </c>
      <c r="N56" s="595"/>
      <c r="O56" s="595"/>
      <c r="P56" s="595"/>
      <c r="Q56" s="621"/>
      <c r="R56" s="595"/>
      <c r="S56" s="595"/>
      <c r="T56" s="595"/>
      <c r="U56" s="596">
        <f t="shared" si="5"/>
        <v>78343.55</v>
      </c>
      <c r="V56" s="595">
        <f t="shared" si="1"/>
        <v>0</v>
      </c>
      <c r="W56" s="595">
        <f t="shared" si="2"/>
        <v>0</v>
      </c>
      <c r="X56" s="595">
        <f t="shared" si="2"/>
        <v>78343.55</v>
      </c>
      <c r="Y56" s="628"/>
      <c r="Z56" s="595">
        <f t="shared" si="3"/>
        <v>0</v>
      </c>
      <c r="AA56" s="595">
        <f t="shared" si="3"/>
        <v>0</v>
      </c>
      <c r="AB56" s="595">
        <f t="shared" si="3"/>
        <v>0</v>
      </c>
    </row>
    <row r="57" spans="1:29" ht="31.5" x14ac:dyDescent="0.2">
      <c r="A57" s="618" t="s">
        <v>1238</v>
      </c>
      <c r="B57" s="619" t="s">
        <v>747</v>
      </c>
      <c r="C57" s="620">
        <v>244</v>
      </c>
      <c r="D57" s="620">
        <v>223</v>
      </c>
      <c r="E57" s="596">
        <f t="shared" si="0"/>
        <v>37970.92</v>
      </c>
      <c r="F57" s="595">
        <f>'[7]Прилож 4 23 (7)'!V57</f>
        <v>0</v>
      </c>
      <c r="G57" s="595">
        <f>'[7]Прилож 4 23 (7)'!W57</f>
        <v>0</v>
      </c>
      <c r="H57" s="595">
        <v>37970.92</v>
      </c>
      <c r="I57" s="628"/>
      <c r="J57" s="595">
        <f>'[7]Прилож 4 23 (7)'!Z57</f>
        <v>0</v>
      </c>
      <c r="K57" s="595">
        <f>'[7]Прилож 4 23 (7)'!AA57</f>
        <v>0</v>
      </c>
      <c r="L57" s="595">
        <f>'[7]Прилож 4 23 (7)'!AB57</f>
        <v>0</v>
      </c>
      <c r="M57" s="596">
        <f t="shared" si="4"/>
        <v>0</v>
      </c>
      <c r="N57" s="595"/>
      <c r="O57" s="595"/>
      <c r="P57" s="595"/>
      <c r="Q57" s="621"/>
      <c r="R57" s="595"/>
      <c r="S57" s="595"/>
      <c r="T57" s="595"/>
      <c r="U57" s="596">
        <f t="shared" si="5"/>
        <v>37970.92</v>
      </c>
      <c r="V57" s="595">
        <f t="shared" si="1"/>
        <v>0</v>
      </c>
      <c r="W57" s="595">
        <f t="shared" si="2"/>
        <v>0</v>
      </c>
      <c r="X57" s="595">
        <f t="shared" si="2"/>
        <v>37970.92</v>
      </c>
      <c r="Y57" s="628"/>
      <c r="Z57" s="595">
        <f t="shared" si="3"/>
        <v>0</v>
      </c>
      <c r="AA57" s="595">
        <f t="shared" si="3"/>
        <v>0</v>
      </c>
      <c r="AB57" s="595">
        <f t="shared" si="3"/>
        <v>0</v>
      </c>
    </row>
    <row r="58" spans="1:29" ht="31.5" x14ac:dyDescent="0.2">
      <c r="A58" s="618" t="s">
        <v>1262</v>
      </c>
      <c r="B58" s="619" t="s">
        <v>747</v>
      </c>
      <c r="C58" s="620">
        <v>244</v>
      </c>
      <c r="D58" s="620">
        <v>223</v>
      </c>
      <c r="E58" s="596">
        <f t="shared" si="0"/>
        <v>39171.78</v>
      </c>
      <c r="F58" s="595">
        <f>'[7]Прилож 4 23 (7)'!V58</f>
        <v>0</v>
      </c>
      <c r="G58" s="595">
        <f>'[7]Прилож 4 23 (7)'!W58</f>
        <v>0</v>
      </c>
      <c r="H58" s="595">
        <v>39171.78</v>
      </c>
      <c r="I58" s="628"/>
      <c r="J58" s="595">
        <f>'[7]Прилож 4 23 (7)'!Z58</f>
        <v>0</v>
      </c>
      <c r="K58" s="595">
        <f>'[7]Прилож 4 23 (7)'!AA58</f>
        <v>0</v>
      </c>
      <c r="L58" s="595">
        <f>'[7]Прилож 4 23 (7)'!AB58</f>
        <v>0</v>
      </c>
      <c r="M58" s="596">
        <f t="shared" si="4"/>
        <v>0</v>
      </c>
      <c r="N58" s="595"/>
      <c r="O58" s="595"/>
      <c r="P58" s="595"/>
      <c r="Q58" s="621"/>
      <c r="R58" s="595"/>
      <c r="S58" s="595"/>
      <c r="T58" s="595"/>
      <c r="U58" s="596">
        <f t="shared" si="5"/>
        <v>39171.78</v>
      </c>
      <c r="V58" s="595">
        <f t="shared" si="1"/>
        <v>0</v>
      </c>
      <c r="W58" s="595">
        <f t="shared" si="2"/>
        <v>0</v>
      </c>
      <c r="X58" s="595">
        <f t="shared" si="2"/>
        <v>39171.78</v>
      </c>
      <c r="Y58" s="628"/>
      <c r="Z58" s="595">
        <f t="shared" si="3"/>
        <v>0</v>
      </c>
      <c r="AA58" s="595">
        <f t="shared" si="3"/>
        <v>0</v>
      </c>
      <c r="AB58" s="595">
        <f t="shared" si="3"/>
        <v>0</v>
      </c>
    </row>
    <row r="59" spans="1:29" ht="31.5" x14ac:dyDescent="0.2">
      <c r="A59" s="618" t="s">
        <v>1140</v>
      </c>
      <c r="B59" s="619" t="s">
        <v>747</v>
      </c>
      <c r="C59" s="620">
        <v>244</v>
      </c>
      <c r="D59" s="620">
        <v>223</v>
      </c>
      <c r="E59" s="596">
        <f t="shared" si="0"/>
        <v>9612.2000000000007</v>
      </c>
      <c r="F59" s="595">
        <f>'[7]Прилож 4 23 (7)'!V58</f>
        <v>0</v>
      </c>
      <c r="G59" s="595">
        <f>'[7]Прилож 4 23 (7)'!W58</f>
        <v>0</v>
      </c>
      <c r="H59" s="595">
        <v>9612.2000000000007</v>
      </c>
      <c r="I59" s="628"/>
      <c r="J59" s="595">
        <f>'[7]Прилож 4 23 (7)'!Z58</f>
        <v>0</v>
      </c>
      <c r="K59" s="595">
        <f>'[7]Прилож 4 23 (7)'!AA58</f>
        <v>0</v>
      </c>
      <c r="L59" s="595">
        <f>'[7]Прилож 4 23 (7)'!AB58</f>
        <v>0</v>
      </c>
      <c r="M59" s="596">
        <f t="shared" si="4"/>
        <v>0</v>
      </c>
      <c r="N59" s="595"/>
      <c r="O59" s="595"/>
      <c r="P59" s="595"/>
      <c r="Q59" s="621"/>
      <c r="R59" s="595"/>
      <c r="S59" s="595"/>
      <c r="T59" s="595"/>
      <c r="U59" s="596">
        <f t="shared" si="5"/>
        <v>9612.2000000000007</v>
      </c>
      <c r="V59" s="595">
        <f t="shared" si="1"/>
        <v>0</v>
      </c>
      <c r="W59" s="595">
        <f t="shared" si="2"/>
        <v>0</v>
      </c>
      <c r="X59" s="595">
        <f t="shared" si="2"/>
        <v>9612.2000000000007</v>
      </c>
      <c r="Y59" s="628"/>
      <c r="Z59" s="595">
        <f t="shared" si="3"/>
        <v>0</v>
      </c>
      <c r="AA59" s="595">
        <f t="shared" si="3"/>
        <v>0</v>
      </c>
      <c r="AB59" s="595">
        <f t="shared" si="3"/>
        <v>0</v>
      </c>
    </row>
    <row r="60" spans="1:29" ht="48.75" customHeight="1" x14ac:dyDescent="0.2">
      <c r="A60" s="618" t="s">
        <v>1141</v>
      </c>
      <c r="B60" s="619" t="s">
        <v>747</v>
      </c>
      <c r="C60" s="620">
        <v>244</v>
      </c>
      <c r="D60" s="620">
        <v>223</v>
      </c>
      <c r="E60" s="596">
        <f t="shared" si="0"/>
        <v>9008.24</v>
      </c>
      <c r="F60" s="595">
        <f>'[7]Прилож 4 23 (7)'!V59</f>
        <v>0</v>
      </c>
      <c r="G60" s="595">
        <f>'[7]Прилож 4 23 (7)'!W59</f>
        <v>0</v>
      </c>
      <c r="H60" s="595">
        <v>9008.24</v>
      </c>
      <c r="I60" s="628"/>
      <c r="J60" s="595">
        <f>'[7]Прилож 4 23 (7)'!Z59</f>
        <v>0</v>
      </c>
      <c r="K60" s="595">
        <f>'[7]Прилож 4 23 (7)'!AA59</f>
        <v>0</v>
      </c>
      <c r="L60" s="595">
        <f>'[7]Прилож 4 23 (7)'!AB59</f>
        <v>0</v>
      </c>
      <c r="M60" s="596">
        <f t="shared" si="4"/>
        <v>0</v>
      </c>
      <c r="N60" s="595"/>
      <c r="O60" s="595"/>
      <c r="P60" s="595"/>
      <c r="Q60" s="621"/>
      <c r="R60" s="595"/>
      <c r="S60" s="595"/>
      <c r="T60" s="595"/>
      <c r="U60" s="596">
        <f t="shared" si="5"/>
        <v>9008.24</v>
      </c>
      <c r="V60" s="595">
        <f t="shared" si="1"/>
        <v>0</v>
      </c>
      <c r="W60" s="595">
        <f t="shared" si="2"/>
        <v>0</v>
      </c>
      <c r="X60" s="595">
        <f t="shared" si="2"/>
        <v>9008.24</v>
      </c>
      <c r="Y60" s="628"/>
      <c r="Z60" s="595">
        <f t="shared" si="3"/>
        <v>0</v>
      </c>
      <c r="AA60" s="595">
        <f t="shared" si="3"/>
        <v>0</v>
      </c>
      <c r="AB60" s="595">
        <f t="shared" si="3"/>
        <v>0</v>
      </c>
    </row>
    <row r="61" spans="1:29" ht="48.75" customHeight="1" x14ac:dyDescent="0.2">
      <c r="A61" s="618" t="s">
        <v>130</v>
      </c>
      <c r="B61" s="619" t="s">
        <v>747</v>
      </c>
      <c r="C61" s="620">
        <v>244</v>
      </c>
      <c r="D61" s="620">
        <v>223</v>
      </c>
      <c r="E61" s="596">
        <f t="shared" si="0"/>
        <v>50838.7</v>
      </c>
      <c r="F61" s="595">
        <f>'[7]Прилож 4 23 (7)'!V60</f>
        <v>0</v>
      </c>
      <c r="G61" s="595">
        <f>'[7]Прилож 4 23 (7)'!W60</f>
        <v>0</v>
      </c>
      <c r="H61" s="595">
        <v>50838.7</v>
      </c>
      <c r="I61" s="628"/>
      <c r="J61" s="595">
        <f>'[7]Прилож 4 23 (7)'!Z60</f>
        <v>0</v>
      </c>
      <c r="K61" s="595">
        <f>'[7]Прилож 4 23 (7)'!AA60</f>
        <v>0</v>
      </c>
      <c r="L61" s="595"/>
      <c r="M61" s="596">
        <f t="shared" si="4"/>
        <v>0</v>
      </c>
      <c r="N61" s="595"/>
      <c r="O61" s="595"/>
      <c r="P61" s="595"/>
      <c r="Q61" s="621"/>
      <c r="R61" s="595"/>
      <c r="S61" s="595"/>
      <c r="T61" s="595"/>
      <c r="U61" s="596">
        <f t="shared" si="5"/>
        <v>50838.7</v>
      </c>
      <c r="V61" s="595">
        <f t="shared" si="1"/>
        <v>0</v>
      </c>
      <c r="W61" s="595">
        <f t="shared" si="2"/>
        <v>0</v>
      </c>
      <c r="X61" s="595">
        <f t="shared" si="2"/>
        <v>50838.7</v>
      </c>
      <c r="Y61" s="628"/>
      <c r="Z61" s="595">
        <f t="shared" si="3"/>
        <v>0</v>
      </c>
      <c r="AA61" s="595">
        <f t="shared" si="3"/>
        <v>0</v>
      </c>
      <c r="AB61" s="595">
        <f t="shared" si="3"/>
        <v>0</v>
      </c>
    </row>
    <row r="62" spans="1:29" s="637" customFormat="1" ht="16.5" customHeight="1" x14ac:dyDescent="0.2">
      <c r="A62" s="632" t="s">
        <v>1143</v>
      </c>
      <c r="B62" s="633" t="s">
        <v>747</v>
      </c>
      <c r="C62" s="634">
        <v>244</v>
      </c>
      <c r="D62" s="634">
        <v>223</v>
      </c>
      <c r="E62" s="597">
        <f>SUM(E53:E61)</f>
        <v>371637.53</v>
      </c>
      <c r="F62" s="597">
        <f t="shared" ref="F62:L62" si="18">SUM(F53:F61)</f>
        <v>0</v>
      </c>
      <c r="G62" s="597">
        <f t="shared" si="18"/>
        <v>0</v>
      </c>
      <c r="H62" s="597">
        <f t="shared" si="18"/>
        <v>371637.53</v>
      </c>
      <c r="I62" s="635"/>
      <c r="J62" s="597">
        <f t="shared" si="18"/>
        <v>0</v>
      </c>
      <c r="K62" s="597">
        <f t="shared" si="18"/>
        <v>0</v>
      </c>
      <c r="L62" s="597">
        <f t="shared" si="18"/>
        <v>0</v>
      </c>
      <c r="M62" s="597"/>
      <c r="N62" s="598"/>
      <c r="O62" s="598"/>
      <c r="P62" s="598"/>
      <c r="Q62" s="638"/>
      <c r="R62" s="598"/>
      <c r="S62" s="598"/>
      <c r="T62" s="598"/>
      <c r="U62" s="596">
        <f t="shared" si="5"/>
        <v>371637.53</v>
      </c>
      <c r="V62" s="598"/>
      <c r="W62" s="598"/>
      <c r="X62" s="595">
        <f t="shared" si="2"/>
        <v>371637.53</v>
      </c>
      <c r="Y62" s="639"/>
      <c r="Z62" s="598"/>
      <c r="AA62" s="598"/>
      <c r="AB62" s="598"/>
      <c r="AC62" s="636"/>
    </row>
    <row r="63" spans="1:29" x14ac:dyDescent="0.2">
      <c r="A63" s="618" t="s">
        <v>126</v>
      </c>
      <c r="B63" s="619" t="s">
        <v>729</v>
      </c>
      <c r="C63" s="620">
        <v>244</v>
      </c>
      <c r="D63" s="620">
        <v>223</v>
      </c>
      <c r="E63" s="596">
        <f t="shared" si="0"/>
        <v>9511.2999999999993</v>
      </c>
      <c r="F63" s="595">
        <f>'[7]Прилож 4 23 (7)'!V60</f>
        <v>0</v>
      </c>
      <c r="G63" s="595">
        <f>'[7]Прилож 4 23 (7)'!W60</f>
        <v>0</v>
      </c>
      <c r="H63" s="595">
        <v>9511.2999999999993</v>
      </c>
      <c r="I63" s="628"/>
      <c r="J63" s="595">
        <f>'[7]Прилож 4 23 (7)'!Z60</f>
        <v>0</v>
      </c>
      <c r="K63" s="595">
        <f>'[7]Прилож 4 23 (7)'!AA60</f>
        <v>0</v>
      </c>
      <c r="L63" s="595"/>
      <c r="M63" s="596">
        <f t="shared" si="4"/>
        <v>0</v>
      </c>
      <c r="N63" s="595"/>
      <c r="O63" s="595"/>
      <c r="P63" s="595"/>
      <c r="Q63" s="621"/>
      <c r="R63" s="595"/>
      <c r="S63" s="595"/>
      <c r="T63" s="595"/>
      <c r="U63" s="596">
        <f t="shared" si="5"/>
        <v>9511.2999999999993</v>
      </c>
      <c r="V63" s="595">
        <f t="shared" si="1"/>
        <v>0</v>
      </c>
      <c r="W63" s="595">
        <f t="shared" si="2"/>
        <v>0</v>
      </c>
      <c r="X63" s="595">
        <f t="shared" si="2"/>
        <v>9511.2999999999993</v>
      </c>
      <c r="Y63" s="628"/>
      <c r="Z63" s="595">
        <f t="shared" si="3"/>
        <v>0</v>
      </c>
      <c r="AA63" s="595">
        <f t="shared" si="3"/>
        <v>0</v>
      </c>
      <c r="AB63" s="595">
        <f t="shared" si="3"/>
        <v>0</v>
      </c>
    </row>
    <row r="64" spans="1:29" x14ac:dyDescent="0.2">
      <c r="A64" s="618" t="s">
        <v>127</v>
      </c>
      <c r="B64" s="619" t="s">
        <v>729</v>
      </c>
      <c r="C64" s="620">
        <v>244</v>
      </c>
      <c r="D64" s="620">
        <v>223</v>
      </c>
      <c r="E64" s="596">
        <f t="shared" si="0"/>
        <v>4191.91</v>
      </c>
      <c r="F64" s="595">
        <f>'[7]Прилож 4 23 (7)'!V61</f>
        <v>0</v>
      </c>
      <c r="G64" s="595">
        <f>'[7]Прилож 4 23 (7)'!W61</f>
        <v>0</v>
      </c>
      <c r="H64" s="595">
        <v>4191.91</v>
      </c>
      <c r="I64" s="628"/>
      <c r="J64" s="595">
        <f>'[7]Прилож 4 23 (7)'!Z61</f>
        <v>0</v>
      </c>
      <c r="K64" s="595">
        <f>'[7]Прилож 4 23 (7)'!AA61</f>
        <v>0</v>
      </c>
      <c r="L64" s="595"/>
      <c r="M64" s="596">
        <f t="shared" si="4"/>
        <v>0</v>
      </c>
      <c r="N64" s="595"/>
      <c r="O64" s="595"/>
      <c r="P64" s="595"/>
      <c r="Q64" s="621"/>
      <c r="R64" s="595"/>
      <c r="S64" s="595"/>
      <c r="T64" s="595"/>
      <c r="U64" s="596">
        <f t="shared" si="5"/>
        <v>4191.91</v>
      </c>
      <c r="V64" s="595">
        <f t="shared" si="1"/>
        <v>0</v>
      </c>
      <c r="W64" s="595">
        <f t="shared" si="2"/>
        <v>0</v>
      </c>
      <c r="X64" s="595">
        <f t="shared" si="2"/>
        <v>4191.91</v>
      </c>
      <c r="Y64" s="628"/>
      <c r="Z64" s="595">
        <f t="shared" si="3"/>
        <v>0</v>
      </c>
      <c r="AA64" s="595">
        <f t="shared" si="3"/>
        <v>0</v>
      </c>
      <c r="AB64" s="595">
        <f t="shared" si="3"/>
        <v>0</v>
      </c>
    </row>
    <row r="65" spans="1:29" x14ac:dyDescent="0.2">
      <c r="A65" s="618" t="s">
        <v>128</v>
      </c>
      <c r="B65" s="619" t="s">
        <v>729</v>
      </c>
      <c r="C65" s="620">
        <v>244</v>
      </c>
      <c r="D65" s="620">
        <v>223</v>
      </c>
      <c r="E65" s="596">
        <f t="shared" si="0"/>
        <v>19267.8</v>
      </c>
      <c r="F65" s="595">
        <f>'[7]Прилож 4 23 (7)'!V61</f>
        <v>0</v>
      </c>
      <c r="G65" s="595">
        <f>'[7]Прилож 4 23 (7)'!W61</f>
        <v>0</v>
      </c>
      <c r="H65" s="595">
        <v>19267.8</v>
      </c>
      <c r="I65" s="628"/>
      <c r="J65" s="595">
        <f>'[7]Прилож 4 23 (7)'!Z61</f>
        <v>0</v>
      </c>
      <c r="K65" s="595">
        <f>'[7]Прилож 4 23 (7)'!AA61</f>
        <v>0</v>
      </c>
      <c r="L65" s="595"/>
      <c r="M65" s="596">
        <f t="shared" si="4"/>
        <v>0</v>
      </c>
      <c r="N65" s="595"/>
      <c r="O65" s="595"/>
      <c r="P65" s="595"/>
      <c r="Q65" s="621"/>
      <c r="R65" s="595"/>
      <c r="S65" s="595"/>
      <c r="T65" s="595"/>
      <c r="U65" s="596">
        <f t="shared" si="5"/>
        <v>19267.8</v>
      </c>
      <c r="V65" s="595">
        <f t="shared" si="1"/>
        <v>0</v>
      </c>
      <c r="W65" s="595">
        <f t="shared" si="2"/>
        <v>0</v>
      </c>
      <c r="X65" s="595">
        <f t="shared" si="2"/>
        <v>19267.8</v>
      </c>
      <c r="Y65" s="628"/>
      <c r="Z65" s="595">
        <f t="shared" si="3"/>
        <v>0</v>
      </c>
      <c r="AA65" s="595">
        <f t="shared" si="3"/>
        <v>0</v>
      </c>
      <c r="AB65" s="595">
        <f t="shared" si="3"/>
        <v>0</v>
      </c>
    </row>
    <row r="66" spans="1:29" x14ac:dyDescent="0.2">
      <c r="A66" s="618" t="s">
        <v>129</v>
      </c>
      <c r="B66" s="619" t="s">
        <v>729</v>
      </c>
      <c r="C66" s="620">
        <v>244</v>
      </c>
      <c r="D66" s="620">
        <v>223</v>
      </c>
      <c r="E66" s="596">
        <f t="shared" si="0"/>
        <v>12829.48</v>
      </c>
      <c r="F66" s="595">
        <f>'[7]Прилож 4 23 (7)'!V62</f>
        <v>0</v>
      </c>
      <c r="G66" s="595">
        <f>'[7]Прилож 4 23 (7)'!W62</f>
        <v>0</v>
      </c>
      <c r="H66" s="595">
        <v>12829.48</v>
      </c>
      <c r="I66" s="628"/>
      <c r="J66" s="595">
        <f>'[7]Прилож 4 23 (7)'!Z62</f>
        <v>0</v>
      </c>
      <c r="K66" s="595">
        <f>'[7]Прилож 4 23 (7)'!AA62</f>
        <v>0</v>
      </c>
      <c r="L66" s="595"/>
      <c r="M66" s="596">
        <f t="shared" si="4"/>
        <v>0</v>
      </c>
      <c r="N66" s="595"/>
      <c r="O66" s="595"/>
      <c r="P66" s="595"/>
      <c r="Q66" s="621"/>
      <c r="R66" s="595"/>
      <c r="S66" s="595"/>
      <c r="T66" s="595"/>
      <c r="U66" s="596">
        <f t="shared" si="5"/>
        <v>12829.48</v>
      </c>
      <c r="V66" s="595">
        <f t="shared" si="1"/>
        <v>0</v>
      </c>
      <c r="W66" s="595">
        <f t="shared" si="2"/>
        <v>0</v>
      </c>
      <c r="X66" s="595">
        <f t="shared" si="2"/>
        <v>12829.48</v>
      </c>
      <c r="Y66" s="628"/>
      <c r="Z66" s="595">
        <f t="shared" si="3"/>
        <v>0</v>
      </c>
      <c r="AA66" s="595">
        <f t="shared" si="3"/>
        <v>0</v>
      </c>
      <c r="AB66" s="595">
        <f t="shared" si="3"/>
        <v>0</v>
      </c>
    </row>
    <row r="67" spans="1:29" ht="31.5" x14ac:dyDescent="0.2">
      <c r="A67" s="618" t="s">
        <v>1238</v>
      </c>
      <c r="B67" s="619" t="s">
        <v>729</v>
      </c>
      <c r="C67" s="620">
        <v>244</v>
      </c>
      <c r="D67" s="620">
        <v>223</v>
      </c>
      <c r="E67" s="596">
        <f t="shared" si="0"/>
        <v>9633.9</v>
      </c>
      <c r="F67" s="595">
        <f>'[7]Прилож 4 23 (7)'!V61</f>
        <v>0</v>
      </c>
      <c r="G67" s="595">
        <f>'[7]Прилож 4 23 (7)'!W61</f>
        <v>0</v>
      </c>
      <c r="H67" s="595">
        <v>9633.9</v>
      </c>
      <c r="I67" s="628"/>
      <c r="J67" s="595">
        <f>'[7]Прилож 4 23 (7)'!Z61</f>
        <v>0</v>
      </c>
      <c r="K67" s="595">
        <f>'[7]Прилож 4 23 (7)'!AA61</f>
        <v>0</v>
      </c>
      <c r="L67" s="595"/>
      <c r="M67" s="596">
        <f t="shared" si="4"/>
        <v>0</v>
      </c>
      <c r="N67" s="595"/>
      <c r="O67" s="595"/>
      <c r="P67" s="595"/>
      <c r="Q67" s="621"/>
      <c r="R67" s="595"/>
      <c r="S67" s="595"/>
      <c r="T67" s="595"/>
      <c r="U67" s="596">
        <f t="shared" si="5"/>
        <v>9633.9</v>
      </c>
      <c r="V67" s="595">
        <f t="shared" si="1"/>
        <v>0</v>
      </c>
      <c r="W67" s="595">
        <f t="shared" si="2"/>
        <v>0</v>
      </c>
      <c r="X67" s="595">
        <f t="shared" si="2"/>
        <v>9633.9</v>
      </c>
      <c r="Y67" s="628"/>
      <c r="Z67" s="595">
        <f t="shared" si="3"/>
        <v>0</v>
      </c>
      <c r="AA67" s="595">
        <f t="shared" si="3"/>
        <v>0</v>
      </c>
      <c r="AB67" s="595">
        <f t="shared" si="3"/>
        <v>0</v>
      </c>
    </row>
    <row r="68" spans="1:29" ht="31.5" x14ac:dyDescent="0.2">
      <c r="A68" s="618" t="s">
        <v>1239</v>
      </c>
      <c r="B68" s="619" t="s">
        <v>729</v>
      </c>
      <c r="C68" s="620">
        <v>244</v>
      </c>
      <c r="D68" s="620">
        <v>223</v>
      </c>
      <c r="E68" s="596">
        <f t="shared" si="0"/>
        <v>6414.74</v>
      </c>
      <c r="F68" s="595">
        <f>'[7]Прилож 4 23 (7)'!V62</f>
        <v>0</v>
      </c>
      <c r="G68" s="595">
        <f>'[7]Прилож 4 23 (7)'!W62</f>
        <v>0</v>
      </c>
      <c r="H68" s="595">
        <v>6414.74</v>
      </c>
      <c r="I68" s="628"/>
      <c r="J68" s="595">
        <f>'[7]Прилож 4 23 (7)'!Z62</f>
        <v>0</v>
      </c>
      <c r="K68" s="595">
        <f>'[7]Прилож 4 23 (7)'!AA62</f>
        <v>0</v>
      </c>
      <c r="L68" s="595"/>
      <c r="M68" s="596">
        <f t="shared" si="4"/>
        <v>0</v>
      </c>
      <c r="N68" s="595"/>
      <c r="O68" s="595"/>
      <c r="P68" s="595"/>
      <c r="Q68" s="621"/>
      <c r="R68" s="595"/>
      <c r="S68" s="595"/>
      <c r="T68" s="595"/>
      <c r="U68" s="596">
        <f t="shared" si="5"/>
        <v>6414.74</v>
      </c>
      <c r="V68" s="595">
        <f t="shared" si="1"/>
        <v>0</v>
      </c>
      <c r="W68" s="595">
        <f t="shared" si="2"/>
        <v>0</v>
      </c>
      <c r="X68" s="595">
        <f t="shared" si="2"/>
        <v>6414.74</v>
      </c>
      <c r="Y68" s="628"/>
      <c r="Z68" s="595">
        <f t="shared" si="3"/>
        <v>0</v>
      </c>
      <c r="AA68" s="595">
        <f t="shared" si="3"/>
        <v>0</v>
      </c>
      <c r="AB68" s="595">
        <f t="shared" si="3"/>
        <v>0</v>
      </c>
    </row>
    <row r="69" spans="1:29" ht="31.5" x14ac:dyDescent="0.2">
      <c r="A69" s="618" t="s">
        <v>1140</v>
      </c>
      <c r="B69" s="619" t="s">
        <v>729</v>
      </c>
      <c r="C69" s="620">
        <v>244</v>
      </c>
      <c r="D69" s="620">
        <v>223</v>
      </c>
      <c r="E69" s="596">
        <f t="shared" si="0"/>
        <v>30788.12</v>
      </c>
      <c r="F69" s="595">
        <f>'[7]Прилож 4 23 (7)'!V62</f>
        <v>0</v>
      </c>
      <c r="G69" s="595">
        <f>'[7]Прилож 4 23 (7)'!W62</f>
        <v>0</v>
      </c>
      <c r="H69" s="595">
        <v>30788.12</v>
      </c>
      <c r="I69" s="628"/>
      <c r="J69" s="595">
        <f>'[7]Прилож 4 23 (7)'!Z62</f>
        <v>0</v>
      </c>
      <c r="K69" s="595">
        <f>'[7]Прилож 4 23 (7)'!AA62</f>
        <v>0</v>
      </c>
      <c r="L69" s="595"/>
      <c r="M69" s="596">
        <f t="shared" si="4"/>
        <v>0</v>
      </c>
      <c r="N69" s="595"/>
      <c r="O69" s="595"/>
      <c r="P69" s="595"/>
      <c r="Q69" s="621"/>
      <c r="R69" s="595"/>
      <c r="S69" s="595"/>
      <c r="T69" s="595"/>
      <c r="U69" s="596">
        <f t="shared" si="5"/>
        <v>30788.12</v>
      </c>
      <c r="V69" s="595">
        <f t="shared" si="1"/>
        <v>0</v>
      </c>
      <c r="W69" s="595">
        <f t="shared" si="2"/>
        <v>0</v>
      </c>
      <c r="X69" s="595">
        <f t="shared" si="2"/>
        <v>30788.12</v>
      </c>
      <c r="Y69" s="628"/>
      <c r="Z69" s="595">
        <f t="shared" si="3"/>
        <v>0</v>
      </c>
      <c r="AA69" s="595">
        <f t="shared" si="3"/>
        <v>0</v>
      </c>
      <c r="AB69" s="595">
        <f t="shared" si="3"/>
        <v>0</v>
      </c>
    </row>
    <row r="70" spans="1:29" ht="31.5" x14ac:dyDescent="0.2">
      <c r="A70" s="618" t="s">
        <v>1141</v>
      </c>
      <c r="B70" s="619" t="s">
        <v>729</v>
      </c>
      <c r="C70" s="620">
        <v>244</v>
      </c>
      <c r="D70" s="620">
        <v>223</v>
      </c>
      <c r="E70" s="596">
        <f t="shared" si="0"/>
        <v>28826.37</v>
      </c>
      <c r="F70" s="595">
        <f>'[7]Прилож 4 23 (7)'!V63</f>
        <v>0</v>
      </c>
      <c r="G70" s="595">
        <f>'[7]Прилож 4 23 (7)'!W63</f>
        <v>0</v>
      </c>
      <c r="H70" s="595">
        <v>28826.37</v>
      </c>
      <c r="I70" s="628"/>
      <c r="J70" s="595">
        <f>'[7]Прилож 4 23 (7)'!Z63</f>
        <v>0</v>
      </c>
      <c r="K70" s="595">
        <f>'[7]Прилож 4 23 (7)'!AA63</f>
        <v>0</v>
      </c>
      <c r="L70" s="595">
        <f>'[7]Прилож 4 23 (7)'!AB63</f>
        <v>0</v>
      </c>
      <c r="M70" s="596">
        <f t="shared" si="4"/>
        <v>0</v>
      </c>
      <c r="N70" s="595"/>
      <c r="O70" s="595"/>
      <c r="P70" s="595"/>
      <c r="Q70" s="621"/>
      <c r="R70" s="595"/>
      <c r="S70" s="595"/>
      <c r="T70" s="595"/>
      <c r="U70" s="596">
        <f t="shared" si="5"/>
        <v>28826.37</v>
      </c>
      <c r="V70" s="595">
        <f t="shared" si="1"/>
        <v>0</v>
      </c>
      <c r="W70" s="595">
        <f t="shared" si="2"/>
        <v>0</v>
      </c>
      <c r="X70" s="595">
        <f t="shared" si="2"/>
        <v>28826.37</v>
      </c>
      <c r="Y70" s="628"/>
      <c r="Z70" s="595">
        <f t="shared" si="3"/>
        <v>0</v>
      </c>
      <c r="AA70" s="595">
        <f t="shared" si="3"/>
        <v>0</v>
      </c>
      <c r="AB70" s="595">
        <f t="shared" si="3"/>
        <v>0</v>
      </c>
    </row>
    <row r="71" spans="1:29" x14ac:dyDescent="0.2">
      <c r="A71" s="618" t="s">
        <v>130</v>
      </c>
      <c r="B71" s="619" t="s">
        <v>729</v>
      </c>
      <c r="C71" s="620">
        <v>244</v>
      </c>
      <c r="D71" s="620">
        <v>223</v>
      </c>
      <c r="E71" s="596">
        <f t="shared" si="0"/>
        <v>36973.599999999999</v>
      </c>
      <c r="F71" s="595">
        <f>'[7]Прилож 4 23 (7)'!V64</f>
        <v>0</v>
      </c>
      <c r="G71" s="595">
        <f>'[7]Прилож 4 23 (7)'!W64</f>
        <v>0</v>
      </c>
      <c r="H71" s="595">
        <v>36973.599999999999</v>
      </c>
      <c r="I71" s="628"/>
      <c r="J71" s="595">
        <f>'[7]Прилож 4 23 (7)'!Z64</f>
        <v>0</v>
      </c>
      <c r="K71" s="595">
        <f>'[7]Прилож 4 23 (7)'!AA64</f>
        <v>0</v>
      </c>
      <c r="L71" s="595">
        <f>'[7]Прилож 4 23 (7)'!AB64</f>
        <v>0</v>
      </c>
      <c r="M71" s="596">
        <f t="shared" si="4"/>
        <v>0</v>
      </c>
      <c r="N71" s="595"/>
      <c r="O71" s="595"/>
      <c r="P71" s="595"/>
      <c r="Q71" s="621"/>
      <c r="R71" s="595"/>
      <c r="S71" s="595"/>
      <c r="T71" s="595"/>
      <c r="U71" s="596">
        <f t="shared" si="5"/>
        <v>36973.599999999999</v>
      </c>
      <c r="V71" s="595">
        <f t="shared" si="1"/>
        <v>0</v>
      </c>
      <c r="W71" s="595">
        <f t="shared" si="2"/>
        <v>0</v>
      </c>
      <c r="X71" s="595">
        <f t="shared" si="2"/>
        <v>36973.599999999999</v>
      </c>
      <c r="Y71" s="628"/>
      <c r="Z71" s="595">
        <f t="shared" si="3"/>
        <v>0</v>
      </c>
      <c r="AA71" s="595">
        <f t="shared" si="3"/>
        <v>0</v>
      </c>
      <c r="AB71" s="595">
        <f t="shared" si="3"/>
        <v>0</v>
      </c>
    </row>
    <row r="72" spans="1:29" s="637" customFormat="1" x14ac:dyDescent="0.2">
      <c r="A72" s="632" t="s">
        <v>1143</v>
      </c>
      <c r="B72" s="633" t="s">
        <v>729</v>
      </c>
      <c r="C72" s="634">
        <v>244</v>
      </c>
      <c r="D72" s="634">
        <v>223</v>
      </c>
      <c r="E72" s="597">
        <f>SUM(E63:E71)</f>
        <v>158437.21999999997</v>
      </c>
      <c r="F72" s="597">
        <f t="shared" ref="F72:AB72" si="19">SUM(F63:F71)</f>
        <v>0</v>
      </c>
      <c r="G72" s="597">
        <f t="shared" si="19"/>
        <v>0</v>
      </c>
      <c r="H72" s="597">
        <f t="shared" si="19"/>
        <v>158437.21999999997</v>
      </c>
      <c r="I72" s="635"/>
      <c r="J72" s="597">
        <f t="shared" si="19"/>
        <v>0</v>
      </c>
      <c r="K72" s="597">
        <f t="shared" si="19"/>
        <v>0</v>
      </c>
      <c r="L72" s="597">
        <f t="shared" si="19"/>
        <v>0</v>
      </c>
      <c r="M72" s="597">
        <f t="shared" si="19"/>
        <v>0</v>
      </c>
      <c r="N72" s="597">
        <f t="shared" si="19"/>
        <v>0</v>
      </c>
      <c r="O72" s="597">
        <f t="shared" si="19"/>
        <v>0</v>
      </c>
      <c r="P72" s="597">
        <f t="shared" si="19"/>
        <v>0</v>
      </c>
      <c r="Q72" s="635"/>
      <c r="R72" s="597">
        <f t="shared" si="19"/>
        <v>0</v>
      </c>
      <c r="S72" s="597">
        <f t="shared" si="19"/>
        <v>0</v>
      </c>
      <c r="T72" s="597">
        <f t="shared" si="19"/>
        <v>0</v>
      </c>
      <c r="U72" s="597">
        <f t="shared" si="19"/>
        <v>158437.21999999997</v>
      </c>
      <c r="V72" s="597">
        <f t="shared" si="19"/>
        <v>0</v>
      </c>
      <c r="W72" s="597">
        <f t="shared" si="19"/>
        <v>0</v>
      </c>
      <c r="X72" s="597">
        <f t="shared" si="19"/>
        <v>158437.21999999997</v>
      </c>
      <c r="Y72" s="635"/>
      <c r="Z72" s="597">
        <f t="shared" si="19"/>
        <v>0</v>
      </c>
      <c r="AA72" s="597">
        <f t="shared" si="19"/>
        <v>0</v>
      </c>
      <c r="AB72" s="597">
        <f t="shared" si="19"/>
        <v>0</v>
      </c>
      <c r="AC72" s="636"/>
    </row>
    <row r="73" spans="1:29" s="614" customFormat="1" x14ac:dyDescent="0.2">
      <c r="A73" s="630" t="s">
        <v>736</v>
      </c>
      <c r="B73" s="631"/>
      <c r="C73" s="624"/>
      <c r="D73" s="624"/>
      <c r="E73" s="596">
        <f>E72+E62</f>
        <v>530074.75</v>
      </c>
      <c r="F73" s="596">
        <f t="shared" ref="F73:AB73" si="20">F72+F62</f>
        <v>0</v>
      </c>
      <c r="G73" s="596">
        <f t="shared" si="20"/>
        <v>0</v>
      </c>
      <c r="H73" s="596">
        <f t="shared" si="20"/>
        <v>530074.75</v>
      </c>
      <c r="I73" s="626"/>
      <c r="J73" s="596">
        <f t="shared" si="20"/>
        <v>0</v>
      </c>
      <c r="K73" s="596">
        <f t="shared" si="20"/>
        <v>0</v>
      </c>
      <c r="L73" s="596">
        <f t="shared" si="20"/>
        <v>0</v>
      </c>
      <c r="M73" s="596">
        <f t="shared" si="20"/>
        <v>0</v>
      </c>
      <c r="N73" s="596">
        <f t="shared" si="20"/>
        <v>0</v>
      </c>
      <c r="O73" s="596">
        <f t="shared" si="20"/>
        <v>0</v>
      </c>
      <c r="P73" s="596">
        <f t="shared" si="20"/>
        <v>0</v>
      </c>
      <c r="Q73" s="626"/>
      <c r="R73" s="596">
        <f t="shared" si="20"/>
        <v>0</v>
      </c>
      <c r="S73" s="596">
        <f t="shared" si="20"/>
        <v>0</v>
      </c>
      <c r="T73" s="596">
        <f t="shared" si="20"/>
        <v>0</v>
      </c>
      <c r="U73" s="596">
        <f t="shared" si="20"/>
        <v>530074.75</v>
      </c>
      <c r="V73" s="596">
        <f t="shared" si="20"/>
        <v>0</v>
      </c>
      <c r="W73" s="596">
        <f t="shared" si="20"/>
        <v>0</v>
      </c>
      <c r="X73" s="596">
        <f t="shared" si="20"/>
        <v>530074.75</v>
      </c>
      <c r="Y73" s="626"/>
      <c r="Z73" s="596">
        <f t="shared" si="20"/>
        <v>0</v>
      </c>
      <c r="AA73" s="596">
        <f t="shared" si="20"/>
        <v>0</v>
      </c>
      <c r="AB73" s="596">
        <f t="shared" si="20"/>
        <v>0</v>
      </c>
      <c r="AC73" s="627"/>
    </row>
    <row r="74" spans="1:29" x14ac:dyDescent="0.2">
      <c r="A74" s="618" t="s">
        <v>131</v>
      </c>
      <c r="B74" s="619" t="s">
        <v>747</v>
      </c>
      <c r="C74" s="620">
        <v>247</v>
      </c>
      <c r="D74" s="620">
        <v>223</v>
      </c>
      <c r="E74" s="596">
        <f>L74+K74+J74+H74+G74+F74</f>
        <v>546600</v>
      </c>
      <c r="F74" s="595">
        <f>'[7]Прилож 4 23 (7)'!V69</f>
        <v>0</v>
      </c>
      <c r="G74" s="595">
        <f>'[7]Прилож 4 23 (7)'!W69</f>
        <v>0</v>
      </c>
      <c r="H74" s="595">
        <v>546600</v>
      </c>
      <c r="I74" s="621"/>
      <c r="J74" s="595">
        <f>'[7]Прилож 4 23 (7)'!Z69</f>
        <v>0</v>
      </c>
      <c r="K74" s="595">
        <f>'[7]Прилож 4 23 (7)'!AA69</f>
        <v>0</v>
      </c>
      <c r="L74" s="595">
        <f>'[7]Прилож 4 23 (7)'!AB69</f>
        <v>0</v>
      </c>
      <c r="M74" s="596">
        <f>N74+P74+R74+S74+T74+O74</f>
        <v>0</v>
      </c>
      <c r="N74" s="595"/>
      <c r="O74" s="595"/>
      <c r="P74" s="595"/>
      <c r="Q74" s="621"/>
      <c r="R74" s="595"/>
      <c r="S74" s="595"/>
      <c r="T74" s="595"/>
      <c r="U74" s="596">
        <f>V74+X74+Z74+AA74+AB74+W74</f>
        <v>546600</v>
      </c>
      <c r="V74" s="595">
        <f>F74+N74</f>
        <v>0</v>
      </c>
      <c r="W74" s="595">
        <f>O74+G74</f>
        <v>0</v>
      </c>
      <c r="X74" s="595">
        <f>P74+H74</f>
        <v>546600</v>
      </c>
      <c r="Y74" s="621"/>
      <c r="Z74" s="595">
        <f>R74+J74</f>
        <v>0</v>
      </c>
      <c r="AA74" s="595">
        <f>S74+K74</f>
        <v>0</v>
      </c>
      <c r="AB74" s="595">
        <f>T74+L74</f>
        <v>0</v>
      </c>
    </row>
    <row r="75" spans="1:29" ht="16.5" customHeight="1" x14ac:dyDescent="0.2">
      <c r="A75" s="618" t="s">
        <v>133</v>
      </c>
      <c r="B75" s="619" t="s">
        <v>747</v>
      </c>
      <c r="C75" s="620">
        <v>247</v>
      </c>
      <c r="D75" s="620">
        <v>223</v>
      </c>
      <c r="E75" s="596">
        <f t="shared" si="0"/>
        <v>465510.83</v>
      </c>
      <c r="F75" s="595">
        <f>'[7]Прилож 4 23 (7)'!V66</f>
        <v>0</v>
      </c>
      <c r="G75" s="595">
        <f>'[7]Прилож 4 23 (7)'!W66</f>
        <v>0</v>
      </c>
      <c r="H75" s="595">
        <v>465510.83</v>
      </c>
      <c r="I75" s="621"/>
      <c r="J75" s="595">
        <f>'[7]Прилож 4 23 (7)'!Z66</f>
        <v>0</v>
      </c>
      <c r="K75" s="595">
        <f>'[7]Прилож 4 23 (7)'!AA66</f>
        <v>0</v>
      </c>
      <c r="L75" s="595">
        <f>'[7]Прилож 4 23 (7)'!AB66</f>
        <v>0</v>
      </c>
      <c r="M75" s="596">
        <f t="shared" si="4"/>
        <v>0</v>
      </c>
      <c r="N75" s="595"/>
      <c r="O75" s="595"/>
      <c r="P75" s="595"/>
      <c r="Q75" s="621"/>
      <c r="R75" s="595"/>
      <c r="S75" s="595"/>
      <c r="T75" s="595"/>
      <c r="U75" s="596">
        <f t="shared" si="5"/>
        <v>465510.83</v>
      </c>
      <c r="V75" s="595">
        <f t="shared" si="1"/>
        <v>0</v>
      </c>
      <c r="W75" s="595">
        <f t="shared" si="2"/>
        <v>0</v>
      </c>
      <c r="X75" s="595">
        <f t="shared" si="2"/>
        <v>465510.83</v>
      </c>
      <c r="Y75" s="621"/>
      <c r="Z75" s="595">
        <f t="shared" si="3"/>
        <v>0</v>
      </c>
      <c r="AA75" s="595">
        <f t="shared" si="3"/>
        <v>0</v>
      </c>
      <c r="AB75" s="595">
        <f t="shared" si="3"/>
        <v>0</v>
      </c>
    </row>
    <row r="76" spans="1:29" ht="16.5" customHeight="1" x14ac:dyDescent="0.2">
      <c r="A76" s="618" t="s">
        <v>1260</v>
      </c>
      <c r="B76" s="619" t="s">
        <v>747</v>
      </c>
      <c r="C76" s="620">
        <v>247</v>
      </c>
      <c r="D76" s="620">
        <v>223</v>
      </c>
      <c r="E76" s="596">
        <f t="shared" si="0"/>
        <v>318968.24</v>
      </c>
      <c r="F76" s="595">
        <f>'[7]Прилож 4 23 (7)'!V67</f>
        <v>0</v>
      </c>
      <c r="G76" s="595">
        <f>'[7]Прилож 4 23 (7)'!W67</f>
        <v>0</v>
      </c>
      <c r="H76" s="595">
        <v>318968.24</v>
      </c>
      <c r="I76" s="621"/>
      <c r="J76" s="595">
        <f>'[7]Прилож 4 23 (7)'!Z67</f>
        <v>0</v>
      </c>
      <c r="K76" s="595">
        <f>'[7]Прилож 4 23 (7)'!AA67</f>
        <v>0</v>
      </c>
      <c r="L76" s="595">
        <f>'[7]Прилож 4 23 (7)'!AB67</f>
        <v>0</v>
      </c>
      <c r="M76" s="596">
        <f t="shared" si="4"/>
        <v>0</v>
      </c>
      <c r="N76" s="595"/>
      <c r="O76" s="595"/>
      <c r="P76" s="595"/>
      <c r="Q76" s="621"/>
      <c r="R76" s="595"/>
      <c r="S76" s="595"/>
      <c r="T76" s="595"/>
      <c r="U76" s="596">
        <f t="shared" si="5"/>
        <v>318968.24</v>
      </c>
      <c r="V76" s="595">
        <f t="shared" si="1"/>
        <v>0</v>
      </c>
      <c r="W76" s="595">
        <f t="shared" si="2"/>
        <v>0</v>
      </c>
      <c r="X76" s="595">
        <f t="shared" si="2"/>
        <v>318968.24</v>
      </c>
      <c r="Y76" s="621"/>
      <c r="Z76" s="595">
        <f t="shared" si="3"/>
        <v>0</v>
      </c>
      <c r="AA76" s="595">
        <f t="shared" si="3"/>
        <v>0</v>
      </c>
      <c r="AB76" s="595">
        <f t="shared" si="3"/>
        <v>0</v>
      </c>
    </row>
    <row r="77" spans="1:29" ht="31.5" x14ac:dyDescent="0.2">
      <c r="A77" s="618" t="s">
        <v>1240</v>
      </c>
      <c r="B77" s="619" t="s">
        <v>747</v>
      </c>
      <c r="C77" s="620">
        <v>247</v>
      </c>
      <c r="D77" s="620">
        <v>223</v>
      </c>
      <c r="E77" s="596">
        <f t="shared" si="0"/>
        <v>63447.51</v>
      </c>
      <c r="F77" s="595">
        <f>'[7]Прилож 4 23 (7)'!V67</f>
        <v>0</v>
      </c>
      <c r="G77" s="595">
        <f>'[7]Прилож 4 23 (7)'!W67</f>
        <v>0</v>
      </c>
      <c r="H77" s="595">
        <v>63447.51</v>
      </c>
      <c r="I77" s="621"/>
      <c r="J77" s="595">
        <f>'[7]Прилож 4 23 (7)'!Z67</f>
        <v>0</v>
      </c>
      <c r="K77" s="595">
        <f>'[7]Прилож 4 23 (7)'!AA67</f>
        <v>0</v>
      </c>
      <c r="L77" s="595">
        <f>'[7]Прилож 4 23 (7)'!AB67</f>
        <v>0</v>
      </c>
      <c r="M77" s="596">
        <f t="shared" si="4"/>
        <v>0</v>
      </c>
      <c r="N77" s="595"/>
      <c r="O77" s="595"/>
      <c r="P77" s="595"/>
      <c r="Q77" s="621"/>
      <c r="R77" s="595"/>
      <c r="S77" s="595"/>
      <c r="T77" s="595"/>
      <c r="U77" s="596">
        <f t="shared" si="5"/>
        <v>63447.51</v>
      </c>
      <c r="V77" s="595">
        <f t="shared" si="1"/>
        <v>0</v>
      </c>
      <c r="W77" s="595">
        <f t="shared" si="2"/>
        <v>0</v>
      </c>
      <c r="X77" s="595">
        <f t="shared" si="2"/>
        <v>63447.51</v>
      </c>
      <c r="Y77" s="621"/>
      <c r="Z77" s="595">
        <f t="shared" si="3"/>
        <v>0</v>
      </c>
      <c r="AA77" s="595">
        <f t="shared" si="3"/>
        <v>0</v>
      </c>
      <c r="AB77" s="595">
        <f t="shared" si="3"/>
        <v>0</v>
      </c>
    </row>
    <row r="78" spans="1:29" ht="31.5" x14ac:dyDescent="0.2">
      <c r="A78" s="618" t="s">
        <v>1241</v>
      </c>
      <c r="B78" s="619" t="s">
        <v>747</v>
      </c>
      <c r="C78" s="620">
        <v>247</v>
      </c>
      <c r="D78" s="620">
        <v>223</v>
      </c>
      <c r="E78" s="596">
        <f t="shared" si="0"/>
        <v>52047.07</v>
      </c>
      <c r="F78" s="595">
        <f>'[7]Прилож 4 23 (7)'!V68</f>
        <v>0</v>
      </c>
      <c r="G78" s="595">
        <f>'[7]Прилож 4 23 (7)'!W68</f>
        <v>0</v>
      </c>
      <c r="H78" s="595">
        <v>52047.07</v>
      </c>
      <c r="I78" s="621"/>
      <c r="J78" s="595">
        <f>'[7]Прилож 4 23 (7)'!Z68</f>
        <v>0</v>
      </c>
      <c r="K78" s="595">
        <f>'[7]Прилож 4 23 (7)'!AA68</f>
        <v>0</v>
      </c>
      <c r="L78" s="595">
        <f>'[7]Прилож 4 23 (7)'!AB68</f>
        <v>0</v>
      </c>
      <c r="M78" s="596">
        <f t="shared" si="4"/>
        <v>0</v>
      </c>
      <c r="N78" s="595"/>
      <c r="O78" s="595"/>
      <c r="P78" s="595"/>
      <c r="Q78" s="621"/>
      <c r="R78" s="595"/>
      <c r="S78" s="595"/>
      <c r="T78" s="595"/>
      <c r="U78" s="596">
        <f t="shared" si="5"/>
        <v>52047.07</v>
      </c>
      <c r="V78" s="595">
        <f t="shared" si="1"/>
        <v>0</v>
      </c>
      <c r="W78" s="595">
        <f t="shared" si="2"/>
        <v>0</v>
      </c>
      <c r="X78" s="595">
        <f t="shared" si="2"/>
        <v>52047.07</v>
      </c>
      <c r="Y78" s="621"/>
      <c r="Z78" s="595">
        <f t="shared" si="3"/>
        <v>0</v>
      </c>
      <c r="AA78" s="595">
        <f t="shared" si="3"/>
        <v>0</v>
      </c>
      <c r="AB78" s="595">
        <f t="shared" si="3"/>
        <v>0</v>
      </c>
    </row>
    <row r="79" spans="1:29" ht="31.5" x14ac:dyDescent="0.2">
      <c r="A79" s="618" t="s">
        <v>1242</v>
      </c>
      <c r="B79" s="619" t="s">
        <v>747</v>
      </c>
      <c r="C79" s="620">
        <v>247</v>
      </c>
      <c r="D79" s="620">
        <v>223</v>
      </c>
      <c r="E79" s="596">
        <f t="shared" si="0"/>
        <v>40719.379999999997</v>
      </c>
      <c r="F79" s="595">
        <f>'[7]Прилож 4 23 (7)'!V68</f>
        <v>0</v>
      </c>
      <c r="G79" s="595">
        <f>'[7]Прилож 4 23 (7)'!W68</f>
        <v>0</v>
      </c>
      <c r="H79" s="595">
        <v>40719.379999999997</v>
      </c>
      <c r="I79" s="621"/>
      <c r="J79" s="595">
        <f>'[7]Прилож 4 23 (7)'!Z68</f>
        <v>0</v>
      </c>
      <c r="K79" s="595">
        <f>'[7]Прилож 4 23 (7)'!AA68</f>
        <v>0</v>
      </c>
      <c r="L79" s="595">
        <f>'[7]Прилож 4 23 (7)'!AB68</f>
        <v>0</v>
      </c>
      <c r="M79" s="596">
        <f t="shared" si="4"/>
        <v>0</v>
      </c>
      <c r="N79" s="595"/>
      <c r="O79" s="595"/>
      <c r="P79" s="595"/>
      <c r="Q79" s="621"/>
      <c r="R79" s="595"/>
      <c r="S79" s="595"/>
      <c r="T79" s="595"/>
      <c r="U79" s="596">
        <f t="shared" si="5"/>
        <v>40719.379999999997</v>
      </c>
      <c r="V79" s="595">
        <f t="shared" si="1"/>
        <v>0</v>
      </c>
      <c r="W79" s="595">
        <f t="shared" si="2"/>
        <v>0</v>
      </c>
      <c r="X79" s="595">
        <f t="shared" si="2"/>
        <v>40719.379999999997</v>
      </c>
      <c r="Y79" s="621"/>
      <c r="Z79" s="595">
        <f t="shared" si="3"/>
        <v>0</v>
      </c>
      <c r="AA79" s="595">
        <f t="shared" si="3"/>
        <v>0</v>
      </c>
      <c r="AB79" s="595">
        <f t="shared" si="3"/>
        <v>0</v>
      </c>
    </row>
    <row r="80" spans="1:29" ht="31.5" x14ac:dyDescent="0.2">
      <c r="A80" s="618" t="s">
        <v>1242</v>
      </c>
      <c r="B80" s="619" t="s">
        <v>747</v>
      </c>
      <c r="C80" s="620">
        <v>247</v>
      </c>
      <c r="D80" s="620">
        <v>223</v>
      </c>
      <c r="E80" s="596">
        <f t="shared" si="0"/>
        <v>52360.07</v>
      </c>
      <c r="F80" s="595">
        <f>'[7]Прилож 4 23 (7)'!V69</f>
        <v>0</v>
      </c>
      <c r="G80" s="595">
        <f>'[7]Прилож 4 23 (7)'!W69</f>
        <v>0</v>
      </c>
      <c r="H80" s="595">
        <v>52360.07</v>
      </c>
      <c r="I80" s="621"/>
      <c r="J80" s="595">
        <f>'[7]Прилож 4 23 (7)'!Z69</f>
        <v>0</v>
      </c>
      <c r="K80" s="595">
        <f>'[7]Прилож 4 23 (7)'!AA69</f>
        <v>0</v>
      </c>
      <c r="L80" s="595">
        <f>'[7]Прилож 4 23 (7)'!AB69</f>
        <v>0</v>
      </c>
      <c r="M80" s="596">
        <f t="shared" si="4"/>
        <v>0</v>
      </c>
      <c r="N80" s="595"/>
      <c r="O80" s="595"/>
      <c r="P80" s="595"/>
      <c r="Q80" s="621"/>
      <c r="R80" s="595"/>
      <c r="S80" s="595"/>
      <c r="T80" s="595"/>
      <c r="U80" s="596">
        <f t="shared" si="5"/>
        <v>52360.07</v>
      </c>
      <c r="V80" s="595">
        <f t="shared" si="1"/>
        <v>0</v>
      </c>
      <c r="W80" s="595">
        <f t="shared" si="2"/>
        <v>0</v>
      </c>
      <c r="X80" s="595">
        <f t="shared" si="2"/>
        <v>52360.07</v>
      </c>
      <c r="Y80" s="621"/>
      <c r="Z80" s="595">
        <f t="shared" si="3"/>
        <v>0</v>
      </c>
      <c r="AA80" s="595">
        <f t="shared" si="3"/>
        <v>0</v>
      </c>
      <c r="AB80" s="595">
        <f t="shared" si="3"/>
        <v>0</v>
      </c>
    </row>
    <row r="81" spans="1:29" s="637" customFormat="1" x14ac:dyDescent="0.2">
      <c r="A81" s="632" t="s">
        <v>1143</v>
      </c>
      <c r="B81" s="633" t="s">
        <v>747</v>
      </c>
      <c r="C81" s="634">
        <v>247</v>
      </c>
      <c r="D81" s="634">
        <v>223</v>
      </c>
      <c r="E81" s="597">
        <f>SUM(E74:E80)</f>
        <v>1539653.1</v>
      </c>
      <c r="F81" s="597">
        <f t="shared" ref="F81:AB81" si="21">SUM(F74:F80)</f>
        <v>0</v>
      </c>
      <c r="G81" s="597">
        <f t="shared" si="21"/>
        <v>0</v>
      </c>
      <c r="H81" s="597">
        <f t="shared" si="21"/>
        <v>1539653.1</v>
      </c>
      <c r="I81" s="635"/>
      <c r="J81" s="597">
        <f t="shared" si="21"/>
        <v>0</v>
      </c>
      <c r="K81" s="597">
        <f t="shared" si="21"/>
        <v>0</v>
      </c>
      <c r="L81" s="597">
        <f t="shared" si="21"/>
        <v>0</v>
      </c>
      <c r="M81" s="597">
        <f t="shared" si="21"/>
        <v>0</v>
      </c>
      <c r="N81" s="597">
        <f t="shared" si="21"/>
        <v>0</v>
      </c>
      <c r="O81" s="597">
        <f t="shared" si="21"/>
        <v>0</v>
      </c>
      <c r="P81" s="597">
        <f t="shared" si="21"/>
        <v>0</v>
      </c>
      <c r="Q81" s="635"/>
      <c r="R81" s="597">
        <f t="shared" si="21"/>
        <v>0</v>
      </c>
      <c r="S81" s="597">
        <f t="shared" si="21"/>
        <v>0</v>
      </c>
      <c r="T81" s="597">
        <f t="shared" si="21"/>
        <v>0</v>
      </c>
      <c r="U81" s="597">
        <f t="shared" si="21"/>
        <v>1539653.1</v>
      </c>
      <c r="V81" s="597">
        <f t="shared" si="21"/>
        <v>0</v>
      </c>
      <c r="W81" s="597">
        <f t="shared" si="21"/>
        <v>0</v>
      </c>
      <c r="X81" s="597">
        <f t="shared" si="21"/>
        <v>1539653.1</v>
      </c>
      <c r="Y81" s="635"/>
      <c r="Z81" s="597">
        <f t="shared" si="21"/>
        <v>0</v>
      </c>
      <c r="AA81" s="597">
        <f t="shared" si="21"/>
        <v>0</v>
      </c>
      <c r="AB81" s="597">
        <f t="shared" si="21"/>
        <v>0</v>
      </c>
      <c r="AC81" s="636"/>
    </row>
    <row r="82" spans="1:29" x14ac:dyDescent="0.2">
      <c r="A82" s="618" t="s">
        <v>131</v>
      </c>
      <c r="B82" s="619" t="s">
        <v>729</v>
      </c>
      <c r="C82" s="620">
        <v>247</v>
      </c>
      <c r="D82" s="620">
        <v>223</v>
      </c>
      <c r="E82" s="596">
        <f>L82+K82+J82+H82+G82+F82</f>
        <v>446000</v>
      </c>
      <c r="F82" s="595">
        <f>'[7]Прилож 4 23 (7)'!V77</f>
        <v>0</v>
      </c>
      <c r="G82" s="595">
        <f>'[7]Прилож 4 23 (7)'!W77</f>
        <v>0</v>
      </c>
      <c r="H82" s="595">
        <v>446000</v>
      </c>
      <c r="I82" s="621"/>
      <c r="J82" s="595">
        <f>'[7]Прилож 4 23 (7)'!Z77</f>
        <v>0</v>
      </c>
      <c r="K82" s="595">
        <f>'[7]Прилож 4 23 (7)'!AA77</f>
        <v>0</v>
      </c>
      <c r="L82" s="595"/>
      <c r="M82" s="596">
        <f>N82+P82+R82+S82+T82+O82</f>
        <v>0</v>
      </c>
      <c r="N82" s="595"/>
      <c r="O82" s="595"/>
      <c r="P82" s="595"/>
      <c r="Q82" s="621"/>
      <c r="R82" s="595"/>
      <c r="S82" s="595"/>
      <c r="T82" s="595"/>
      <c r="U82" s="596">
        <f>V82+X82+Z82+AA82+AB82+W82</f>
        <v>446000</v>
      </c>
      <c r="V82" s="595">
        <f>F82+N82</f>
        <v>0</v>
      </c>
      <c r="W82" s="595">
        <f>O82+G82</f>
        <v>0</v>
      </c>
      <c r="X82" s="595">
        <f>P82+H82</f>
        <v>446000</v>
      </c>
      <c r="Y82" s="621"/>
      <c r="Z82" s="595">
        <f>R82+J82</f>
        <v>0</v>
      </c>
      <c r="AA82" s="595">
        <f>S82+K82</f>
        <v>0</v>
      </c>
      <c r="AB82" s="595">
        <f>T82+L82</f>
        <v>0</v>
      </c>
    </row>
    <row r="83" spans="1:29" ht="16.5" customHeight="1" x14ac:dyDescent="0.2">
      <c r="A83" s="618" t="s">
        <v>133</v>
      </c>
      <c r="B83" s="619" t="s">
        <v>729</v>
      </c>
      <c r="C83" s="620">
        <v>247</v>
      </c>
      <c r="D83" s="620">
        <v>223</v>
      </c>
      <c r="E83" s="596">
        <f t="shared" ref="E83:E88" si="22">L83+K83+J83+H83+G83+F83</f>
        <v>1088533.3600000001</v>
      </c>
      <c r="F83" s="595">
        <f>'[7]Прилож 4 23 (7)'!V74</f>
        <v>0</v>
      </c>
      <c r="G83" s="595">
        <f>'[7]Прилож 4 23 (7)'!W74</f>
        <v>0</v>
      </c>
      <c r="H83" s="595">
        <v>1088533.3600000001</v>
      </c>
      <c r="I83" s="621"/>
      <c r="J83" s="595">
        <f>'[7]Прилож 4 23 (7)'!Z74</f>
        <v>0</v>
      </c>
      <c r="K83" s="595">
        <f>'[7]Прилож 4 23 (7)'!AA74</f>
        <v>0</v>
      </c>
      <c r="L83" s="595"/>
      <c r="M83" s="596">
        <f t="shared" ref="M83:M88" si="23">N83+P83+R83+S83+T83+O83</f>
        <v>0</v>
      </c>
      <c r="N83" s="595"/>
      <c r="O83" s="595"/>
      <c r="P83" s="595"/>
      <c r="Q83" s="621"/>
      <c r="R83" s="595"/>
      <c r="S83" s="595"/>
      <c r="T83" s="595"/>
      <c r="U83" s="596">
        <f t="shared" ref="U83:U88" si="24">V83+X83+Z83+AA83+AB83+W83</f>
        <v>1088533.3600000001</v>
      </c>
      <c r="V83" s="595">
        <f t="shared" ref="V83:V88" si="25">F83+N83</f>
        <v>0</v>
      </c>
      <c r="W83" s="595">
        <f t="shared" ref="W83:X88" si="26">O83+G83</f>
        <v>0</v>
      </c>
      <c r="X83" s="595">
        <f t="shared" si="26"/>
        <v>1088533.3600000001</v>
      </c>
      <c r="Y83" s="621"/>
      <c r="Z83" s="595">
        <f t="shared" ref="Z83:AB88" si="27">R83+J83</f>
        <v>0</v>
      </c>
      <c r="AA83" s="595">
        <f t="shared" si="27"/>
        <v>0</v>
      </c>
      <c r="AB83" s="595">
        <f t="shared" si="27"/>
        <v>0</v>
      </c>
    </row>
    <row r="84" spans="1:29" ht="16.5" customHeight="1" x14ac:dyDescent="0.2">
      <c r="A84" s="618" t="s">
        <v>1260</v>
      </c>
      <c r="B84" s="619" t="s">
        <v>729</v>
      </c>
      <c r="C84" s="620">
        <v>247</v>
      </c>
      <c r="D84" s="620">
        <v>223</v>
      </c>
      <c r="E84" s="596">
        <f t="shared" si="22"/>
        <v>618609.81999999995</v>
      </c>
      <c r="F84" s="595">
        <f>'[7]Прилож 4 23 (7)'!V75</f>
        <v>0</v>
      </c>
      <c r="G84" s="595">
        <f>'[7]Прилож 4 23 (7)'!W75</f>
        <v>0</v>
      </c>
      <c r="H84" s="595">
        <v>618609.81999999995</v>
      </c>
      <c r="I84" s="621"/>
      <c r="J84" s="595">
        <f>'[7]Прилож 4 23 (7)'!Z75</f>
        <v>0</v>
      </c>
      <c r="K84" s="595">
        <f>'[7]Прилож 4 23 (7)'!AA75</f>
        <v>0</v>
      </c>
      <c r="L84" s="595"/>
      <c r="M84" s="596">
        <f t="shared" si="23"/>
        <v>0</v>
      </c>
      <c r="N84" s="595"/>
      <c r="O84" s="595"/>
      <c r="P84" s="595"/>
      <c r="Q84" s="621"/>
      <c r="R84" s="595"/>
      <c r="S84" s="595"/>
      <c r="T84" s="595"/>
      <c r="U84" s="596">
        <f t="shared" si="24"/>
        <v>618609.81999999995</v>
      </c>
      <c r="V84" s="595">
        <f t="shared" si="25"/>
        <v>0</v>
      </c>
      <c r="W84" s="595">
        <f t="shared" si="26"/>
        <v>0</v>
      </c>
      <c r="X84" s="595">
        <f t="shared" si="26"/>
        <v>618609.81999999995</v>
      </c>
      <c r="Y84" s="621"/>
      <c r="Z84" s="595">
        <f t="shared" si="27"/>
        <v>0</v>
      </c>
      <c r="AA84" s="595">
        <f t="shared" si="27"/>
        <v>0</v>
      </c>
      <c r="AB84" s="595">
        <f t="shared" si="27"/>
        <v>0</v>
      </c>
    </row>
    <row r="85" spans="1:29" ht="31.5" x14ac:dyDescent="0.2">
      <c r="A85" s="618" t="s">
        <v>1240</v>
      </c>
      <c r="B85" s="619" t="s">
        <v>729</v>
      </c>
      <c r="C85" s="620">
        <v>247</v>
      </c>
      <c r="D85" s="620">
        <v>223</v>
      </c>
      <c r="E85" s="596">
        <f t="shared" si="22"/>
        <v>15346.51</v>
      </c>
      <c r="F85" s="595">
        <f>'[7]Прилож 4 23 (7)'!V75</f>
        <v>0</v>
      </c>
      <c r="G85" s="595">
        <f>'[7]Прилож 4 23 (7)'!W75</f>
        <v>0</v>
      </c>
      <c r="H85" s="595">
        <v>15346.51</v>
      </c>
      <c r="I85" s="621"/>
      <c r="J85" s="595">
        <f>'[7]Прилож 4 23 (7)'!Z75</f>
        <v>0</v>
      </c>
      <c r="K85" s="595">
        <f>'[7]Прилож 4 23 (7)'!AA75</f>
        <v>0</v>
      </c>
      <c r="L85" s="595"/>
      <c r="M85" s="596">
        <f t="shared" si="23"/>
        <v>0</v>
      </c>
      <c r="N85" s="595"/>
      <c r="O85" s="595"/>
      <c r="P85" s="595"/>
      <c r="Q85" s="621"/>
      <c r="R85" s="595"/>
      <c r="S85" s="595"/>
      <c r="T85" s="595"/>
      <c r="U85" s="596">
        <f t="shared" si="24"/>
        <v>15346.51</v>
      </c>
      <c r="V85" s="595">
        <f t="shared" si="25"/>
        <v>0</v>
      </c>
      <c r="W85" s="595">
        <f t="shared" si="26"/>
        <v>0</v>
      </c>
      <c r="X85" s="595">
        <f t="shared" si="26"/>
        <v>15346.51</v>
      </c>
      <c r="Y85" s="621"/>
      <c r="Z85" s="595">
        <f t="shared" si="27"/>
        <v>0</v>
      </c>
      <c r="AA85" s="595">
        <f t="shared" si="27"/>
        <v>0</v>
      </c>
      <c r="AB85" s="595">
        <f t="shared" si="27"/>
        <v>0</v>
      </c>
    </row>
    <row r="86" spans="1:29" ht="31.5" x14ac:dyDescent="0.2">
      <c r="A86" s="618" t="s">
        <v>1241</v>
      </c>
      <c r="B86" s="619" t="s">
        <v>729</v>
      </c>
      <c r="C86" s="620">
        <v>247</v>
      </c>
      <c r="D86" s="620">
        <v>223</v>
      </c>
      <c r="E86" s="596">
        <f t="shared" si="22"/>
        <v>13515.22</v>
      </c>
      <c r="F86" s="595">
        <f>'[7]Прилож 4 23 (7)'!V76</f>
        <v>0</v>
      </c>
      <c r="G86" s="595">
        <f>'[7]Прилож 4 23 (7)'!W76</f>
        <v>0</v>
      </c>
      <c r="H86" s="595">
        <v>13515.22</v>
      </c>
      <c r="I86" s="621"/>
      <c r="J86" s="595">
        <f>'[7]Прилож 4 23 (7)'!Z76</f>
        <v>0</v>
      </c>
      <c r="K86" s="595">
        <f>'[7]Прилож 4 23 (7)'!AA76</f>
        <v>0</v>
      </c>
      <c r="L86" s="595"/>
      <c r="M86" s="596">
        <f t="shared" si="23"/>
        <v>0</v>
      </c>
      <c r="N86" s="595"/>
      <c r="O86" s="595"/>
      <c r="P86" s="595"/>
      <c r="Q86" s="621"/>
      <c r="R86" s="595"/>
      <c r="S86" s="595"/>
      <c r="T86" s="595"/>
      <c r="U86" s="596">
        <f t="shared" si="24"/>
        <v>13515.22</v>
      </c>
      <c r="V86" s="595">
        <f t="shared" si="25"/>
        <v>0</v>
      </c>
      <c r="W86" s="595">
        <f t="shared" si="26"/>
        <v>0</v>
      </c>
      <c r="X86" s="595">
        <f t="shared" si="26"/>
        <v>13515.22</v>
      </c>
      <c r="Y86" s="621"/>
      <c r="Z86" s="595">
        <f t="shared" si="27"/>
        <v>0</v>
      </c>
      <c r="AA86" s="595">
        <f t="shared" si="27"/>
        <v>0</v>
      </c>
      <c r="AB86" s="595">
        <f t="shared" si="27"/>
        <v>0</v>
      </c>
    </row>
    <row r="87" spans="1:29" ht="31.5" x14ac:dyDescent="0.2">
      <c r="A87" s="618" t="s">
        <v>1242</v>
      </c>
      <c r="B87" s="619" t="s">
        <v>729</v>
      </c>
      <c r="C87" s="620">
        <v>247</v>
      </c>
      <c r="D87" s="620">
        <v>223</v>
      </c>
      <c r="E87" s="596">
        <f t="shared" si="22"/>
        <v>9599.83</v>
      </c>
      <c r="F87" s="595">
        <f>'[7]Прилож 4 23 (7)'!V76</f>
        <v>0</v>
      </c>
      <c r="G87" s="595">
        <f>'[7]Прилож 4 23 (7)'!W76</f>
        <v>0</v>
      </c>
      <c r="H87" s="595">
        <v>9599.83</v>
      </c>
      <c r="I87" s="621"/>
      <c r="J87" s="595">
        <f>'[7]Прилож 4 23 (7)'!Z76</f>
        <v>0</v>
      </c>
      <c r="K87" s="595">
        <f>'[7]Прилож 4 23 (7)'!AA76</f>
        <v>0</v>
      </c>
      <c r="L87" s="595"/>
      <c r="M87" s="596">
        <f t="shared" si="23"/>
        <v>0</v>
      </c>
      <c r="N87" s="595"/>
      <c r="O87" s="595"/>
      <c r="P87" s="595"/>
      <c r="Q87" s="621"/>
      <c r="R87" s="595"/>
      <c r="S87" s="595"/>
      <c r="T87" s="595"/>
      <c r="U87" s="596">
        <f t="shared" si="24"/>
        <v>9599.83</v>
      </c>
      <c r="V87" s="595">
        <f t="shared" si="25"/>
        <v>0</v>
      </c>
      <c r="W87" s="595">
        <f t="shared" si="26"/>
        <v>0</v>
      </c>
      <c r="X87" s="595">
        <f t="shared" si="26"/>
        <v>9599.83</v>
      </c>
      <c r="Y87" s="621"/>
      <c r="Z87" s="595">
        <f t="shared" si="27"/>
        <v>0</v>
      </c>
      <c r="AA87" s="595">
        <f t="shared" si="27"/>
        <v>0</v>
      </c>
      <c r="AB87" s="595">
        <f t="shared" si="27"/>
        <v>0</v>
      </c>
    </row>
    <row r="88" spans="1:29" ht="31.5" x14ac:dyDescent="0.2">
      <c r="A88" s="618" t="s">
        <v>1242</v>
      </c>
      <c r="B88" s="619" t="s">
        <v>729</v>
      </c>
      <c r="C88" s="620">
        <v>247</v>
      </c>
      <c r="D88" s="620">
        <v>223</v>
      </c>
      <c r="E88" s="596">
        <f t="shared" si="22"/>
        <v>10621.01</v>
      </c>
      <c r="F88" s="595">
        <f>'[7]Прилож 4 23 (7)'!V77</f>
        <v>0</v>
      </c>
      <c r="G88" s="595">
        <f>'[7]Прилож 4 23 (7)'!W77</f>
        <v>0</v>
      </c>
      <c r="H88" s="595">
        <v>10621.01</v>
      </c>
      <c r="I88" s="621"/>
      <c r="J88" s="595">
        <f>'[7]Прилож 4 23 (7)'!Z77</f>
        <v>0</v>
      </c>
      <c r="K88" s="595">
        <f>'[7]Прилож 4 23 (7)'!AA77</f>
        <v>0</v>
      </c>
      <c r="L88" s="595"/>
      <c r="M88" s="596">
        <f t="shared" si="23"/>
        <v>0</v>
      </c>
      <c r="N88" s="595"/>
      <c r="O88" s="595"/>
      <c r="P88" s="595"/>
      <c r="Q88" s="621"/>
      <c r="R88" s="595"/>
      <c r="S88" s="595"/>
      <c r="T88" s="595"/>
      <c r="U88" s="596">
        <f t="shared" si="24"/>
        <v>10621.01</v>
      </c>
      <c r="V88" s="595">
        <f t="shared" si="25"/>
        <v>0</v>
      </c>
      <c r="W88" s="595">
        <f t="shared" si="26"/>
        <v>0</v>
      </c>
      <c r="X88" s="595">
        <f t="shared" si="26"/>
        <v>10621.01</v>
      </c>
      <c r="Y88" s="621"/>
      <c r="Z88" s="595">
        <f t="shared" si="27"/>
        <v>0</v>
      </c>
      <c r="AA88" s="595">
        <f t="shared" si="27"/>
        <v>0</v>
      </c>
      <c r="AB88" s="595">
        <f t="shared" si="27"/>
        <v>0</v>
      </c>
    </row>
    <row r="89" spans="1:29" s="637" customFormat="1" x14ac:dyDescent="0.2">
      <c r="A89" s="632" t="s">
        <v>1143</v>
      </c>
      <c r="B89" s="633" t="s">
        <v>729</v>
      </c>
      <c r="C89" s="634">
        <v>247</v>
      </c>
      <c r="D89" s="634">
        <v>223</v>
      </c>
      <c r="E89" s="597">
        <f>SUM(E82:E88)</f>
        <v>2202225.75</v>
      </c>
      <c r="F89" s="597">
        <f t="shared" ref="F89:H89" si="28">SUM(F82:F88)</f>
        <v>0</v>
      </c>
      <c r="G89" s="597">
        <f t="shared" si="28"/>
        <v>0</v>
      </c>
      <c r="H89" s="597">
        <f t="shared" si="28"/>
        <v>2202225.75</v>
      </c>
      <c r="I89" s="635"/>
      <c r="J89" s="597">
        <f t="shared" ref="J89:P89" si="29">SUM(J82:J88)</f>
        <v>0</v>
      </c>
      <c r="K89" s="597">
        <f t="shared" si="29"/>
        <v>0</v>
      </c>
      <c r="L89" s="597">
        <f t="shared" si="29"/>
        <v>0</v>
      </c>
      <c r="M89" s="597">
        <f t="shared" si="29"/>
        <v>0</v>
      </c>
      <c r="N89" s="597">
        <f t="shared" si="29"/>
        <v>0</v>
      </c>
      <c r="O89" s="597">
        <f t="shared" si="29"/>
        <v>0</v>
      </c>
      <c r="P89" s="597">
        <f t="shared" si="29"/>
        <v>0</v>
      </c>
      <c r="Q89" s="635"/>
      <c r="R89" s="597">
        <f t="shared" ref="R89:X89" si="30">SUM(R82:R88)</f>
        <v>0</v>
      </c>
      <c r="S89" s="597">
        <f t="shared" si="30"/>
        <v>0</v>
      </c>
      <c r="T89" s="597">
        <f t="shared" si="30"/>
        <v>0</v>
      </c>
      <c r="U89" s="597">
        <f t="shared" si="30"/>
        <v>2202225.75</v>
      </c>
      <c r="V89" s="597">
        <f t="shared" si="30"/>
        <v>0</v>
      </c>
      <c r="W89" s="597">
        <f t="shared" si="30"/>
        <v>0</v>
      </c>
      <c r="X89" s="597">
        <f t="shared" si="30"/>
        <v>2202225.75</v>
      </c>
      <c r="Y89" s="635"/>
      <c r="Z89" s="597">
        <f t="shared" ref="Z89:AB89" si="31">SUM(Z82:Z88)</f>
        <v>0</v>
      </c>
      <c r="AA89" s="597">
        <f t="shared" si="31"/>
        <v>0</v>
      </c>
      <c r="AB89" s="597">
        <f t="shared" si="31"/>
        <v>0</v>
      </c>
      <c r="AC89" s="636"/>
    </row>
    <row r="90" spans="1:29" s="614" customFormat="1" x14ac:dyDescent="0.2">
      <c r="A90" s="630" t="s">
        <v>737</v>
      </c>
      <c r="B90" s="631"/>
      <c r="C90" s="624"/>
      <c r="D90" s="624"/>
      <c r="E90" s="596">
        <f>E89+E81</f>
        <v>3741878.85</v>
      </c>
      <c r="F90" s="596">
        <f t="shared" ref="F90:AB90" si="32">F89+F81</f>
        <v>0</v>
      </c>
      <c r="G90" s="596">
        <f t="shared" si="32"/>
        <v>0</v>
      </c>
      <c r="H90" s="596">
        <f t="shared" si="32"/>
        <v>3741878.85</v>
      </c>
      <c r="I90" s="626"/>
      <c r="J90" s="596">
        <f t="shared" si="32"/>
        <v>0</v>
      </c>
      <c r="K90" s="596">
        <f t="shared" si="32"/>
        <v>0</v>
      </c>
      <c r="L90" s="596">
        <f t="shared" si="32"/>
        <v>0</v>
      </c>
      <c r="M90" s="596">
        <f t="shared" si="32"/>
        <v>0</v>
      </c>
      <c r="N90" s="596">
        <f t="shared" si="32"/>
        <v>0</v>
      </c>
      <c r="O90" s="596">
        <f t="shared" si="32"/>
        <v>0</v>
      </c>
      <c r="P90" s="596">
        <f t="shared" si="32"/>
        <v>0</v>
      </c>
      <c r="Q90" s="626"/>
      <c r="R90" s="596">
        <f t="shared" si="32"/>
        <v>0</v>
      </c>
      <c r="S90" s="596">
        <f t="shared" si="32"/>
        <v>0</v>
      </c>
      <c r="T90" s="596">
        <f t="shared" si="32"/>
        <v>0</v>
      </c>
      <c r="U90" s="596">
        <f t="shared" si="32"/>
        <v>3741878.85</v>
      </c>
      <c r="V90" s="596">
        <f t="shared" si="32"/>
        <v>0</v>
      </c>
      <c r="W90" s="596">
        <f t="shared" si="32"/>
        <v>0</v>
      </c>
      <c r="X90" s="596">
        <f t="shared" si="32"/>
        <v>3741878.85</v>
      </c>
      <c r="Y90" s="626"/>
      <c r="Z90" s="596">
        <f t="shared" si="32"/>
        <v>0</v>
      </c>
      <c r="AA90" s="596">
        <f t="shared" si="32"/>
        <v>0</v>
      </c>
      <c r="AB90" s="596">
        <f t="shared" si="32"/>
        <v>0</v>
      </c>
      <c r="AC90" s="627"/>
    </row>
    <row r="91" spans="1:29" ht="31.5" x14ac:dyDescent="0.2">
      <c r="A91" s="618" t="s">
        <v>1230</v>
      </c>
      <c r="B91" s="619" t="s">
        <v>729</v>
      </c>
      <c r="C91" s="620">
        <v>244</v>
      </c>
      <c r="D91" s="620">
        <v>225</v>
      </c>
      <c r="E91" s="595">
        <f>K91</f>
        <v>7777777.7800000003</v>
      </c>
      <c r="F91" s="595"/>
      <c r="G91" s="595"/>
      <c r="H91" s="595"/>
      <c r="I91" s="621">
        <v>963324061</v>
      </c>
      <c r="J91" s="595"/>
      <c r="K91" s="595">
        <v>7777777.7800000003</v>
      </c>
      <c r="L91" s="595"/>
      <c r="M91" s="595"/>
      <c r="N91" s="595"/>
      <c r="O91" s="595"/>
      <c r="P91" s="595"/>
      <c r="Q91" s="625"/>
      <c r="R91" s="595"/>
      <c r="S91" s="595"/>
      <c r="T91" s="595"/>
      <c r="U91" s="595">
        <f>AA91</f>
        <v>7777777.7800000003</v>
      </c>
      <c r="V91" s="595"/>
      <c r="W91" s="595"/>
      <c r="X91" s="595"/>
      <c r="Y91" s="621">
        <v>963324061</v>
      </c>
      <c r="Z91" s="595"/>
      <c r="AA91" s="595">
        <f>K91+S91</f>
        <v>7777777.7800000003</v>
      </c>
      <c r="AB91" s="595"/>
    </row>
    <row r="92" spans="1:29" s="614" customFormat="1" x14ac:dyDescent="0.2">
      <c r="A92" s="630" t="s">
        <v>738</v>
      </c>
      <c r="B92" s="631" t="s">
        <v>729</v>
      </c>
      <c r="C92" s="624">
        <v>244</v>
      </c>
      <c r="D92" s="624">
        <v>225</v>
      </c>
      <c r="E92" s="596">
        <f>K92</f>
        <v>7777777.7800000003</v>
      </c>
      <c r="F92" s="596"/>
      <c r="G92" s="596"/>
      <c r="H92" s="596"/>
      <c r="I92" s="626"/>
      <c r="J92" s="596"/>
      <c r="K92" s="596">
        <f>SUM(K91)</f>
        <v>7777777.7800000003</v>
      </c>
      <c r="L92" s="596"/>
      <c r="M92" s="596"/>
      <c r="N92" s="596"/>
      <c r="O92" s="596"/>
      <c r="P92" s="596"/>
      <c r="Q92" s="626"/>
      <c r="R92" s="596"/>
      <c r="S92" s="596"/>
      <c r="T92" s="596"/>
      <c r="U92" s="596">
        <f>AA92</f>
        <v>7777777.7800000003</v>
      </c>
      <c r="V92" s="596"/>
      <c r="W92" s="596"/>
      <c r="X92" s="596"/>
      <c r="Y92" s="626"/>
      <c r="Z92" s="596"/>
      <c r="AA92" s="596">
        <f>AA91</f>
        <v>7777777.7800000003</v>
      </c>
      <c r="AB92" s="596"/>
      <c r="AC92" s="627"/>
    </row>
    <row r="93" spans="1:29" ht="78.75" x14ac:dyDescent="0.2">
      <c r="A93" s="618" t="s">
        <v>1188</v>
      </c>
      <c r="B93" s="619" t="s">
        <v>747</v>
      </c>
      <c r="C93" s="620">
        <v>244</v>
      </c>
      <c r="D93" s="620">
        <v>225</v>
      </c>
      <c r="E93" s="596">
        <f t="shared" si="0"/>
        <v>50400</v>
      </c>
      <c r="F93" s="595">
        <f>'[7]Прилож 4 23 (7)'!V76</f>
        <v>0</v>
      </c>
      <c r="G93" s="595">
        <f>'[7]Прилож 4 23 (7)'!W76</f>
        <v>0</v>
      </c>
      <c r="H93" s="595">
        <v>50400</v>
      </c>
      <c r="I93" s="623"/>
      <c r="J93" s="595">
        <f>'[7]Прилож 4 23 (7)'!Z76</f>
        <v>0</v>
      </c>
      <c r="K93" s="595">
        <f>'[7]Прилож 4 23 (7)'!AA76</f>
        <v>0</v>
      </c>
      <c r="L93" s="595">
        <f>'[7]Прилож 4 23 (7)'!AB76</f>
        <v>0</v>
      </c>
      <c r="M93" s="596">
        <f t="shared" si="4"/>
        <v>0</v>
      </c>
      <c r="N93" s="595"/>
      <c r="O93" s="595"/>
      <c r="P93" s="595"/>
      <c r="Q93" s="621"/>
      <c r="R93" s="595"/>
      <c r="S93" s="595"/>
      <c r="T93" s="595"/>
      <c r="U93" s="596">
        <f t="shared" si="5"/>
        <v>50400</v>
      </c>
      <c r="V93" s="595">
        <f t="shared" si="1"/>
        <v>0</v>
      </c>
      <c r="W93" s="595">
        <f t="shared" si="2"/>
        <v>0</v>
      </c>
      <c r="X93" s="595">
        <f t="shared" si="2"/>
        <v>50400</v>
      </c>
      <c r="Y93" s="628"/>
      <c r="Z93" s="595">
        <f t="shared" si="3"/>
        <v>0</v>
      </c>
      <c r="AA93" s="595">
        <f t="shared" si="3"/>
        <v>0</v>
      </c>
      <c r="AB93" s="595">
        <f t="shared" si="3"/>
        <v>0</v>
      </c>
    </row>
    <row r="94" spans="1:29" x14ac:dyDescent="0.2">
      <c r="A94" s="618" t="s">
        <v>1193</v>
      </c>
      <c r="B94" s="619" t="s">
        <v>747</v>
      </c>
      <c r="C94" s="620">
        <v>244</v>
      </c>
      <c r="D94" s="620">
        <v>225</v>
      </c>
      <c r="E94" s="596">
        <f t="shared" ref="E94:E157" si="33">L94+K94+J94+H94+G94+F94</f>
        <v>49836</v>
      </c>
      <c r="F94" s="595">
        <f>'[7]Прилож 4 23 (7)'!V77</f>
        <v>0</v>
      </c>
      <c r="G94" s="595">
        <f>'[7]Прилож 4 23 (7)'!W77</f>
        <v>0</v>
      </c>
      <c r="H94" s="595">
        <v>49836</v>
      </c>
      <c r="I94" s="623"/>
      <c r="J94" s="595">
        <f>'[7]Прилож 4 23 (7)'!Z77</f>
        <v>0</v>
      </c>
      <c r="K94" s="595">
        <f>'[7]Прилож 4 23 (7)'!AA77</f>
        <v>0</v>
      </c>
      <c r="L94" s="595">
        <f>'[7]Прилож 4 23 (7)'!AB77</f>
        <v>0</v>
      </c>
      <c r="M94" s="596">
        <f t="shared" si="4"/>
        <v>0</v>
      </c>
      <c r="N94" s="595"/>
      <c r="O94" s="595"/>
      <c r="P94" s="595"/>
      <c r="Q94" s="621"/>
      <c r="R94" s="595"/>
      <c r="S94" s="595"/>
      <c r="T94" s="595"/>
      <c r="U94" s="596">
        <f t="shared" si="5"/>
        <v>49836</v>
      </c>
      <c r="V94" s="595">
        <f t="shared" si="1"/>
        <v>0</v>
      </c>
      <c r="W94" s="595">
        <f t="shared" si="2"/>
        <v>0</v>
      </c>
      <c r="X94" s="595">
        <f t="shared" si="2"/>
        <v>49836</v>
      </c>
      <c r="Y94" s="628"/>
      <c r="Z94" s="595">
        <f t="shared" si="3"/>
        <v>0</v>
      </c>
      <c r="AA94" s="595">
        <f t="shared" si="3"/>
        <v>0</v>
      </c>
      <c r="AB94" s="595">
        <f t="shared" si="3"/>
        <v>0</v>
      </c>
    </row>
    <row r="95" spans="1:29" ht="31.5" x14ac:dyDescent="0.2">
      <c r="A95" s="618" t="s">
        <v>1192</v>
      </c>
      <c r="B95" s="619" t="s">
        <v>747</v>
      </c>
      <c r="C95" s="620">
        <v>244</v>
      </c>
      <c r="D95" s="620">
        <v>225</v>
      </c>
      <c r="E95" s="596">
        <f t="shared" si="33"/>
        <v>2844</v>
      </c>
      <c r="F95" s="595">
        <f>'[7]Прилож 4 23 (7)'!V78</f>
        <v>0</v>
      </c>
      <c r="G95" s="595">
        <f>'[7]Прилож 4 23 (7)'!W78</f>
        <v>0</v>
      </c>
      <c r="H95" s="595">
        <v>2844</v>
      </c>
      <c r="I95" s="623"/>
      <c r="J95" s="595">
        <f>'[7]Прилож 4 23 (7)'!Z78</f>
        <v>0</v>
      </c>
      <c r="K95" s="595">
        <f>'[7]Прилож 4 23 (7)'!AA78</f>
        <v>0</v>
      </c>
      <c r="L95" s="595">
        <f>'[7]Прилож 4 23 (7)'!AB78</f>
        <v>0</v>
      </c>
      <c r="M95" s="596">
        <f t="shared" si="4"/>
        <v>0</v>
      </c>
      <c r="N95" s="595"/>
      <c r="O95" s="595"/>
      <c r="P95" s="595"/>
      <c r="Q95" s="621"/>
      <c r="R95" s="595"/>
      <c r="S95" s="595"/>
      <c r="T95" s="595"/>
      <c r="U95" s="596">
        <f t="shared" ref="U95:U158" si="34">V95+X95+Z95+AA95+AB95+W95</f>
        <v>2844</v>
      </c>
      <c r="V95" s="595">
        <f t="shared" si="1"/>
        <v>0</v>
      </c>
      <c r="W95" s="595">
        <f t="shared" si="2"/>
        <v>0</v>
      </c>
      <c r="X95" s="595">
        <f t="shared" si="2"/>
        <v>2844</v>
      </c>
      <c r="Y95" s="628"/>
      <c r="Z95" s="595">
        <f t="shared" si="3"/>
        <v>0</v>
      </c>
      <c r="AA95" s="595">
        <f t="shared" si="3"/>
        <v>0</v>
      </c>
      <c r="AB95" s="595">
        <f t="shared" si="3"/>
        <v>0</v>
      </c>
    </row>
    <row r="96" spans="1:29" ht="31.5" x14ac:dyDescent="0.2">
      <c r="A96" s="618" t="s">
        <v>1187</v>
      </c>
      <c r="B96" s="619" t="s">
        <v>747</v>
      </c>
      <c r="C96" s="620">
        <v>244</v>
      </c>
      <c r="D96" s="620">
        <v>225</v>
      </c>
      <c r="E96" s="596">
        <f t="shared" si="33"/>
        <v>21600</v>
      </c>
      <c r="F96" s="595">
        <f>'[7]Прилож 4 23 (7)'!V79</f>
        <v>0</v>
      </c>
      <c r="G96" s="595">
        <f>'[7]Прилож 4 23 (7)'!W79</f>
        <v>0</v>
      </c>
      <c r="H96" s="595">
        <v>21600</v>
      </c>
      <c r="I96" s="623"/>
      <c r="J96" s="595">
        <f>'[7]Прилож 4 23 (7)'!Z79</f>
        <v>0</v>
      </c>
      <c r="K96" s="595">
        <f>'[7]Прилож 4 23 (7)'!AA79</f>
        <v>0</v>
      </c>
      <c r="L96" s="595">
        <f>'[7]Прилож 4 23 (7)'!AB79</f>
        <v>0</v>
      </c>
      <c r="M96" s="596">
        <f t="shared" si="4"/>
        <v>0</v>
      </c>
      <c r="N96" s="595"/>
      <c r="O96" s="595"/>
      <c r="P96" s="595"/>
      <c r="Q96" s="621"/>
      <c r="R96" s="595"/>
      <c r="S96" s="595"/>
      <c r="T96" s="595"/>
      <c r="U96" s="596">
        <f t="shared" si="34"/>
        <v>21600</v>
      </c>
      <c r="V96" s="595">
        <f t="shared" si="1"/>
        <v>0</v>
      </c>
      <c r="W96" s="595">
        <f t="shared" si="2"/>
        <v>0</v>
      </c>
      <c r="X96" s="595">
        <f t="shared" si="2"/>
        <v>21600</v>
      </c>
      <c r="Y96" s="628"/>
      <c r="Z96" s="595">
        <f t="shared" si="3"/>
        <v>0</v>
      </c>
      <c r="AA96" s="595">
        <f t="shared" si="3"/>
        <v>0</v>
      </c>
      <c r="AB96" s="595">
        <f t="shared" si="3"/>
        <v>0</v>
      </c>
    </row>
    <row r="97" spans="1:28" ht="47.25" x14ac:dyDescent="0.2">
      <c r="A97" s="618" t="s">
        <v>1203</v>
      </c>
      <c r="B97" s="619" t="s">
        <v>747</v>
      </c>
      <c r="C97" s="620">
        <v>244</v>
      </c>
      <c r="D97" s="620">
        <v>225</v>
      </c>
      <c r="E97" s="596">
        <f t="shared" si="33"/>
        <v>15000</v>
      </c>
      <c r="F97" s="595">
        <f>'[7]Прилож 4 23 (7)'!V80</f>
        <v>0</v>
      </c>
      <c r="G97" s="595">
        <f>'[7]Прилож 4 23 (7)'!W80</f>
        <v>0</v>
      </c>
      <c r="H97" s="595">
        <v>15000</v>
      </c>
      <c r="I97" s="623"/>
      <c r="J97" s="595">
        <f>'[7]Прилож 4 23 (7)'!Z80</f>
        <v>0</v>
      </c>
      <c r="K97" s="595">
        <f>'[7]Прилож 4 23 (7)'!AA80</f>
        <v>0</v>
      </c>
      <c r="L97" s="595">
        <f>'[7]Прилож 4 23 (7)'!AB80</f>
        <v>0</v>
      </c>
      <c r="M97" s="596">
        <f t="shared" si="4"/>
        <v>0</v>
      </c>
      <c r="N97" s="595"/>
      <c r="O97" s="595"/>
      <c r="P97" s="595"/>
      <c r="Q97" s="621"/>
      <c r="R97" s="595"/>
      <c r="S97" s="595"/>
      <c r="T97" s="595"/>
      <c r="U97" s="596">
        <f t="shared" si="34"/>
        <v>15000</v>
      </c>
      <c r="V97" s="595">
        <f t="shared" ref="V97:V164" si="35">F97+N97</f>
        <v>0</v>
      </c>
      <c r="W97" s="595">
        <f t="shared" ref="W97:X164" si="36">O97+G97</f>
        <v>0</v>
      </c>
      <c r="X97" s="595">
        <f t="shared" si="36"/>
        <v>15000</v>
      </c>
      <c r="Y97" s="628"/>
      <c r="Z97" s="595">
        <f t="shared" ref="Z97:AB164" si="37">R97+J97</f>
        <v>0</v>
      </c>
      <c r="AA97" s="595">
        <f t="shared" si="37"/>
        <v>0</v>
      </c>
      <c r="AB97" s="595">
        <f t="shared" si="37"/>
        <v>0</v>
      </c>
    </row>
    <row r="98" spans="1:28" x14ac:dyDescent="0.2">
      <c r="A98" s="618" t="s">
        <v>583</v>
      </c>
      <c r="B98" s="619" t="s">
        <v>747</v>
      </c>
      <c r="C98" s="620">
        <v>244</v>
      </c>
      <c r="D98" s="620">
        <v>225</v>
      </c>
      <c r="E98" s="596">
        <f t="shared" si="33"/>
        <v>5000</v>
      </c>
      <c r="F98" s="595">
        <f>'[7]Прилож 4 23 (7)'!V81</f>
        <v>0</v>
      </c>
      <c r="G98" s="595">
        <f>'[7]Прилож 4 23 (7)'!W81</f>
        <v>0</v>
      </c>
      <c r="H98" s="595">
        <v>5000</v>
      </c>
      <c r="I98" s="623"/>
      <c r="J98" s="595">
        <f>'[7]Прилож 4 23 (7)'!Z81</f>
        <v>0</v>
      </c>
      <c r="K98" s="595">
        <f>'[7]Прилож 4 23 (7)'!AA81</f>
        <v>0</v>
      </c>
      <c r="L98" s="595">
        <f>'[7]Прилож 4 23 (7)'!AB81</f>
        <v>0</v>
      </c>
      <c r="M98" s="596">
        <f t="shared" si="4"/>
        <v>0</v>
      </c>
      <c r="N98" s="595"/>
      <c r="O98" s="595"/>
      <c r="P98" s="595"/>
      <c r="Q98" s="621"/>
      <c r="R98" s="595"/>
      <c r="S98" s="595"/>
      <c r="T98" s="595"/>
      <c r="U98" s="596">
        <f t="shared" si="34"/>
        <v>5000</v>
      </c>
      <c r="V98" s="595">
        <f t="shared" si="35"/>
        <v>0</v>
      </c>
      <c r="W98" s="595">
        <f t="shared" si="36"/>
        <v>0</v>
      </c>
      <c r="X98" s="595">
        <f t="shared" si="36"/>
        <v>5000</v>
      </c>
      <c r="Y98" s="628"/>
      <c r="Z98" s="595">
        <f t="shared" si="37"/>
        <v>0</v>
      </c>
      <c r="AA98" s="595">
        <f t="shared" si="37"/>
        <v>0</v>
      </c>
      <c r="AB98" s="595">
        <f t="shared" si="37"/>
        <v>0</v>
      </c>
    </row>
    <row r="99" spans="1:28" x14ac:dyDescent="0.2">
      <c r="A99" s="618" t="s">
        <v>749</v>
      </c>
      <c r="B99" s="619" t="s">
        <v>747</v>
      </c>
      <c r="C99" s="620">
        <v>244</v>
      </c>
      <c r="D99" s="620">
        <v>225</v>
      </c>
      <c r="E99" s="596">
        <f t="shared" si="33"/>
        <v>0</v>
      </c>
      <c r="F99" s="595">
        <f>'[7]Прилож 4 23 (7)'!V82</f>
        <v>0</v>
      </c>
      <c r="G99" s="595">
        <f>'[7]Прилож 4 23 (7)'!W82</f>
        <v>0</v>
      </c>
      <c r="H99" s="595"/>
      <c r="I99" s="623"/>
      <c r="J99" s="595">
        <f>'[7]Прилож 4 23 (7)'!Z82</f>
        <v>0</v>
      </c>
      <c r="K99" s="595">
        <f>'[7]Прилож 4 23 (7)'!AA82</f>
        <v>0</v>
      </c>
      <c r="L99" s="595">
        <f>'[7]Прилож 4 23 (7)'!AB82</f>
        <v>0</v>
      </c>
      <c r="M99" s="596">
        <f t="shared" si="4"/>
        <v>0</v>
      </c>
      <c r="N99" s="595"/>
      <c r="O99" s="595"/>
      <c r="P99" s="595"/>
      <c r="Q99" s="621"/>
      <c r="R99" s="595"/>
      <c r="S99" s="595"/>
      <c r="T99" s="595"/>
      <c r="U99" s="596">
        <f t="shared" si="34"/>
        <v>0</v>
      </c>
      <c r="V99" s="595">
        <f t="shared" si="35"/>
        <v>0</v>
      </c>
      <c r="W99" s="595">
        <f t="shared" si="36"/>
        <v>0</v>
      </c>
      <c r="X99" s="595">
        <f t="shared" si="36"/>
        <v>0</v>
      </c>
      <c r="Y99" s="628"/>
      <c r="Z99" s="595">
        <f t="shared" si="37"/>
        <v>0</v>
      </c>
      <c r="AA99" s="595">
        <f t="shared" si="37"/>
        <v>0</v>
      </c>
      <c r="AB99" s="595">
        <f t="shared" si="37"/>
        <v>0</v>
      </c>
    </row>
    <row r="100" spans="1:28" x14ac:dyDescent="0.2">
      <c r="A100" s="618" t="s">
        <v>1204</v>
      </c>
      <c r="B100" s="619" t="s">
        <v>747</v>
      </c>
      <c r="C100" s="620">
        <v>244</v>
      </c>
      <c r="D100" s="620">
        <v>225</v>
      </c>
      <c r="E100" s="596">
        <f t="shared" si="33"/>
        <v>0</v>
      </c>
      <c r="F100" s="595"/>
      <c r="G100" s="595"/>
      <c r="H100" s="595">
        <v>0</v>
      </c>
      <c r="I100" s="623"/>
      <c r="J100" s="595"/>
      <c r="K100" s="595"/>
      <c r="L100" s="595"/>
      <c r="M100" s="596"/>
      <c r="N100" s="595"/>
      <c r="O100" s="595"/>
      <c r="P100" s="595"/>
      <c r="Q100" s="621"/>
      <c r="R100" s="595"/>
      <c r="S100" s="595"/>
      <c r="T100" s="595"/>
      <c r="U100" s="596">
        <f t="shared" si="34"/>
        <v>0</v>
      </c>
      <c r="V100" s="595"/>
      <c r="W100" s="595"/>
      <c r="X100" s="595">
        <f t="shared" si="36"/>
        <v>0</v>
      </c>
      <c r="Y100" s="628"/>
      <c r="Z100" s="595"/>
      <c r="AA100" s="595"/>
      <c r="AB100" s="595"/>
    </row>
    <row r="101" spans="1:28" ht="48.75" customHeight="1" x14ac:dyDescent="0.2">
      <c r="A101" s="618" t="s">
        <v>143</v>
      </c>
      <c r="B101" s="619" t="s">
        <v>747</v>
      </c>
      <c r="C101" s="620">
        <v>244</v>
      </c>
      <c r="D101" s="620">
        <v>225</v>
      </c>
      <c r="E101" s="596">
        <f t="shared" si="33"/>
        <v>12000</v>
      </c>
      <c r="F101" s="595">
        <f>'[7]Прилож 4 23 (7)'!V83</f>
        <v>0</v>
      </c>
      <c r="G101" s="595">
        <f>'[7]Прилож 4 23 (7)'!W83</f>
        <v>0</v>
      </c>
      <c r="H101" s="595">
        <v>12000</v>
      </c>
      <c r="I101" s="623"/>
      <c r="J101" s="595">
        <f>'[7]Прилож 4 23 (7)'!Z83</f>
        <v>0</v>
      </c>
      <c r="K101" s="595">
        <f>'[7]Прилож 4 23 (7)'!AA83</f>
        <v>0</v>
      </c>
      <c r="L101" s="595">
        <f>'[7]Прилож 4 23 (7)'!AB83</f>
        <v>0</v>
      </c>
      <c r="M101" s="596">
        <f t="shared" si="4"/>
        <v>0</v>
      </c>
      <c r="N101" s="595"/>
      <c r="O101" s="595"/>
      <c r="P101" s="595"/>
      <c r="Q101" s="621"/>
      <c r="R101" s="595"/>
      <c r="S101" s="595"/>
      <c r="T101" s="595"/>
      <c r="U101" s="596">
        <f t="shared" si="34"/>
        <v>12000</v>
      </c>
      <c r="V101" s="595">
        <f t="shared" si="35"/>
        <v>0</v>
      </c>
      <c r="W101" s="595">
        <f t="shared" si="36"/>
        <v>0</v>
      </c>
      <c r="X101" s="595">
        <f t="shared" si="36"/>
        <v>12000</v>
      </c>
      <c r="Y101" s="628"/>
      <c r="Z101" s="595">
        <f t="shared" si="37"/>
        <v>0</v>
      </c>
      <c r="AA101" s="595">
        <f t="shared" si="37"/>
        <v>0</v>
      </c>
      <c r="AB101" s="595">
        <f t="shared" si="37"/>
        <v>0</v>
      </c>
    </row>
    <row r="102" spans="1:28" ht="31.5" x14ac:dyDescent="0.2">
      <c r="A102" s="618" t="s">
        <v>645</v>
      </c>
      <c r="B102" s="619" t="s">
        <v>747</v>
      </c>
      <c r="C102" s="620">
        <v>244</v>
      </c>
      <c r="D102" s="620">
        <v>225</v>
      </c>
      <c r="E102" s="596">
        <f t="shared" si="33"/>
        <v>0</v>
      </c>
      <c r="F102" s="595">
        <f>'[7]Прилож 4 23 (7)'!V84</f>
        <v>0</v>
      </c>
      <c r="G102" s="595">
        <f>'[7]Прилож 4 23 (7)'!W84</f>
        <v>0</v>
      </c>
      <c r="H102" s="595">
        <v>0</v>
      </c>
      <c r="I102" s="623"/>
      <c r="J102" s="595">
        <f>'[7]Прилож 4 23 (7)'!Z84</f>
        <v>0</v>
      </c>
      <c r="K102" s="595">
        <f>'[7]Прилож 4 23 (7)'!AA84</f>
        <v>0</v>
      </c>
      <c r="L102" s="595">
        <f>'[7]Прилож 4 23 (7)'!AB84</f>
        <v>0</v>
      </c>
      <c r="M102" s="596">
        <f t="shared" ref="M102:M170" si="38">N102+P102+R102+S102+T102+O102</f>
        <v>0</v>
      </c>
      <c r="N102" s="595"/>
      <c r="O102" s="595"/>
      <c r="P102" s="595"/>
      <c r="Q102" s="621"/>
      <c r="R102" s="595"/>
      <c r="S102" s="595"/>
      <c r="T102" s="595"/>
      <c r="U102" s="596">
        <f t="shared" si="34"/>
        <v>0</v>
      </c>
      <c r="V102" s="595">
        <f t="shared" si="35"/>
        <v>0</v>
      </c>
      <c r="W102" s="595">
        <f t="shared" si="36"/>
        <v>0</v>
      </c>
      <c r="X102" s="595">
        <f t="shared" si="36"/>
        <v>0</v>
      </c>
      <c r="Y102" s="628"/>
      <c r="Z102" s="595">
        <f t="shared" si="37"/>
        <v>0</v>
      </c>
      <c r="AA102" s="595">
        <f t="shared" si="37"/>
        <v>0</v>
      </c>
      <c r="AB102" s="595">
        <f t="shared" si="37"/>
        <v>0</v>
      </c>
    </row>
    <row r="103" spans="1:28" ht="31.5" x14ac:dyDescent="0.2">
      <c r="A103" s="618" t="s">
        <v>646</v>
      </c>
      <c r="B103" s="619" t="s">
        <v>747</v>
      </c>
      <c r="C103" s="620">
        <v>244</v>
      </c>
      <c r="D103" s="620">
        <v>225</v>
      </c>
      <c r="E103" s="596">
        <f t="shared" si="33"/>
        <v>0</v>
      </c>
      <c r="F103" s="595">
        <f>'[7]Прилож 4 23 (7)'!V85</f>
        <v>0</v>
      </c>
      <c r="G103" s="595">
        <f>'[7]Прилож 4 23 (7)'!W85</f>
        <v>0</v>
      </c>
      <c r="H103" s="595">
        <v>0</v>
      </c>
      <c r="I103" s="623"/>
      <c r="J103" s="595">
        <f>'[7]Прилож 4 23 (7)'!Z85</f>
        <v>0</v>
      </c>
      <c r="K103" s="595">
        <f>'[7]Прилож 4 23 (7)'!AA85</f>
        <v>0</v>
      </c>
      <c r="L103" s="595">
        <f>'[7]Прилож 4 23 (7)'!AB85</f>
        <v>0</v>
      </c>
      <c r="M103" s="596">
        <f t="shared" si="38"/>
        <v>0</v>
      </c>
      <c r="N103" s="595"/>
      <c r="O103" s="595"/>
      <c r="P103" s="595"/>
      <c r="Q103" s="621"/>
      <c r="R103" s="595"/>
      <c r="S103" s="595"/>
      <c r="T103" s="595"/>
      <c r="U103" s="596">
        <f t="shared" si="34"/>
        <v>0</v>
      </c>
      <c r="V103" s="595">
        <f t="shared" si="35"/>
        <v>0</v>
      </c>
      <c r="W103" s="595">
        <f t="shared" si="36"/>
        <v>0</v>
      </c>
      <c r="X103" s="595">
        <f t="shared" si="36"/>
        <v>0</v>
      </c>
      <c r="Y103" s="628"/>
      <c r="Z103" s="595">
        <f t="shared" si="37"/>
        <v>0</v>
      </c>
      <c r="AA103" s="595">
        <f t="shared" si="37"/>
        <v>0</v>
      </c>
      <c r="AB103" s="595">
        <f t="shared" si="37"/>
        <v>0</v>
      </c>
    </row>
    <row r="104" spans="1:28" x14ac:dyDescent="0.2">
      <c r="A104" s="618" t="s">
        <v>145</v>
      </c>
      <c r="B104" s="619" t="s">
        <v>747</v>
      </c>
      <c r="C104" s="620">
        <v>244</v>
      </c>
      <c r="D104" s="620">
        <v>225</v>
      </c>
      <c r="E104" s="596">
        <f t="shared" si="33"/>
        <v>0</v>
      </c>
      <c r="F104" s="595">
        <f>'[7]Прилож 4 23 (7)'!V86</f>
        <v>0</v>
      </c>
      <c r="G104" s="595">
        <f>'[7]Прилож 4 23 (7)'!W86</f>
        <v>0</v>
      </c>
      <c r="H104" s="595">
        <v>0</v>
      </c>
      <c r="I104" s="623"/>
      <c r="J104" s="595">
        <f>'[7]Прилож 4 23 (7)'!Z86</f>
        <v>0</v>
      </c>
      <c r="K104" s="595">
        <f>'[7]Прилож 4 23 (7)'!AA86</f>
        <v>0</v>
      </c>
      <c r="L104" s="595">
        <f>'[7]Прилож 4 23 (7)'!AB86</f>
        <v>0</v>
      </c>
      <c r="M104" s="596">
        <f t="shared" si="38"/>
        <v>0</v>
      </c>
      <c r="N104" s="595"/>
      <c r="O104" s="595"/>
      <c r="P104" s="595"/>
      <c r="Q104" s="621"/>
      <c r="R104" s="595"/>
      <c r="S104" s="595"/>
      <c r="T104" s="595"/>
      <c r="U104" s="596">
        <f t="shared" si="34"/>
        <v>0</v>
      </c>
      <c r="V104" s="595">
        <f t="shared" si="35"/>
        <v>0</v>
      </c>
      <c r="W104" s="595">
        <f t="shared" si="36"/>
        <v>0</v>
      </c>
      <c r="X104" s="595">
        <f t="shared" si="36"/>
        <v>0</v>
      </c>
      <c r="Y104" s="628"/>
      <c r="Z104" s="595">
        <f t="shared" si="37"/>
        <v>0</v>
      </c>
      <c r="AA104" s="595">
        <f t="shared" si="37"/>
        <v>0</v>
      </c>
      <c r="AB104" s="595">
        <f t="shared" si="37"/>
        <v>0</v>
      </c>
    </row>
    <row r="105" spans="1:28" ht="31.5" x14ac:dyDescent="0.2">
      <c r="A105" s="618" t="s">
        <v>146</v>
      </c>
      <c r="B105" s="619" t="s">
        <v>747</v>
      </c>
      <c r="C105" s="620">
        <v>244</v>
      </c>
      <c r="D105" s="620">
        <v>225</v>
      </c>
      <c r="E105" s="596">
        <f t="shared" si="33"/>
        <v>0</v>
      </c>
      <c r="F105" s="595">
        <f>'[7]Прилож 4 23 (7)'!V87</f>
        <v>0</v>
      </c>
      <c r="G105" s="595">
        <f>'[7]Прилож 4 23 (7)'!W87</f>
        <v>0</v>
      </c>
      <c r="H105" s="595"/>
      <c r="I105" s="623"/>
      <c r="J105" s="595">
        <f>'[7]Прилож 4 23 (7)'!Z87</f>
        <v>0</v>
      </c>
      <c r="K105" s="595">
        <f>'[7]Прилож 4 23 (7)'!AA87</f>
        <v>0</v>
      </c>
      <c r="L105" s="595">
        <f>'[7]Прилож 4 23 (7)'!AB87</f>
        <v>0</v>
      </c>
      <c r="M105" s="596">
        <f t="shared" si="38"/>
        <v>0</v>
      </c>
      <c r="N105" s="595"/>
      <c r="O105" s="595"/>
      <c r="P105" s="595"/>
      <c r="Q105" s="621"/>
      <c r="R105" s="595"/>
      <c r="S105" s="595"/>
      <c r="T105" s="595"/>
      <c r="U105" s="596">
        <f t="shared" si="34"/>
        <v>0</v>
      </c>
      <c r="V105" s="595">
        <f t="shared" si="35"/>
        <v>0</v>
      </c>
      <c r="W105" s="595">
        <f t="shared" si="36"/>
        <v>0</v>
      </c>
      <c r="X105" s="595">
        <f t="shared" si="36"/>
        <v>0</v>
      </c>
      <c r="Y105" s="628"/>
      <c r="Z105" s="595">
        <f t="shared" si="37"/>
        <v>0</v>
      </c>
      <c r="AA105" s="595">
        <f t="shared" si="37"/>
        <v>0</v>
      </c>
      <c r="AB105" s="595">
        <f t="shared" si="37"/>
        <v>0</v>
      </c>
    </row>
    <row r="106" spans="1:28" ht="47.25" x14ac:dyDescent="0.2">
      <c r="A106" s="618" t="s">
        <v>148</v>
      </c>
      <c r="B106" s="619" t="s">
        <v>747</v>
      </c>
      <c r="C106" s="620">
        <v>244</v>
      </c>
      <c r="D106" s="620">
        <v>225</v>
      </c>
      <c r="E106" s="596">
        <f t="shared" si="33"/>
        <v>12000</v>
      </c>
      <c r="F106" s="595">
        <f>'[7]Прилож 4 23 (7)'!V88</f>
        <v>0</v>
      </c>
      <c r="G106" s="595">
        <f>'[7]Прилож 4 23 (7)'!W88</f>
        <v>0</v>
      </c>
      <c r="H106" s="595">
        <f>'[7]Прилож 4 23 (7)'!X88</f>
        <v>12000</v>
      </c>
      <c r="I106" s="623"/>
      <c r="J106" s="595">
        <f>'[7]Прилож 4 23 (7)'!Z88</f>
        <v>0</v>
      </c>
      <c r="K106" s="595">
        <f>'[7]Прилож 4 23 (7)'!AA88</f>
        <v>0</v>
      </c>
      <c r="L106" s="595">
        <f>'[7]Прилож 4 23 (7)'!AB88</f>
        <v>0</v>
      </c>
      <c r="M106" s="596">
        <f t="shared" si="38"/>
        <v>0</v>
      </c>
      <c r="N106" s="595"/>
      <c r="O106" s="595"/>
      <c r="P106" s="595"/>
      <c r="Q106" s="621"/>
      <c r="R106" s="595"/>
      <c r="S106" s="595"/>
      <c r="T106" s="595"/>
      <c r="U106" s="596">
        <f t="shared" si="34"/>
        <v>12000</v>
      </c>
      <c r="V106" s="595">
        <f t="shared" si="35"/>
        <v>0</v>
      </c>
      <c r="W106" s="595">
        <f t="shared" si="36"/>
        <v>0</v>
      </c>
      <c r="X106" s="595">
        <f t="shared" si="36"/>
        <v>12000</v>
      </c>
      <c r="Y106" s="628"/>
      <c r="Z106" s="595">
        <f t="shared" si="37"/>
        <v>0</v>
      </c>
      <c r="AA106" s="595">
        <f t="shared" si="37"/>
        <v>0</v>
      </c>
      <c r="AB106" s="595">
        <f t="shared" si="37"/>
        <v>0</v>
      </c>
    </row>
    <row r="107" spans="1:28" ht="31.5" x14ac:dyDescent="0.2">
      <c r="A107" s="618" t="s">
        <v>149</v>
      </c>
      <c r="B107" s="619" t="s">
        <v>747</v>
      </c>
      <c r="C107" s="620">
        <v>244</v>
      </c>
      <c r="D107" s="620">
        <v>225</v>
      </c>
      <c r="E107" s="596">
        <f t="shared" si="33"/>
        <v>4000</v>
      </c>
      <c r="F107" s="595">
        <f>'[7]Прилож 4 23 (7)'!V89</f>
        <v>0</v>
      </c>
      <c r="G107" s="595">
        <f>'[7]Прилож 4 23 (7)'!W89</f>
        <v>0</v>
      </c>
      <c r="H107" s="595">
        <v>4000</v>
      </c>
      <c r="I107" s="623"/>
      <c r="J107" s="595">
        <f>'[7]Прилож 4 23 (7)'!Z89</f>
        <v>0</v>
      </c>
      <c r="K107" s="595">
        <f>'[7]Прилож 4 23 (7)'!AA89</f>
        <v>0</v>
      </c>
      <c r="L107" s="595">
        <f>'[7]Прилож 4 23 (7)'!AB89</f>
        <v>0</v>
      </c>
      <c r="M107" s="596">
        <f t="shared" si="38"/>
        <v>0</v>
      </c>
      <c r="N107" s="595"/>
      <c r="O107" s="595"/>
      <c r="P107" s="595"/>
      <c r="Q107" s="621"/>
      <c r="R107" s="595"/>
      <c r="S107" s="595"/>
      <c r="T107" s="595"/>
      <c r="U107" s="596">
        <f t="shared" si="34"/>
        <v>4000</v>
      </c>
      <c r="V107" s="595">
        <f t="shared" si="35"/>
        <v>0</v>
      </c>
      <c r="W107" s="595">
        <f t="shared" si="36"/>
        <v>0</v>
      </c>
      <c r="X107" s="595">
        <f t="shared" si="36"/>
        <v>4000</v>
      </c>
      <c r="Y107" s="628"/>
      <c r="Z107" s="595">
        <f t="shared" si="37"/>
        <v>0</v>
      </c>
      <c r="AA107" s="595">
        <f t="shared" si="37"/>
        <v>0</v>
      </c>
      <c r="AB107" s="595">
        <f t="shared" si="37"/>
        <v>0</v>
      </c>
    </row>
    <row r="108" spans="1:28" x14ac:dyDescent="0.2">
      <c r="A108" s="618" t="s">
        <v>150</v>
      </c>
      <c r="B108" s="619" t="s">
        <v>747</v>
      </c>
      <c r="C108" s="620">
        <v>244</v>
      </c>
      <c r="D108" s="620">
        <v>225</v>
      </c>
      <c r="E108" s="596">
        <f t="shared" si="33"/>
        <v>0</v>
      </c>
      <c r="F108" s="595">
        <f>'[7]Прилож 4 23 (7)'!V90</f>
        <v>0</v>
      </c>
      <c r="G108" s="595">
        <f>'[7]Прилож 4 23 (7)'!W90</f>
        <v>0</v>
      </c>
      <c r="H108" s="595">
        <v>0</v>
      </c>
      <c r="I108" s="623"/>
      <c r="J108" s="595">
        <f>'[7]Прилож 4 23 (7)'!Z90</f>
        <v>0</v>
      </c>
      <c r="K108" s="595">
        <f>'[7]Прилож 4 23 (7)'!AA90</f>
        <v>0</v>
      </c>
      <c r="L108" s="595">
        <f>'[7]Прилож 4 23 (7)'!AB90</f>
        <v>0</v>
      </c>
      <c r="M108" s="596">
        <f t="shared" si="38"/>
        <v>0</v>
      </c>
      <c r="N108" s="595"/>
      <c r="O108" s="595"/>
      <c r="P108" s="595"/>
      <c r="Q108" s="621"/>
      <c r="R108" s="595"/>
      <c r="S108" s="595"/>
      <c r="T108" s="595"/>
      <c r="U108" s="596">
        <f t="shared" si="34"/>
        <v>0</v>
      </c>
      <c r="V108" s="595">
        <f t="shared" si="35"/>
        <v>0</v>
      </c>
      <c r="W108" s="595">
        <f t="shared" si="36"/>
        <v>0</v>
      </c>
      <c r="X108" s="595">
        <f t="shared" si="36"/>
        <v>0</v>
      </c>
      <c r="Y108" s="628"/>
      <c r="Z108" s="595">
        <f t="shared" si="37"/>
        <v>0</v>
      </c>
      <c r="AA108" s="595">
        <f t="shared" si="37"/>
        <v>0</v>
      </c>
      <c r="AB108" s="595">
        <f t="shared" si="37"/>
        <v>0</v>
      </c>
    </row>
    <row r="109" spans="1:28" x14ac:dyDescent="0.2">
      <c r="A109" s="618" t="s">
        <v>647</v>
      </c>
      <c r="B109" s="619" t="s">
        <v>747</v>
      </c>
      <c r="C109" s="620">
        <v>244</v>
      </c>
      <c r="D109" s="620">
        <v>225</v>
      </c>
      <c r="E109" s="596">
        <f t="shared" si="33"/>
        <v>0</v>
      </c>
      <c r="F109" s="595">
        <f>'[7]Прилож 4 23 (7)'!V91</f>
        <v>0</v>
      </c>
      <c r="G109" s="595">
        <f>'[7]Прилож 4 23 (7)'!W91</f>
        <v>0</v>
      </c>
      <c r="H109" s="595"/>
      <c r="I109" s="623"/>
      <c r="J109" s="595">
        <f>'[7]Прилож 4 23 (7)'!Z91</f>
        <v>0</v>
      </c>
      <c r="K109" s="595">
        <f>'[7]Прилож 4 23 (7)'!AA91</f>
        <v>0</v>
      </c>
      <c r="L109" s="595">
        <f>'[7]Прилож 4 23 (7)'!AB91</f>
        <v>0</v>
      </c>
      <c r="M109" s="596">
        <f t="shared" si="38"/>
        <v>0</v>
      </c>
      <c r="N109" s="595"/>
      <c r="O109" s="595"/>
      <c r="P109" s="595"/>
      <c r="Q109" s="621"/>
      <c r="R109" s="595"/>
      <c r="S109" s="595"/>
      <c r="T109" s="595"/>
      <c r="U109" s="596">
        <f t="shared" si="34"/>
        <v>0</v>
      </c>
      <c r="V109" s="595">
        <f t="shared" si="35"/>
        <v>0</v>
      </c>
      <c r="W109" s="595">
        <f t="shared" si="36"/>
        <v>0</v>
      </c>
      <c r="X109" s="595">
        <f t="shared" si="36"/>
        <v>0</v>
      </c>
      <c r="Y109" s="628"/>
      <c r="Z109" s="595">
        <f t="shared" si="37"/>
        <v>0</v>
      </c>
      <c r="AA109" s="595">
        <f t="shared" si="37"/>
        <v>0</v>
      </c>
      <c r="AB109" s="595">
        <f t="shared" si="37"/>
        <v>0</v>
      </c>
    </row>
    <row r="110" spans="1:28" ht="31.5" x14ac:dyDescent="0.2">
      <c r="A110" s="618" t="s">
        <v>1185</v>
      </c>
      <c r="B110" s="619" t="s">
        <v>747</v>
      </c>
      <c r="C110" s="620">
        <v>244</v>
      </c>
      <c r="D110" s="620">
        <v>225</v>
      </c>
      <c r="E110" s="596">
        <f t="shared" si="33"/>
        <v>19716</v>
      </c>
      <c r="F110" s="595">
        <f>'[7]Прилож 4 23 (7)'!V92</f>
        <v>0</v>
      </c>
      <c r="G110" s="595">
        <f>'[7]Прилож 4 23 (7)'!W92</f>
        <v>0</v>
      </c>
      <c r="H110" s="595">
        <v>19716</v>
      </c>
      <c r="I110" s="623"/>
      <c r="J110" s="595">
        <f>'[7]Прилож 4 23 (7)'!Z92</f>
        <v>0</v>
      </c>
      <c r="K110" s="595">
        <f>'[7]Прилож 4 23 (7)'!AA92</f>
        <v>0</v>
      </c>
      <c r="L110" s="595">
        <f>'[7]Прилож 4 23 (7)'!AB92</f>
        <v>0</v>
      </c>
      <c r="M110" s="596">
        <f t="shared" si="38"/>
        <v>0</v>
      </c>
      <c r="N110" s="595"/>
      <c r="O110" s="595"/>
      <c r="P110" s="595"/>
      <c r="Q110" s="621"/>
      <c r="R110" s="595"/>
      <c r="S110" s="595"/>
      <c r="T110" s="595"/>
      <c r="U110" s="596">
        <f t="shared" si="34"/>
        <v>19716</v>
      </c>
      <c r="V110" s="595">
        <f t="shared" si="35"/>
        <v>0</v>
      </c>
      <c r="W110" s="595">
        <f t="shared" si="36"/>
        <v>0</v>
      </c>
      <c r="X110" s="595">
        <f t="shared" si="36"/>
        <v>19716</v>
      </c>
      <c r="Y110" s="628"/>
      <c r="Z110" s="595">
        <f t="shared" si="37"/>
        <v>0</v>
      </c>
      <c r="AA110" s="595">
        <f t="shared" si="37"/>
        <v>0</v>
      </c>
      <c r="AB110" s="595">
        <f t="shared" si="37"/>
        <v>0</v>
      </c>
    </row>
    <row r="111" spans="1:28" ht="31.5" x14ac:dyDescent="0.2">
      <c r="A111" s="618" t="s">
        <v>587</v>
      </c>
      <c r="B111" s="619" t="s">
        <v>747</v>
      </c>
      <c r="C111" s="620">
        <v>244</v>
      </c>
      <c r="D111" s="620">
        <v>225</v>
      </c>
      <c r="E111" s="596">
        <f t="shared" si="33"/>
        <v>14952</v>
      </c>
      <c r="F111" s="595">
        <f>'[7]Прилож 4 23 (7)'!V93</f>
        <v>0</v>
      </c>
      <c r="G111" s="595">
        <f>'[7]Прилож 4 23 (7)'!W93</f>
        <v>0</v>
      </c>
      <c r="H111" s="595">
        <v>14952</v>
      </c>
      <c r="I111" s="623"/>
      <c r="J111" s="595">
        <f>'[7]Прилож 4 23 (7)'!Z93</f>
        <v>0</v>
      </c>
      <c r="K111" s="595">
        <f>'[7]Прилож 4 23 (7)'!AA93</f>
        <v>0</v>
      </c>
      <c r="L111" s="595">
        <f>'[7]Прилож 4 23 (7)'!AB93</f>
        <v>0</v>
      </c>
      <c r="M111" s="596">
        <f t="shared" si="38"/>
        <v>0</v>
      </c>
      <c r="N111" s="595"/>
      <c r="O111" s="595"/>
      <c r="P111" s="595"/>
      <c r="Q111" s="621"/>
      <c r="R111" s="595"/>
      <c r="S111" s="595"/>
      <c r="T111" s="595"/>
      <c r="U111" s="596">
        <f t="shared" si="34"/>
        <v>14952</v>
      </c>
      <c r="V111" s="595">
        <f t="shared" si="35"/>
        <v>0</v>
      </c>
      <c r="W111" s="595">
        <f t="shared" si="36"/>
        <v>0</v>
      </c>
      <c r="X111" s="595">
        <f t="shared" si="36"/>
        <v>14952</v>
      </c>
      <c r="Y111" s="628"/>
      <c r="Z111" s="595">
        <f t="shared" si="37"/>
        <v>0</v>
      </c>
      <c r="AA111" s="595">
        <f t="shared" si="37"/>
        <v>0</v>
      </c>
      <c r="AB111" s="595">
        <f t="shared" si="37"/>
        <v>0</v>
      </c>
    </row>
    <row r="112" spans="1:28" ht="31.5" x14ac:dyDescent="0.2">
      <c r="A112" s="618" t="s">
        <v>1109</v>
      </c>
      <c r="B112" s="619" t="s">
        <v>747</v>
      </c>
      <c r="C112" s="620">
        <v>244</v>
      </c>
      <c r="D112" s="620">
        <v>225</v>
      </c>
      <c r="E112" s="596">
        <f t="shared" si="33"/>
        <v>45398.879999999997</v>
      </c>
      <c r="F112" s="595">
        <f>'[7]Прилож 4 23 (7)'!V95</f>
        <v>0</v>
      </c>
      <c r="G112" s="595">
        <f>'[7]Прилож 4 23 (7)'!W95</f>
        <v>0</v>
      </c>
      <c r="H112" s="595">
        <v>45398.879999999997</v>
      </c>
      <c r="I112" s="623"/>
      <c r="J112" s="595">
        <f>'[7]Прилож 4 23 (7)'!Z95</f>
        <v>0</v>
      </c>
      <c r="K112" s="595">
        <f>'[7]Прилож 4 23 (7)'!AA95</f>
        <v>0</v>
      </c>
      <c r="L112" s="595">
        <f>'[7]Прилож 4 23 (7)'!AB95</f>
        <v>0</v>
      </c>
      <c r="M112" s="596">
        <f t="shared" si="38"/>
        <v>0</v>
      </c>
      <c r="N112" s="595"/>
      <c r="O112" s="595"/>
      <c r="P112" s="595"/>
      <c r="Q112" s="621"/>
      <c r="R112" s="595"/>
      <c r="S112" s="595"/>
      <c r="T112" s="595"/>
      <c r="U112" s="596">
        <f t="shared" si="34"/>
        <v>45398.879999999997</v>
      </c>
      <c r="V112" s="595"/>
      <c r="W112" s="595"/>
      <c r="X112" s="595">
        <f t="shared" si="36"/>
        <v>45398.879999999997</v>
      </c>
      <c r="Y112" s="621"/>
      <c r="Z112" s="595"/>
      <c r="AA112" s="595">
        <f>S112</f>
        <v>0</v>
      </c>
      <c r="AB112" s="595"/>
    </row>
    <row r="113" spans="1:29" ht="31.5" x14ac:dyDescent="0.2">
      <c r="A113" s="618" t="s">
        <v>157</v>
      </c>
      <c r="B113" s="619" t="s">
        <v>747</v>
      </c>
      <c r="C113" s="620">
        <v>244</v>
      </c>
      <c r="D113" s="620">
        <v>225</v>
      </c>
      <c r="E113" s="596">
        <f t="shared" si="33"/>
        <v>10000</v>
      </c>
      <c r="F113" s="595">
        <f>'[7]Прилож 4 23 (7)'!V97</f>
        <v>0</v>
      </c>
      <c r="G113" s="595">
        <f>'[7]Прилож 4 23 (7)'!W97</f>
        <v>0</v>
      </c>
      <c r="H113" s="595">
        <v>10000</v>
      </c>
      <c r="I113" s="623"/>
      <c r="J113" s="595">
        <f>'[7]Прилож 4 23 (7)'!Z97</f>
        <v>0</v>
      </c>
      <c r="K113" s="595">
        <f>'[7]Прилож 4 23 (7)'!AA97</f>
        <v>0</v>
      </c>
      <c r="L113" s="595">
        <f>'[7]Прилож 4 23 (7)'!AB97</f>
        <v>0</v>
      </c>
      <c r="M113" s="596">
        <f t="shared" si="38"/>
        <v>0</v>
      </c>
      <c r="N113" s="595"/>
      <c r="O113" s="595"/>
      <c r="P113" s="595"/>
      <c r="Q113" s="621"/>
      <c r="R113" s="595"/>
      <c r="S113" s="595"/>
      <c r="T113" s="595"/>
      <c r="U113" s="596">
        <f t="shared" si="34"/>
        <v>10000</v>
      </c>
      <c r="V113" s="595">
        <f t="shared" ref="V113:V115" si="39">F113+N113</f>
        <v>0</v>
      </c>
      <c r="W113" s="595">
        <f t="shared" ref="W113:W115" si="40">O113+G113</f>
        <v>0</v>
      </c>
      <c r="X113" s="595">
        <f t="shared" si="36"/>
        <v>10000</v>
      </c>
      <c r="Y113" s="628"/>
      <c r="Z113" s="595">
        <f t="shared" ref="Z113:AB115" si="41">R113+J113</f>
        <v>0</v>
      </c>
      <c r="AA113" s="595">
        <f t="shared" si="41"/>
        <v>0</v>
      </c>
      <c r="AB113" s="595">
        <f t="shared" si="41"/>
        <v>0</v>
      </c>
    </row>
    <row r="114" spans="1:29" s="637" customFormat="1" x14ac:dyDescent="0.2">
      <c r="A114" s="632" t="s">
        <v>1143</v>
      </c>
      <c r="B114" s="633" t="s">
        <v>747</v>
      </c>
      <c r="C114" s="634">
        <v>244</v>
      </c>
      <c r="D114" s="634">
        <v>225</v>
      </c>
      <c r="E114" s="597">
        <f>SUM(E93:E113)</f>
        <v>262746.88</v>
      </c>
      <c r="F114" s="597">
        <f t="shared" ref="F114:AB114" si="42">SUM(F93:F113)</f>
        <v>0</v>
      </c>
      <c r="G114" s="597">
        <f t="shared" si="42"/>
        <v>0</v>
      </c>
      <c r="H114" s="597">
        <f t="shared" si="42"/>
        <v>262746.88</v>
      </c>
      <c r="I114" s="635"/>
      <c r="J114" s="597">
        <f t="shared" si="42"/>
        <v>0</v>
      </c>
      <c r="K114" s="597">
        <f t="shared" si="42"/>
        <v>0</v>
      </c>
      <c r="L114" s="597">
        <f t="shared" si="42"/>
        <v>0</v>
      </c>
      <c r="M114" s="597">
        <f t="shared" si="42"/>
        <v>0</v>
      </c>
      <c r="N114" s="597">
        <f t="shared" si="42"/>
        <v>0</v>
      </c>
      <c r="O114" s="597">
        <f t="shared" si="42"/>
        <v>0</v>
      </c>
      <c r="P114" s="597">
        <f t="shared" si="42"/>
        <v>0</v>
      </c>
      <c r="Q114" s="635"/>
      <c r="R114" s="597">
        <f t="shared" si="42"/>
        <v>0</v>
      </c>
      <c r="S114" s="597">
        <f t="shared" si="42"/>
        <v>0</v>
      </c>
      <c r="T114" s="597">
        <f t="shared" si="42"/>
        <v>0</v>
      </c>
      <c r="U114" s="597">
        <f t="shared" si="42"/>
        <v>262746.88</v>
      </c>
      <c r="V114" s="597">
        <f t="shared" si="42"/>
        <v>0</v>
      </c>
      <c r="W114" s="597">
        <f t="shared" si="42"/>
        <v>0</v>
      </c>
      <c r="X114" s="597">
        <f t="shared" si="42"/>
        <v>262746.88</v>
      </c>
      <c r="Y114" s="635"/>
      <c r="Z114" s="597">
        <f t="shared" si="42"/>
        <v>0</v>
      </c>
      <c r="AA114" s="597">
        <f t="shared" si="42"/>
        <v>0</v>
      </c>
      <c r="AB114" s="597">
        <f t="shared" si="42"/>
        <v>0</v>
      </c>
      <c r="AC114" s="636"/>
    </row>
    <row r="115" spans="1:29" ht="78.75" x14ac:dyDescent="0.2">
      <c r="A115" s="618" t="s">
        <v>1188</v>
      </c>
      <c r="B115" s="619" t="s">
        <v>729</v>
      </c>
      <c r="C115" s="620">
        <v>244</v>
      </c>
      <c r="D115" s="620">
        <v>225</v>
      </c>
      <c r="E115" s="596">
        <f t="shared" si="33"/>
        <v>50400</v>
      </c>
      <c r="F115" s="595">
        <f>'[7]Прилож 4 23 (7)'!V98</f>
        <v>0</v>
      </c>
      <c r="G115" s="595">
        <f>'[7]Прилож 4 23 (7)'!W98</f>
        <v>0</v>
      </c>
      <c r="H115" s="595">
        <v>50400</v>
      </c>
      <c r="I115" s="623"/>
      <c r="J115" s="595">
        <f>'[7]Прилож 4 23 (7)'!Z98</f>
        <v>0</v>
      </c>
      <c r="K115" s="595"/>
      <c r="L115" s="595">
        <f>'[7]Прилож 4 23 (7)'!AB98</f>
        <v>0</v>
      </c>
      <c r="M115" s="596">
        <f t="shared" si="38"/>
        <v>0</v>
      </c>
      <c r="N115" s="595"/>
      <c r="O115" s="595"/>
      <c r="P115" s="595"/>
      <c r="Q115" s="621"/>
      <c r="R115" s="595"/>
      <c r="S115" s="595"/>
      <c r="T115" s="595"/>
      <c r="U115" s="596">
        <f t="shared" si="34"/>
        <v>50400</v>
      </c>
      <c r="V115" s="595">
        <f t="shared" si="39"/>
        <v>0</v>
      </c>
      <c r="W115" s="595">
        <f t="shared" si="40"/>
        <v>0</v>
      </c>
      <c r="X115" s="595">
        <f t="shared" si="36"/>
        <v>50400</v>
      </c>
      <c r="Y115" s="628"/>
      <c r="Z115" s="595">
        <f t="shared" si="41"/>
        <v>0</v>
      </c>
      <c r="AA115" s="595">
        <f t="shared" si="41"/>
        <v>0</v>
      </c>
      <c r="AB115" s="595">
        <f t="shared" si="41"/>
        <v>0</v>
      </c>
    </row>
    <row r="116" spans="1:29" x14ac:dyDescent="0.2">
      <c r="A116" s="618" t="s">
        <v>1193</v>
      </c>
      <c r="B116" s="619" t="s">
        <v>729</v>
      </c>
      <c r="C116" s="620">
        <v>244</v>
      </c>
      <c r="D116" s="620">
        <v>225</v>
      </c>
      <c r="E116" s="596">
        <f t="shared" si="33"/>
        <v>73152</v>
      </c>
      <c r="F116" s="595">
        <f>'[7]Прилож 4 23 (7)'!V100</f>
        <v>0</v>
      </c>
      <c r="G116" s="595">
        <f>'[7]Прилож 4 23 (7)'!W100</f>
        <v>0</v>
      </c>
      <c r="H116" s="595">
        <v>73152</v>
      </c>
      <c r="I116" s="623"/>
      <c r="J116" s="595">
        <f>'[7]Прилож 4 23 (7)'!Z100</f>
        <v>0</v>
      </c>
      <c r="K116" s="595">
        <f>'[7]Прилож 4 23 (7)'!AA100</f>
        <v>0</v>
      </c>
      <c r="L116" s="595">
        <f>'[7]Прилож 4 23 (7)'!AB100</f>
        <v>0</v>
      </c>
      <c r="M116" s="596">
        <f t="shared" si="38"/>
        <v>0</v>
      </c>
      <c r="N116" s="595"/>
      <c r="O116" s="595"/>
      <c r="P116" s="595"/>
      <c r="Q116" s="621"/>
      <c r="R116" s="595"/>
      <c r="S116" s="595"/>
      <c r="T116" s="595"/>
      <c r="U116" s="596">
        <f t="shared" si="34"/>
        <v>73152</v>
      </c>
      <c r="V116" s="595">
        <f t="shared" si="35"/>
        <v>0</v>
      </c>
      <c r="W116" s="595">
        <f t="shared" si="36"/>
        <v>0</v>
      </c>
      <c r="X116" s="595">
        <f t="shared" si="36"/>
        <v>73152</v>
      </c>
      <c r="Y116" s="628"/>
      <c r="Z116" s="595">
        <f t="shared" si="37"/>
        <v>0</v>
      </c>
      <c r="AA116" s="595">
        <f t="shared" si="37"/>
        <v>0</v>
      </c>
      <c r="AB116" s="595">
        <f t="shared" si="37"/>
        <v>0</v>
      </c>
    </row>
    <row r="117" spans="1:29" ht="31.5" x14ac:dyDescent="0.2">
      <c r="A117" s="618" t="s">
        <v>1192</v>
      </c>
      <c r="B117" s="619" t="s">
        <v>729</v>
      </c>
      <c r="C117" s="620">
        <v>244</v>
      </c>
      <c r="D117" s="620">
        <v>225</v>
      </c>
      <c r="E117" s="596">
        <f t="shared" si="33"/>
        <v>2844</v>
      </c>
      <c r="F117" s="595">
        <f>'[7]Прилож 4 23 (7)'!V101</f>
        <v>0</v>
      </c>
      <c r="G117" s="595">
        <f>'[7]Прилож 4 23 (7)'!W101</f>
        <v>0</v>
      </c>
      <c r="H117" s="595">
        <v>2844</v>
      </c>
      <c r="I117" s="623"/>
      <c r="J117" s="595">
        <f>'[7]Прилож 4 23 (7)'!Z101</f>
        <v>0</v>
      </c>
      <c r="K117" s="595">
        <f>'[7]Прилож 4 23 (7)'!AA101</f>
        <v>0</v>
      </c>
      <c r="L117" s="595">
        <f>'[7]Прилож 4 23 (7)'!AB101</f>
        <v>0</v>
      </c>
      <c r="M117" s="596">
        <f t="shared" si="38"/>
        <v>0</v>
      </c>
      <c r="N117" s="595"/>
      <c r="O117" s="595"/>
      <c r="P117" s="595"/>
      <c r="Q117" s="621"/>
      <c r="R117" s="595"/>
      <c r="S117" s="595"/>
      <c r="T117" s="595"/>
      <c r="U117" s="596">
        <f t="shared" si="34"/>
        <v>2844</v>
      </c>
      <c r="V117" s="595">
        <f t="shared" si="35"/>
        <v>0</v>
      </c>
      <c r="W117" s="595">
        <f t="shared" si="36"/>
        <v>0</v>
      </c>
      <c r="X117" s="595">
        <f t="shared" si="36"/>
        <v>2844</v>
      </c>
      <c r="Y117" s="628"/>
      <c r="Z117" s="595">
        <f t="shared" si="37"/>
        <v>0</v>
      </c>
      <c r="AA117" s="595">
        <f t="shared" si="37"/>
        <v>0</v>
      </c>
      <c r="AB117" s="595">
        <f t="shared" si="37"/>
        <v>0</v>
      </c>
    </row>
    <row r="118" spans="1:29" ht="31.5" x14ac:dyDescent="0.2">
      <c r="A118" s="618" t="s">
        <v>1186</v>
      </c>
      <c r="B118" s="619" t="s">
        <v>729</v>
      </c>
      <c r="C118" s="620">
        <v>244</v>
      </c>
      <c r="D118" s="620">
        <v>225</v>
      </c>
      <c r="E118" s="596">
        <f t="shared" si="33"/>
        <v>23457.360000000001</v>
      </c>
      <c r="F118" s="595">
        <f>'[7]Прилож 4 23 (7)'!V102</f>
        <v>0</v>
      </c>
      <c r="G118" s="595">
        <f>'[7]Прилож 4 23 (7)'!W102</f>
        <v>0</v>
      </c>
      <c r="H118" s="595">
        <v>23457.360000000001</v>
      </c>
      <c r="I118" s="623"/>
      <c r="J118" s="595">
        <f>'[7]Прилож 4 23 (7)'!Z102</f>
        <v>0</v>
      </c>
      <c r="K118" s="595">
        <f>'[7]Прилож 4 23 (7)'!AA102</f>
        <v>0</v>
      </c>
      <c r="L118" s="595">
        <f>'[7]Прилож 4 23 (7)'!AB102</f>
        <v>0</v>
      </c>
      <c r="M118" s="596">
        <f t="shared" si="38"/>
        <v>0</v>
      </c>
      <c r="N118" s="595"/>
      <c r="O118" s="595"/>
      <c r="P118" s="595"/>
      <c r="Q118" s="621"/>
      <c r="R118" s="595"/>
      <c r="S118" s="595"/>
      <c r="T118" s="595"/>
      <c r="U118" s="596">
        <f t="shared" si="34"/>
        <v>23457.360000000001</v>
      </c>
      <c r="V118" s="595">
        <f t="shared" si="35"/>
        <v>0</v>
      </c>
      <c r="W118" s="595">
        <f t="shared" si="36"/>
        <v>0</v>
      </c>
      <c r="X118" s="595">
        <f t="shared" si="36"/>
        <v>23457.360000000001</v>
      </c>
      <c r="Y118" s="628"/>
      <c r="Z118" s="595">
        <f t="shared" si="37"/>
        <v>0</v>
      </c>
      <c r="AA118" s="595">
        <f t="shared" si="37"/>
        <v>0</v>
      </c>
      <c r="AB118" s="595">
        <f t="shared" si="37"/>
        <v>0</v>
      </c>
    </row>
    <row r="119" spans="1:29" ht="55.5" customHeight="1" x14ac:dyDescent="0.2">
      <c r="A119" s="618" t="s">
        <v>148</v>
      </c>
      <c r="B119" s="619" t="s">
        <v>729</v>
      </c>
      <c r="C119" s="620">
        <v>244</v>
      </c>
      <c r="D119" s="620">
        <v>225</v>
      </c>
      <c r="E119" s="596">
        <f t="shared" si="33"/>
        <v>4000</v>
      </c>
      <c r="F119" s="595">
        <f>'[7]Прилож 4 23 (7)'!V103</f>
        <v>0</v>
      </c>
      <c r="G119" s="595">
        <f>'[7]Прилож 4 23 (7)'!W103</f>
        <v>0</v>
      </c>
      <c r="H119" s="595">
        <v>4000</v>
      </c>
      <c r="I119" s="623"/>
      <c r="J119" s="595">
        <f>'[7]Прилож 4 23 (7)'!Z103</f>
        <v>0</v>
      </c>
      <c r="K119" s="595">
        <f>'[7]Прилож 4 23 (7)'!AA103</f>
        <v>0</v>
      </c>
      <c r="L119" s="595">
        <f>'[7]Прилож 4 23 (7)'!AB103</f>
        <v>0</v>
      </c>
      <c r="M119" s="596">
        <f t="shared" si="38"/>
        <v>0</v>
      </c>
      <c r="N119" s="595"/>
      <c r="O119" s="595"/>
      <c r="P119" s="595"/>
      <c r="Q119" s="621"/>
      <c r="R119" s="595"/>
      <c r="S119" s="595"/>
      <c r="T119" s="595"/>
      <c r="U119" s="596">
        <f t="shared" si="34"/>
        <v>4000</v>
      </c>
      <c r="V119" s="595">
        <f t="shared" si="35"/>
        <v>0</v>
      </c>
      <c r="W119" s="595">
        <f t="shared" si="36"/>
        <v>0</v>
      </c>
      <c r="X119" s="595">
        <f t="shared" si="36"/>
        <v>4000</v>
      </c>
      <c r="Y119" s="628"/>
      <c r="Z119" s="595">
        <f t="shared" si="37"/>
        <v>0</v>
      </c>
      <c r="AA119" s="595">
        <f t="shared" si="37"/>
        <v>0</v>
      </c>
      <c r="AB119" s="595">
        <f t="shared" si="37"/>
        <v>0</v>
      </c>
    </row>
    <row r="120" spans="1:29" x14ac:dyDescent="0.2">
      <c r="A120" s="618" t="s">
        <v>627</v>
      </c>
      <c r="B120" s="619" t="s">
        <v>729</v>
      </c>
      <c r="C120" s="620">
        <v>244</v>
      </c>
      <c r="D120" s="620">
        <v>225</v>
      </c>
      <c r="E120" s="596">
        <f t="shared" si="33"/>
        <v>126092.16</v>
      </c>
      <c r="F120" s="595">
        <f>'[7]Прилож 4 23 (7)'!V104</f>
        <v>0</v>
      </c>
      <c r="G120" s="595">
        <f>'[7]Прилож 4 23 (7)'!W104</f>
        <v>0</v>
      </c>
      <c r="H120" s="595">
        <v>126092.16</v>
      </c>
      <c r="I120" s="623"/>
      <c r="J120" s="595">
        <f>'[7]Прилож 4 23 (7)'!Z104</f>
        <v>0</v>
      </c>
      <c r="K120" s="595">
        <f>'[7]Прилож 4 23 (7)'!AA104</f>
        <v>0</v>
      </c>
      <c r="L120" s="595">
        <f>'[7]Прилож 4 23 (7)'!AB104</f>
        <v>0</v>
      </c>
      <c r="M120" s="596">
        <f t="shared" si="38"/>
        <v>0</v>
      </c>
      <c r="N120" s="595"/>
      <c r="O120" s="595"/>
      <c r="P120" s="595"/>
      <c r="Q120" s="621"/>
      <c r="R120" s="595"/>
      <c r="S120" s="595"/>
      <c r="T120" s="595"/>
      <c r="U120" s="596">
        <f t="shared" si="34"/>
        <v>126092.16</v>
      </c>
      <c r="V120" s="595">
        <f t="shared" si="35"/>
        <v>0</v>
      </c>
      <c r="W120" s="595">
        <f t="shared" si="36"/>
        <v>0</v>
      </c>
      <c r="X120" s="595">
        <f t="shared" si="36"/>
        <v>126092.16</v>
      </c>
      <c r="Y120" s="628"/>
      <c r="Z120" s="595">
        <f t="shared" si="37"/>
        <v>0</v>
      </c>
      <c r="AA120" s="595">
        <f t="shared" si="37"/>
        <v>0</v>
      </c>
      <c r="AB120" s="595">
        <f t="shared" si="37"/>
        <v>0</v>
      </c>
    </row>
    <row r="121" spans="1:29" ht="31.5" x14ac:dyDescent="0.2">
      <c r="A121" s="618" t="s">
        <v>759</v>
      </c>
      <c r="B121" s="619" t="s">
        <v>729</v>
      </c>
      <c r="C121" s="620">
        <v>244</v>
      </c>
      <c r="D121" s="620">
        <v>225</v>
      </c>
      <c r="E121" s="596">
        <f t="shared" si="33"/>
        <v>12000</v>
      </c>
      <c r="F121" s="595">
        <f>'[7]Прилож 4 23 (7)'!V105</f>
        <v>0</v>
      </c>
      <c r="G121" s="595">
        <f>'[7]Прилож 4 23 (7)'!W105</f>
        <v>0</v>
      </c>
      <c r="H121" s="595">
        <v>12000</v>
      </c>
      <c r="I121" s="623"/>
      <c r="J121" s="595">
        <f>'[7]Прилож 4 23 (7)'!Z105</f>
        <v>0</v>
      </c>
      <c r="K121" s="595">
        <f>'[7]Прилож 4 23 (7)'!AA105</f>
        <v>0</v>
      </c>
      <c r="L121" s="595">
        <f>'[7]Прилож 4 23 (7)'!AB105</f>
        <v>0</v>
      </c>
      <c r="M121" s="596">
        <f t="shared" si="38"/>
        <v>0</v>
      </c>
      <c r="N121" s="595"/>
      <c r="O121" s="595"/>
      <c r="P121" s="595"/>
      <c r="Q121" s="621"/>
      <c r="R121" s="595"/>
      <c r="S121" s="595"/>
      <c r="T121" s="595"/>
      <c r="U121" s="596">
        <f t="shared" si="34"/>
        <v>12000</v>
      </c>
      <c r="V121" s="595">
        <f t="shared" si="35"/>
        <v>0</v>
      </c>
      <c r="W121" s="595">
        <f t="shared" si="36"/>
        <v>0</v>
      </c>
      <c r="X121" s="595">
        <f t="shared" si="36"/>
        <v>12000</v>
      </c>
      <c r="Y121" s="628"/>
      <c r="Z121" s="595">
        <f t="shared" si="37"/>
        <v>0</v>
      </c>
      <c r="AA121" s="595">
        <f t="shared" si="37"/>
        <v>0</v>
      </c>
      <c r="AB121" s="595">
        <f t="shared" si="37"/>
        <v>0</v>
      </c>
    </row>
    <row r="122" spans="1:29" ht="36" customHeight="1" x14ac:dyDescent="0.2">
      <c r="A122" s="618" t="s">
        <v>143</v>
      </c>
      <c r="B122" s="619" t="s">
        <v>729</v>
      </c>
      <c r="C122" s="620">
        <v>244</v>
      </c>
      <c r="D122" s="620">
        <v>225</v>
      </c>
      <c r="E122" s="596">
        <f t="shared" si="33"/>
        <v>36219.360000000001</v>
      </c>
      <c r="F122" s="595">
        <f>'[7]Прилож 4 23 (7)'!V106</f>
        <v>0</v>
      </c>
      <c r="G122" s="595">
        <f>'[7]Прилож 4 23 (7)'!W106</f>
        <v>0</v>
      </c>
      <c r="H122" s="595">
        <v>36219.360000000001</v>
      </c>
      <c r="I122" s="623"/>
      <c r="J122" s="595">
        <f>'[7]Прилож 4 23 (7)'!Z106</f>
        <v>0</v>
      </c>
      <c r="K122" s="595">
        <f>'[7]Прилож 4 23 (7)'!AA106</f>
        <v>0</v>
      </c>
      <c r="L122" s="595">
        <f>'[7]Прилож 4 23 (7)'!AB106</f>
        <v>0</v>
      </c>
      <c r="M122" s="596">
        <f t="shared" si="38"/>
        <v>0</v>
      </c>
      <c r="N122" s="595"/>
      <c r="O122" s="595"/>
      <c r="P122" s="595"/>
      <c r="Q122" s="621"/>
      <c r="R122" s="595"/>
      <c r="S122" s="595"/>
      <c r="T122" s="595"/>
      <c r="U122" s="596">
        <f t="shared" si="34"/>
        <v>36219.360000000001</v>
      </c>
      <c r="V122" s="595">
        <f t="shared" si="35"/>
        <v>0</v>
      </c>
      <c r="W122" s="595">
        <f t="shared" si="36"/>
        <v>0</v>
      </c>
      <c r="X122" s="595">
        <f t="shared" si="36"/>
        <v>36219.360000000001</v>
      </c>
      <c r="Y122" s="628"/>
      <c r="Z122" s="595">
        <f t="shared" si="37"/>
        <v>0</v>
      </c>
      <c r="AA122" s="595">
        <f t="shared" si="37"/>
        <v>0</v>
      </c>
      <c r="AB122" s="595">
        <f t="shared" si="37"/>
        <v>0</v>
      </c>
    </row>
    <row r="123" spans="1:29" ht="31.5" x14ac:dyDescent="0.2">
      <c r="A123" s="618" t="s">
        <v>635</v>
      </c>
      <c r="B123" s="619" t="s">
        <v>729</v>
      </c>
      <c r="C123" s="620">
        <v>244</v>
      </c>
      <c r="D123" s="620">
        <v>225</v>
      </c>
      <c r="E123" s="596">
        <f t="shared" si="33"/>
        <v>70000</v>
      </c>
      <c r="F123" s="595">
        <f>'[7]Прилож 4 23 (7)'!V107</f>
        <v>0</v>
      </c>
      <c r="G123" s="595">
        <f>'[7]Прилож 4 23 (7)'!W107</f>
        <v>0</v>
      </c>
      <c r="H123" s="595">
        <v>70000</v>
      </c>
      <c r="I123" s="623"/>
      <c r="J123" s="595">
        <f>'[7]Прилож 4 23 (7)'!Z107</f>
        <v>0</v>
      </c>
      <c r="K123" s="595">
        <f>'[7]Прилож 4 23 (7)'!AA107</f>
        <v>0</v>
      </c>
      <c r="L123" s="595">
        <f>'[7]Прилож 4 23 (7)'!AB107</f>
        <v>0</v>
      </c>
      <c r="M123" s="596">
        <f t="shared" si="38"/>
        <v>0</v>
      </c>
      <c r="N123" s="595"/>
      <c r="O123" s="595"/>
      <c r="P123" s="595"/>
      <c r="Q123" s="621"/>
      <c r="R123" s="595"/>
      <c r="S123" s="595"/>
      <c r="T123" s="595"/>
      <c r="U123" s="596">
        <f t="shared" si="34"/>
        <v>70000</v>
      </c>
      <c r="V123" s="595">
        <f t="shared" si="35"/>
        <v>0</v>
      </c>
      <c r="W123" s="595">
        <f t="shared" si="36"/>
        <v>0</v>
      </c>
      <c r="X123" s="595">
        <f t="shared" si="36"/>
        <v>70000</v>
      </c>
      <c r="Y123" s="628"/>
      <c r="Z123" s="595">
        <f t="shared" si="37"/>
        <v>0</v>
      </c>
      <c r="AA123" s="595">
        <f t="shared" si="37"/>
        <v>0</v>
      </c>
      <c r="AB123" s="595">
        <f t="shared" si="37"/>
        <v>0</v>
      </c>
    </row>
    <row r="124" spans="1:29" ht="31.5" x14ac:dyDescent="0.2">
      <c r="A124" s="618" t="s">
        <v>951</v>
      </c>
      <c r="B124" s="619" t="s">
        <v>729</v>
      </c>
      <c r="C124" s="620">
        <v>244</v>
      </c>
      <c r="D124" s="620">
        <v>225</v>
      </c>
      <c r="E124" s="596">
        <f t="shared" si="33"/>
        <v>10000</v>
      </c>
      <c r="F124" s="595">
        <f>'[7]Прилож 4 23 (7)'!V108</f>
        <v>0</v>
      </c>
      <c r="G124" s="595">
        <f>'[7]Прилож 4 23 (7)'!W108</f>
        <v>0</v>
      </c>
      <c r="H124" s="595">
        <v>10000</v>
      </c>
      <c r="I124" s="623"/>
      <c r="J124" s="595">
        <f>'[7]Прилож 4 23 (7)'!Z108</f>
        <v>0</v>
      </c>
      <c r="K124" s="595">
        <f>'[7]Прилож 4 23 (7)'!AA108</f>
        <v>0</v>
      </c>
      <c r="L124" s="595">
        <f>'[7]Прилож 4 23 (7)'!AB108</f>
        <v>0</v>
      </c>
      <c r="M124" s="596">
        <f t="shared" si="38"/>
        <v>0</v>
      </c>
      <c r="N124" s="595"/>
      <c r="O124" s="595"/>
      <c r="P124" s="595"/>
      <c r="Q124" s="621"/>
      <c r="R124" s="595"/>
      <c r="S124" s="595"/>
      <c r="T124" s="595"/>
      <c r="U124" s="596">
        <f t="shared" si="34"/>
        <v>10000</v>
      </c>
      <c r="V124" s="595">
        <f t="shared" si="35"/>
        <v>0</v>
      </c>
      <c r="W124" s="595">
        <f t="shared" si="36"/>
        <v>0</v>
      </c>
      <c r="X124" s="595">
        <f t="shared" si="36"/>
        <v>10000</v>
      </c>
      <c r="Y124" s="628"/>
      <c r="Z124" s="595">
        <f t="shared" si="37"/>
        <v>0</v>
      </c>
      <c r="AA124" s="595">
        <f t="shared" si="37"/>
        <v>0</v>
      </c>
      <c r="AB124" s="595">
        <f t="shared" si="37"/>
        <v>0</v>
      </c>
    </row>
    <row r="125" spans="1:29" x14ac:dyDescent="0.2">
      <c r="A125" s="618" t="s">
        <v>150</v>
      </c>
      <c r="B125" s="619" t="s">
        <v>729</v>
      </c>
      <c r="C125" s="620">
        <v>244</v>
      </c>
      <c r="D125" s="620">
        <v>225</v>
      </c>
      <c r="E125" s="596">
        <f t="shared" si="33"/>
        <v>4500</v>
      </c>
      <c r="F125" s="595">
        <f>'[7]Прилож 4 23 (7)'!V109</f>
        <v>0</v>
      </c>
      <c r="G125" s="595">
        <f>'[7]Прилож 4 23 (7)'!W109</f>
        <v>0</v>
      </c>
      <c r="H125" s="595">
        <f>'[7]Прилож 4 23 (7)'!X109</f>
        <v>4500</v>
      </c>
      <c r="I125" s="623"/>
      <c r="J125" s="595">
        <f>'[7]Прилож 4 23 (7)'!Z109</f>
        <v>0</v>
      </c>
      <c r="K125" s="595">
        <f>'[7]Прилож 4 23 (7)'!AA109</f>
        <v>0</v>
      </c>
      <c r="L125" s="595">
        <f>'[7]Прилож 4 23 (7)'!AB109</f>
        <v>0</v>
      </c>
      <c r="M125" s="596">
        <f t="shared" si="38"/>
        <v>0</v>
      </c>
      <c r="N125" s="595"/>
      <c r="O125" s="595"/>
      <c r="P125" s="595"/>
      <c r="Q125" s="621"/>
      <c r="R125" s="595"/>
      <c r="S125" s="595"/>
      <c r="T125" s="595"/>
      <c r="U125" s="596">
        <f t="shared" si="34"/>
        <v>4500</v>
      </c>
      <c r="V125" s="595">
        <f t="shared" si="35"/>
        <v>0</v>
      </c>
      <c r="W125" s="595">
        <f t="shared" si="36"/>
        <v>0</v>
      </c>
      <c r="X125" s="595">
        <f t="shared" si="36"/>
        <v>4500</v>
      </c>
      <c r="Y125" s="628"/>
      <c r="Z125" s="595">
        <f t="shared" si="37"/>
        <v>0</v>
      </c>
      <c r="AA125" s="595">
        <f t="shared" si="37"/>
        <v>0</v>
      </c>
      <c r="AB125" s="595">
        <f t="shared" si="37"/>
        <v>0</v>
      </c>
    </row>
    <row r="126" spans="1:29" ht="31.5" x14ac:dyDescent="0.2">
      <c r="A126" s="618" t="s">
        <v>952</v>
      </c>
      <c r="B126" s="619" t="s">
        <v>729</v>
      </c>
      <c r="C126" s="620">
        <v>244</v>
      </c>
      <c r="D126" s="620">
        <v>225</v>
      </c>
      <c r="E126" s="596">
        <f t="shared" si="33"/>
        <v>20000</v>
      </c>
      <c r="F126" s="595">
        <f>'[7]Прилож 4 23 (7)'!V111</f>
        <v>0</v>
      </c>
      <c r="G126" s="595">
        <f>'[7]Прилож 4 23 (7)'!W111</f>
        <v>0</v>
      </c>
      <c r="H126" s="595">
        <v>20000</v>
      </c>
      <c r="I126" s="623"/>
      <c r="J126" s="595">
        <f>'[7]Прилож 4 23 (7)'!Z111</f>
        <v>0</v>
      </c>
      <c r="K126" s="595">
        <f>'[7]Прилож 4 23 (7)'!AA111</f>
        <v>0</v>
      </c>
      <c r="L126" s="595">
        <f>'[7]Прилож 4 23 (7)'!AB111</f>
        <v>0</v>
      </c>
      <c r="M126" s="596">
        <f t="shared" si="38"/>
        <v>0</v>
      </c>
      <c r="N126" s="595"/>
      <c r="O126" s="595"/>
      <c r="P126" s="595"/>
      <c r="Q126" s="621"/>
      <c r="R126" s="595"/>
      <c r="S126" s="595"/>
      <c r="T126" s="595"/>
      <c r="U126" s="596">
        <f t="shared" si="34"/>
        <v>20000</v>
      </c>
      <c r="V126" s="595">
        <f t="shared" si="35"/>
        <v>0</v>
      </c>
      <c r="W126" s="595">
        <f t="shared" si="36"/>
        <v>0</v>
      </c>
      <c r="X126" s="595">
        <f t="shared" si="36"/>
        <v>20000</v>
      </c>
      <c r="Y126" s="628"/>
      <c r="Z126" s="595">
        <f t="shared" si="37"/>
        <v>0</v>
      </c>
      <c r="AA126" s="595">
        <f t="shared" si="37"/>
        <v>0</v>
      </c>
      <c r="AB126" s="595">
        <f t="shared" si="37"/>
        <v>0</v>
      </c>
    </row>
    <row r="127" spans="1:29" ht="45.75" customHeight="1" x14ac:dyDescent="0.2">
      <c r="A127" s="618" t="s">
        <v>149</v>
      </c>
      <c r="B127" s="619" t="s">
        <v>729</v>
      </c>
      <c r="C127" s="620">
        <v>244</v>
      </c>
      <c r="D127" s="620">
        <v>225</v>
      </c>
      <c r="E127" s="596">
        <f t="shared" si="33"/>
        <v>2652</v>
      </c>
      <c r="F127" s="595">
        <f>'[7]Прилож 4 23 (7)'!V112</f>
        <v>0</v>
      </c>
      <c r="G127" s="595">
        <f>'[7]Прилож 4 23 (7)'!W112</f>
        <v>0</v>
      </c>
      <c r="H127" s="595">
        <v>2652</v>
      </c>
      <c r="I127" s="623"/>
      <c r="J127" s="595">
        <f>'[7]Прилож 4 23 (7)'!Z112</f>
        <v>0</v>
      </c>
      <c r="K127" s="595">
        <f>'[7]Прилож 4 23 (7)'!AA112</f>
        <v>0</v>
      </c>
      <c r="L127" s="595">
        <f>'[7]Прилож 4 23 (7)'!AB112</f>
        <v>0</v>
      </c>
      <c r="M127" s="596">
        <f t="shared" si="38"/>
        <v>0</v>
      </c>
      <c r="N127" s="595"/>
      <c r="O127" s="595"/>
      <c r="P127" s="595"/>
      <c r="Q127" s="621"/>
      <c r="R127" s="595"/>
      <c r="S127" s="595"/>
      <c r="T127" s="595"/>
      <c r="U127" s="596">
        <f t="shared" si="34"/>
        <v>2652</v>
      </c>
      <c r="V127" s="595">
        <f t="shared" si="35"/>
        <v>0</v>
      </c>
      <c r="W127" s="595">
        <f t="shared" si="36"/>
        <v>0</v>
      </c>
      <c r="X127" s="595">
        <f t="shared" si="36"/>
        <v>2652</v>
      </c>
      <c r="Y127" s="628"/>
      <c r="Z127" s="595">
        <f t="shared" si="37"/>
        <v>0</v>
      </c>
      <c r="AA127" s="595">
        <f t="shared" si="37"/>
        <v>0</v>
      </c>
      <c r="AB127" s="595">
        <f t="shared" si="37"/>
        <v>0</v>
      </c>
    </row>
    <row r="128" spans="1:29" ht="31.5" x14ac:dyDescent="0.2">
      <c r="A128" s="618" t="s">
        <v>644</v>
      </c>
      <c r="B128" s="619" t="s">
        <v>729</v>
      </c>
      <c r="C128" s="620">
        <v>244</v>
      </c>
      <c r="D128" s="620">
        <v>225</v>
      </c>
      <c r="E128" s="596">
        <f t="shared" si="33"/>
        <v>15000</v>
      </c>
      <c r="F128" s="595">
        <f>'[7]Прилож 4 23 (7)'!V113</f>
        <v>0</v>
      </c>
      <c r="G128" s="595">
        <f>'[7]Прилож 4 23 (7)'!W113</f>
        <v>0</v>
      </c>
      <c r="H128" s="595">
        <v>15000</v>
      </c>
      <c r="I128" s="623"/>
      <c r="J128" s="595">
        <f>'[7]Прилож 4 23 (7)'!Z113</f>
        <v>0</v>
      </c>
      <c r="K128" s="595">
        <f>'[7]Прилож 4 23 (7)'!AA113</f>
        <v>0</v>
      </c>
      <c r="L128" s="595">
        <f>'[7]Прилож 4 23 (7)'!AB113</f>
        <v>0</v>
      </c>
      <c r="M128" s="596">
        <f t="shared" si="38"/>
        <v>0</v>
      </c>
      <c r="N128" s="595"/>
      <c r="O128" s="595"/>
      <c r="P128" s="595"/>
      <c r="Q128" s="621"/>
      <c r="R128" s="595"/>
      <c r="S128" s="595"/>
      <c r="T128" s="595"/>
      <c r="U128" s="596">
        <f t="shared" si="34"/>
        <v>15000</v>
      </c>
      <c r="V128" s="595">
        <f t="shared" si="35"/>
        <v>0</v>
      </c>
      <c r="W128" s="595">
        <f t="shared" si="36"/>
        <v>0</v>
      </c>
      <c r="X128" s="595">
        <f t="shared" si="36"/>
        <v>15000</v>
      </c>
      <c r="Y128" s="628"/>
      <c r="Z128" s="595">
        <f t="shared" si="37"/>
        <v>0</v>
      </c>
      <c r="AA128" s="595">
        <f t="shared" si="37"/>
        <v>0</v>
      </c>
      <c r="AB128" s="595">
        <f t="shared" si="37"/>
        <v>0</v>
      </c>
    </row>
    <row r="129" spans="1:29" ht="31.5" x14ac:dyDescent="0.2">
      <c r="A129" s="618" t="s">
        <v>587</v>
      </c>
      <c r="B129" s="619" t="s">
        <v>729</v>
      </c>
      <c r="C129" s="620">
        <v>244</v>
      </c>
      <c r="D129" s="620">
        <v>225</v>
      </c>
      <c r="E129" s="596">
        <f t="shared" si="33"/>
        <v>15624</v>
      </c>
      <c r="F129" s="595">
        <f>'[7]Прилож 4 23 (7)'!V114</f>
        <v>0</v>
      </c>
      <c r="G129" s="595">
        <f>'[7]Прилож 4 23 (7)'!W114</f>
        <v>0</v>
      </c>
      <c r="H129" s="595">
        <v>15624</v>
      </c>
      <c r="I129" s="623"/>
      <c r="J129" s="595">
        <f>'[7]Прилож 4 23 (7)'!Z114</f>
        <v>0</v>
      </c>
      <c r="K129" s="595">
        <f>'[7]Прилож 4 23 (7)'!AA114</f>
        <v>0</v>
      </c>
      <c r="L129" s="595">
        <f>'[7]Прилож 4 23 (7)'!AB114</f>
        <v>0</v>
      </c>
      <c r="M129" s="596">
        <f t="shared" si="38"/>
        <v>0</v>
      </c>
      <c r="N129" s="595"/>
      <c r="O129" s="595"/>
      <c r="P129" s="595"/>
      <c r="Q129" s="621"/>
      <c r="R129" s="595"/>
      <c r="S129" s="595"/>
      <c r="T129" s="595"/>
      <c r="U129" s="596">
        <f t="shared" si="34"/>
        <v>15624</v>
      </c>
      <c r="V129" s="595">
        <f t="shared" si="35"/>
        <v>0</v>
      </c>
      <c r="W129" s="595">
        <f t="shared" si="36"/>
        <v>0</v>
      </c>
      <c r="X129" s="595">
        <f t="shared" si="36"/>
        <v>15624</v>
      </c>
      <c r="Y129" s="628"/>
      <c r="Z129" s="595">
        <f t="shared" si="37"/>
        <v>0</v>
      </c>
      <c r="AA129" s="595">
        <f t="shared" si="37"/>
        <v>0</v>
      </c>
      <c r="AB129" s="595">
        <f t="shared" si="37"/>
        <v>0</v>
      </c>
    </row>
    <row r="130" spans="1:29" ht="31.5" x14ac:dyDescent="0.2">
      <c r="A130" s="618" t="s">
        <v>1208</v>
      </c>
      <c r="B130" s="619" t="s">
        <v>729</v>
      </c>
      <c r="C130" s="620">
        <v>244</v>
      </c>
      <c r="D130" s="620">
        <v>225</v>
      </c>
      <c r="E130" s="596">
        <f t="shared" si="33"/>
        <v>17500</v>
      </c>
      <c r="F130" s="595">
        <f>'[7]Прилож 4 23 (7)'!V116</f>
        <v>0</v>
      </c>
      <c r="G130" s="595">
        <f>'[7]Прилож 4 23 (7)'!W116</f>
        <v>0</v>
      </c>
      <c r="H130" s="595">
        <f>'[7]Прилож 4 23 (7)'!X116</f>
        <v>17500</v>
      </c>
      <c r="I130" s="623"/>
      <c r="J130" s="595">
        <f>'[7]Прилож 4 23 (7)'!Z116</f>
        <v>0</v>
      </c>
      <c r="K130" s="595">
        <f>'[7]Прилож 4 23 (7)'!AA116</f>
        <v>0</v>
      </c>
      <c r="L130" s="595">
        <f>'[7]Прилож 4 23 (7)'!AB116</f>
        <v>0</v>
      </c>
      <c r="M130" s="596">
        <f t="shared" si="38"/>
        <v>0</v>
      </c>
      <c r="N130" s="595"/>
      <c r="O130" s="595"/>
      <c r="P130" s="595"/>
      <c r="Q130" s="621"/>
      <c r="R130" s="595"/>
      <c r="S130" s="595"/>
      <c r="T130" s="595"/>
      <c r="U130" s="596">
        <f t="shared" si="34"/>
        <v>17500</v>
      </c>
      <c r="V130" s="595"/>
      <c r="W130" s="595"/>
      <c r="X130" s="595">
        <f t="shared" si="36"/>
        <v>17500</v>
      </c>
      <c r="Y130" s="628"/>
      <c r="Z130" s="595"/>
      <c r="AA130" s="595"/>
      <c r="AB130" s="595"/>
    </row>
    <row r="131" spans="1:29" ht="31.5" x14ac:dyDescent="0.2">
      <c r="A131" s="618" t="s">
        <v>157</v>
      </c>
      <c r="B131" s="619" t="s">
        <v>729</v>
      </c>
      <c r="C131" s="620">
        <v>244</v>
      </c>
      <c r="D131" s="620">
        <v>225</v>
      </c>
      <c r="E131" s="596">
        <f t="shared" si="33"/>
        <v>10000</v>
      </c>
      <c r="F131" s="595">
        <f>'[7]Прилож 4 23 (7)'!V117</f>
        <v>0</v>
      </c>
      <c r="G131" s="595">
        <f>'[7]Прилож 4 23 (7)'!W117</f>
        <v>0</v>
      </c>
      <c r="H131" s="595">
        <v>10000</v>
      </c>
      <c r="I131" s="623"/>
      <c r="J131" s="595">
        <f>'[7]Прилож 4 23 (7)'!Z117</f>
        <v>0</v>
      </c>
      <c r="K131" s="595">
        <f>'[7]Прилож 4 23 (7)'!AA117</f>
        <v>0</v>
      </c>
      <c r="L131" s="595">
        <f>'[7]Прилож 4 23 (7)'!AB117</f>
        <v>0</v>
      </c>
      <c r="M131" s="596">
        <f t="shared" si="38"/>
        <v>0</v>
      </c>
      <c r="N131" s="595"/>
      <c r="O131" s="595"/>
      <c r="P131" s="595"/>
      <c r="Q131" s="621"/>
      <c r="R131" s="595"/>
      <c r="S131" s="595"/>
      <c r="T131" s="595"/>
      <c r="U131" s="596">
        <f t="shared" si="34"/>
        <v>10000</v>
      </c>
      <c r="V131" s="595">
        <f t="shared" ref="V131:V132" si="43">F131+N131</f>
        <v>0</v>
      </c>
      <c r="W131" s="595">
        <f t="shared" ref="W131:W132" si="44">O131+G131</f>
        <v>0</v>
      </c>
      <c r="X131" s="595">
        <f t="shared" si="36"/>
        <v>10000</v>
      </c>
      <c r="Y131" s="628"/>
      <c r="Z131" s="595">
        <f t="shared" ref="Z131:AB132" si="45">R131+J131</f>
        <v>0</v>
      </c>
      <c r="AA131" s="595">
        <f t="shared" si="45"/>
        <v>0</v>
      </c>
      <c r="AB131" s="595">
        <f t="shared" si="45"/>
        <v>0</v>
      </c>
    </row>
    <row r="132" spans="1:29" x14ac:dyDescent="0.2">
      <c r="A132" s="618" t="s">
        <v>583</v>
      </c>
      <c r="B132" s="619" t="s">
        <v>729</v>
      </c>
      <c r="C132" s="620">
        <v>244</v>
      </c>
      <c r="D132" s="620">
        <v>225</v>
      </c>
      <c r="E132" s="596">
        <f t="shared" si="33"/>
        <v>5000</v>
      </c>
      <c r="F132" s="595">
        <f>'[7]Прилож 4 23 (7)'!V118</f>
        <v>0</v>
      </c>
      <c r="G132" s="595">
        <f>'[7]Прилож 4 23 (7)'!W118</f>
        <v>0</v>
      </c>
      <c r="H132" s="595">
        <v>5000</v>
      </c>
      <c r="I132" s="623"/>
      <c r="J132" s="595">
        <f>'[7]Прилож 4 23 (7)'!Z118</f>
        <v>0</v>
      </c>
      <c r="K132" s="595">
        <f>'[7]Прилож 4 23 (7)'!AA118</f>
        <v>0</v>
      </c>
      <c r="L132" s="595">
        <f>'[7]Прилож 4 23 (7)'!AB118</f>
        <v>0</v>
      </c>
      <c r="M132" s="596">
        <f t="shared" si="38"/>
        <v>0</v>
      </c>
      <c r="N132" s="595"/>
      <c r="O132" s="595"/>
      <c r="P132" s="595"/>
      <c r="Q132" s="621"/>
      <c r="R132" s="595"/>
      <c r="S132" s="595"/>
      <c r="T132" s="595"/>
      <c r="U132" s="596">
        <f t="shared" si="34"/>
        <v>5000</v>
      </c>
      <c r="V132" s="595">
        <f t="shared" si="43"/>
        <v>0</v>
      </c>
      <c r="W132" s="595">
        <f t="shared" si="44"/>
        <v>0</v>
      </c>
      <c r="X132" s="595">
        <f t="shared" si="36"/>
        <v>5000</v>
      </c>
      <c r="Y132" s="628"/>
      <c r="Z132" s="595">
        <f t="shared" si="45"/>
        <v>0</v>
      </c>
      <c r="AA132" s="595">
        <f t="shared" si="45"/>
        <v>0</v>
      </c>
      <c r="AB132" s="595">
        <f t="shared" si="45"/>
        <v>0</v>
      </c>
    </row>
    <row r="133" spans="1:29" x14ac:dyDescent="0.2">
      <c r="A133" s="618" t="s">
        <v>1204</v>
      </c>
      <c r="B133" s="619" t="s">
        <v>729</v>
      </c>
      <c r="C133" s="620">
        <v>244</v>
      </c>
      <c r="D133" s="620">
        <v>225</v>
      </c>
      <c r="E133" s="596">
        <f t="shared" si="33"/>
        <v>50000</v>
      </c>
      <c r="F133" s="595">
        <f>'[7]Прилож 4 23 (7)'!V119</f>
        <v>0</v>
      </c>
      <c r="G133" s="595">
        <f>'[7]Прилож 4 23 (7)'!W119</f>
        <v>0</v>
      </c>
      <c r="H133" s="595">
        <v>50000</v>
      </c>
      <c r="I133" s="623"/>
      <c r="J133" s="595">
        <f>'[7]Прилож 4 23 (7)'!Z119</f>
        <v>0</v>
      </c>
      <c r="K133" s="595">
        <f>'[7]Прилож 4 23 (7)'!AA119</f>
        <v>0</v>
      </c>
      <c r="L133" s="595">
        <f>'[7]Прилож 4 23 (7)'!AB119</f>
        <v>0</v>
      </c>
      <c r="M133" s="596">
        <f t="shared" si="38"/>
        <v>0</v>
      </c>
      <c r="N133" s="595"/>
      <c r="O133" s="595"/>
      <c r="P133" s="595"/>
      <c r="Q133" s="621"/>
      <c r="R133" s="595"/>
      <c r="S133" s="595"/>
      <c r="T133" s="595"/>
      <c r="U133" s="596">
        <f t="shared" si="34"/>
        <v>50000</v>
      </c>
      <c r="V133" s="595"/>
      <c r="W133" s="595"/>
      <c r="X133" s="595">
        <f t="shared" si="36"/>
        <v>50000</v>
      </c>
      <c r="Y133" s="628"/>
      <c r="Z133" s="595"/>
      <c r="AA133" s="595"/>
      <c r="AB133" s="595"/>
    </row>
    <row r="134" spans="1:29" s="637" customFormat="1" x14ac:dyDescent="0.2">
      <c r="A134" s="632" t="s">
        <v>1143</v>
      </c>
      <c r="B134" s="633" t="s">
        <v>729</v>
      </c>
      <c r="C134" s="634">
        <v>244</v>
      </c>
      <c r="D134" s="634">
        <v>225</v>
      </c>
      <c r="E134" s="597">
        <f>SUM(E115:E133)</f>
        <v>548440.88</v>
      </c>
      <c r="F134" s="597">
        <f t="shared" ref="F134:AB134" si="46">SUM(F115:F133)</f>
        <v>0</v>
      </c>
      <c r="G134" s="597">
        <f t="shared" si="46"/>
        <v>0</v>
      </c>
      <c r="H134" s="597">
        <f t="shared" si="46"/>
        <v>548440.88</v>
      </c>
      <c r="I134" s="635"/>
      <c r="J134" s="597">
        <f t="shared" si="46"/>
        <v>0</v>
      </c>
      <c r="K134" s="597">
        <f t="shared" si="46"/>
        <v>0</v>
      </c>
      <c r="L134" s="597">
        <f t="shared" si="46"/>
        <v>0</v>
      </c>
      <c r="M134" s="597">
        <f t="shared" si="46"/>
        <v>0</v>
      </c>
      <c r="N134" s="597">
        <f t="shared" si="46"/>
        <v>0</v>
      </c>
      <c r="O134" s="597">
        <f t="shared" si="46"/>
        <v>0</v>
      </c>
      <c r="P134" s="597">
        <f t="shared" si="46"/>
        <v>0</v>
      </c>
      <c r="Q134" s="635"/>
      <c r="R134" s="597">
        <f t="shared" si="46"/>
        <v>0</v>
      </c>
      <c r="S134" s="597">
        <f t="shared" si="46"/>
        <v>0</v>
      </c>
      <c r="T134" s="597">
        <f t="shared" si="46"/>
        <v>0</v>
      </c>
      <c r="U134" s="597">
        <f t="shared" si="46"/>
        <v>548440.88</v>
      </c>
      <c r="V134" s="597">
        <f t="shared" si="46"/>
        <v>0</v>
      </c>
      <c r="W134" s="597">
        <f t="shared" si="46"/>
        <v>0</v>
      </c>
      <c r="X134" s="597">
        <f t="shared" si="46"/>
        <v>548440.88</v>
      </c>
      <c r="Y134" s="635"/>
      <c r="Z134" s="597">
        <f t="shared" si="46"/>
        <v>0</v>
      </c>
      <c r="AA134" s="597">
        <f t="shared" si="46"/>
        <v>0</v>
      </c>
      <c r="AB134" s="597">
        <f t="shared" si="46"/>
        <v>0</v>
      </c>
      <c r="AC134" s="636"/>
    </row>
    <row r="135" spans="1:29" x14ac:dyDescent="0.2">
      <c r="A135" s="618" t="s">
        <v>677</v>
      </c>
      <c r="B135" s="619" t="s">
        <v>691</v>
      </c>
      <c r="C135" s="620">
        <v>244</v>
      </c>
      <c r="D135" s="620">
        <v>225</v>
      </c>
      <c r="E135" s="596">
        <f t="shared" si="33"/>
        <v>15661.8</v>
      </c>
      <c r="F135" s="595"/>
      <c r="G135" s="595">
        <f>'[7]Прилож 4 23 (7)'!W120</f>
        <v>0</v>
      </c>
      <c r="H135" s="595">
        <v>13296.74</v>
      </c>
      <c r="I135" s="623"/>
      <c r="J135" s="595">
        <f>'[7]Прилож 4 23 (7)'!Z120</f>
        <v>0</v>
      </c>
      <c r="K135" s="595">
        <f>'[7]Прилож 4 23 (7)'!AA120</f>
        <v>0</v>
      </c>
      <c r="L135" s="595">
        <v>2365.06</v>
      </c>
      <c r="M135" s="596">
        <f t="shared" si="38"/>
        <v>0</v>
      </c>
      <c r="N135" s="595"/>
      <c r="O135" s="595"/>
      <c r="P135" s="595"/>
      <c r="Q135" s="621"/>
      <c r="R135" s="595"/>
      <c r="S135" s="595"/>
      <c r="T135" s="595"/>
      <c r="U135" s="596">
        <f t="shared" si="34"/>
        <v>15661.8</v>
      </c>
      <c r="V135" s="595">
        <f t="shared" si="35"/>
        <v>0</v>
      </c>
      <c r="W135" s="595">
        <f t="shared" si="36"/>
        <v>0</v>
      </c>
      <c r="X135" s="595">
        <f t="shared" si="36"/>
        <v>13296.74</v>
      </c>
      <c r="Y135" s="628"/>
      <c r="Z135" s="595">
        <f t="shared" si="37"/>
        <v>0</v>
      </c>
      <c r="AA135" s="595">
        <f t="shared" si="37"/>
        <v>0</v>
      </c>
      <c r="AB135" s="595">
        <f t="shared" si="37"/>
        <v>2365.06</v>
      </c>
    </row>
    <row r="136" spans="1:29" s="614" customFormat="1" x14ac:dyDescent="0.2">
      <c r="A136" s="630" t="s">
        <v>738</v>
      </c>
      <c r="B136" s="631"/>
      <c r="C136" s="624"/>
      <c r="D136" s="624"/>
      <c r="E136" s="596">
        <f>E135+E134+E114</f>
        <v>826849.56</v>
      </c>
      <c r="F136" s="596">
        <f t="shared" ref="F136:AB136" si="47">F135+F134+F114</f>
        <v>0</v>
      </c>
      <c r="G136" s="596">
        <f t="shared" si="47"/>
        <v>0</v>
      </c>
      <c r="H136" s="596">
        <f t="shared" si="47"/>
        <v>824484.5</v>
      </c>
      <c r="I136" s="626"/>
      <c r="J136" s="596">
        <f t="shared" si="47"/>
        <v>0</v>
      </c>
      <c r="K136" s="596">
        <f t="shared" si="47"/>
        <v>0</v>
      </c>
      <c r="L136" s="596">
        <f t="shared" si="47"/>
        <v>2365.06</v>
      </c>
      <c r="M136" s="596">
        <f t="shared" si="47"/>
        <v>0</v>
      </c>
      <c r="N136" s="596">
        <f t="shared" si="47"/>
        <v>0</v>
      </c>
      <c r="O136" s="596">
        <f t="shared" si="47"/>
        <v>0</v>
      </c>
      <c r="P136" s="596">
        <f t="shared" si="47"/>
        <v>0</v>
      </c>
      <c r="Q136" s="626"/>
      <c r="R136" s="596">
        <f t="shared" si="47"/>
        <v>0</v>
      </c>
      <c r="S136" s="596">
        <f t="shared" si="47"/>
        <v>0</v>
      </c>
      <c r="T136" s="596">
        <f t="shared" si="47"/>
        <v>0</v>
      </c>
      <c r="U136" s="596">
        <f t="shared" si="47"/>
        <v>826849.56</v>
      </c>
      <c r="V136" s="596">
        <f t="shared" si="47"/>
        <v>0</v>
      </c>
      <c r="W136" s="596">
        <f t="shared" si="47"/>
        <v>0</v>
      </c>
      <c r="X136" s="596">
        <f t="shared" si="47"/>
        <v>824484.5</v>
      </c>
      <c r="Y136" s="626"/>
      <c r="Z136" s="596">
        <f t="shared" si="47"/>
        <v>0</v>
      </c>
      <c r="AA136" s="596">
        <f t="shared" si="47"/>
        <v>0</v>
      </c>
      <c r="AB136" s="596">
        <f t="shared" si="47"/>
        <v>2365.06</v>
      </c>
      <c r="AC136" s="627"/>
    </row>
    <row r="137" spans="1:29" ht="47.25" x14ac:dyDescent="0.2">
      <c r="A137" s="618" t="s">
        <v>586</v>
      </c>
      <c r="B137" s="619" t="s">
        <v>747</v>
      </c>
      <c r="C137" s="620">
        <v>244</v>
      </c>
      <c r="D137" s="620">
        <v>226</v>
      </c>
      <c r="E137" s="596">
        <f t="shared" si="33"/>
        <v>53845.919999999998</v>
      </c>
      <c r="F137" s="595">
        <f>'[7]Прилож 4 23 (7)'!V123</f>
        <v>0</v>
      </c>
      <c r="G137" s="595">
        <f>'[7]Прилож 4 23 (7)'!W123</f>
        <v>0</v>
      </c>
      <c r="H137" s="595">
        <v>53845.919999999998</v>
      </c>
      <c r="I137" s="623"/>
      <c r="J137" s="595">
        <f>'[7]Прилож 4 23 (7)'!Z123</f>
        <v>0</v>
      </c>
      <c r="K137" s="595">
        <f>'[7]Прилож 4 23 (7)'!AA123</f>
        <v>0</v>
      </c>
      <c r="L137" s="595">
        <f>'[7]Прилож 4 23 (7)'!AB123</f>
        <v>0</v>
      </c>
      <c r="M137" s="596">
        <f t="shared" si="38"/>
        <v>0</v>
      </c>
      <c r="N137" s="595"/>
      <c r="O137" s="595"/>
      <c r="P137" s="595"/>
      <c r="Q137" s="621"/>
      <c r="R137" s="595"/>
      <c r="S137" s="595"/>
      <c r="T137" s="595"/>
      <c r="U137" s="596">
        <f t="shared" si="34"/>
        <v>53845.919999999998</v>
      </c>
      <c r="V137" s="595">
        <f t="shared" si="35"/>
        <v>0</v>
      </c>
      <c r="W137" s="595">
        <f t="shared" si="36"/>
        <v>0</v>
      </c>
      <c r="X137" s="595">
        <f t="shared" si="36"/>
        <v>53845.919999999998</v>
      </c>
      <c r="Y137" s="628"/>
      <c r="Z137" s="595">
        <f t="shared" si="37"/>
        <v>0</v>
      </c>
      <c r="AA137" s="595">
        <f t="shared" si="37"/>
        <v>0</v>
      </c>
      <c r="AB137" s="595">
        <f t="shared" si="37"/>
        <v>0</v>
      </c>
    </row>
    <row r="138" spans="1:29" ht="31.5" x14ac:dyDescent="0.2">
      <c r="A138" s="618" t="s">
        <v>154</v>
      </c>
      <c r="B138" s="619" t="s">
        <v>747</v>
      </c>
      <c r="C138" s="620">
        <v>244</v>
      </c>
      <c r="D138" s="620">
        <v>226</v>
      </c>
      <c r="E138" s="596">
        <f t="shared" si="33"/>
        <v>50000</v>
      </c>
      <c r="F138" s="595">
        <f>'[7]Прилож 4 23 (7)'!V125</f>
        <v>0</v>
      </c>
      <c r="G138" s="595">
        <f>'[7]Прилож 4 23 (7)'!W125</f>
        <v>0</v>
      </c>
      <c r="H138" s="595">
        <v>50000</v>
      </c>
      <c r="I138" s="623"/>
      <c r="J138" s="595">
        <f>'[7]Прилож 4 23 (7)'!Z125</f>
        <v>0</v>
      </c>
      <c r="K138" s="595">
        <f>'[7]Прилож 4 23 (7)'!AA125</f>
        <v>0</v>
      </c>
      <c r="L138" s="595">
        <f>'[7]Прилож 4 23 (7)'!AB125</f>
        <v>0</v>
      </c>
      <c r="M138" s="596">
        <f t="shared" si="38"/>
        <v>0</v>
      </c>
      <c r="N138" s="595"/>
      <c r="O138" s="595"/>
      <c r="P138" s="595"/>
      <c r="Q138" s="621"/>
      <c r="R138" s="595"/>
      <c r="S138" s="595"/>
      <c r="T138" s="595"/>
      <c r="U138" s="596">
        <f t="shared" si="34"/>
        <v>50000</v>
      </c>
      <c r="V138" s="595">
        <f t="shared" si="35"/>
        <v>0</v>
      </c>
      <c r="W138" s="595">
        <f t="shared" si="36"/>
        <v>0</v>
      </c>
      <c r="X138" s="595">
        <f t="shared" si="36"/>
        <v>50000</v>
      </c>
      <c r="Y138" s="628"/>
      <c r="Z138" s="595">
        <f t="shared" si="37"/>
        <v>0</v>
      </c>
      <c r="AA138" s="595">
        <f t="shared" si="37"/>
        <v>0</v>
      </c>
      <c r="AB138" s="595">
        <f t="shared" si="37"/>
        <v>0</v>
      </c>
    </row>
    <row r="139" spans="1:29" ht="31.5" x14ac:dyDescent="0.2">
      <c r="A139" s="618" t="s">
        <v>642</v>
      </c>
      <c r="B139" s="619" t="s">
        <v>747</v>
      </c>
      <c r="C139" s="620">
        <v>244</v>
      </c>
      <c r="D139" s="620">
        <v>226</v>
      </c>
      <c r="E139" s="596">
        <f t="shared" si="33"/>
        <v>60720</v>
      </c>
      <c r="F139" s="595">
        <f>'[7]Прилож 4 23 (7)'!V126</f>
        <v>0</v>
      </c>
      <c r="G139" s="595">
        <f>'[7]Прилож 4 23 (7)'!W126</f>
        <v>0</v>
      </c>
      <c r="H139" s="595">
        <v>60720</v>
      </c>
      <c r="I139" s="623"/>
      <c r="J139" s="595">
        <f>'[7]Прилож 4 23 (7)'!Z126</f>
        <v>0</v>
      </c>
      <c r="K139" s="595">
        <f>'[7]Прилож 4 23 (7)'!AA126</f>
        <v>0</v>
      </c>
      <c r="L139" s="595">
        <f>'[7]Прилож 4 23 (7)'!AB126</f>
        <v>0</v>
      </c>
      <c r="M139" s="596">
        <f t="shared" si="38"/>
        <v>0</v>
      </c>
      <c r="N139" s="595"/>
      <c r="O139" s="595"/>
      <c r="P139" s="595"/>
      <c r="Q139" s="621"/>
      <c r="R139" s="595"/>
      <c r="S139" s="595"/>
      <c r="T139" s="595"/>
      <c r="U139" s="596">
        <f t="shared" si="34"/>
        <v>60720</v>
      </c>
      <c r="V139" s="595">
        <f t="shared" si="35"/>
        <v>0</v>
      </c>
      <c r="W139" s="595">
        <f t="shared" si="36"/>
        <v>0</v>
      </c>
      <c r="X139" s="595">
        <f t="shared" si="36"/>
        <v>60720</v>
      </c>
      <c r="Y139" s="628"/>
      <c r="Z139" s="595">
        <f t="shared" si="37"/>
        <v>0</v>
      </c>
      <c r="AA139" s="595">
        <f t="shared" si="37"/>
        <v>0</v>
      </c>
      <c r="AB139" s="595">
        <f t="shared" si="37"/>
        <v>0</v>
      </c>
    </row>
    <row r="140" spans="1:29" ht="186" customHeight="1" x14ac:dyDescent="0.2">
      <c r="A140" s="618" t="s">
        <v>1243</v>
      </c>
      <c r="B140" s="619" t="s">
        <v>747</v>
      </c>
      <c r="C140" s="620">
        <v>244</v>
      </c>
      <c r="D140" s="620">
        <v>226</v>
      </c>
      <c r="E140" s="596">
        <f t="shared" si="33"/>
        <v>0</v>
      </c>
      <c r="F140" s="595">
        <f>'[7]Прилож 4 23 (7)'!V129</f>
        <v>0</v>
      </c>
      <c r="G140" s="595">
        <f>'[7]Прилож 4 23 (7)'!W129</f>
        <v>0</v>
      </c>
      <c r="H140" s="595"/>
      <c r="I140" s="623"/>
      <c r="J140" s="595">
        <f>'[7]Прилож 4 23 (7)'!Z129</f>
        <v>0</v>
      </c>
      <c r="K140" s="595">
        <f>'[7]Прилож 4 23 (7)'!AA129</f>
        <v>0</v>
      </c>
      <c r="L140" s="595">
        <f>'[7]Прилож 4 23 (7)'!AB129</f>
        <v>0</v>
      </c>
      <c r="M140" s="596">
        <f t="shared" si="38"/>
        <v>0</v>
      </c>
      <c r="N140" s="595"/>
      <c r="O140" s="595"/>
      <c r="P140" s="595"/>
      <c r="Q140" s="621"/>
      <c r="R140" s="595"/>
      <c r="S140" s="595"/>
      <c r="T140" s="595"/>
      <c r="U140" s="596">
        <f t="shared" si="34"/>
        <v>0</v>
      </c>
      <c r="V140" s="595">
        <f t="shared" si="35"/>
        <v>0</v>
      </c>
      <c r="W140" s="595">
        <f t="shared" si="36"/>
        <v>0</v>
      </c>
      <c r="X140" s="595">
        <f t="shared" si="36"/>
        <v>0</v>
      </c>
      <c r="Y140" s="628"/>
      <c r="Z140" s="595">
        <f t="shared" si="37"/>
        <v>0</v>
      </c>
      <c r="AA140" s="595">
        <f t="shared" si="37"/>
        <v>0</v>
      </c>
      <c r="AB140" s="595">
        <f t="shared" si="37"/>
        <v>0</v>
      </c>
    </row>
    <row r="141" spans="1:29" x14ac:dyDescent="0.2">
      <c r="A141" s="618" t="s">
        <v>593</v>
      </c>
      <c r="B141" s="619" t="s">
        <v>747</v>
      </c>
      <c r="C141" s="620">
        <v>244</v>
      </c>
      <c r="D141" s="620">
        <v>226</v>
      </c>
      <c r="E141" s="596">
        <f t="shared" si="33"/>
        <v>7430</v>
      </c>
      <c r="F141" s="595">
        <f>'[7]Прилож 4 23 (7)'!V131</f>
        <v>0</v>
      </c>
      <c r="G141" s="595">
        <f>'[7]Прилож 4 23 (7)'!W131</f>
        <v>0</v>
      </c>
      <c r="H141" s="595">
        <f>20000-12570</f>
        <v>7430</v>
      </c>
      <c r="I141" s="623"/>
      <c r="J141" s="595">
        <f>'[7]Прилож 4 23 (7)'!Z131</f>
        <v>0</v>
      </c>
      <c r="K141" s="595">
        <f>'[7]Прилож 4 23 (7)'!AA131</f>
        <v>0</v>
      </c>
      <c r="L141" s="595">
        <f>'[7]Прилож 4 23 (7)'!AB131</f>
        <v>0</v>
      </c>
      <c r="M141" s="596">
        <f t="shared" si="38"/>
        <v>0</v>
      </c>
      <c r="N141" s="595"/>
      <c r="O141" s="595"/>
      <c r="P141" s="595"/>
      <c r="Q141" s="621"/>
      <c r="R141" s="595"/>
      <c r="S141" s="595"/>
      <c r="T141" s="595"/>
      <c r="U141" s="596">
        <f t="shared" si="34"/>
        <v>7430</v>
      </c>
      <c r="V141" s="595">
        <f t="shared" si="35"/>
        <v>0</v>
      </c>
      <c r="W141" s="595">
        <f t="shared" si="36"/>
        <v>0</v>
      </c>
      <c r="X141" s="595">
        <f t="shared" si="36"/>
        <v>7430</v>
      </c>
      <c r="Y141" s="628"/>
      <c r="Z141" s="595">
        <f t="shared" si="37"/>
        <v>0</v>
      </c>
      <c r="AA141" s="595">
        <f t="shared" si="37"/>
        <v>0</v>
      </c>
      <c r="AB141" s="595">
        <f t="shared" si="37"/>
        <v>0</v>
      </c>
    </row>
    <row r="142" spans="1:29" x14ac:dyDescent="0.2">
      <c r="A142" s="618" t="s">
        <v>1194</v>
      </c>
      <c r="B142" s="619" t="s">
        <v>747</v>
      </c>
      <c r="C142" s="620">
        <v>244</v>
      </c>
      <c r="D142" s="620">
        <v>226</v>
      </c>
      <c r="E142" s="596">
        <f t="shared" si="33"/>
        <v>18900</v>
      </c>
      <c r="F142" s="595">
        <f>'[7]Прилож 4 23 (7)'!V133</f>
        <v>0</v>
      </c>
      <c r="G142" s="595">
        <f>'[7]Прилож 4 23 (7)'!W133</f>
        <v>0</v>
      </c>
      <c r="H142" s="595">
        <v>18900</v>
      </c>
      <c r="I142" s="623"/>
      <c r="J142" s="595">
        <f>'[7]Прилож 4 23 (7)'!Z133</f>
        <v>0</v>
      </c>
      <c r="K142" s="595">
        <f>'[7]Прилож 4 23 (7)'!AA133</f>
        <v>0</v>
      </c>
      <c r="L142" s="595">
        <f>'[7]Прилож 4 23 (7)'!AB133</f>
        <v>0</v>
      </c>
      <c r="M142" s="596">
        <f t="shared" si="38"/>
        <v>0</v>
      </c>
      <c r="N142" s="595"/>
      <c r="O142" s="595"/>
      <c r="P142" s="595"/>
      <c r="Q142" s="621"/>
      <c r="R142" s="595"/>
      <c r="S142" s="595"/>
      <c r="T142" s="595"/>
      <c r="U142" s="596">
        <f t="shared" si="34"/>
        <v>18900</v>
      </c>
      <c r="V142" s="595">
        <f t="shared" si="35"/>
        <v>0</v>
      </c>
      <c r="W142" s="595">
        <f t="shared" si="36"/>
        <v>0</v>
      </c>
      <c r="X142" s="595">
        <f t="shared" si="36"/>
        <v>18900</v>
      </c>
      <c r="Y142" s="628"/>
      <c r="Z142" s="595">
        <f t="shared" si="37"/>
        <v>0</v>
      </c>
      <c r="AA142" s="595">
        <f t="shared" si="37"/>
        <v>0</v>
      </c>
      <c r="AB142" s="595">
        <f t="shared" si="37"/>
        <v>0</v>
      </c>
    </row>
    <row r="143" spans="1:29" s="637" customFormat="1" x14ac:dyDescent="0.2">
      <c r="A143" s="632" t="s">
        <v>1143</v>
      </c>
      <c r="B143" s="633" t="s">
        <v>747</v>
      </c>
      <c r="C143" s="634">
        <v>244</v>
      </c>
      <c r="D143" s="634">
        <v>226</v>
      </c>
      <c r="E143" s="598">
        <f>SUM(E137:E142)</f>
        <v>190895.91999999998</v>
      </c>
      <c r="F143" s="598">
        <f>SUM(F137:F142)</f>
        <v>0</v>
      </c>
      <c r="G143" s="598">
        <f>SUM(G137:G142)</f>
        <v>0</v>
      </c>
      <c r="H143" s="598">
        <f>SUM(H137:H142)</f>
        <v>190895.91999999998</v>
      </c>
      <c r="I143" s="640"/>
      <c r="J143" s="598">
        <f t="shared" ref="J143:P143" si="48">SUM(J137:J142)</f>
        <v>0</v>
      </c>
      <c r="K143" s="598">
        <f t="shared" si="48"/>
        <v>0</v>
      </c>
      <c r="L143" s="598">
        <f t="shared" si="48"/>
        <v>0</v>
      </c>
      <c r="M143" s="598">
        <f t="shared" si="48"/>
        <v>0</v>
      </c>
      <c r="N143" s="598">
        <f t="shared" si="48"/>
        <v>0</v>
      </c>
      <c r="O143" s="598">
        <f t="shared" si="48"/>
        <v>0</v>
      </c>
      <c r="P143" s="598">
        <f t="shared" si="48"/>
        <v>0</v>
      </c>
      <c r="Q143" s="640"/>
      <c r="R143" s="598">
        <f t="shared" ref="R143:X143" si="49">SUM(R137:R142)</f>
        <v>0</v>
      </c>
      <c r="S143" s="598">
        <f t="shared" si="49"/>
        <v>0</v>
      </c>
      <c r="T143" s="598">
        <f t="shared" si="49"/>
        <v>0</v>
      </c>
      <c r="U143" s="598">
        <f t="shared" si="49"/>
        <v>190895.91999999998</v>
      </c>
      <c r="V143" s="598">
        <f t="shared" si="49"/>
        <v>0</v>
      </c>
      <c r="W143" s="598">
        <f t="shared" si="49"/>
        <v>0</v>
      </c>
      <c r="X143" s="598">
        <f t="shared" si="49"/>
        <v>190895.91999999998</v>
      </c>
      <c r="Y143" s="640"/>
      <c r="Z143" s="598">
        <f>SUM(Z137:Z142)</f>
        <v>0</v>
      </c>
      <c r="AA143" s="598">
        <f>SUM(AA137:AA142)</f>
        <v>0</v>
      </c>
      <c r="AB143" s="598">
        <f>SUM(AB137:AB142)</f>
        <v>0</v>
      </c>
      <c r="AC143" s="636"/>
    </row>
    <row r="144" spans="1:29" ht="47.25" x14ac:dyDescent="0.2">
      <c r="A144" s="618" t="s">
        <v>586</v>
      </c>
      <c r="B144" s="619" t="s">
        <v>729</v>
      </c>
      <c r="C144" s="620">
        <v>244</v>
      </c>
      <c r="D144" s="620">
        <v>226</v>
      </c>
      <c r="E144" s="596">
        <f t="shared" si="33"/>
        <v>53845.919999999998</v>
      </c>
      <c r="F144" s="595">
        <f>'[7]Прилож 4 23 (7)'!V135</f>
        <v>0</v>
      </c>
      <c r="G144" s="595">
        <f>'[7]Прилож 4 23 (7)'!W135</f>
        <v>0</v>
      </c>
      <c r="H144" s="595">
        <v>53845.919999999998</v>
      </c>
      <c r="I144" s="623"/>
      <c r="J144" s="595">
        <f>'[7]Прилож 4 23 (7)'!Z135</f>
        <v>0</v>
      </c>
      <c r="K144" s="595">
        <f>'[7]Прилож 4 23 (7)'!AA135</f>
        <v>0</v>
      </c>
      <c r="L144" s="595">
        <f>'[7]Прилож 4 23 (7)'!AB135</f>
        <v>0</v>
      </c>
      <c r="M144" s="596">
        <f t="shared" si="38"/>
        <v>0</v>
      </c>
      <c r="N144" s="595"/>
      <c r="O144" s="595"/>
      <c r="P144" s="595"/>
      <c r="Q144" s="621"/>
      <c r="R144" s="595"/>
      <c r="S144" s="595"/>
      <c r="T144" s="595"/>
      <c r="U144" s="596">
        <f t="shared" si="34"/>
        <v>53845.919999999998</v>
      </c>
      <c r="V144" s="595">
        <f t="shared" si="35"/>
        <v>0</v>
      </c>
      <c r="W144" s="595">
        <f t="shared" si="36"/>
        <v>0</v>
      </c>
      <c r="X144" s="595">
        <f t="shared" si="36"/>
        <v>53845.919999999998</v>
      </c>
      <c r="Y144" s="628"/>
      <c r="Z144" s="595">
        <f t="shared" si="37"/>
        <v>0</v>
      </c>
      <c r="AA144" s="595">
        <f t="shared" si="37"/>
        <v>0</v>
      </c>
      <c r="AB144" s="595">
        <f t="shared" si="37"/>
        <v>0</v>
      </c>
    </row>
    <row r="145" spans="1:29" ht="31.5" x14ac:dyDescent="0.2">
      <c r="A145" s="618" t="s">
        <v>642</v>
      </c>
      <c r="B145" s="619" t="s">
        <v>729</v>
      </c>
      <c r="C145" s="620">
        <v>244</v>
      </c>
      <c r="D145" s="620">
        <v>226</v>
      </c>
      <c r="E145" s="596">
        <f t="shared" si="33"/>
        <v>60720</v>
      </c>
      <c r="F145" s="595">
        <f>'[7]Прилож 4 23 (7)'!V137</f>
        <v>0</v>
      </c>
      <c r="G145" s="595">
        <f>'[7]Прилож 4 23 (7)'!W137</f>
        <v>0</v>
      </c>
      <c r="H145" s="595">
        <v>60720</v>
      </c>
      <c r="I145" s="623"/>
      <c r="J145" s="595">
        <f>'[7]Прилож 4 23 (7)'!Z137</f>
        <v>0</v>
      </c>
      <c r="K145" s="595">
        <f>'[7]Прилож 4 23 (7)'!AA137</f>
        <v>0</v>
      </c>
      <c r="L145" s="595">
        <f>'[7]Прилож 4 23 (7)'!AB137</f>
        <v>0</v>
      </c>
      <c r="M145" s="596">
        <f t="shared" si="38"/>
        <v>0</v>
      </c>
      <c r="N145" s="595"/>
      <c r="O145" s="595"/>
      <c r="P145" s="595"/>
      <c r="Q145" s="621"/>
      <c r="R145" s="595"/>
      <c r="S145" s="595"/>
      <c r="T145" s="595"/>
      <c r="U145" s="596">
        <f t="shared" si="34"/>
        <v>60720</v>
      </c>
      <c r="V145" s="595">
        <f t="shared" si="35"/>
        <v>0</v>
      </c>
      <c r="W145" s="595">
        <f t="shared" si="36"/>
        <v>0</v>
      </c>
      <c r="X145" s="595">
        <f t="shared" si="36"/>
        <v>60720</v>
      </c>
      <c r="Y145" s="628"/>
      <c r="Z145" s="595">
        <f t="shared" si="37"/>
        <v>0</v>
      </c>
      <c r="AA145" s="595">
        <f t="shared" si="37"/>
        <v>0</v>
      </c>
      <c r="AB145" s="595">
        <f t="shared" si="37"/>
        <v>0</v>
      </c>
    </row>
    <row r="146" spans="1:29" ht="47.25" x14ac:dyDescent="0.2">
      <c r="A146" s="618" t="s">
        <v>1244</v>
      </c>
      <c r="B146" s="619" t="s">
        <v>729</v>
      </c>
      <c r="C146" s="620">
        <v>244</v>
      </c>
      <c r="D146" s="620">
        <v>226</v>
      </c>
      <c r="E146" s="596">
        <f t="shared" si="33"/>
        <v>50000</v>
      </c>
      <c r="F146" s="595">
        <f>'[7]Прилож 4 23 (7)'!V138</f>
        <v>0</v>
      </c>
      <c r="G146" s="595">
        <f>'[7]Прилож 4 23 (7)'!W138</f>
        <v>0</v>
      </c>
      <c r="H146" s="595">
        <v>50000</v>
      </c>
      <c r="I146" s="623"/>
      <c r="J146" s="595">
        <f>'[7]Прилож 4 23 (7)'!Z138</f>
        <v>0</v>
      </c>
      <c r="K146" s="595">
        <f>'[7]Прилож 4 23 (7)'!AA138</f>
        <v>0</v>
      </c>
      <c r="L146" s="595">
        <f>'[7]Прилож 4 23 (7)'!AB138</f>
        <v>0</v>
      </c>
      <c r="M146" s="596">
        <f t="shared" si="38"/>
        <v>0</v>
      </c>
      <c r="N146" s="595"/>
      <c r="O146" s="595"/>
      <c r="P146" s="595"/>
      <c r="Q146" s="621"/>
      <c r="R146" s="595"/>
      <c r="S146" s="595"/>
      <c r="T146" s="595"/>
      <c r="U146" s="596">
        <f t="shared" si="34"/>
        <v>50000</v>
      </c>
      <c r="V146" s="595">
        <f t="shared" si="35"/>
        <v>0</v>
      </c>
      <c r="W146" s="595">
        <f t="shared" si="36"/>
        <v>0</v>
      </c>
      <c r="X146" s="595">
        <f t="shared" si="36"/>
        <v>50000</v>
      </c>
      <c r="Y146" s="628"/>
      <c r="Z146" s="595">
        <f t="shared" si="37"/>
        <v>0</v>
      </c>
      <c r="AA146" s="595">
        <f t="shared" si="37"/>
        <v>0</v>
      </c>
      <c r="AB146" s="595">
        <f t="shared" si="37"/>
        <v>0</v>
      </c>
    </row>
    <row r="147" spans="1:29" ht="31.5" x14ac:dyDescent="0.2">
      <c r="A147" s="618" t="s">
        <v>752</v>
      </c>
      <c r="B147" s="619" t="s">
        <v>729</v>
      </c>
      <c r="C147" s="620">
        <v>244</v>
      </c>
      <c r="D147" s="620">
        <v>226</v>
      </c>
      <c r="E147" s="596">
        <f t="shared" si="33"/>
        <v>150000</v>
      </c>
      <c r="F147" s="595">
        <f>'[7]Прилож 4 23 (7)'!V139</f>
        <v>0</v>
      </c>
      <c r="G147" s="595">
        <f>'[7]Прилож 4 23 (7)'!W139</f>
        <v>0</v>
      </c>
      <c r="H147" s="595">
        <v>150000</v>
      </c>
      <c r="I147" s="623"/>
      <c r="J147" s="595">
        <f>'[7]Прилож 4 23 (7)'!Z139</f>
        <v>0</v>
      </c>
      <c r="K147" s="595">
        <f>'[7]Прилож 4 23 (7)'!AA139</f>
        <v>0</v>
      </c>
      <c r="L147" s="595">
        <f>'[7]Прилож 4 23 (7)'!AB139</f>
        <v>0</v>
      </c>
      <c r="M147" s="596">
        <f t="shared" si="38"/>
        <v>0</v>
      </c>
      <c r="N147" s="595"/>
      <c r="O147" s="595"/>
      <c r="P147" s="595"/>
      <c r="Q147" s="621"/>
      <c r="R147" s="595"/>
      <c r="S147" s="595"/>
      <c r="T147" s="595"/>
      <c r="U147" s="596">
        <f t="shared" si="34"/>
        <v>150000</v>
      </c>
      <c r="V147" s="595">
        <f t="shared" si="35"/>
        <v>0</v>
      </c>
      <c r="W147" s="595">
        <f t="shared" si="36"/>
        <v>0</v>
      </c>
      <c r="X147" s="595">
        <f t="shared" si="36"/>
        <v>150000</v>
      </c>
      <c r="Y147" s="628"/>
      <c r="Z147" s="595">
        <f t="shared" si="37"/>
        <v>0</v>
      </c>
      <c r="AA147" s="595">
        <f t="shared" si="37"/>
        <v>0</v>
      </c>
      <c r="AB147" s="595">
        <f t="shared" si="37"/>
        <v>0</v>
      </c>
    </row>
    <row r="148" spans="1:29" ht="35.25" customHeight="1" x14ac:dyDescent="0.2">
      <c r="A148" s="618" t="s">
        <v>593</v>
      </c>
      <c r="B148" s="619" t="s">
        <v>729</v>
      </c>
      <c r="C148" s="620">
        <v>244</v>
      </c>
      <c r="D148" s="620">
        <v>226</v>
      </c>
      <c r="E148" s="596">
        <f t="shared" si="33"/>
        <v>30000</v>
      </c>
      <c r="F148" s="595">
        <f>'[7]Прилож 4 23 (7)'!V140</f>
        <v>0</v>
      </c>
      <c r="G148" s="595">
        <f>'[7]Прилож 4 23 (7)'!W140</f>
        <v>0</v>
      </c>
      <c r="H148" s="595">
        <v>30000</v>
      </c>
      <c r="I148" s="623"/>
      <c r="J148" s="595">
        <f>'[7]Прилож 4 23 (7)'!Z140</f>
        <v>0</v>
      </c>
      <c r="K148" s="595">
        <f>'[7]Прилож 4 23 (7)'!AA140</f>
        <v>0</v>
      </c>
      <c r="L148" s="595">
        <f>'[7]Прилож 4 23 (7)'!AB140</f>
        <v>0</v>
      </c>
      <c r="M148" s="596">
        <f t="shared" si="38"/>
        <v>0</v>
      </c>
      <c r="N148" s="595"/>
      <c r="O148" s="595"/>
      <c r="P148" s="595"/>
      <c r="Q148" s="621"/>
      <c r="R148" s="595"/>
      <c r="S148" s="595"/>
      <c r="T148" s="595"/>
      <c r="U148" s="596">
        <f t="shared" si="34"/>
        <v>30000</v>
      </c>
      <c r="V148" s="595">
        <f t="shared" si="35"/>
        <v>0</v>
      </c>
      <c r="W148" s="595">
        <f t="shared" si="36"/>
        <v>0</v>
      </c>
      <c r="X148" s="595">
        <f t="shared" si="36"/>
        <v>30000</v>
      </c>
      <c r="Y148" s="628"/>
      <c r="Z148" s="595">
        <f t="shared" si="37"/>
        <v>0</v>
      </c>
      <c r="AA148" s="595">
        <f t="shared" si="37"/>
        <v>0</v>
      </c>
      <c r="AB148" s="595">
        <f t="shared" si="37"/>
        <v>0</v>
      </c>
    </row>
    <row r="149" spans="1:29" ht="45" customHeight="1" x14ac:dyDescent="0.2">
      <c r="A149" s="618" t="s">
        <v>914</v>
      </c>
      <c r="B149" s="619" t="s">
        <v>729</v>
      </c>
      <c r="C149" s="620">
        <v>244</v>
      </c>
      <c r="D149" s="620">
        <v>226</v>
      </c>
      <c r="E149" s="596">
        <f t="shared" si="33"/>
        <v>54800</v>
      </c>
      <c r="F149" s="595">
        <f>'[7]Прилож 4 23 (7)'!V142</f>
        <v>0</v>
      </c>
      <c r="G149" s="595">
        <f>'[7]Прилож 4 23 (7)'!W142</f>
        <v>0</v>
      </c>
      <c r="H149" s="595">
        <v>54800</v>
      </c>
      <c r="I149" s="623"/>
      <c r="J149" s="595">
        <f>'[7]Прилож 4 23 (7)'!Z142</f>
        <v>0</v>
      </c>
      <c r="K149" s="595">
        <f>'[7]Прилож 4 23 (7)'!AA142</f>
        <v>0</v>
      </c>
      <c r="L149" s="595">
        <f>'[7]Прилож 4 23 (7)'!AB142</f>
        <v>0</v>
      </c>
      <c r="M149" s="596">
        <f t="shared" si="38"/>
        <v>0</v>
      </c>
      <c r="N149" s="595"/>
      <c r="O149" s="595"/>
      <c r="P149" s="595"/>
      <c r="Q149" s="621"/>
      <c r="R149" s="595"/>
      <c r="S149" s="595"/>
      <c r="T149" s="595"/>
      <c r="U149" s="596">
        <f t="shared" si="34"/>
        <v>54800</v>
      </c>
      <c r="V149" s="595">
        <f t="shared" si="35"/>
        <v>0</v>
      </c>
      <c r="W149" s="595">
        <f t="shared" si="36"/>
        <v>0</v>
      </c>
      <c r="X149" s="595">
        <f t="shared" si="36"/>
        <v>54800</v>
      </c>
      <c r="Y149" s="628"/>
      <c r="Z149" s="595">
        <f t="shared" si="37"/>
        <v>0</v>
      </c>
      <c r="AA149" s="595">
        <f t="shared" si="37"/>
        <v>0</v>
      </c>
      <c r="AB149" s="595">
        <f t="shared" si="37"/>
        <v>0</v>
      </c>
    </row>
    <row r="150" spans="1:29" ht="60" customHeight="1" x14ac:dyDescent="0.2">
      <c r="A150" s="618" t="s">
        <v>1245</v>
      </c>
      <c r="B150" s="619" t="s">
        <v>729</v>
      </c>
      <c r="C150" s="620">
        <v>244</v>
      </c>
      <c r="D150" s="620">
        <v>226</v>
      </c>
      <c r="E150" s="596">
        <f t="shared" si="33"/>
        <v>7200</v>
      </c>
      <c r="F150" s="595">
        <f>'[7]Прилож 4 23 (7)'!V143</f>
        <v>0</v>
      </c>
      <c r="G150" s="595">
        <f>'[7]Прилож 4 23 (7)'!W143</f>
        <v>0</v>
      </c>
      <c r="H150" s="595">
        <v>7200</v>
      </c>
      <c r="I150" s="623"/>
      <c r="J150" s="595">
        <f>'[7]Прилож 4 23 (7)'!Z143</f>
        <v>0</v>
      </c>
      <c r="K150" s="595">
        <f>'[7]Прилож 4 23 (7)'!AA143</f>
        <v>0</v>
      </c>
      <c r="L150" s="595">
        <f>'[7]Прилож 4 23 (7)'!AB143</f>
        <v>0</v>
      </c>
      <c r="M150" s="596">
        <f t="shared" si="38"/>
        <v>0</v>
      </c>
      <c r="N150" s="595"/>
      <c r="O150" s="595"/>
      <c r="P150" s="595"/>
      <c r="Q150" s="621"/>
      <c r="R150" s="595"/>
      <c r="S150" s="595"/>
      <c r="T150" s="595"/>
      <c r="U150" s="596">
        <f t="shared" si="34"/>
        <v>7200</v>
      </c>
      <c r="V150" s="595">
        <f t="shared" si="35"/>
        <v>0</v>
      </c>
      <c r="W150" s="595">
        <f t="shared" si="36"/>
        <v>0</v>
      </c>
      <c r="X150" s="595">
        <f t="shared" si="36"/>
        <v>7200</v>
      </c>
      <c r="Y150" s="628"/>
      <c r="Z150" s="595">
        <f t="shared" si="37"/>
        <v>0</v>
      </c>
      <c r="AA150" s="595">
        <f t="shared" si="37"/>
        <v>0</v>
      </c>
      <c r="AB150" s="595">
        <f t="shared" si="37"/>
        <v>0</v>
      </c>
    </row>
    <row r="151" spans="1:29" ht="36" customHeight="1" x14ac:dyDescent="0.2">
      <c r="A151" s="618" t="s">
        <v>1185</v>
      </c>
      <c r="B151" s="619" t="s">
        <v>729</v>
      </c>
      <c r="C151" s="620">
        <v>244</v>
      </c>
      <c r="D151" s="620">
        <v>226</v>
      </c>
      <c r="E151" s="596">
        <f t="shared" si="33"/>
        <v>9600</v>
      </c>
      <c r="F151" s="595">
        <f>'[7]Прилож 4 23 (7)'!V144</f>
        <v>0</v>
      </c>
      <c r="G151" s="595">
        <f>'[7]Прилож 4 23 (7)'!W144</f>
        <v>0</v>
      </c>
      <c r="H151" s="595">
        <v>9600</v>
      </c>
      <c r="I151" s="623"/>
      <c r="J151" s="595">
        <f>'[7]Прилож 4 23 (7)'!Z144</f>
        <v>0</v>
      </c>
      <c r="K151" s="595">
        <f>'[7]Прилож 4 23 (7)'!AA144</f>
        <v>0</v>
      </c>
      <c r="L151" s="595">
        <f>'[7]Прилож 4 23 (7)'!AB144</f>
        <v>0</v>
      </c>
      <c r="M151" s="596">
        <f>S151</f>
        <v>0</v>
      </c>
      <c r="N151" s="595"/>
      <c r="O151" s="595"/>
      <c r="P151" s="595"/>
      <c r="Q151" s="621"/>
      <c r="R151" s="595"/>
      <c r="S151" s="595"/>
      <c r="T151" s="595"/>
      <c r="U151" s="596">
        <f t="shared" si="34"/>
        <v>9600</v>
      </c>
      <c r="V151" s="595">
        <f t="shared" si="35"/>
        <v>0</v>
      </c>
      <c r="W151" s="595">
        <f t="shared" si="36"/>
        <v>0</v>
      </c>
      <c r="X151" s="595">
        <f t="shared" si="36"/>
        <v>9600</v>
      </c>
      <c r="Y151" s="621"/>
      <c r="Z151" s="595">
        <f t="shared" si="37"/>
        <v>0</v>
      </c>
      <c r="AA151" s="595">
        <f t="shared" si="37"/>
        <v>0</v>
      </c>
      <c r="AB151" s="595">
        <f t="shared" si="37"/>
        <v>0</v>
      </c>
    </row>
    <row r="152" spans="1:29" x14ac:dyDescent="0.2">
      <c r="A152" s="618" t="s">
        <v>1194</v>
      </c>
      <c r="B152" s="619" t="s">
        <v>729</v>
      </c>
      <c r="C152" s="620">
        <v>244</v>
      </c>
      <c r="D152" s="620">
        <v>226</v>
      </c>
      <c r="E152" s="596">
        <f t="shared" si="33"/>
        <v>13500</v>
      </c>
      <c r="F152" s="595"/>
      <c r="G152" s="595">
        <f>'[7]Прилож 4 23 (7)'!W145</f>
        <v>0</v>
      </c>
      <c r="H152" s="595">
        <v>13500</v>
      </c>
      <c r="I152" s="623"/>
      <c r="J152" s="595">
        <f>'[7]Прилож 4 23 (7)'!Z145</f>
        <v>0</v>
      </c>
      <c r="K152" s="595">
        <f>'[7]Прилож 4 23 (7)'!AA145</f>
        <v>0</v>
      </c>
      <c r="L152" s="595">
        <f>'[7]Прилож 4 23 (7)'!AB145</f>
        <v>0</v>
      </c>
      <c r="M152" s="596">
        <f>N152</f>
        <v>0</v>
      </c>
      <c r="N152" s="595"/>
      <c r="O152" s="595"/>
      <c r="P152" s="595"/>
      <c r="Q152" s="621"/>
      <c r="R152" s="595"/>
      <c r="S152" s="595"/>
      <c r="T152" s="595"/>
      <c r="U152" s="596">
        <f t="shared" si="34"/>
        <v>13500</v>
      </c>
      <c r="V152" s="595">
        <f t="shared" si="35"/>
        <v>0</v>
      </c>
      <c r="W152" s="595">
        <f t="shared" si="36"/>
        <v>0</v>
      </c>
      <c r="X152" s="595">
        <f t="shared" si="36"/>
        <v>13500</v>
      </c>
      <c r="Y152" s="621"/>
      <c r="Z152" s="595">
        <f t="shared" si="37"/>
        <v>0</v>
      </c>
      <c r="AA152" s="595">
        <f t="shared" si="37"/>
        <v>0</v>
      </c>
      <c r="AB152" s="595">
        <f t="shared" si="37"/>
        <v>0</v>
      </c>
    </row>
    <row r="153" spans="1:29" ht="47.25" x14ac:dyDescent="0.2">
      <c r="A153" s="618" t="s">
        <v>1223</v>
      </c>
      <c r="B153" s="619" t="s">
        <v>729</v>
      </c>
      <c r="C153" s="620">
        <v>244</v>
      </c>
      <c r="D153" s="620">
        <v>226</v>
      </c>
      <c r="E153" s="596">
        <f t="shared" si="33"/>
        <v>14900</v>
      </c>
      <c r="F153" s="595">
        <f>'[7]Прилож 4 23 (7)'!V149</f>
        <v>0</v>
      </c>
      <c r="G153" s="595">
        <f>'[7]Прилож 4 23 (7)'!W149</f>
        <v>0</v>
      </c>
      <c r="H153" s="595">
        <v>14900</v>
      </c>
      <c r="I153" s="623"/>
      <c r="J153" s="595">
        <f>'[7]Прилож 4 23 (7)'!Z149</f>
        <v>0</v>
      </c>
      <c r="K153" s="595"/>
      <c r="L153" s="595">
        <f>'[7]Прилож 4 23 (7)'!AB149</f>
        <v>0</v>
      </c>
      <c r="M153" s="596">
        <f t="shared" ref="M153" si="50">N153+P153+R153+S153+T153+O153</f>
        <v>0</v>
      </c>
      <c r="N153" s="595"/>
      <c r="O153" s="595"/>
      <c r="P153" s="595"/>
      <c r="Q153" s="621"/>
      <c r="R153" s="595"/>
      <c r="S153" s="595"/>
      <c r="T153" s="595"/>
      <c r="U153" s="596">
        <f t="shared" si="34"/>
        <v>14900</v>
      </c>
      <c r="V153" s="595">
        <f t="shared" si="35"/>
        <v>0</v>
      </c>
      <c r="W153" s="595">
        <f t="shared" si="36"/>
        <v>0</v>
      </c>
      <c r="X153" s="595">
        <f t="shared" si="36"/>
        <v>14900</v>
      </c>
      <c r="Y153" s="628"/>
      <c r="Z153" s="595">
        <f t="shared" si="37"/>
        <v>0</v>
      </c>
      <c r="AA153" s="595">
        <f t="shared" si="37"/>
        <v>0</v>
      </c>
      <c r="AB153" s="595">
        <f t="shared" si="37"/>
        <v>0</v>
      </c>
    </row>
    <row r="154" spans="1:29" s="637" customFormat="1" x14ac:dyDescent="0.2">
      <c r="A154" s="632" t="s">
        <v>1143</v>
      </c>
      <c r="B154" s="633" t="s">
        <v>729</v>
      </c>
      <c r="C154" s="634">
        <v>244</v>
      </c>
      <c r="D154" s="634">
        <v>226</v>
      </c>
      <c r="E154" s="597">
        <f>SUM(E144:E153)</f>
        <v>444565.92</v>
      </c>
      <c r="F154" s="597">
        <f t="shared" ref="F154:AB154" si="51">SUM(F144:F153)</f>
        <v>0</v>
      </c>
      <c r="G154" s="597">
        <f t="shared" si="51"/>
        <v>0</v>
      </c>
      <c r="H154" s="597">
        <f t="shared" si="51"/>
        <v>444565.92</v>
      </c>
      <c r="I154" s="635"/>
      <c r="J154" s="597">
        <f t="shared" si="51"/>
        <v>0</v>
      </c>
      <c r="K154" s="597">
        <f t="shared" si="51"/>
        <v>0</v>
      </c>
      <c r="L154" s="597">
        <f t="shared" si="51"/>
        <v>0</v>
      </c>
      <c r="M154" s="597">
        <f t="shared" si="51"/>
        <v>0</v>
      </c>
      <c r="N154" s="597">
        <f t="shared" si="51"/>
        <v>0</v>
      </c>
      <c r="O154" s="597">
        <f t="shared" si="51"/>
        <v>0</v>
      </c>
      <c r="P154" s="597">
        <f t="shared" si="51"/>
        <v>0</v>
      </c>
      <c r="Q154" s="635"/>
      <c r="R154" s="597">
        <f t="shared" si="51"/>
        <v>0</v>
      </c>
      <c r="S154" s="597">
        <f t="shared" si="51"/>
        <v>0</v>
      </c>
      <c r="T154" s="597">
        <f t="shared" si="51"/>
        <v>0</v>
      </c>
      <c r="U154" s="597">
        <f t="shared" si="51"/>
        <v>444565.92</v>
      </c>
      <c r="V154" s="597">
        <f t="shared" si="51"/>
        <v>0</v>
      </c>
      <c r="W154" s="597">
        <f t="shared" si="51"/>
        <v>0</v>
      </c>
      <c r="X154" s="597">
        <f t="shared" si="51"/>
        <v>444565.92</v>
      </c>
      <c r="Y154" s="635"/>
      <c r="Z154" s="597">
        <f t="shared" si="51"/>
        <v>0</v>
      </c>
      <c r="AA154" s="597">
        <f t="shared" si="51"/>
        <v>0</v>
      </c>
      <c r="AB154" s="597">
        <f t="shared" si="51"/>
        <v>0</v>
      </c>
      <c r="AC154" s="636"/>
    </row>
    <row r="155" spans="1:29" x14ac:dyDescent="0.2">
      <c r="A155" s="618" t="s">
        <v>753</v>
      </c>
      <c r="B155" s="619" t="s">
        <v>691</v>
      </c>
      <c r="C155" s="620">
        <v>244</v>
      </c>
      <c r="D155" s="620">
        <v>226</v>
      </c>
      <c r="E155" s="596">
        <f t="shared" si="33"/>
        <v>157971.22999999998</v>
      </c>
      <c r="F155" s="595"/>
      <c r="G155" s="595">
        <f>'[7]Прилож 4 23 (7)'!W150</f>
        <v>0</v>
      </c>
      <c r="H155" s="595">
        <v>109128.84</v>
      </c>
      <c r="I155" s="623"/>
      <c r="J155" s="595">
        <f>'[7]Прилож 4 23 (7)'!Z150</f>
        <v>0</v>
      </c>
      <c r="K155" s="595">
        <f>'[7]Прилож 4 23 (7)'!AA150</f>
        <v>0</v>
      </c>
      <c r="L155" s="595">
        <v>48842.39</v>
      </c>
      <c r="M155" s="596">
        <f t="shared" si="38"/>
        <v>0</v>
      </c>
      <c r="N155" s="595"/>
      <c r="O155" s="595"/>
      <c r="P155" s="595"/>
      <c r="Q155" s="621"/>
      <c r="R155" s="595"/>
      <c r="S155" s="595"/>
      <c r="T155" s="595"/>
      <c r="U155" s="596">
        <f t="shared" si="34"/>
        <v>157971.22999999998</v>
      </c>
      <c r="V155" s="595">
        <f t="shared" si="35"/>
        <v>0</v>
      </c>
      <c r="W155" s="595">
        <f t="shared" si="36"/>
        <v>0</v>
      </c>
      <c r="X155" s="595">
        <f t="shared" si="36"/>
        <v>109128.84</v>
      </c>
      <c r="Y155" s="628"/>
      <c r="Z155" s="595">
        <f t="shared" si="37"/>
        <v>0</v>
      </c>
      <c r="AA155" s="595">
        <f t="shared" si="37"/>
        <v>0</v>
      </c>
      <c r="AB155" s="595">
        <f t="shared" si="37"/>
        <v>48842.39</v>
      </c>
    </row>
    <row r="156" spans="1:29" x14ac:dyDescent="0.2">
      <c r="A156" s="618" t="s">
        <v>754</v>
      </c>
      <c r="B156" s="619" t="s">
        <v>691</v>
      </c>
      <c r="C156" s="620">
        <v>244</v>
      </c>
      <c r="D156" s="620">
        <v>226</v>
      </c>
      <c r="E156" s="596">
        <f t="shared" si="33"/>
        <v>74560.5</v>
      </c>
      <c r="F156" s="595"/>
      <c r="G156" s="595">
        <f>'[7]Прилож 4 23 (7)'!W151</f>
        <v>0</v>
      </c>
      <c r="H156" s="595">
        <v>63301.25</v>
      </c>
      <c r="I156" s="623"/>
      <c r="J156" s="595">
        <f>'[7]Прилож 4 23 (7)'!Z151</f>
        <v>0</v>
      </c>
      <c r="K156" s="595">
        <f>'[7]Прилож 4 23 (7)'!AA151</f>
        <v>0</v>
      </c>
      <c r="L156" s="595">
        <v>11259.25</v>
      </c>
      <c r="M156" s="596">
        <f t="shared" si="38"/>
        <v>0</v>
      </c>
      <c r="N156" s="595"/>
      <c r="O156" s="595"/>
      <c r="P156" s="595"/>
      <c r="Q156" s="621"/>
      <c r="R156" s="595"/>
      <c r="S156" s="595"/>
      <c r="T156" s="595"/>
      <c r="U156" s="596">
        <f t="shared" si="34"/>
        <v>74560.5</v>
      </c>
      <c r="V156" s="595">
        <f t="shared" si="35"/>
        <v>0</v>
      </c>
      <c r="W156" s="595">
        <f t="shared" si="36"/>
        <v>0</v>
      </c>
      <c r="X156" s="595">
        <f t="shared" si="36"/>
        <v>63301.25</v>
      </c>
      <c r="Y156" s="628"/>
      <c r="Z156" s="595">
        <f t="shared" si="37"/>
        <v>0</v>
      </c>
      <c r="AA156" s="595">
        <f t="shared" si="37"/>
        <v>0</v>
      </c>
      <c r="AB156" s="595">
        <f t="shared" si="37"/>
        <v>11259.25</v>
      </c>
    </row>
    <row r="157" spans="1:29" ht="73.5" customHeight="1" x14ac:dyDescent="0.2">
      <c r="A157" s="618" t="s">
        <v>712</v>
      </c>
      <c r="B157" s="619" t="s">
        <v>691</v>
      </c>
      <c r="C157" s="620">
        <v>244</v>
      </c>
      <c r="D157" s="620">
        <v>226</v>
      </c>
      <c r="E157" s="596">
        <f t="shared" si="33"/>
        <v>35305.199999999997</v>
      </c>
      <c r="F157" s="595"/>
      <c r="G157" s="595">
        <f>'[7]Прилож 4 23 (7)'!W152</f>
        <v>0</v>
      </c>
      <c r="H157" s="595">
        <v>35305.199999999997</v>
      </c>
      <c r="I157" s="623"/>
      <c r="J157" s="595">
        <f>'[7]Прилож 4 23 (7)'!Z152</f>
        <v>0</v>
      </c>
      <c r="K157" s="595">
        <f>'[7]Прилож 4 23 (7)'!AA152</f>
        <v>0</v>
      </c>
      <c r="L157" s="595">
        <v>0</v>
      </c>
      <c r="M157" s="596">
        <f t="shared" si="38"/>
        <v>0</v>
      </c>
      <c r="N157" s="595"/>
      <c r="O157" s="595"/>
      <c r="P157" s="595"/>
      <c r="Q157" s="621"/>
      <c r="R157" s="595"/>
      <c r="S157" s="595"/>
      <c r="T157" s="595"/>
      <c r="U157" s="596">
        <f t="shared" si="34"/>
        <v>35305.199999999997</v>
      </c>
      <c r="V157" s="595">
        <f t="shared" si="35"/>
        <v>0</v>
      </c>
      <c r="W157" s="595">
        <f t="shared" si="36"/>
        <v>0</v>
      </c>
      <c r="X157" s="595">
        <f t="shared" si="36"/>
        <v>35305.199999999997</v>
      </c>
      <c r="Y157" s="628"/>
      <c r="Z157" s="595">
        <f t="shared" si="37"/>
        <v>0</v>
      </c>
      <c r="AA157" s="595">
        <f t="shared" si="37"/>
        <v>0</v>
      </c>
      <c r="AB157" s="595">
        <f t="shared" si="37"/>
        <v>0</v>
      </c>
    </row>
    <row r="158" spans="1:29" x14ac:dyDescent="0.2">
      <c r="A158" s="618" t="s">
        <v>755</v>
      </c>
      <c r="B158" s="619" t="s">
        <v>691</v>
      </c>
      <c r="C158" s="620">
        <v>244</v>
      </c>
      <c r="D158" s="620">
        <v>226</v>
      </c>
      <c r="E158" s="596">
        <f t="shared" ref="E158:E198" si="52">L158+K158+J158+H158+G158+F158</f>
        <v>9002.7000000000007</v>
      </c>
      <c r="F158" s="595"/>
      <c r="G158" s="595">
        <f>'[7]Прилож 4 23 (7)'!W153</f>
        <v>0</v>
      </c>
      <c r="H158" s="595">
        <v>7643.22</v>
      </c>
      <c r="I158" s="623"/>
      <c r="J158" s="595">
        <f>'[7]Прилож 4 23 (7)'!Z153</f>
        <v>0</v>
      </c>
      <c r="K158" s="595">
        <f>'[7]Прилож 4 23 (7)'!AA153</f>
        <v>0</v>
      </c>
      <c r="L158" s="595">
        <v>1359.48</v>
      </c>
      <c r="M158" s="596">
        <f t="shared" si="38"/>
        <v>0</v>
      </c>
      <c r="N158" s="595"/>
      <c r="O158" s="595"/>
      <c r="P158" s="595"/>
      <c r="Q158" s="621"/>
      <c r="R158" s="595"/>
      <c r="S158" s="595"/>
      <c r="T158" s="595"/>
      <c r="U158" s="596">
        <f t="shared" si="34"/>
        <v>9002.7000000000007</v>
      </c>
      <c r="V158" s="595">
        <f t="shared" si="35"/>
        <v>0</v>
      </c>
      <c r="W158" s="595">
        <f t="shared" si="36"/>
        <v>0</v>
      </c>
      <c r="X158" s="595">
        <f t="shared" si="36"/>
        <v>7643.22</v>
      </c>
      <c r="Y158" s="628"/>
      <c r="Z158" s="595">
        <f t="shared" si="37"/>
        <v>0</v>
      </c>
      <c r="AA158" s="595">
        <f t="shared" si="37"/>
        <v>0</v>
      </c>
      <c r="AB158" s="595">
        <f t="shared" si="37"/>
        <v>1359.48</v>
      </c>
    </row>
    <row r="159" spans="1:29" ht="55.5" customHeight="1" x14ac:dyDescent="0.2">
      <c r="A159" s="618" t="s">
        <v>756</v>
      </c>
      <c r="B159" s="619" t="s">
        <v>691</v>
      </c>
      <c r="C159" s="620">
        <v>244</v>
      </c>
      <c r="D159" s="620">
        <v>226</v>
      </c>
      <c r="E159" s="596">
        <f t="shared" si="52"/>
        <v>19139.400000000001</v>
      </c>
      <c r="F159" s="595"/>
      <c r="G159" s="595">
        <f>'[7]Прилож 4 23 (7)'!W154</f>
        <v>0</v>
      </c>
      <c r="H159" s="595">
        <v>16249.23</v>
      </c>
      <c r="I159" s="623"/>
      <c r="J159" s="595">
        <f>'[7]Прилож 4 23 (7)'!Z154</f>
        <v>0</v>
      </c>
      <c r="K159" s="595">
        <f>'[7]Прилож 4 23 (7)'!AA154</f>
        <v>0</v>
      </c>
      <c r="L159" s="595">
        <v>2890.17</v>
      </c>
      <c r="M159" s="596">
        <f t="shared" si="38"/>
        <v>0</v>
      </c>
      <c r="N159" s="595"/>
      <c r="O159" s="595"/>
      <c r="P159" s="595"/>
      <c r="Q159" s="621"/>
      <c r="R159" s="595"/>
      <c r="S159" s="595"/>
      <c r="T159" s="595"/>
      <c r="U159" s="596">
        <f t="shared" ref="U159:U199" si="53">V159+X159+Z159+AA159+AB159+W159</f>
        <v>19139.400000000001</v>
      </c>
      <c r="V159" s="595">
        <f t="shared" si="35"/>
        <v>0</v>
      </c>
      <c r="W159" s="595">
        <f t="shared" si="36"/>
        <v>0</v>
      </c>
      <c r="X159" s="595">
        <f t="shared" si="36"/>
        <v>16249.23</v>
      </c>
      <c r="Y159" s="628"/>
      <c r="Z159" s="595">
        <f t="shared" si="37"/>
        <v>0</v>
      </c>
      <c r="AA159" s="595">
        <f t="shared" si="37"/>
        <v>0</v>
      </c>
      <c r="AB159" s="595">
        <f t="shared" si="37"/>
        <v>2890.17</v>
      </c>
    </row>
    <row r="160" spans="1:29" x14ac:dyDescent="0.2">
      <c r="A160" s="618" t="s">
        <v>706</v>
      </c>
      <c r="B160" s="619" t="s">
        <v>691</v>
      </c>
      <c r="C160" s="620">
        <v>244</v>
      </c>
      <c r="D160" s="620">
        <v>226</v>
      </c>
      <c r="E160" s="596">
        <f t="shared" si="52"/>
        <v>926.1</v>
      </c>
      <c r="F160" s="595">
        <f>'[7]Прилож 4 23 (7)'!V155</f>
        <v>0</v>
      </c>
      <c r="G160" s="595">
        <f>'[7]Прилож 4 23 (7)'!W155</f>
        <v>0</v>
      </c>
      <c r="H160" s="595">
        <v>786.25</v>
      </c>
      <c r="I160" s="623"/>
      <c r="J160" s="595">
        <f>'[7]Прилож 4 23 (7)'!Z155</f>
        <v>0</v>
      </c>
      <c r="K160" s="595">
        <f>'[7]Прилож 4 23 (7)'!AA155</f>
        <v>0</v>
      </c>
      <c r="L160" s="595">
        <v>139.85</v>
      </c>
      <c r="M160" s="596">
        <f t="shared" si="38"/>
        <v>0</v>
      </c>
      <c r="N160" s="595"/>
      <c r="O160" s="595"/>
      <c r="P160" s="595"/>
      <c r="Q160" s="621"/>
      <c r="R160" s="595"/>
      <c r="S160" s="595"/>
      <c r="T160" s="595"/>
      <c r="U160" s="596">
        <f t="shared" si="53"/>
        <v>926.1</v>
      </c>
      <c r="V160" s="595">
        <f t="shared" si="35"/>
        <v>0</v>
      </c>
      <c r="W160" s="595">
        <f t="shared" si="36"/>
        <v>0</v>
      </c>
      <c r="X160" s="595">
        <f t="shared" si="36"/>
        <v>786.25</v>
      </c>
      <c r="Y160" s="628"/>
      <c r="Z160" s="595">
        <f t="shared" si="37"/>
        <v>0</v>
      </c>
      <c r="AA160" s="595">
        <f t="shared" si="37"/>
        <v>0</v>
      </c>
      <c r="AB160" s="595">
        <f t="shared" si="37"/>
        <v>139.85</v>
      </c>
    </row>
    <row r="161" spans="1:29" s="637" customFormat="1" x14ac:dyDescent="0.2">
      <c r="A161" s="632" t="s">
        <v>1143</v>
      </c>
      <c r="B161" s="633" t="s">
        <v>691</v>
      </c>
      <c r="C161" s="634">
        <v>244</v>
      </c>
      <c r="D161" s="634">
        <v>226</v>
      </c>
      <c r="E161" s="597">
        <f>SUM(E155:E160)</f>
        <v>296905.13</v>
      </c>
      <c r="F161" s="597">
        <f t="shared" ref="F161:AB161" si="54">SUM(F155:F160)</f>
        <v>0</v>
      </c>
      <c r="G161" s="597">
        <f t="shared" si="54"/>
        <v>0</v>
      </c>
      <c r="H161" s="597">
        <f t="shared" si="54"/>
        <v>232413.99</v>
      </c>
      <c r="I161" s="635"/>
      <c r="J161" s="597">
        <f t="shared" si="54"/>
        <v>0</v>
      </c>
      <c r="K161" s="597">
        <f t="shared" si="54"/>
        <v>0</v>
      </c>
      <c r="L161" s="597">
        <f t="shared" si="54"/>
        <v>64491.14</v>
      </c>
      <c r="M161" s="597">
        <f t="shared" si="54"/>
        <v>0</v>
      </c>
      <c r="N161" s="597">
        <f t="shared" si="54"/>
        <v>0</v>
      </c>
      <c r="O161" s="597">
        <f t="shared" si="54"/>
        <v>0</v>
      </c>
      <c r="P161" s="597">
        <f t="shared" si="54"/>
        <v>0</v>
      </c>
      <c r="Q161" s="635"/>
      <c r="R161" s="597">
        <f t="shared" si="54"/>
        <v>0</v>
      </c>
      <c r="S161" s="597">
        <f t="shared" si="54"/>
        <v>0</v>
      </c>
      <c r="T161" s="597">
        <f t="shared" si="54"/>
        <v>0</v>
      </c>
      <c r="U161" s="597">
        <f t="shared" si="54"/>
        <v>296905.13</v>
      </c>
      <c r="V161" s="597">
        <f t="shared" si="54"/>
        <v>0</v>
      </c>
      <c r="W161" s="597">
        <f t="shared" si="54"/>
        <v>0</v>
      </c>
      <c r="X161" s="597">
        <f t="shared" si="54"/>
        <v>232413.99</v>
      </c>
      <c r="Y161" s="635"/>
      <c r="Z161" s="597">
        <f t="shared" si="54"/>
        <v>0</v>
      </c>
      <c r="AA161" s="597">
        <f t="shared" si="54"/>
        <v>0</v>
      </c>
      <c r="AB161" s="597">
        <f t="shared" si="54"/>
        <v>64491.14</v>
      </c>
      <c r="AC161" s="636"/>
    </row>
    <row r="162" spans="1:29" s="614" customFormat="1" x14ac:dyDescent="0.2">
      <c r="A162" s="630" t="s">
        <v>739</v>
      </c>
      <c r="B162" s="631"/>
      <c r="C162" s="624"/>
      <c r="D162" s="624"/>
      <c r="E162" s="596">
        <f>E161+E154+E143</f>
        <v>932366.97</v>
      </c>
      <c r="F162" s="596">
        <f t="shared" ref="F162:AB162" si="55">F161+F154+F143</f>
        <v>0</v>
      </c>
      <c r="G162" s="596">
        <f t="shared" si="55"/>
        <v>0</v>
      </c>
      <c r="H162" s="596">
        <f t="shared" si="55"/>
        <v>867875.82999999984</v>
      </c>
      <c r="I162" s="626"/>
      <c r="J162" s="596">
        <f t="shared" si="55"/>
        <v>0</v>
      </c>
      <c r="K162" s="596">
        <f t="shared" si="55"/>
        <v>0</v>
      </c>
      <c r="L162" s="596">
        <f t="shared" si="55"/>
        <v>64491.14</v>
      </c>
      <c r="M162" s="596">
        <f t="shared" si="55"/>
        <v>0</v>
      </c>
      <c r="N162" s="596">
        <f t="shared" si="55"/>
        <v>0</v>
      </c>
      <c r="O162" s="596">
        <f t="shared" si="55"/>
        <v>0</v>
      </c>
      <c r="P162" s="596">
        <f t="shared" si="55"/>
        <v>0</v>
      </c>
      <c r="Q162" s="626"/>
      <c r="R162" s="596">
        <f t="shared" si="55"/>
        <v>0</v>
      </c>
      <c r="S162" s="596">
        <f t="shared" si="55"/>
        <v>0</v>
      </c>
      <c r="T162" s="596">
        <f t="shared" si="55"/>
        <v>0</v>
      </c>
      <c r="U162" s="596">
        <f t="shared" si="55"/>
        <v>932366.97</v>
      </c>
      <c r="V162" s="596">
        <f t="shared" si="55"/>
        <v>0</v>
      </c>
      <c r="W162" s="596">
        <f t="shared" si="55"/>
        <v>0</v>
      </c>
      <c r="X162" s="596">
        <f t="shared" si="55"/>
        <v>867875.82999999984</v>
      </c>
      <c r="Y162" s="626"/>
      <c r="Z162" s="596">
        <f t="shared" si="55"/>
        <v>0</v>
      </c>
      <c r="AA162" s="596">
        <f t="shared" si="55"/>
        <v>0</v>
      </c>
      <c r="AB162" s="596">
        <f t="shared" si="55"/>
        <v>64491.14</v>
      </c>
      <c r="AC162" s="627"/>
    </row>
    <row r="163" spans="1:29" ht="34.5" customHeight="1" x14ac:dyDescent="0.2">
      <c r="A163" s="618" t="s">
        <v>637</v>
      </c>
      <c r="B163" s="619" t="s">
        <v>729</v>
      </c>
      <c r="C163" s="620">
        <v>244</v>
      </c>
      <c r="D163" s="620">
        <v>227</v>
      </c>
      <c r="E163" s="596">
        <f t="shared" si="52"/>
        <v>10000</v>
      </c>
      <c r="F163" s="595">
        <f>'[7]Прилож 4 23 (7)'!V157</f>
        <v>0</v>
      </c>
      <c r="G163" s="595">
        <f>'[7]Прилож 4 23 (7)'!W157</f>
        <v>0</v>
      </c>
      <c r="H163" s="595">
        <v>10000</v>
      </c>
      <c r="I163" s="623"/>
      <c r="J163" s="595">
        <f>'[7]Прилож 4 23 (7)'!Z157</f>
        <v>0</v>
      </c>
      <c r="K163" s="595">
        <f>'[7]Прилож 4 23 (7)'!AA157</f>
        <v>0</v>
      </c>
      <c r="L163" s="595">
        <f>'[7]Прилож 4 23 (7)'!AB157</f>
        <v>0</v>
      </c>
      <c r="M163" s="596">
        <f t="shared" si="38"/>
        <v>0</v>
      </c>
      <c r="N163" s="595"/>
      <c r="O163" s="595"/>
      <c r="P163" s="595"/>
      <c r="Q163" s="621"/>
      <c r="R163" s="595"/>
      <c r="S163" s="595"/>
      <c r="T163" s="595"/>
      <c r="U163" s="596">
        <f t="shared" si="53"/>
        <v>10000</v>
      </c>
      <c r="V163" s="595">
        <f t="shared" si="35"/>
        <v>0</v>
      </c>
      <c r="W163" s="595">
        <f t="shared" si="36"/>
        <v>0</v>
      </c>
      <c r="X163" s="595">
        <f t="shared" si="36"/>
        <v>10000</v>
      </c>
      <c r="Y163" s="628"/>
      <c r="Z163" s="595">
        <f t="shared" si="37"/>
        <v>0</v>
      </c>
      <c r="AA163" s="595">
        <f t="shared" si="37"/>
        <v>0</v>
      </c>
      <c r="AB163" s="595">
        <f t="shared" si="37"/>
        <v>0</v>
      </c>
    </row>
    <row r="164" spans="1:29" ht="25.5" customHeight="1" x14ac:dyDescent="0.2">
      <c r="A164" s="618" t="s">
        <v>678</v>
      </c>
      <c r="B164" s="619" t="s">
        <v>691</v>
      </c>
      <c r="C164" s="620">
        <v>244</v>
      </c>
      <c r="D164" s="620">
        <v>227</v>
      </c>
      <c r="E164" s="596">
        <f t="shared" si="52"/>
        <v>1827</v>
      </c>
      <c r="F164" s="595"/>
      <c r="G164" s="595">
        <f>'[7]Прилож 4 23 (7)'!W158</f>
        <v>0</v>
      </c>
      <c r="H164" s="595">
        <v>1551.11</v>
      </c>
      <c r="I164" s="623"/>
      <c r="J164" s="595">
        <f>'[7]Прилож 4 23 (7)'!Z158</f>
        <v>0</v>
      </c>
      <c r="K164" s="595">
        <f>'[7]Прилож 4 23 (7)'!AA158</f>
        <v>0</v>
      </c>
      <c r="L164" s="595">
        <v>275.89</v>
      </c>
      <c r="M164" s="596">
        <f t="shared" si="38"/>
        <v>0</v>
      </c>
      <c r="N164" s="595"/>
      <c r="O164" s="595"/>
      <c r="P164" s="595"/>
      <c r="Q164" s="621"/>
      <c r="R164" s="595"/>
      <c r="S164" s="595"/>
      <c r="T164" s="595"/>
      <c r="U164" s="596">
        <f t="shared" si="53"/>
        <v>1827</v>
      </c>
      <c r="V164" s="595">
        <f t="shared" si="35"/>
        <v>0</v>
      </c>
      <c r="W164" s="595">
        <f t="shared" si="36"/>
        <v>0</v>
      </c>
      <c r="X164" s="595">
        <f t="shared" si="36"/>
        <v>1551.11</v>
      </c>
      <c r="Y164" s="628"/>
      <c r="Z164" s="595">
        <f t="shared" si="37"/>
        <v>0</v>
      </c>
      <c r="AA164" s="595">
        <f t="shared" si="37"/>
        <v>0</v>
      </c>
      <c r="AB164" s="595">
        <f t="shared" si="37"/>
        <v>275.89</v>
      </c>
    </row>
    <row r="165" spans="1:29" s="614" customFormat="1" x14ac:dyDescent="0.2">
      <c r="A165" s="630" t="s">
        <v>740</v>
      </c>
      <c r="B165" s="631"/>
      <c r="C165" s="624"/>
      <c r="D165" s="624"/>
      <c r="E165" s="596">
        <f>SUM(E163:E164)</f>
        <v>11827</v>
      </c>
      <c r="F165" s="596">
        <f t="shared" ref="F165:AB165" si="56">SUM(F163:F164)</f>
        <v>0</v>
      </c>
      <c r="G165" s="596">
        <f t="shared" si="56"/>
        <v>0</v>
      </c>
      <c r="H165" s="596">
        <f t="shared" si="56"/>
        <v>11551.11</v>
      </c>
      <c r="I165" s="626">
        <f t="shared" si="56"/>
        <v>0</v>
      </c>
      <c r="J165" s="596">
        <f t="shared" si="56"/>
        <v>0</v>
      </c>
      <c r="K165" s="596">
        <f t="shared" si="56"/>
        <v>0</v>
      </c>
      <c r="L165" s="596">
        <f t="shared" si="56"/>
        <v>275.89</v>
      </c>
      <c r="M165" s="596">
        <f t="shared" si="56"/>
        <v>0</v>
      </c>
      <c r="N165" s="596">
        <f t="shared" si="56"/>
        <v>0</v>
      </c>
      <c r="O165" s="596">
        <f t="shared" si="56"/>
        <v>0</v>
      </c>
      <c r="P165" s="596">
        <f t="shared" si="56"/>
        <v>0</v>
      </c>
      <c r="Q165" s="626"/>
      <c r="R165" s="596">
        <f t="shared" si="56"/>
        <v>0</v>
      </c>
      <c r="S165" s="596">
        <f t="shared" si="56"/>
        <v>0</v>
      </c>
      <c r="T165" s="596">
        <f t="shared" si="56"/>
        <v>0</v>
      </c>
      <c r="U165" s="596">
        <f t="shared" si="56"/>
        <v>11827</v>
      </c>
      <c r="V165" s="596">
        <f t="shared" si="56"/>
        <v>0</v>
      </c>
      <c r="W165" s="596">
        <f t="shared" si="56"/>
        <v>0</v>
      </c>
      <c r="X165" s="596">
        <f t="shared" si="56"/>
        <v>11551.11</v>
      </c>
      <c r="Y165" s="626"/>
      <c r="Z165" s="596">
        <f t="shared" si="56"/>
        <v>0</v>
      </c>
      <c r="AA165" s="596">
        <f t="shared" si="56"/>
        <v>0</v>
      </c>
      <c r="AB165" s="596">
        <f t="shared" si="56"/>
        <v>275.89</v>
      </c>
      <c r="AC165" s="627"/>
    </row>
    <row r="166" spans="1:29" x14ac:dyDescent="0.2">
      <c r="A166" s="618" t="s">
        <v>1227</v>
      </c>
      <c r="B166" s="619" t="s">
        <v>747</v>
      </c>
      <c r="C166" s="620">
        <v>244</v>
      </c>
      <c r="D166" s="620">
        <v>310</v>
      </c>
      <c r="E166" s="596">
        <f>L166+K166+J166+H166+G166+F166</f>
        <v>4025</v>
      </c>
      <c r="F166" s="595">
        <f>'[7]Прилож 4 23 (7)'!V160</f>
        <v>0</v>
      </c>
      <c r="G166" s="595">
        <f>'[7]Прилож 4 23 (7)'!W160</f>
        <v>0</v>
      </c>
      <c r="H166" s="595">
        <f>'[7]Прилож 4 23 (7)'!X160</f>
        <v>0</v>
      </c>
      <c r="I166" s="621" t="s">
        <v>1250</v>
      </c>
      <c r="J166" s="595">
        <f>'[7]Прилож 4 23 (7)'!Z160</f>
        <v>0</v>
      </c>
      <c r="K166" s="595">
        <v>4025</v>
      </c>
      <c r="L166" s="595">
        <f>'[7]Прилож 4 23 (7)'!AB160</f>
        <v>0</v>
      </c>
      <c r="M166" s="596">
        <f t="shared" si="38"/>
        <v>0</v>
      </c>
      <c r="N166" s="595"/>
      <c r="O166" s="595"/>
      <c r="P166" s="595"/>
      <c r="Q166" s="621"/>
      <c r="R166" s="595"/>
      <c r="S166" s="595"/>
      <c r="T166" s="595"/>
      <c r="U166" s="596">
        <f t="shared" si="53"/>
        <v>4025</v>
      </c>
      <c r="V166" s="595">
        <f t="shared" ref="V166:V199" si="57">F166+N166</f>
        <v>0</v>
      </c>
      <c r="W166" s="595">
        <f t="shared" ref="W166:X199" si="58">O166+G166</f>
        <v>0</v>
      </c>
      <c r="X166" s="595">
        <f t="shared" si="58"/>
        <v>0</v>
      </c>
      <c r="Y166" s="621" t="s">
        <v>1250</v>
      </c>
      <c r="Z166" s="595">
        <f t="shared" ref="Z166:AB199" si="59">R166+J166</f>
        <v>0</v>
      </c>
      <c r="AA166" s="595">
        <f t="shared" si="59"/>
        <v>4025</v>
      </c>
      <c r="AB166" s="595">
        <f t="shared" si="59"/>
        <v>0</v>
      </c>
    </row>
    <row r="167" spans="1:29" ht="47.25" x14ac:dyDescent="0.2">
      <c r="A167" s="618" t="s">
        <v>1228</v>
      </c>
      <c r="B167" s="619" t="s">
        <v>747</v>
      </c>
      <c r="C167" s="620">
        <v>244</v>
      </c>
      <c r="D167" s="620">
        <v>310</v>
      </c>
      <c r="E167" s="596">
        <f t="shared" si="52"/>
        <v>4638</v>
      </c>
      <c r="F167" s="595">
        <f>'[7]Прилож 4 23 (7)'!V161</f>
        <v>0</v>
      </c>
      <c r="G167" s="595">
        <f>'[7]Прилож 4 23 (7)'!W161</f>
        <v>0</v>
      </c>
      <c r="H167" s="595">
        <f>'[7]Прилож 4 23 (7)'!X161</f>
        <v>0</v>
      </c>
      <c r="I167" s="621" t="s">
        <v>1250</v>
      </c>
      <c r="J167" s="595">
        <f>'[7]Прилож 4 23 (7)'!Z161</f>
        <v>0</v>
      </c>
      <c r="K167" s="595">
        <v>4638</v>
      </c>
      <c r="L167" s="595">
        <f>'[7]Прилож 4 23 (7)'!AB161</f>
        <v>0</v>
      </c>
      <c r="M167" s="596">
        <f t="shared" si="38"/>
        <v>0</v>
      </c>
      <c r="N167" s="595"/>
      <c r="O167" s="595"/>
      <c r="P167" s="595"/>
      <c r="Q167" s="621"/>
      <c r="R167" s="595"/>
      <c r="S167" s="595"/>
      <c r="T167" s="595"/>
      <c r="U167" s="596">
        <f t="shared" si="53"/>
        <v>4638</v>
      </c>
      <c r="V167" s="595">
        <f t="shared" si="57"/>
        <v>0</v>
      </c>
      <c r="W167" s="595">
        <f t="shared" si="58"/>
        <v>0</v>
      </c>
      <c r="X167" s="595">
        <f t="shared" si="58"/>
        <v>0</v>
      </c>
      <c r="Y167" s="621" t="s">
        <v>1250</v>
      </c>
      <c r="Z167" s="595">
        <f t="shared" si="59"/>
        <v>0</v>
      </c>
      <c r="AA167" s="595">
        <f t="shared" si="59"/>
        <v>4638</v>
      </c>
      <c r="AB167" s="595">
        <f t="shared" si="59"/>
        <v>0</v>
      </c>
    </row>
    <row r="168" spans="1:29" ht="31.5" x14ac:dyDescent="0.2">
      <c r="A168" s="618" t="s">
        <v>1229</v>
      </c>
      <c r="B168" s="619" t="s">
        <v>747</v>
      </c>
      <c r="C168" s="620">
        <v>244</v>
      </c>
      <c r="D168" s="620">
        <v>310</v>
      </c>
      <c r="E168" s="596">
        <f t="shared" si="52"/>
        <v>93768</v>
      </c>
      <c r="F168" s="595"/>
      <c r="G168" s="595">
        <f>'[7]Прилож 4 23 (7)'!W162</f>
        <v>0</v>
      </c>
      <c r="H168" s="595">
        <f>'[7]Прилож 4 23 (7)'!X162</f>
        <v>0</v>
      </c>
      <c r="I168" s="621" t="s">
        <v>1250</v>
      </c>
      <c r="J168" s="595">
        <f>'[7]Прилож 4 23 (7)'!Z162</f>
        <v>0</v>
      </c>
      <c r="K168" s="595">
        <v>93768</v>
      </c>
      <c r="L168" s="595">
        <f>'[7]Прилож 4 23 (7)'!AB162</f>
        <v>0</v>
      </c>
      <c r="M168" s="596">
        <f t="shared" si="38"/>
        <v>0</v>
      </c>
      <c r="N168" s="595"/>
      <c r="O168" s="595"/>
      <c r="P168" s="595"/>
      <c r="Q168" s="621"/>
      <c r="R168" s="595"/>
      <c r="S168" s="595"/>
      <c r="T168" s="595"/>
      <c r="U168" s="596">
        <f t="shared" si="53"/>
        <v>93768</v>
      </c>
      <c r="V168" s="595">
        <f t="shared" si="57"/>
        <v>0</v>
      </c>
      <c r="W168" s="595"/>
      <c r="X168" s="595"/>
      <c r="Y168" s="621" t="s">
        <v>1250</v>
      </c>
      <c r="Z168" s="595"/>
      <c r="AA168" s="595">
        <f t="shared" si="59"/>
        <v>93768</v>
      </c>
      <c r="AB168" s="595"/>
    </row>
    <row r="169" spans="1:29" s="614" customFormat="1" ht="29.25" customHeight="1" x14ac:dyDescent="0.2">
      <c r="A169" s="630" t="s">
        <v>741</v>
      </c>
      <c r="B169" s="631"/>
      <c r="C169" s="624"/>
      <c r="D169" s="624"/>
      <c r="E169" s="596">
        <f>SUM(E166:E168)</f>
        <v>102431</v>
      </c>
      <c r="F169" s="596">
        <f t="shared" ref="F169:AB169" si="60">SUM(F166:F168)</f>
        <v>0</v>
      </c>
      <c r="G169" s="596">
        <f t="shared" si="60"/>
        <v>0</v>
      </c>
      <c r="H169" s="596">
        <f t="shared" si="60"/>
        <v>0</v>
      </c>
      <c r="I169" s="626">
        <f t="shared" si="60"/>
        <v>0</v>
      </c>
      <c r="J169" s="596">
        <f t="shared" si="60"/>
        <v>0</v>
      </c>
      <c r="K169" s="596">
        <f t="shared" si="60"/>
        <v>102431</v>
      </c>
      <c r="L169" s="596">
        <f t="shared" si="60"/>
        <v>0</v>
      </c>
      <c r="M169" s="596">
        <f t="shared" si="60"/>
        <v>0</v>
      </c>
      <c r="N169" s="596">
        <f t="shared" si="60"/>
        <v>0</v>
      </c>
      <c r="O169" s="596">
        <f t="shared" si="60"/>
        <v>0</v>
      </c>
      <c r="P169" s="596">
        <f t="shared" si="60"/>
        <v>0</v>
      </c>
      <c r="Q169" s="626"/>
      <c r="R169" s="596">
        <f t="shared" si="60"/>
        <v>0</v>
      </c>
      <c r="S169" s="596">
        <f t="shared" si="60"/>
        <v>0</v>
      </c>
      <c r="T169" s="596">
        <f t="shared" si="60"/>
        <v>0</v>
      </c>
      <c r="U169" s="596">
        <f t="shared" si="60"/>
        <v>102431</v>
      </c>
      <c r="V169" s="596">
        <f t="shared" si="60"/>
        <v>0</v>
      </c>
      <c r="W169" s="596">
        <f t="shared" si="60"/>
        <v>0</v>
      </c>
      <c r="X169" s="596">
        <f t="shared" si="60"/>
        <v>0</v>
      </c>
      <c r="Y169" s="626"/>
      <c r="Z169" s="596">
        <f t="shared" si="60"/>
        <v>0</v>
      </c>
      <c r="AA169" s="596">
        <f t="shared" si="60"/>
        <v>102431</v>
      </c>
      <c r="AB169" s="596">
        <f t="shared" si="60"/>
        <v>0</v>
      </c>
      <c r="AC169" s="627"/>
    </row>
    <row r="170" spans="1:29" x14ac:dyDescent="0.2">
      <c r="A170" s="618" t="s">
        <v>588</v>
      </c>
      <c r="B170" s="619" t="s">
        <v>747</v>
      </c>
      <c r="C170" s="620">
        <v>244</v>
      </c>
      <c r="D170" s="620">
        <v>341</v>
      </c>
      <c r="E170" s="596">
        <f t="shared" si="52"/>
        <v>14035</v>
      </c>
      <c r="F170" s="595">
        <f>'[7]Прилож 4 23 (7)'!V177</f>
        <v>0</v>
      </c>
      <c r="G170" s="595">
        <f>'[7]Прилож 4 23 (7)'!W177</f>
        <v>0</v>
      </c>
      <c r="H170" s="595"/>
      <c r="I170" s="623" t="s">
        <v>1250</v>
      </c>
      <c r="J170" s="595">
        <f>'[7]Прилож 4 23 (7)'!Z177</f>
        <v>0</v>
      </c>
      <c r="K170" s="595">
        <v>14035</v>
      </c>
      <c r="L170" s="595">
        <f>'[7]Прилож 4 23 (7)'!AB177</f>
        <v>0</v>
      </c>
      <c r="M170" s="596">
        <f t="shared" si="38"/>
        <v>0</v>
      </c>
      <c r="N170" s="595"/>
      <c r="O170" s="595"/>
      <c r="P170" s="595"/>
      <c r="Q170" s="621"/>
      <c r="R170" s="595"/>
      <c r="S170" s="595"/>
      <c r="T170" s="595"/>
      <c r="U170" s="596">
        <f t="shared" si="53"/>
        <v>14035</v>
      </c>
      <c r="V170" s="595">
        <f t="shared" si="57"/>
        <v>0</v>
      </c>
      <c r="W170" s="595">
        <f t="shared" si="58"/>
        <v>0</v>
      </c>
      <c r="X170" s="595">
        <f t="shared" si="58"/>
        <v>0</v>
      </c>
      <c r="Y170" s="621" t="s">
        <v>1250</v>
      </c>
      <c r="Z170" s="595">
        <f t="shared" si="59"/>
        <v>0</v>
      </c>
      <c r="AA170" s="595">
        <f t="shared" si="59"/>
        <v>14035</v>
      </c>
      <c r="AB170" s="595">
        <f t="shared" si="59"/>
        <v>0</v>
      </c>
    </row>
    <row r="171" spans="1:29" x14ac:dyDescent="0.2">
      <c r="A171" s="618" t="s">
        <v>588</v>
      </c>
      <c r="B171" s="619" t="s">
        <v>729</v>
      </c>
      <c r="C171" s="620">
        <v>244</v>
      </c>
      <c r="D171" s="620">
        <v>341</v>
      </c>
      <c r="E171" s="596">
        <f t="shared" si="52"/>
        <v>10000</v>
      </c>
      <c r="F171" s="595">
        <f>'[7]Прилож 4 23 (7)'!V178</f>
        <v>0</v>
      </c>
      <c r="G171" s="595">
        <f>'[7]Прилож 4 23 (7)'!W178</f>
        <v>0</v>
      </c>
      <c r="H171" s="595">
        <v>10000</v>
      </c>
      <c r="I171" s="623"/>
      <c r="J171" s="595">
        <f>'[7]Прилож 4 23 (7)'!Z178</f>
        <v>0</v>
      </c>
      <c r="K171" s="595">
        <f>'[7]Прилож 4 23 (7)'!AA178</f>
        <v>0</v>
      </c>
      <c r="L171" s="595">
        <f>'[7]Прилож 4 23 (7)'!AB178</f>
        <v>0</v>
      </c>
      <c r="M171" s="596">
        <f t="shared" ref="M171" si="61">N171+P171+R171+S171+T171+O171</f>
        <v>0</v>
      </c>
      <c r="N171" s="595"/>
      <c r="O171" s="595"/>
      <c r="P171" s="595"/>
      <c r="Q171" s="621"/>
      <c r="R171" s="595"/>
      <c r="S171" s="595"/>
      <c r="T171" s="595"/>
      <c r="U171" s="596">
        <f t="shared" si="53"/>
        <v>10000</v>
      </c>
      <c r="V171" s="595">
        <f t="shared" si="57"/>
        <v>0</v>
      </c>
      <c r="W171" s="595">
        <f t="shared" si="58"/>
        <v>0</v>
      </c>
      <c r="X171" s="595">
        <f t="shared" si="58"/>
        <v>10000</v>
      </c>
      <c r="Y171" s="628"/>
      <c r="Z171" s="595">
        <f t="shared" si="59"/>
        <v>0</v>
      </c>
      <c r="AA171" s="595">
        <f t="shared" si="59"/>
        <v>0</v>
      </c>
      <c r="AB171" s="595">
        <f t="shared" si="59"/>
        <v>0</v>
      </c>
    </row>
    <row r="172" spans="1:29" s="614" customFormat="1" ht="26.25" customHeight="1" x14ac:dyDescent="0.2">
      <c r="A172" s="630" t="s">
        <v>742</v>
      </c>
      <c r="B172" s="631"/>
      <c r="C172" s="624"/>
      <c r="D172" s="624"/>
      <c r="E172" s="596">
        <f>SUM(E170:E171)</f>
        <v>24035</v>
      </c>
      <c r="F172" s="596">
        <f t="shared" ref="F172:AB172" si="62">SUM(F170:F171)</f>
        <v>0</v>
      </c>
      <c r="G172" s="596">
        <f t="shared" si="62"/>
        <v>0</v>
      </c>
      <c r="H172" s="596">
        <f t="shared" si="62"/>
        <v>10000</v>
      </c>
      <c r="I172" s="626">
        <f t="shared" si="62"/>
        <v>0</v>
      </c>
      <c r="J172" s="596">
        <f t="shared" si="62"/>
        <v>0</v>
      </c>
      <c r="K172" s="596">
        <f t="shared" si="62"/>
        <v>14035</v>
      </c>
      <c r="L172" s="596">
        <f t="shared" si="62"/>
        <v>0</v>
      </c>
      <c r="M172" s="596">
        <f t="shared" si="62"/>
        <v>0</v>
      </c>
      <c r="N172" s="596">
        <f t="shared" si="62"/>
        <v>0</v>
      </c>
      <c r="O172" s="596">
        <f t="shared" si="62"/>
        <v>0</v>
      </c>
      <c r="P172" s="596">
        <f t="shared" si="62"/>
        <v>0</v>
      </c>
      <c r="Q172" s="626"/>
      <c r="R172" s="596">
        <f t="shared" si="62"/>
        <v>0</v>
      </c>
      <c r="S172" s="596">
        <f t="shared" si="62"/>
        <v>0</v>
      </c>
      <c r="T172" s="596">
        <f t="shared" si="62"/>
        <v>0</v>
      </c>
      <c r="U172" s="596">
        <f t="shared" si="62"/>
        <v>24035</v>
      </c>
      <c r="V172" s="596">
        <f t="shared" si="62"/>
        <v>0</v>
      </c>
      <c r="W172" s="596">
        <f t="shared" si="62"/>
        <v>0</v>
      </c>
      <c r="X172" s="596">
        <f t="shared" si="62"/>
        <v>10000</v>
      </c>
      <c r="Y172" s="626"/>
      <c r="Z172" s="596">
        <f t="shared" si="62"/>
        <v>0</v>
      </c>
      <c r="AA172" s="596">
        <f t="shared" si="62"/>
        <v>14035</v>
      </c>
      <c r="AB172" s="596">
        <f t="shared" si="62"/>
        <v>0</v>
      </c>
      <c r="AC172" s="627"/>
    </row>
    <row r="173" spans="1:29" ht="40.5" customHeight="1" x14ac:dyDescent="0.2">
      <c r="A173" s="618" t="s">
        <v>788</v>
      </c>
      <c r="B173" s="619" t="s">
        <v>747</v>
      </c>
      <c r="C173" s="620">
        <v>244</v>
      </c>
      <c r="D173" s="620">
        <v>342</v>
      </c>
      <c r="E173" s="596">
        <f>L173+K173+J173+H173+G173+F173</f>
        <v>2608650</v>
      </c>
      <c r="F173" s="595">
        <f>'[7]Прилож 4 23 (7)'!V180</f>
        <v>0</v>
      </c>
      <c r="G173" s="595">
        <f>'[7]Прилож 4 23 (7)'!W180</f>
        <v>0</v>
      </c>
      <c r="H173" s="595">
        <v>851020</v>
      </c>
      <c r="I173" s="623"/>
      <c r="J173" s="595">
        <f>'[7]Прилож 4 23 (7)'!Z180</f>
        <v>0</v>
      </c>
      <c r="K173" s="595">
        <f>'[7]Прилож 4 23 (7)'!AA180</f>
        <v>0</v>
      </c>
      <c r="L173" s="595">
        <v>1757630</v>
      </c>
      <c r="M173" s="596">
        <f t="shared" ref="M173:M199" si="63">N173+P173+R173+S173+T173+O173</f>
        <v>0</v>
      </c>
      <c r="N173" s="595"/>
      <c r="O173" s="595"/>
      <c r="P173" s="595"/>
      <c r="Q173" s="621"/>
      <c r="R173" s="595"/>
      <c r="S173" s="595"/>
      <c r="T173" s="595"/>
      <c r="U173" s="596">
        <f t="shared" si="53"/>
        <v>2608650</v>
      </c>
      <c r="V173" s="595">
        <f t="shared" si="57"/>
        <v>0</v>
      </c>
      <c r="W173" s="595">
        <f t="shared" si="58"/>
        <v>0</v>
      </c>
      <c r="X173" s="595">
        <f t="shared" si="58"/>
        <v>851020</v>
      </c>
      <c r="Y173" s="628"/>
      <c r="Z173" s="595">
        <f t="shared" si="59"/>
        <v>0</v>
      </c>
      <c r="AA173" s="595">
        <f t="shared" si="59"/>
        <v>0</v>
      </c>
      <c r="AB173" s="595">
        <f t="shared" si="59"/>
        <v>1757630</v>
      </c>
    </row>
    <row r="174" spans="1:29" s="614" customFormat="1" ht="26.25" customHeight="1" x14ac:dyDescent="0.2">
      <c r="A174" s="630" t="s">
        <v>786</v>
      </c>
      <c r="B174" s="631"/>
      <c r="C174" s="624"/>
      <c r="D174" s="624"/>
      <c r="E174" s="596">
        <f>SUM(E173)</f>
        <v>2608650</v>
      </c>
      <c r="F174" s="596">
        <f t="shared" ref="F174:AB174" si="64">SUM(F173)</f>
        <v>0</v>
      </c>
      <c r="G174" s="596">
        <f t="shared" si="64"/>
        <v>0</v>
      </c>
      <c r="H174" s="596">
        <f t="shared" si="64"/>
        <v>851020</v>
      </c>
      <c r="I174" s="626">
        <f t="shared" si="64"/>
        <v>0</v>
      </c>
      <c r="J174" s="596">
        <f t="shared" si="64"/>
        <v>0</v>
      </c>
      <c r="K174" s="596">
        <f t="shared" si="64"/>
        <v>0</v>
      </c>
      <c r="L174" s="596">
        <f t="shared" si="64"/>
        <v>1757630</v>
      </c>
      <c r="M174" s="596">
        <f t="shared" si="64"/>
        <v>0</v>
      </c>
      <c r="N174" s="596">
        <f t="shared" si="64"/>
        <v>0</v>
      </c>
      <c r="O174" s="596">
        <f t="shared" si="64"/>
        <v>0</v>
      </c>
      <c r="P174" s="596">
        <f t="shared" si="64"/>
        <v>0</v>
      </c>
      <c r="Q174" s="626"/>
      <c r="R174" s="596">
        <f t="shared" si="64"/>
        <v>0</v>
      </c>
      <c r="S174" s="596">
        <f t="shared" si="64"/>
        <v>0</v>
      </c>
      <c r="T174" s="596">
        <f t="shared" si="64"/>
        <v>0</v>
      </c>
      <c r="U174" s="596">
        <f t="shared" si="64"/>
        <v>2608650</v>
      </c>
      <c r="V174" s="596">
        <f t="shared" si="64"/>
        <v>0</v>
      </c>
      <c r="W174" s="596">
        <f t="shared" si="64"/>
        <v>0</v>
      </c>
      <c r="X174" s="596">
        <f t="shared" si="64"/>
        <v>851020</v>
      </c>
      <c r="Y174" s="626">
        <f t="shared" si="64"/>
        <v>0</v>
      </c>
      <c r="Z174" s="596">
        <f t="shared" si="64"/>
        <v>0</v>
      </c>
      <c r="AA174" s="596">
        <f t="shared" si="64"/>
        <v>0</v>
      </c>
      <c r="AB174" s="596">
        <f t="shared" si="64"/>
        <v>1757630</v>
      </c>
      <c r="AC174" s="627"/>
    </row>
    <row r="175" spans="1:29" ht="47.25" x14ac:dyDescent="0.2">
      <c r="A175" s="618" t="s">
        <v>793</v>
      </c>
      <c r="B175" s="619" t="s">
        <v>791</v>
      </c>
      <c r="C175" s="620">
        <v>244</v>
      </c>
      <c r="D175" s="620">
        <v>342</v>
      </c>
      <c r="E175" s="596">
        <f t="shared" si="52"/>
        <v>0</v>
      </c>
      <c r="F175" s="595">
        <f>'[7]Прилож 4 23 (7)'!V182</f>
        <v>0</v>
      </c>
      <c r="G175" s="595">
        <f>'[7]Прилож 4 23 (7)'!W182</f>
        <v>0</v>
      </c>
      <c r="H175" s="595">
        <f>'[7]Прилож 4 23 (7)'!X182</f>
        <v>0</v>
      </c>
      <c r="I175" s="623"/>
      <c r="J175" s="595">
        <f>'[7]Прилож 4 23 (7)'!Z182</f>
        <v>0</v>
      </c>
      <c r="K175" s="595">
        <f>'[7]Прилож 4 23 (7)'!AA182</f>
        <v>0</v>
      </c>
      <c r="L175" s="595">
        <f>'[7]Прилож 4 23 (7)'!AB182</f>
        <v>0</v>
      </c>
      <c r="M175" s="596">
        <f t="shared" si="63"/>
        <v>0</v>
      </c>
      <c r="N175" s="595"/>
      <c r="O175" s="595"/>
      <c r="P175" s="595"/>
      <c r="Q175" s="621"/>
      <c r="R175" s="595"/>
      <c r="S175" s="595"/>
      <c r="T175" s="595"/>
      <c r="U175" s="596">
        <f t="shared" si="53"/>
        <v>0</v>
      </c>
      <c r="V175" s="595">
        <f t="shared" si="57"/>
        <v>0</v>
      </c>
      <c r="W175" s="595">
        <f t="shared" si="58"/>
        <v>0</v>
      </c>
      <c r="X175" s="595">
        <f t="shared" si="58"/>
        <v>0</v>
      </c>
      <c r="Y175" s="628"/>
      <c r="Z175" s="595">
        <f t="shared" si="59"/>
        <v>0</v>
      </c>
      <c r="AA175" s="595">
        <f t="shared" si="59"/>
        <v>0</v>
      </c>
      <c r="AB175" s="595">
        <f t="shared" si="59"/>
        <v>0</v>
      </c>
    </row>
    <row r="176" spans="1:29" s="614" customFormat="1" x14ac:dyDescent="0.2">
      <c r="A176" s="630" t="s">
        <v>786</v>
      </c>
      <c r="B176" s="631"/>
      <c r="C176" s="624"/>
      <c r="D176" s="624"/>
      <c r="E176" s="596">
        <f t="shared" si="52"/>
        <v>0</v>
      </c>
      <c r="F176" s="595">
        <f>'[7]Прилож 4 23 (7)'!V183</f>
        <v>0</v>
      </c>
      <c r="G176" s="595">
        <f>'[7]Прилож 4 23 (7)'!W183</f>
        <v>0</v>
      </c>
      <c r="H176" s="595">
        <f>'[7]Прилож 4 23 (7)'!X183</f>
        <v>0</v>
      </c>
      <c r="I176" s="626">
        <f t="shared" ref="I176:Y176" si="65">I175</f>
        <v>0</v>
      </c>
      <c r="J176" s="595">
        <f>'[7]Прилож 4 23 (7)'!Z183</f>
        <v>0</v>
      </c>
      <c r="K176" s="595">
        <f>'[7]Прилож 4 23 (7)'!AA183</f>
        <v>0</v>
      </c>
      <c r="L176" s="595">
        <f>'[7]Прилож 4 23 (7)'!AB183</f>
        <v>0</v>
      </c>
      <c r="M176" s="596">
        <f t="shared" si="65"/>
        <v>0</v>
      </c>
      <c r="N176" s="596">
        <f t="shared" si="65"/>
        <v>0</v>
      </c>
      <c r="O176" s="596">
        <f t="shared" si="65"/>
        <v>0</v>
      </c>
      <c r="P176" s="596">
        <f t="shared" si="65"/>
        <v>0</v>
      </c>
      <c r="Q176" s="626"/>
      <c r="R176" s="596">
        <f t="shared" si="65"/>
        <v>0</v>
      </c>
      <c r="S176" s="596">
        <f t="shared" si="65"/>
        <v>0</v>
      </c>
      <c r="T176" s="596">
        <f t="shared" si="65"/>
        <v>0</v>
      </c>
      <c r="U176" s="596">
        <f t="shared" si="53"/>
        <v>0</v>
      </c>
      <c r="V176" s="596">
        <f t="shared" si="57"/>
        <v>0</v>
      </c>
      <c r="W176" s="596">
        <f t="shared" si="58"/>
        <v>0</v>
      </c>
      <c r="X176" s="596">
        <f t="shared" si="58"/>
        <v>0</v>
      </c>
      <c r="Y176" s="626">
        <f t="shared" si="65"/>
        <v>0</v>
      </c>
      <c r="Z176" s="596">
        <f t="shared" si="59"/>
        <v>0</v>
      </c>
      <c r="AA176" s="596">
        <f t="shared" si="59"/>
        <v>0</v>
      </c>
      <c r="AB176" s="596">
        <f t="shared" si="59"/>
        <v>0</v>
      </c>
      <c r="AC176" s="627"/>
    </row>
    <row r="177" spans="1:29" x14ac:dyDescent="0.2">
      <c r="A177" s="618" t="s">
        <v>621</v>
      </c>
      <c r="B177" s="619" t="s">
        <v>747</v>
      </c>
      <c r="C177" s="620">
        <v>244</v>
      </c>
      <c r="D177" s="620">
        <v>343</v>
      </c>
      <c r="E177" s="596">
        <f t="shared" si="52"/>
        <v>1000</v>
      </c>
      <c r="F177" s="595">
        <f>'[7]Прилож 4 23 (7)'!V184</f>
        <v>0</v>
      </c>
      <c r="G177" s="595">
        <f>'[7]Прилож 4 23 (7)'!W184</f>
        <v>0</v>
      </c>
      <c r="H177" s="595">
        <v>1000</v>
      </c>
      <c r="I177" s="623"/>
      <c r="J177" s="595">
        <f>'[7]Прилож 4 23 (7)'!Z184</f>
        <v>0</v>
      </c>
      <c r="K177" s="595">
        <f>'[7]Прилож 4 23 (7)'!AA184</f>
        <v>0</v>
      </c>
      <c r="L177" s="595">
        <f>'[7]Прилож 4 23 (7)'!AB184</f>
        <v>0</v>
      </c>
      <c r="M177" s="596">
        <f t="shared" ref="M177" si="66">N177+P177+R177+S177+T177+O177</f>
        <v>0</v>
      </c>
      <c r="N177" s="595"/>
      <c r="O177" s="595"/>
      <c r="P177" s="595"/>
      <c r="Q177" s="621"/>
      <c r="R177" s="595"/>
      <c r="S177" s="595"/>
      <c r="T177" s="595"/>
      <c r="U177" s="596">
        <f t="shared" si="53"/>
        <v>1000</v>
      </c>
      <c r="V177" s="595">
        <f t="shared" si="57"/>
        <v>0</v>
      </c>
      <c r="W177" s="595">
        <f t="shared" si="58"/>
        <v>0</v>
      </c>
      <c r="X177" s="595">
        <f t="shared" si="58"/>
        <v>1000</v>
      </c>
      <c r="Y177" s="628"/>
      <c r="Z177" s="595">
        <f t="shared" si="59"/>
        <v>0</v>
      </c>
      <c r="AA177" s="595">
        <f t="shared" si="59"/>
        <v>0</v>
      </c>
      <c r="AB177" s="595">
        <f t="shared" si="59"/>
        <v>0</v>
      </c>
    </row>
    <row r="178" spans="1:29" x14ac:dyDescent="0.2">
      <c r="A178" s="618" t="s">
        <v>1145</v>
      </c>
      <c r="B178" s="619" t="s">
        <v>729</v>
      </c>
      <c r="C178" s="620">
        <v>244</v>
      </c>
      <c r="D178" s="620">
        <v>343</v>
      </c>
      <c r="E178" s="596">
        <f t="shared" si="52"/>
        <v>10000</v>
      </c>
      <c r="F178" s="595"/>
      <c r="G178" s="595"/>
      <c r="H178" s="595">
        <v>10000</v>
      </c>
      <c r="I178" s="623"/>
      <c r="J178" s="595">
        <f>'[7]Прилож 4 23 (7)'!Z185</f>
        <v>0</v>
      </c>
      <c r="K178" s="595">
        <f>'[7]Прилож 4 23 (7)'!AA185</f>
        <v>0</v>
      </c>
      <c r="L178" s="595">
        <f>'[7]Прилож 4 23 (7)'!AB185</f>
        <v>0</v>
      </c>
      <c r="M178" s="596">
        <f t="shared" si="63"/>
        <v>0</v>
      </c>
      <c r="N178" s="595"/>
      <c r="O178" s="595"/>
      <c r="P178" s="595"/>
      <c r="Q178" s="621"/>
      <c r="R178" s="595"/>
      <c r="S178" s="595"/>
      <c r="T178" s="595"/>
      <c r="U178" s="596">
        <f t="shared" si="53"/>
        <v>10000</v>
      </c>
      <c r="V178" s="595">
        <f t="shared" si="57"/>
        <v>0</v>
      </c>
      <c r="W178" s="595">
        <f t="shared" si="58"/>
        <v>0</v>
      </c>
      <c r="X178" s="595">
        <f t="shared" si="58"/>
        <v>10000</v>
      </c>
      <c r="Y178" s="628"/>
      <c r="Z178" s="595">
        <f t="shared" si="59"/>
        <v>0</v>
      </c>
      <c r="AA178" s="595">
        <f t="shared" si="59"/>
        <v>0</v>
      </c>
      <c r="AB178" s="595">
        <f t="shared" si="59"/>
        <v>0</v>
      </c>
    </row>
    <row r="179" spans="1:29" s="614" customFormat="1" x14ac:dyDescent="0.2">
      <c r="A179" s="630" t="s">
        <v>879</v>
      </c>
      <c r="B179" s="631"/>
      <c r="C179" s="624"/>
      <c r="D179" s="624"/>
      <c r="E179" s="596">
        <f>SUM(E177:E178)</f>
        <v>11000</v>
      </c>
      <c r="F179" s="596">
        <f t="shared" ref="F179:AB179" si="67">SUM(F177:F178)</f>
        <v>0</v>
      </c>
      <c r="G179" s="596">
        <f t="shared" si="67"/>
        <v>0</v>
      </c>
      <c r="H179" s="596">
        <f t="shared" si="67"/>
        <v>11000</v>
      </c>
      <c r="I179" s="626">
        <f t="shared" si="67"/>
        <v>0</v>
      </c>
      <c r="J179" s="596">
        <f t="shared" si="67"/>
        <v>0</v>
      </c>
      <c r="K179" s="596">
        <f t="shared" si="67"/>
        <v>0</v>
      </c>
      <c r="L179" s="596">
        <f t="shared" si="67"/>
        <v>0</v>
      </c>
      <c r="M179" s="596">
        <f t="shared" si="67"/>
        <v>0</v>
      </c>
      <c r="N179" s="596">
        <f t="shared" si="67"/>
        <v>0</v>
      </c>
      <c r="O179" s="596">
        <f t="shared" si="67"/>
        <v>0</v>
      </c>
      <c r="P179" s="596">
        <f t="shared" si="67"/>
        <v>0</v>
      </c>
      <c r="Q179" s="626"/>
      <c r="R179" s="596">
        <f t="shared" si="67"/>
        <v>0</v>
      </c>
      <c r="S179" s="596">
        <f t="shared" si="67"/>
        <v>0</v>
      </c>
      <c r="T179" s="596">
        <f t="shared" si="67"/>
        <v>0</v>
      </c>
      <c r="U179" s="596">
        <f t="shared" si="67"/>
        <v>11000</v>
      </c>
      <c r="V179" s="596">
        <f t="shared" si="67"/>
        <v>0</v>
      </c>
      <c r="W179" s="596">
        <f t="shared" si="67"/>
        <v>0</v>
      </c>
      <c r="X179" s="596">
        <f t="shared" si="67"/>
        <v>11000</v>
      </c>
      <c r="Y179" s="626">
        <f t="shared" si="67"/>
        <v>0</v>
      </c>
      <c r="Z179" s="596">
        <f t="shared" si="67"/>
        <v>0</v>
      </c>
      <c r="AA179" s="596">
        <f t="shared" si="67"/>
        <v>0</v>
      </c>
      <c r="AB179" s="596">
        <f t="shared" si="67"/>
        <v>0</v>
      </c>
      <c r="AC179" s="627"/>
    </row>
    <row r="180" spans="1:29" s="614" customFormat="1" x14ac:dyDescent="0.2">
      <c r="A180" s="618" t="s">
        <v>941</v>
      </c>
      <c r="B180" s="619" t="s">
        <v>729</v>
      </c>
      <c r="C180" s="620">
        <v>244</v>
      </c>
      <c r="D180" s="620">
        <v>344</v>
      </c>
      <c r="E180" s="596">
        <f t="shared" si="52"/>
        <v>20000</v>
      </c>
      <c r="F180" s="595">
        <f>'[7]Прилож 4 23 (7)'!V187</f>
        <v>0</v>
      </c>
      <c r="G180" s="595">
        <f>'[7]Прилож 4 23 (7)'!W187</f>
        <v>0</v>
      </c>
      <c r="H180" s="595">
        <f>'[7]Прилож 4 23 (7)'!X187</f>
        <v>20000</v>
      </c>
      <c r="I180" s="628"/>
      <c r="J180" s="595">
        <f>'[7]Прилож 4 23 (7)'!Z187</f>
        <v>0</v>
      </c>
      <c r="K180" s="595">
        <f>'[7]Прилож 4 23 (7)'!AA187</f>
        <v>0</v>
      </c>
      <c r="L180" s="595"/>
      <c r="M180" s="596">
        <f t="shared" si="63"/>
        <v>0</v>
      </c>
      <c r="N180" s="596"/>
      <c r="O180" s="596"/>
      <c r="P180" s="595"/>
      <c r="Q180" s="628"/>
      <c r="R180" s="596"/>
      <c r="S180" s="596"/>
      <c r="T180" s="595"/>
      <c r="U180" s="596">
        <f t="shared" si="53"/>
        <v>20000</v>
      </c>
      <c r="V180" s="595">
        <f t="shared" si="57"/>
        <v>0</v>
      </c>
      <c r="W180" s="595">
        <f t="shared" si="58"/>
        <v>0</v>
      </c>
      <c r="X180" s="595">
        <f t="shared" si="58"/>
        <v>20000</v>
      </c>
      <c r="Y180" s="628"/>
      <c r="Z180" s="595">
        <f t="shared" si="59"/>
        <v>0</v>
      </c>
      <c r="AA180" s="595">
        <f t="shared" si="59"/>
        <v>0</v>
      </c>
      <c r="AB180" s="595">
        <f t="shared" si="59"/>
        <v>0</v>
      </c>
      <c r="AC180" s="622"/>
    </row>
    <row r="181" spans="1:29" s="614" customFormat="1" x14ac:dyDescent="0.2">
      <c r="A181" s="630" t="s">
        <v>942</v>
      </c>
      <c r="B181" s="631"/>
      <c r="C181" s="624"/>
      <c r="D181" s="624"/>
      <c r="E181" s="596">
        <f>SUM(E180)</f>
        <v>20000</v>
      </c>
      <c r="F181" s="596">
        <f t="shared" ref="F181:AB181" si="68">SUM(F180)</f>
        <v>0</v>
      </c>
      <c r="G181" s="596">
        <f t="shared" si="68"/>
        <v>0</v>
      </c>
      <c r="H181" s="596">
        <f t="shared" si="68"/>
        <v>20000</v>
      </c>
      <c r="I181" s="626">
        <f t="shared" si="68"/>
        <v>0</v>
      </c>
      <c r="J181" s="596">
        <f t="shared" si="68"/>
        <v>0</v>
      </c>
      <c r="K181" s="596">
        <f t="shared" si="68"/>
        <v>0</v>
      </c>
      <c r="L181" s="596">
        <f t="shared" si="68"/>
        <v>0</v>
      </c>
      <c r="M181" s="596">
        <f t="shared" si="68"/>
        <v>0</v>
      </c>
      <c r="N181" s="596">
        <f t="shared" si="68"/>
        <v>0</v>
      </c>
      <c r="O181" s="596">
        <f t="shared" si="68"/>
        <v>0</v>
      </c>
      <c r="P181" s="596">
        <f t="shared" si="68"/>
        <v>0</v>
      </c>
      <c r="Q181" s="626"/>
      <c r="R181" s="596">
        <f t="shared" si="68"/>
        <v>0</v>
      </c>
      <c r="S181" s="596">
        <f t="shared" si="68"/>
        <v>0</v>
      </c>
      <c r="T181" s="596">
        <f t="shared" si="68"/>
        <v>0</v>
      </c>
      <c r="U181" s="596">
        <f t="shared" si="68"/>
        <v>20000</v>
      </c>
      <c r="V181" s="596">
        <f t="shared" si="68"/>
        <v>0</v>
      </c>
      <c r="W181" s="596">
        <f t="shared" si="68"/>
        <v>0</v>
      </c>
      <c r="X181" s="596">
        <f t="shared" si="68"/>
        <v>20000</v>
      </c>
      <c r="Y181" s="626">
        <f t="shared" si="68"/>
        <v>0</v>
      </c>
      <c r="Z181" s="596">
        <f t="shared" si="68"/>
        <v>0</v>
      </c>
      <c r="AA181" s="596">
        <f t="shared" si="68"/>
        <v>0</v>
      </c>
      <c r="AB181" s="596">
        <f t="shared" si="68"/>
        <v>0</v>
      </c>
      <c r="AC181" s="627"/>
    </row>
    <row r="182" spans="1:29" x14ac:dyDescent="0.2">
      <c r="A182" s="618" t="s">
        <v>169</v>
      </c>
      <c r="B182" s="619" t="s">
        <v>747</v>
      </c>
      <c r="C182" s="620">
        <v>244</v>
      </c>
      <c r="D182" s="620">
        <v>345</v>
      </c>
      <c r="E182" s="596">
        <f t="shared" si="52"/>
        <v>0</v>
      </c>
      <c r="F182" s="595">
        <f>'[7]Прилож 4 23 (7)'!V189</f>
        <v>0</v>
      </c>
      <c r="G182" s="595">
        <f>'[7]Прилож 4 23 (7)'!W189</f>
        <v>0</v>
      </c>
      <c r="H182" s="595">
        <v>0</v>
      </c>
      <c r="I182" s="623"/>
      <c r="J182" s="595">
        <f>'[7]Прилож 4 23 (7)'!Z189</f>
        <v>0</v>
      </c>
      <c r="K182" s="595">
        <f>'[7]Прилож 4 23 (7)'!AA189</f>
        <v>0</v>
      </c>
      <c r="L182" s="595">
        <f>'[7]Прилож 4 23 (7)'!AB189</f>
        <v>0</v>
      </c>
      <c r="M182" s="596">
        <f t="shared" si="63"/>
        <v>0</v>
      </c>
      <c r="N182" s="595"/>
      <c r="O182" s="595"/>
      <c r="P182" s="595"/>
      <c r="Q182" s="621"/>
      <c r="R182" s="595"/>
      <c r="S182" s="595"/>
      <c r="T182" s="595"/>
      <c r="U182" s="596">
        <f t="shared" si="53"/>
        <v>0</v>
      </c>
      <c r="V182" s="595">
        <f t="shared" si="57"/>
        <v>0</v>
      </c>
      <c r="W182" s="595">
        <f t="shared" si="58"/>
        <v>0</v>
      </c>
      <c r="X182" s="595">
        <f t="shared" si="58"/>
        <v>0</v>
      </c>
      <c r="Y182" s="628"/>
      <c r="Z182" s="595">
        <f t="shared" si="59"/>
        <v>0</v>
      </c>
      <c r="AA182" s="595">
        <f t="shared" si="59"/>
        <v>0</v>
      </c>
      <c r="AB182" s="595">
        <f t="shared" si="59"/>
        <v>0</v>
      </c>
    </row>
    <row r="183" spans="1:29" s="614" customFormat="1" ht="30" customHeight="1" x14ac:dyDescent="0.2">
      <c r="A183" s="630" t="s">
        <v>743</v>
      </c>
      <c r="B183" s="631"/>
      <c r="C183" s="624"/>
      <c r="D183" s="624"/>
      <c r="E183" s="596">
        <f>SUM(E182)</f>
        <v>0</v>
      </c>
      <c r="F183" s="596">
        <f t="shared" ref="F183:AB183" si="69">SUM(F182)</f>
        <v>0</v>
      </c>
      <c r="G183" s="596">
        <f t="shared" si="69"/>
        <v>0</v>
      </c>
      <c r="H183" s="596">
        <f t="shared" si="69"/>
        <v>0</v>
      </c>
      <c r="I183" s="626">
        <f t="shared" si="69"/>
        <v>0</v>
      </c>
      <c r="J183" s="596">
        <f t="shared" si="69"/>
        <v>0</v>
      </c>
      <c r="K183" s="596">
        <f t="shared" si="69"/>
        <v>0</v>
      </c>
      <c r="L183" s="596">
        <f t="shared" si="69"/>
        <v>0</v>
      </c>
      <c r="M183" s="596">
        <f t="shared" si="69"/>
        <v>0</v>
      </c>
      <c r="N183" s="596">
        <f t="shared" si="69"/>
        <v>0</v>
      </c>
      <c r="O183" s="596">
        <f t="shared" si="69"/>
        <v>0</v>
      </c>
      <c r="P183" s="596">
        <f t="shared" si="69"/>
        <v>0</v>
      </c>
      <c r="Q183" s="626"/>
      <c r="R183" s="596">
        <f t="shared" si="69"/>
        <v>0</v>
      </c>
      <c r="S183" s="596">
        <f t="shared" si="69"/>
        <v>0</v>
      </c>
      <c r="T183" s="596">
        <f t="shared" si="69"/>
        <v>0</v>
      </c>
      <c r="U183" s="596">
        <f t="shared" si="69"/>
        <v>0</v>
      </c>
      <c r="V183" s="596">
        <f t="shared" si="69"/>
        <v>0</v>
      </c>
      <c r="W183" s="596">
        <f t="shared" si="69"/>
        <v>0</v>
      </c>
      <c r="X183" s="596">
        <f t="shared" si="69"/>
        <v>0</v>
      </c>
      <c r="Y183" s="626">
        <f t="shared" si="69"/>
        <v>0</v>
      </c>
      <c r="Z183" s="596">
        <f t="shared" si="69"/>
        <v>0</v>
      </c>
      <c r="AA183" s="596">
        <f t="shared" si="69"/>
        <v>0</v>
      </c>
      <c r="AB183" s="596">
        <f t="shared" si="69"/>
        <v>0</v>
      </c>
      <c r="AC183" s="627"/>
    </row>
    <row r="184" spans="1:29" ht="42.75" customHeight="1" x14ac:dyDescent="0.2">
      <c r="A184" s="618" t="s">
        <v>67</v>
      </c>
      <c r="B184" s="619" t="s">
        <v>747</v>
      </c>
      <c r="C184" s="620">
        <v>244</v>
      </c>
      <c r="D184" s="620">
        <v>346</v>
      </c>
      <c r="E184" s="596">
        <f t="shared" si="52"/>
        <v>14163.81</v>
      </c>
      <c r="F184" s="595">
        <f>'[7]Прилож 4 23 (7)'!V191</f>
        <v>0</v>
      </c>
      <c r="G184" s="595">
        <f>'[7]Прилож 4 23 (7)'!W191</f>
        <v>0</v>
      </c>
      <c r="H184" s="595">
        <v>14163.81</v>
      </c>
      <c r="I184" s="623"/>
      <c r="J184" s="595">
        <f>'[7]Прилож 4 23 (7)'!Z191</f>
        <v>0</v>
      </c>
      <c r="K184" s="595">
        <f>'[7]Прилож 4 23 (7)'!AA191</f>
        <v>0</v>
      </c>
      <c r="L184" s="595">
        <f>'[7]Прилож 4 23 (7)'!AB191</f>
        <v>0</v>
      </c>
      <c r="M184" s="596">
        <f t="shared" si="63"/>
        <v>0</v>
      </c>
      <c r="N184" s="595"/>
      <c r="O184" s="595"/>
      <c r="P184" s="595"/>
      <c r="Q184" s="621"/>
      <c r="R184" s="595"/>
      <c r="S184" s="595"/>
      <c r="T184" s="595"/>
      <c r="U184" s="596">
        <f t="shared" si="53"/>
        <v>14163.81</v>
      </c>
      <c r="V184" s="595">
        <f t="shared" si="57"/>
        <v>0</v>
      </c>
      <c r="W184" s="595">
        <f t="shared" si="58"/>
        <v>0</v>
      </c>
      <c r="X184" s="595">
        <f t="shared" si="58"/>
        <v>14163.81</v>
      </c>
      <c r="Y184" s="621"/>
      <c r="Z184" s="595">
        <f t="shared" si="59"/>
        <v>0</v>
      </c>
      <c r="AA184" s="595">
        <f t="shared" si="59"/>
        <v>0</v>
      </c>
      <c r="AB184" s="595">
        <f t="shared" si="59"/>
        <v>0</v>
      </c>
    </row>
    <row r="185" spans="1:29" s="637" customFormat="1" ht="19.5" customHeight="1" x14ac:dyDescent="0.2">
      <c r="A185" s="632" t="s">
        <v>1143</v>
      </c>
      <c r="B185" s="633" t="s">
        <v>747</v>
      </c>
      <c r="C185" s="634">
        <v>244</v>
      </c>
      <c r="D185" s="634">
        <v>346</v>
      </c>
      <c r="E185" s="597">
        <f>SUM(E184:E184)</f>
        <v>14163.81</v>
      </c>
      <c r="F185" s="597">
        <f>SUM(F184:F184)</f>
        <v>0</v>
      </c>
      <c r="G185" s="597">
        <f>SUM(G184:G184)</f>
        <v>0</v>
      </c>
      <c r="H185" s="597">
        <f>SUM(H184:H184)</f>
        <v>14163.81</v>
      </c>
      <c r="I185" s="635"/>
      <c r="J185" s="597">
        <f t="shared" ref="J185:P185" si="70">SUM(J184:J184)</f>
        <v>0</v>
      </c>
      <c r="K185" s="597">
        <f t="shared" si="70"/>
        <v>0</v>
      </c>
      <c r="L185" s="597">
        <f t="shared" si="70"/>
        <v>0</v>
      </c>
      <c r="M185" s="597">
        <f t="shared" si="70"/>
        <v>0</v>
      </c>
      <c r="N185" s="597">
        <f t="shared" si="70"/>
        <v>0</v>
      </c>
      <c r="O185" s="597">
        <f t="shared" si="70"/>
        <v>0</v>
      </c>
      <c r="P185" s="597">
        <f t="shared" si="70"/>
        <v>0</v>
      </c>
      <c r="Q185" s="635"/>
      <c r="R185" s="597">
        <f t="shared" ref="R185:AB185" si="71">SUM(R184:R184)</f>
        <v>0</v>
      </c>
      <c r="S185" s="597">
        <f t="shared" si="71"/>
        <v>0</v>
      </c>
      <c r="T185" s="597">
        <f t="shared" si="71"/>
        <v>0</v>
      </c>
      <c r="U185" s="597">
        <f t="shared" si="71"/>
        <v>14163.81</v>
      </c>
      <c r="V185" s="597">
        <f t="shared" si="71"/>
        <v>0</v>
      </c>
      <c r="W185" s="597">
        <f t="shared" si="71"/>
        <v>0</v>
      </c>
      <c r="X185" s="597">
        <f t="shared" si="71"/>
        <v>14163.81</v>
      </c>
      <c r="Y185" s="635">
        <f t="shared" si="71"/>
        <v>0</v>
      </c>
      <c r="Z185" s="597">
        <f t="shared" si="71"/>
        <v>0</v>
      </c>
      <c r="AA185" s="597">
        <f t="shared" si="71"/>
        <v>0</v>
      </c>
      <c r="AB185" s="597">
        <f t="shared" si="71"/>
        <v>0</v>
      </c>
      <c r="AC185" s="636"/>
    </row>
    <row r="186" spans="1:29" ht="46.5" customHeight="1" x14ac:dyDescent="0.2">
      <c r="A186" s="618" t="s">
        <v>618</v>
      </c>
      <c r="B186" s="619" t="s">
        <v>729</v>
      </c>
      <c r="C186" s="620">
        <v>244</v>
      </c>
      <c r="D186" s="620">
        <v>346</v>
      </c>
      <c r="E186" s="596">
        <f t="shared" si="52"/>
        <v>121955.3</v>
      </c>
      <c r="F186" s="595">
        <f>'[7]Прилож 4 23 (7)'!V201</f>
        <v>0</v>
      </c>
      <c r="G186" s="595">
        <f>'[7]Прилож 4 23 (7)'!W201</f>
        <v>0</v>
      </c>
      <c r="H186" s="595">
        <v>121955.3</v>
      </c>
      <c r="I186" s="623"/>
      <c r="J186" s="595">
        <f>'[7]Прилож 4 23 (7)'!Z201</f>
        <v>0</v>
      </c>
      <c r="K186" s="595">
        <f>'[7]Прилож 4 23 (7)'!AA201</f>
        <v>0</v>
      </c>
      <c r="L186" s="595">
        <f>'[7]Прилож 4 23 (7)'!AB201</f>
        <v>0</v>
      </c>
      <c r="M186" s="596">
        <f t="shared" si="63"/>
        <v>0</v>
      </c>
      <c r="N186" s="595"/>
      <c r="O186" s="595"/>
      <c r="P186" s="595"/>
      <c r="Q186" s="621"/>
      <c r="R186" s="595"/>
      <c r="S186" s="595"/>
      <c r="T186" s="595"/>
      <c r="U186" s="596">
        <f t="shared" si="53"/>
        <v>121955.3</v>
      </c>
      <c r="V186" s="595">
        <f t="shared" si="57"/>
        <v>0</v>
      </c>
      <c r="W186" s="595">
        <f t="shared" si="58"/>
        <v>0</v>
      </c>
      <c r="X186" s="595">
        <f t="shared" si="58"/>
        <v>121955.3</v>
      </c>
      <c r="Y186" s="621"/>
      <c r="Z186" s="595">
        <f t="shared" si="59"/>
        <v>0</v>
      </c>
      <c r="AA186" s="595">
        <f t="shared" si="59"/>
        <v>0</v>
      </c>
      <c r="AB186" s="595">
        <f t="shared" si="59"/>
        <v>0</v>
      </c>
    </row>
    <row r="187" spans="1:29" ht="26.25" customHeight="1" x14ac:dyDescent="0.2">
      <c r="A187" s="618" t="s">
        <v>617</v>
      </c>
      <c r="B187" s="619" t="s">
        <v>729</v>
      </c>
      <c r="C187" s="620">
        <v>244</v>
      </c>
      <c r="D187" s="620">
        <v>346</v>
      </c>
      <c r="E187" s="596">
        <f t="shared" si="52"/>
        <v>10000</v>
      </c>
      <c r="F187" s="595">
        <f>'[7]Прилож 4 23 (7)'!V202</f>
        <v>0</v>
      </c>
      <c r="G187" s="595">
        <f>'[7]Прилож 4 23 (7)'!W202</f>
        <v>0</v>
      </c>
      <c r="H187" s="595">
        <f>'[7]Прилож 4 23 (7)'!X202</f>
        <v>10000</v>
      </c>
      <c r="I187" s="623"/>
      <c r="J187" s="595">
        <f>'[7]Прилож 4 23 (7)'!Z202</f>
        <v>0</v>
      </c>
      <c r="K187" s="595">
        <f>'[7]Прилож 4 23 (7)'!AA202</f>
        <v>0</v>
      </c>
      <c r="L187" s="595">
        <f>'[7]Прилож 4 23 (7)'!AB202</f>
        <v>0</v>
      </c>
      <c r="M187" s="596">
        <f t="shared" si="63"/>
        <v>0</v>
      </c>
      <c r="N187" s="595"/>
      <c r="O187" s="595"/>
      <c r="P187" s="595"/>
      <c r="Q187" s="621"/>
      <c r="R187" s="595"/>
      <c r="S187" s="595"/>
      <c r="T187" s="595"/>
      <c r="U187" s="596">
        <f t="shared" si="53"/>
        <v>10000</v>
      </c>
      <c r="V187" s="595">
        <f t="shared" si="57"/>
        <v>0</v>
      </c>
      <c r="W187" s="595">
        <f t="shared" si="58"/>
        <v>0</v>
      </c>
      <c r="X187" s="595">
        <f t="shared" si="58"/>
        <v>10000</v>
      </c>
      <c r="Y187" s="621"/>
      <c r="Z187" s="595">
        <f t="shared" si="59"/>
        <v>0</v>
      </c>
      <c r="AA187" s="595">
        <f t="shared" si="59"/>
        <v>0</v>
      </c>
      <c r="AB187" s="595">
        <f t="shared" si="59"/>
        <v>0</v>
      </c>
    </row>
    <row r="188" spans="1:29" s="637" customFormat="1" ht="26.25" customHeight="1" x14ac:dyDescent="0.2">
      <c r="A188" s="632" t="s">
        <v>1143</v>
      </c>
      <c r="B188" s="633"/>
      <c r="C188" s="634"/>
      <c r="D188" s="634"/>
      <c r="E188" s="597">
        <f>SUM(E186:E187)</f>
        <v>131955.29999999999</v>
      </c>
      <c r="F188" s="597">
        <f t="shared" ref="F188:AB188" si="72">SUM(F186:F187)</f>
        <v>0</v>
      </c>
      <c r="G188" s="597">
        <f t="shared" si="72"/>
        <v>0</v>
      </c>
      <c r="H188" s="597">
        <f t="shared" si="72"/>
        <v>131955.29999999999</v>
      </c>
      <c r="I188" s="635"/>
      <c r="J188" s="597">
        <f t="shared" si="72"/>
        <v>0</v>
      </c>
      <c r="K188" s="597">
        <f t="shared" si="72"/>
        <v>0</v>
      </c>
      <c r="L188" s="597">
        <f t="shared" si="72"/>
        <v>0</v>
      </c>
      <c r="M188" s="597">
        <f t="shared" si="72"/>
        <v>0</v>
      </c>
      <c r="N188" s="597">
        <f t="shared" si="72"/>
        <v>0</v>
      </c>
      <c r="O188" s="597">
        <f t="shared" si="72"/>
        <v>0</v>
      </c>
      <c r="P188" s="597">
        <f t="shared" si="72"/>
        <v>0</v>
      </c>
      <c r="Q188" s="635"/>
      <c r="R188" s="597">
        <f t="shared" si="72"/>
        <v>0</v>
      </c>
      <c r="S188" s="597">
        <f t="shared" si="72"/>
        <v>0</v>
      </c>
      <c r="T188" s="597">
        <f t="shared" si="72"/>
        <v>0</v>
      </c>
      <c r="U188" s="597">
        <f t="shared" si="72"/>
        <v>131955.29999999999</v>
      </c>
      <c r="V188" s="597">
        <f t="shared" si="72"/>
        <v>0</v>
      </c>
      <c r="W188" s="597">
        <f t="shared" si="72"/>
        <v>0</v>
      </c>
      <c r="X188" s="597">
        <f t="shared" si="72"/>
        <v>131955.29999999999</v>
      </c>
      <c r="Y188" s="635">
        <f t="shared" si="72"/>
        <v>0</v>
      </c>
      <c r="Z188" s="597">
        <f t="shared" si="72"/>
        <v>0</v>
      </c>
      <c r="AA188" s="597">
        <f t="shared" si="72"/>
        <v>0</v>
      </c>
      <c r="AB188" s="597">
        <f t="shared" si="72"/>
        <v>0</v>
      </c>
      <c r="AC188" s="636"/>
    </row>
    <row r="189" spans="1:29" ht="22.5" customHeight="1" x14ac:dyDescent="0.2">
      <c r="A189" s="618" t="s">
        <v>67</v>
      </c>
      <c r="B189" s="619" t="s">
        <v>64</v>
      </c>
      <c r="C189" s="620">
        <v>244</v>
      </c>
      <c r="D189" s="620">
        <v>346</v>
      </c>
      <c r="E189" s="596">
        <f t="shared" si="52"/>
        <v>3200</v>
      </c>
      <c r="F189" s="595">
        <f>'[7]Прилож 4 23 (7)'!V205</f>
        <v>0</v>
      </c>
      <c r="G189" s="595"/>
      <c r="H189" s="595">
        <f>'[7]Прилож 4 23 (7)'!X205</f>
        <v>0</v>
      </c>
      <c r="I189" s="623" t="s">
        <v>1235</v>
      </c>
      <c r="J189" s="595">
        <f>'[7]Прилож 4 23 (7)'!Z205</f>
        <v>0</v>
      </c>
      <c r="K189" s="595">
        <f>'[7]Прилож 4 23 (7)'!AA205</f>
        <v>3200</v>
      </c>
      <c r="L189" s="595">
        <f>'[7]Прилож 4 23 (7)'!AB205</f>
        <v>0</v>
      </c>
      <c r="M189" s="596">
        <f t="shared" si="63"/>
        <v>0</v>
      </c>
      <c r="N189" s="595"/>
      <c r="O189" s="595"/>
      <c r="P189" s="595"/>
      <c r="Q189" s="621"/>
      <c r="R189" s="595"/>
      <c r="S189" s="595"/>
      <c r="T189" s="595"/>
      <c r="U189" s="596">
        <f t="shared" si="53"/>
        <v>3200</v>
      </c>
      <c r="V189" s="595">
        <f t="shared" si="57"/>
        <v>0</v>
      </c>
      <c r="W189" s="595">
        <f t="shared" si="58"/>
        <v>0</v>
      </c>
      <c r="X189" s="595">
        <f t="shared" si="58"/>
        <v>0</v>
      </c>
      <c r="Y189" s="621" t="s">
        <v>1235</v>
      </c>
      <c r="Z189" s="595">
        <f t="shared" si="59"/>
        <v>0</v>
      </c>
      <c r="AA189" s="595">
        <f t="shared" si="59"/>
        <v>3200</v>
      </c>
      <c r="AB189" s="595">
        <f t="shared" si="59"/>
        <v>0</v>
      </c>
    </row>
    <row r="190" spans="1:29" ht="55.5" customHeight="1" x14ac:dyDescent="0.2">
      <c r="A190" s="618" t="s">
        <v>710</v>
      </c>
      <c r="B190" s="619" t="s">
        <v>691</v>
      </c>
      <c r="C190" s="620">
        <v>244</v>
      </c>
      <c r="D190" s="620">
        <v>346</v>
      </c>
      <c r="E190" s="596">
        <f t="shared" si="52"/>
        <v>5670</v>
      </c>
      <c r="F190" s="595"/>
      <c r="G190" s="595">
        <f>'[7]Прилож 4 23 (7)'!W206</f>
        <v>0</v>
      </c>
      <c r="H190" s="595">
        <v>4813.78</v>
      </c>
      <c r="I190" s="623"/>
      <c r="J190" s="595">
        <f>'[7]Прилож 4 23 (7)'!Z206</f>
        <v>0</v>
      </c>
      <c r="K190" s="595">
        <f>'[7]Прилож 4 23 (7)'!AA206</f>
        <v>0</v>
      </c>
      <c r="L190" s="595">
        <v>856.22</v>
      </c>
      <c r="M190" s="596">
        <f t="shared" si="63"/>
        <v>0</v>
      </c>
      <c r="N190" s="595"/>
      <c r="O190" s="595"/>
      <c r="P190" s="595"/>
      <c r="Q190" s="621"/>
      <c r="R190" s="595"/>
      <c r="S190" s="595"/>
      <c r="T190" s="595"/>
      <c r="U190" s="596">
        <f t="shared" si="53"/>
        <v>5670</v>
      </c>
      <c r="V190" s="595">
        <f t="shared" si="57"/>
        <v>0</v>
      </c>
      <c r="W190" s="595">
        <f t="shared" si="58"/>
        <v>0</v>
      </c>
      <c r="X190" s="595">
        <f t="shared" si="58"/>
        <v>4813.78</v>
      </c>
      <c r="Y190" s="621"/>
      <c r="Z190" s="595">
        <f t="shared" si="59"/>
        <v>0</v>
      </c>
      <c r="AA190" s="595">
        <f t="shared" si="59"/>
        <v>0</v>
      </c>
      <c r="AB190" s="595">
        <f t="shared" si="59"/>
        <v>856.22</v>
      </c>
    </row>
    <row r="191" spans="1:29" ht="68.25" customHeight="1" x14ac:dyDescent="0.2">
      <c r="A191" s="618" t="s">
        <v>709</v>
      </c>
      <c r="B191" s="619" t="s">
        <v>691</v>
      </c>
      <c r="C191" s="620">
        <v>244</v>
      </c>
      <c r="D191" s="620">
        <v>346</v>
      </c>
      <c r="E191" s="596">
        <f t="shared" si="52"/>
        <v>4410</v>
      </c>
      <c r="F191" s="595">
        <f>'[7]Прилож 4 23 (7)'!V207</f>
        <v>0</v>
      </c>
      <c r="G191" s="595">
        <f>'[7]Прилож 4 23 (7)'!W207</f>
        <v>0</v>
      </c>
      <c r="H191" s="595">
        <v>3744.05</v>
      </c>
      <c r="I191" s="623"/>
      <c r="J191" s="595">
        <f>'[7]Прилож 4 23 (7)'!Z207</f>
        <v>0</v>
      </c>
      <c r="K191" s="595">
        <f>'[7]Прилож 4 23 (7)'!AA207</f>
        <v>0</v>
      </c>
      <c r="L191" s="595">
        <v>665.95</v>
      </c>
      <c r="M191" s="596">
        <f t="shared" si="63"/>
        <v>0</v>
      </c>
      <c r="N191" s="595"/>
      <c r="O191" s="595"/>
      <c r="P191" s="595"/>
      <c r="Q191" s="621"/>
      <c r="R191" s="595"/>
      <c r="S191" s="595"/>
      <c r="T191" s="595"/>
      <c r="U191" s="596">
        <f t="shared" si="53"/>
        <v>4410</v>
      </c>
      <c r="V191" s="595">
        <f t="shared" si="57"/>
        <v>0</v>
      </c>
      <c r="W191" s="595">
        <f t="shared" si="58"/>
        <v>0</v>
      </c>
      <c r="X191" s="595">
        <f t="shared" si="58"/>
        <v>3744.05</v>
      </c>
      <c r="Y191" s="621"/>
      <c r="Z191" s="595">
        <f t="shared" si="59"/>
        <v>0</v>
      </c>
      <c r="AA191" s="595">
        <f t="shared" si="59"/>
        <v>0</v>
      </c>
      <c r="AB191" s="595">
        <f t="shared" si="59"/>
        <v>665.95</v>
      </c>
    </row>
    <row r="192" spans="1:29" s="637" customFormat="1" ht="25.5" customHeight="1" x14ac:dyDescent="0.2">
      <c r="A192" s="632" t="s">
        <v>1143</v>
      </c>
      <c r="B192" s="633" t="s">
        <v>691</v>
      </c>
      <c r="C192" s="634">
        <v>244</v>
      </c>
      <c r="D192" s="634">
        <v>346</v>
      </c>
      <c r="E192" s="597">
        <f>SUM(E190:E191)</f>
        <v>10080</v>
      </c>
      <c r="F192" s="597">
        <f t="shared" ref="F192:AB192" si="73">SUM(F190:F191)</f>
        <v>0</v>
      </c>
      <c r="G192" s="597">
        <f t="shared" si="73"/>
        <v>0</v>
      </c>
      <c r="H192" s="597">
        <f t="shared" si="73"/>
        <v>8557.83</v>
      </c>
      <c r="I192" s="635"/>
      <c r="J192" s="597">
        <f t="shared" si="73"/>
        <v>0</v>
      </c>
      <c r="K192" s="597">
        <f t="shared" si="73"/>
        <v>0</v>
      </c>
      <c r="L192" s="597">
        <f t="shared" si="73"/>
        <v>1522.17</v>
      </c>
      <c r="M192" s="597">
        <f t="shared" si="73"/>
        <v>0</v>
      </c>
      <c r="N192" s="597">
        <f t="shared" si="73"/>
        <v>0</v>
      </c>
      <c r="O192" s="597">
        <f t="shared" si="73"/>
        <v>0</v>
      </c>
      <c r="P192" s="597">
        <f t="shared" si="73"/>
        <v>0</v>
      </c>
      <c r="Q192" s="635"/>
      <c r="R192" s="597">
        <f t="shared" si="73"/>
        <v>0</v>
      </c>
      <c r="S192" s="597">
        <f t="shared" si="73"/>
        <v>0</v>
      </c>
      <c r="T192" s="597">
        <f t="shared" si="73"/>
        <v>0</v>
      </c>
      <c r="U192" s="597">
        <f t="shared" si="73"/>
        <v>10080</v>
      </c>
      <c r="V192" s="597">
        <f t="shared" si="73"/>
        <v>0</v>
      </c>
      <c r="W192" s="597">
        <f t="shared" si="73"/>
        <v>0</v>
      </c>
      <c r="X192" s="597">
        <f t="shared" si="73"/>
        <v>8557.83</v>
      </c>
      <c r="Y192" s="635"/>
      <c r="Z192" s="597">
        <f t="shared" si="73"/>
        <v>0</v>
      </c>
      <c r="AA192" s="597">
        <f t="shared" si="73"/>
        <v>0</v>
      </c>
      <c r="AB192" s="597">
        <f t="shared" si="73"/>
        <v>1522.17</v>
      </c>
      <c r="AC192" s="636"/>
    </row>
    <row r="193" spans="1:29" s="614" customFormat="1" ht="27.75" customHeight="1" x14ac:dyDescent="0.2">
      <c r="A193" s="630" t="s">
        <v>744</v>
      </c>
      <c r="B193" s="631"/>
      <c r="C193" s="624"/>
      <c r="D193" s="624"/>
      <c r="E193" s="596">
        <f>E192+E189+E188+E185</f>
        <v>159399.10999999999</v>
      </c>
      <c r="F193" s="596">
        <f t="shared" ref="F193:AB193" si="74">F192+F189+F188+F185</f>
        <v>0</v>
      </c>
      <c r="G193" s="596">
        <f t="shared" si="74"/>
        <v>0</v>
      </c>
      <c r="H193" s="596">
        <f t="shared" si="74"/>
        <v>154676.93999999997</v>
      </c>
      <c r="I193" s="626"/>
      <c r="J193" s="596">
        <f t="shared" si="74"/>
        <v>0</v>
      </c>
      <c r="K193" s="596">
        <f t="shared" si="74"/>
        <v>3200</v>
      </c>
      <c r="L193" s="596">
        <f t="shared" si="74"/>
        <v>1522.17</v>
      </c>
      <c r="M193" s="596">
        <f t="shared" si="74"/>
        <v>0</v>
      </c>
      <c r="N193" s="596">
        <f t="shared" si="74"/>
        <v>0</v>
      </c>
      <c r="O193" s="596">
        <f t="shared" si="74"/>
        <v>0</v>
      </c>
      <c r="P193" s="596">
        <f t="shared" si="74"/>
        <v>0</v>
      </c>
      <c r="Q193" s="626"/>
      <c r="R193" s="596">
        <f t="shared" si="74"/>
        <v>0</v>
      </c>
      <c r="S193" s="596">
        <f t="shared" si="74"/>
        <v>0</v>
      </c>
      <c r="T193" s="596">
        <f t="shared" si="74"/>
        <v>0</v>
      </c>
      <c r="U193" s="596">
        <f t="shared" si="74"/>
        <v>159399.10999999999</v>
      </c>
      <c r="V193" s="596">
        <f t="shared" si="74"/>
        <v>0</v>
      </c>
      <c r="W193" s="596">
        <f t="shared" si="74"/>
        <v>0</v>
      </c>
      <c r="X193" s="596">
        <f t="shared" si="74"/>
        <v>154676.93999999997</v>
      </c>
      <c r="Y193" s="626"/>
      <c r="Z193" s="596">
        <f t="shared" si="74"/>
        <v>0</v>
      </c>
      <c r="AA193" s="596">
        <f t="shared" si="74"/>
        <v>3200</v>
      </c>
      <c r="AB193" s="596">
        <f t="shared" si="74"/>
        <v>1522.17</v>
      </c>
      <c r="AC193" s="627"/>
    </row>
    <row r="194" spans="1:29" ht="46.5" customHeight="1" x14ac:dyDescent="0.2">
      <c r="A194" s="618" t="s">
        <v>948</v>
      </c>
      <c r="B194" s="619" t="s">
        <v>729</v>
      </c>
      <c r="C194" s="620">
        <v>244</v>
      </c>
      <c r="D194" s="620">
        <v>349</v>
      </c>
      <c r="E194" s="596">
        <f t="shared" si="52"/>
        <v>0</v>
      </c>
      <c r="F194" s="595"/>
      <c r="G194" s="595">
        <f>'[7]Прилож 4 23 (7)'!W209</f>
        <v>0</v>
      </c>
      <c r="H194" s="595">
        <f>'[7]Прилож 4 23 (7)'!X209</f>
        <v>0</v>
      </c>
      <c r="I194" s="626"/>
      <c r="J194" s="595">
        <f>'[7]Прилож 4 23 (7)'!Z209</f>
        <v>0</v>
      </c>
      <c r="K194" s="595">
        <f>'[7]Прилож 4 23 (7)'!AA209</f>
        <v>0</v>
      </c>
      <c r="L194" s="595">
        <f>'[7]Прилож 4 23 (7)'!AB209</f>
        <v>0</v>
      </c>
      <c r="M194" s="596">
        <f t="shared" si="63"/>
        <v>0</v>
      </c>
      <c r="N194" s="595"/>
      <c r="O194" s="596"/>
      <c r="P194" s="596"/>
      <c r="Q194" s="626"/>
      <c r="R194" s="596"/>
      <c r="S194" s="596"/>
      <c r="T194" s="595"/>
      <c r="U194" s="596">
        <f t="shared" si="53"/>
        <v>0</v>
      </c>
      <c r="V194" s="595">
        <f t="shared" si="57"/>
        <v>0</v>
      </c>
      <c r="W194" s="595">
        <f t="shared" si="58"/>
        <v>0</v>
      </c>
      <c r="X194" s="595">
        <f t="shared" si="58"/>
        <v>0</v>
      </c>
      <c r="Y194" s="626"/>
      <c r="Z194" s="595">
        <f t="shared" si="59"/>
        <v>0</v>
      </c>
      <c r="AA194" s="595">
        <f t="shared" si="59"/>
        <v>0</v>
      </c>
      <c r="AB194" s="595">
        <f t="shared" si="59"/>
        <v>0</v>
      </c>
    </row>
    <row r="195" spans="1:29" s="614" customFormat="1" ht="27.75" customHeight="1" x14ac:dyDescent="0.2">
      <c r="A195" s="630" t="s">
        <v>949</v>
      </c>
      <c r="B195" s="631"/>
      <c r="C195" s="624"/>
      <c r="D195" s="624"/>
      <c r="E195" s="596"/>
      <c r="F195" s="595"/>
      <c r="G195" s="595">
        <f>'[7]Прилож 4 23 (7)'!W210</f>
        <v>0</v>
      </c>
      <c r="H195" s="595">
        <f>'[7]Прилож 4 23 (7)'!X210</f>
        <v>0</v>
      </c>
      <c r="I195" s="626"/>
      <c r="J195" s="595">
        <f>'[7]Прилож 4 23 (7)'!Z210</f>
        <v>0</v>
      </c>
      <c r="K195" s="595">
        <f>'[7]Прилож 4 23 (7)'!AA210</f>
        <v>0</v>
      </c>
      <c r="L195" s="595">
        <f>'[7]Прилож 4 23 (7)'!AB210</f>
        <v>0</v>
      </c>
      <c r="M195" s="596">
        <f>N195+P195+R195+S195+T195+O195</f>
        <v>0</v>
      </c>
      <c r="N195" s="596">
        <f>N194</f>
        <v>0</v>
      </c>
      <c r="O195" s="596"/>
      <c r="P195" s="596"/>
      <c r="Q195" s="626"/>
      <c r="R195" s="596"/>
      <c r="S195" s="596"/>
      <c r="T195" s="596"/>
      <c r="U195" s="596">
        <f t="shared" si="53"/>
        <v>0</v>
      </c>
      <c r="V195" s="596">
        <f t="shared" si="57"/>
        <v>0</v>
      </c>
      <c r="W195" s="596">
        <f t="shared" si="58"/>
        <v>0</v>
      </c>
      <c r="X195" s="596">
        <f t="shared" si="58"/>
        <v>0</v>
      </c>
      <c r="Y195" s="626"/>
      <c r="Z195" s="596">
        <f t="shared" si="59"/>
        <v>0</v>
      </c>
      <c r="AA195" s="596">
        <f t="shared" si="59"/>
        <v>0</v>
      </c>
      <c r="AB195" s="596">
        <f t="shared" si="59"/>
        <v>0</v>
      </c>
      <c r="AC195" s="627"/>
    </row>
    <row r="196" spans="1:29" s="614" customFormat="1" x14ac:dyDescent="0.2">
      <c r="A196" s="624" t="s">
        <v>745</v>
      </c>
      <c r="B196" s="631"/>
      <c r="C196" s="624"/>
      <c r="D196" s="624"/>
      <c r="E196" s="596">
        <f>E195+E193+E183+E181+E179+E176+E174+E172+E169+E165+E162+E136+E90+E73+E52+E43+E37+E35+E32+E92</f>
        <v>21024014.010000002</v>
      </c>
      <c r="F196" s="596">
        <f>F195+F193+F183+F181+F179+F176+F174+F172+F169+F165+F162+F136+F90+F73+F52+F43+F37+F35+F32+F92</f>
        <v>0</v>
      </c>
      <c r="G196" s="596">
        <f>G195+G193+G183+G181+G179+G176+G174+G172+G169+G165+G162+G136+G90+G73+G52+G43+G37+G35+G32+G92</f>
        <v>0</v>
      </c>
      <c r="H196" s="596">
        <f>H195+H193+H183+H181+H179+H176+H174+H172+H169+H165+H162+H136+H90+H73+H52+H43+H37+H35+H32+H92</f>
        <v>11205022.930000002</v>
      </c>
      <c r="I196" s="626"/>
      <c r="J196" s="596">
        <f t="shared" ref="J196:P196" si="75">J195+J193+J183+J181+J179+J176+J174+J172+J169+J165+J162+J136+J90+J73+J52+J43+J37+J35+J32+J92</f>
        <v>0</v>
      </c>
      <c r="K196" s="596">
        <f t="shared" si="75"/>
        <v>7981281.0800000001</v>
      </c>
      <c r="L196" s="596">
        <f t="shared" si="75"/>
        <v>1837709.9999999995</v>
      </c>
      <c r="M196" s="596">
        <f t="shared" si="75"/>
        <v>0</v>
      </c>
      <c r="N196" s="596">
        <f t="shared" si="75"/>
        <v>0</v>
      </c>
      <c r="O196" s="596">
        <f t="shared" si="75"/>
        <v>0</v>
      </c>
      <c r="P196" s="596">
        <f t="shared" si="75"/>
        <v>0</v>
      </c>
      <c r="Q196" s="626"/>
      <c r="R196" s="596">
        <f t="shared" ref="R196:AB196" si="76">R195+R193+R183+R181+R179+R176+R174+R172+R169+R165+R162+R136+R90+R73+R52+R43+R37+R35+R32+R92</f>
        <v>0</v>
      </c>
      <c r="S196" s="596">
        <f t="shared" si="76"/>
        <v>0</v>
      </c>
      <c r="T196" s="596">
        <f t="shared" si="76"/>
        <v>0</v>
      </c>
      <c r="U196" s="596">
        <f t="shared" si="76"/>
        <v>21024014.010000002</v>
      </c>
      <c r="V196" s="596">
        <f t="shared" si="76"/>
        <v>0</v>
      </c>
      <c r="W196" s="596">
        <f t="shared" si="76"/>
        <v>0</v>
      </c>
      <c r="X196" s="596">
        <f t="shared" si="76"/>
        <v>11205022.930000002</v>
      </c>
      <c r="Y196" s="626">
        <f t="shared" si="76"/>
        <v>0</v>
      </c>
      <c r="Z196" s="596">
        <f t="shared" si="76"/>
        <v>0</v>
      </c>
      <c r="AA196" s="596">
        <f t="shared" si="76"/>
        <v>7981281.0800000001</v>
      </c>
      <c r="AB196" s="596">
        <f t="shared" si="76"/>
        <v>1837709.9999999995</v>
      </c>
      <c r="AC196" s="627"/>
    </row>
    <row r="197" spans="1:29" ht="25.5" customHeight="1" x14ac:dyDescent="0.2">
      <c r="A197" s="618" t="s">
        <v>946</v>
      </c>
      <c r="B197" s="619"/>
      <c r="C197" s="620"/>
      <c r="D197" s="620">
        <v>189</v>
      </c>
      <c r="E197" s="596">
        <f t="shared" si="52"/>
        <v>-12500</v>
      </c>
      <c r="F197" s="595">
        <f>'[7]Прилож 4 23 (7)'!V212</f>
        <v>0</v>
      </c>
      <c r="G197" s="595">
        <f>'[7]Прилож 4 23 (7)'!W212</f>
        <v>0</v>
      </c>
      <c r="H197" s="595">
        <f>'[7]Прилож 4 23 (7)'!X212</f>
        <v>0</v>
      </c>
      <c r="I197" s="621"/>
      <c r="J197" s="595">
        <f>'[7]Прилож 4 23 (7)'!Z212</f>
        <v>0</v>
      </c>
      <c r="K197" s="595">
        <f>'[7]Прилож 4 23 (7)'!AA212</f>
        <v>0</v>
      </c>
      <c r="L197" s="595">
        <v>-12500</v>
      </c>
      <c r="M197" s="596">
        <f t="shared" si="63"/>
        <v>0</v>
      </c>
      <c r="N197" s="595"/>
      <c r="O197" s="595"/>
      <c r="P197" s="595"/>
      <c r="Q197" s="621"/>
      <c r="R197" s="595"/>
      <c r="S197" s="595"/>
      <c r="T197" s="595"/>
      <c r="U197" s="596">
        <f t="shared" si="53"/>
        <v>-12500</v>
      </c>
      <c r="V197" s="595">
        <f t="shared" si="57"/>
        <v>0</v>
      </c>
      <c r="W197" s="595">
        <f t="shared" si="58"/>
        <v>0</v>
      </c>
      <c r="X197" s="595">
        <f t="shared" si="58"/>
        <v>0</v>
      </c>
      <c r="Y197" s="621"/>
      <c r="Z197" s="595">
        <f t="shared" si="59"/>
        <v>0</v>
      </c>
      <c r="AA197" s="595">
        <f t="shared" si="59"/>
        <v>0</v>
      </c>
      <c r="AB197" s="595">
        <f>T197+L197</f>
        <v>-12500</v>
      </c>
    </row>
    <row r="198" spans="1:29" s="614" customFormat="1" ht="31.5" x14ac:dyDescent="0.2">
      <c r="A198" s="630" t="s">
        <v>746</v>
      </c>
      <c r="B198" s="624"/>
      <c r="C198" s="624"/>
      <c r="D198" s="624"/>
      <c r="E198" s="596">
        <f t="shared" si="52"/>
        <v>-12500</v>
      </c>
      <c r="F198" s="595">
        <f>'[7]Прилож 4 23 (7)'!V213</f>
        <v>0</v>
      </c>
      <c r="G198" s="595">
        <f>'[7]Прилож 4 23 (7)'!W213</f>
        <v>0</v>
      </c>
      <c r="H198" s="595">
        <f>'[7]Прилож 4 23 (7)'!X213</f>
        <v>0</v>
      </c>
      <c r="I198" s="626"/>
      <c r="J198" s="595">
        <f>'[7]Прилож 4 23 (7)'!Z213</f>
        <v>0</v>
      </c>
      <c r="K198" s="595">
        <f>'[7]Прилож 4 23 (7)'!AA213</f>
        <v>0</v>
      </c>
      <c r="L198" s="595">
        <v>-12500</v>
      </c>
      <c r="M198" s="596">
        <f t="shared" si="63"/>
        <v>0</v>
      </c>
      <c r="N198" s="596">
        <f t="shared" ref="N198:Y199" si="77">N197</f>
        <v>0</v>
      </c>
      <c r="O198" s="596">
        <f t="shared" si="77"/>
        <v>0</v>
      </c>
      <c r="P198" s="596">
        <f t="shared" si="77"/>
        <v>0</v>
      </c>
      <c r="Q198" s="626"/>
      <c r="R198" s="596">
        <f t="shared" si="77"/>
        <v>0</v>
      </c>
      <c r="S198" s="596">
        <f t="shared" si="77"/>
        <v>0</v>
      </c>
      <c r="T198" s="596">
        <f t="shared" si="77"/>
        <v>0</v>
      </c>
      <c r="U198" s="596">
        <f t="shared" si="53"/>
        <v>-12500</v>
      </c>
      <c r="V198" s="595">
        <f t="shared" si="57"/>
        <v>0</v>
      </c>
      <c r="W198" s="595">
        <f t="shared" si="58"/>
        <v>0</v>
      </c>
      <c r="X198" s="595">
        <f t="shared" si="58"/>
        <v>0</v>
      </c>
      <c r="Y198" s="626">
        <f t="shared" si="77"/>
        <v>0</v>
      </c>
      <c r="Z198" s="595">
        <f t="shared" si="59"/>
        <v>0</v>
      </c>
      <c r="AA198" s="595">
        <f t="shared" si="59"/>
        <v>0</v>
      </c>
      <c r="AB198" s="595">
        <f>T198+L198</f>
        <v>-12500</v>
      </c>
      <c r="AC198" s="622"/>
    </row>
    <row r="199" spans="1:29" s="614" customFormat="1" ht="31.5" x14ac:dyDescent="0.2">
      <c r="A199" s="630" t="s">
        <v>950</v>
      </c>
      <c r="B199" s="624"/>
      <c r="C199" s="624"/>
      <c r="D199" s="624"/>
      <c r="E199" s="596">
        <f>L199+K199+J199+H199+G199+F199</f>
        <v>0</v>
      </c>
      <c r="F199" s="595">
        <f>'[7]Прилож 4 23 (7)'!V214</f>
        <v>0</v>
      </c>
      <c r="G199" s="595">
        <f>'[7]Прилож 4 23 (7)'!W214</f>
        <v>0</v>
      </c>
      <c r="H199" s="595"/>
      <c r="I199" s="626"/>
      <c r="J199" s="595">
        <f>'[7]Прилож 4 23 (7)'!Z214</f>
        <v>0</v>
      </c>
      <c r="K199" s="595">
        <f>'[7]Прилож 4 23 (7)'!AA214</f>
        <v>0</v>
      </c>
      <c r="L199" s="595">
        <f>'[7]Прилож 4 23 (7)'!AB214</f>
        <v>0</v>
      </c>
      <c r="M199" s="596">
        <f t="shared" si="63"/>
        <v>0</v>
      </c>
      <c r="N199" s="596">
        <f t="shared" si="77"/>
        <v>0</v>
      </c>
      <c r="O199" s="596">
        <f t="shared" si="77"/>
        <v>0</v>
      </c>
      <c r="P199" s="596"/>
      <c r="Q199" s="626"/>
      <c r="R199" s="596">
        <f t="shared" si="77"/>
        <v>0</v>
      </c>
      <c r="S199" s="596">
        <f t="shared" si="77"/>
        <v>0</v>
      </c>
      <c r="T199" s="596"/>
      <c r="U199" s="596">
        <f t="shared" si="53"/>
        <v>0</v>
      </c>
      <c r="V199" s="595">
        <f t="shared" si="57"/>
        <v>0</v>
      </c>
      <c r="W199" s="595">
        <f t="shared" si="58"/>
        <v>0</v>
      </c>
      <c r="X199" s="595">
        <f t="shared" si="58"/>
        <v>0</v>
      </c>
      <c r="Y199" s="626">
        <f t="shared" si="77"/>
        <v>0</v>
      </c>
      <c r="Z199" s="595">
        <f t="shared" si="59"/>
        <v>0</v>
      </c>
      <c r="AA199" s="595">
        <f t="shared" si="59"/>
        <v>0</v>
      </c>
      <c r="AB199" s="595">
        <f t="shared" si="59"/>
        <v>0</v>
      </c>
      <c r="AC199" s="622"/>
    </row>
    <row r="200" spans="1:29" x14ac:dyDescent="0.2">
      <c r="AC200" s="612"/>
    </row>
    <row r="201" spans="1:29" x14ac:dyDescent="0.2">
      <c r="A201" s="610" t="s">
        <v>991</v>
      </c>
      <c r="E201" s="599">
        <f t="shared" ref="E201:Z201" si="78">E11+E26-E196+E198-E199</f>
        <v>-3.7252902984619141E-9</v>
      </c>
      <c r="F201" s="599">
        <f t="shared" si="78"/>
        <v>0</v>
      </c>
      <c r="G201" s="599">
        <f t="shared" si="78"/>
        <v>0</v>
      </c>
      <c r="H201" s="599">
        <f t="shared" si="78"/>
        <v>-1.862645149230957E-9</v>
      </c>
      <c r="I201" s="641">
        <f t="shared" si="78"/>
        <v>0</v>
      </c>
      <c r="J201" s="599">
        <f t="shared" si="78"/>
        <v>0</v>
      </c>
      <c r="K201" s="599">
        <f t="shared" si="78"/>
        <v>0</v>
      </c>
      <c r="L201" s="599">
        <f t="shared" si="78"/>
        <v>4.6566128730773926E-10</v>
      </c>
      <c r="M201" s="599">
        <f t="shared" si="78"/>
        <v>0</v>
      </c>
      <c r="N201" s="599">
        <f t="shared" si="78"/>
        <v>0</v>
      </c>
      <c r="O201" s="599">
        <f t="shared" si="78"/>
        <v>0</v>
      </c>
      <c r="P201" s="599">
        <f t="shared" si="78"/>
        <v>0</v>
      </c>
      <c r="Q201" s="641">
        <f t="shared" si="78"/>
        <v>0</v>
      </c>
      <c r="R201" s="599">
        <f t="shared" si="78"/>
        <v>0</v>
      </c>
      <c r="S201" s="599">
        <f t="shared" si="78"/>
        <v>0</v>
      </c>
      <c r="T201" s="599">
        <f t="shared" si="78"/>
        <v>0</v>
      </c>
      <c r="U201" s="599">
        <f t="shared" si="78"/>
        <v>-3.7252902984619141E-9</v>
      </c>
      <c r="V201" s="599">
        <f t="shared" si="78"/>
        <v>0</v>
      </c>
      <c r="W201" s="599">
        <f t="shared" si="78"/>
        <v>0</v>
      </c>
      <c r="X201" s="599">
        <f t="shared" si="78"/>
        <v>-1.862645149230957E-9</v>
      </c>
      <c r="Y201" s="641">
        <f t="shared" si="78"/>
        <v>0</v>
      </c>
      <c r="Z201" s="599">
        <f t="shared" si="78"/>
        <v>0</v>
      </c>
      <c r="AA201" s="599">
        <f>AA11+AA26-AA196+AA198</f>
        <v>0</v>
      </c>
      <c r="AB201" s="599">
        <f>AB11+AB26-AB196+AB198</f>
        <v>4.6566128730773926E-10</v>
      </c>
      <c r="AC201" s="612"/>
    </row>
    <row r="202" spans="1:29" x14ac:dyDescent="0.2">
      <c r="AC202" s="612"/>
    </row>
    <row r="203" spans="1:29" ht="35.25" customHeight="1" x14ac:dyDescent="0.2">
      <c r="AC203" s="612"/>
    </row>
    <row r="204" spans="1:29" x14ac:dyDescent="0.2">
      <c r="A204" s="614" t="s">
        <v>1266</v>
      </c>
      <c r="AC204" s="612"/>
    </row>
    <row r="205" spans="1:29" x14ac:dyDescent="0.2">
      <c r="A205" s="624" t="s">
        <v>1268</v>
      </c>
      <c r="B205" s="620"/>
      <c r="C205" s="620"/>
      <c r="D205" s="620"/>
      <c r="E205" s="602"/>
      <c r="F205" s="603"/>
      <c r="G205" s="603"/>
      <c r="H205" s="603"/>
      <c r="AC205" s="612"/>
    </row>
    <row r="206" spans="1:29" x14ac:dyDescent="0.2">
      <c r="A206" s="620" t="s">
        <v>1265</v>
      </c>
      <c r="B206" s="619" t="s">
        <v>747</v>
      </c>
      <c r="C206" s="620">
        <v>247</v>
      </c>
      <c r="D206" s="620">
        <v>223</v>
      </c>
      <c r="E206" s="602"/>
      <c r="F206" s="603"/>
      <c r="G206" s="603"/>
      <c r="H206" s="603">
        <v>97172.91</v>
      </c>
      <c r="AC206" s="612"/>
    </row>
    <row r="207" spans="1:29" x14ac:dyDescent="0.2">
      <c r="A207" s="620" t="s">
        <v>1265</v>
      </c>
      <c r="B207" s="619" t="s">
        <v>729</v>
      </c>
      <c r="C207" s="620">
        <v>247</v>
      </c>
      <c r="D207" s="620">
        <v>223</v>
      </c>
      <c r="E207" s="602"/>
      <c r="F207" s="603"/>
      <c r="G207" s="603"/>
      <c r="H207" s="603">
        <v>149284.57</v>
      </c>
      <c r="AC207" s="612"/>
    </row>
    <row r="208" spans="1:29" x14ac:dyDescent="0.2">
      <c r="A208" s="620"/>
      <c r="B208" s="620"/>
      <c r="C208" s="620"/>
      <c r="D208" s="620"/>
      <c r="E208" s="602"/>
      <c r="F208" s="603"/>
      <c r="G208" s="603"/>
      <c r="H208" s="603">
        <f>SUM(H206:H207)</f>
        <v>246457.48</v>
      </c>
      <c r="AC208" s="612"/>
    </row>
    <row r="209" spans="1:29" x14ac:dyDescent="0.2">
      <c r="A209" s="624" t="s">
        <v>1269</v>
      </c>
      <c r="B209" s="620"/>
      <c r="C209" s="620"/>
      <c r="D209" s="620"/>
      <c r="E209" s="602"/>
      <c r="F209" s="603"/>
      <c r="G209" s="603"/>
      <c r="H209" s="603"/>
      <c r="AC209" s="612"/>
    </row>
    <row r="210" spans="1:29" x14ac:dyDescent="0.2">
      <c r="A210" s="620" t="s">
        <v>735</v>
      </c>
      <c r="B210" s="619" t="s">
        <v>747</v>
      </c>
      <c r="C210" s="620">
        <v>244</v>
      </c>
      <c r="D210" s="620">
        <v>223</v>
      </c>
      <c r="E210" s="602"/>
      <c r="F210" s="603"/>
      <c r="G210" s="603"/>
      <c r="H210" s="603">
        <v>28336.69</v>
      </c>
      <c r="AC210" s="612"/>
    </row>
    <row r="211" spans="1:29" x14ac:dyDescent="0.2">
      <c r="A211" s="620" t="s">
        <v>1267</v>
      </c>
      <c r="B211" s="619" t="s">
        <v>747</v>
      </c>
      <c r="C211" s="620">
        <v>247</v>
      </c>
      <c r="D211" s="620">
        <v>223</v>
      </c>
      <c r="E211" s="602"/>
      <c r="F211" s="603"/>
      <c r="G211" s="603"/>
      <c r="H211" s="603">
        <v>19716.62</v>
      </c>
      <c r="AC211" s="612"/>
    </row>
    <row r="212" spans="1:29" x14ac:dyDescent="0.2">
      <c r="A212" s="620" t="s">
        <v>1267</v>
      </c>
      <c r="B212" s="619" t="s">
        <v>729</v>
      </c>
      <c r="C212" s="620">
        <v>247</v>
      </c>
      <c r="D212" s="620">
        <v>223</v>
      </c>
      <c r="E212" s="602"/>
      <c r="F212" s="603"/>
      <c r="G212" s="603"/>
      <c r="H212" s="603">
        <v>105588.85</v>
      </c>
      <c r="AC212" s="612"/>
    </row>
    <row r="213" spans="1:29" x14ac:dyDescent="0.2">
      <c r="A213" s="620"/>
      <c r="B213" s="620"/>
      <c r="C213" s="620"/>
      <c r="D213" s="620"/>
      <c r="E213" s="602"/>
      <c r="F213" s="603"/>
      <c r="G213" s="603"/>
      <c r="H213" s="603">
        <f>SUM(H210:H212)</f>
        <v>153642.16</v>
      </c>
      <c r="AC213" s="612"/>
    </row>
    <row r="214" spans="1:29" x14ac:dyDescent="0.2">
      <c r="AC214" s="612"/>
    </row>
    <row r="215" spans="1:29" x14ac:dyDescent="0.2">
      <c r="AC215" s="612"/>
    </row>
    <row r="216" spans="1:29" x14ac:dyDescent="0.2">
      <c r="AC216" s="612"/>
    </row>
    <row r="217" spans="1:29" x14ac:dyDescent="0.2">
      <c r="AC217" s="612"/>
    </row>
    <row r="218" spans="1:29" x14ac:dyDescent="0.2">
      <c r="AC218" s="612"/>
    </row>
    <row r="219" spans="1:29" x14ac:dyDescent="0.2">
      <c r="AC219" s="612"/>
    </row>
    <row r="220" spans="1:29" x14ac:dyDescent="0.2">
      <c r="AC220" s="612"/>
    </row>
    <row r="221" spans="1:29" x14ac:dyDescent="0.2">
      <c r="AC221" s="612"/>
    </row>
    <row r="222" spans="1:29" x14ac:dyDescent="0.2">
      <c r="AC222" s="612"/>
    </row>
    <row r="223" spans="1:29" x14ac:dyDescent="0.2">
      <c r="AC223" s="612"/>
    </row>
    <row r="224" spans="1:29" x14ac:dyDescent="0.2">
      <c r="AC224" s="612"/>
    </row>
    <row r="225" spans="29:29" x14ac:dyDescent="0.2">
      <c r="AC225" s="612"/>
    </row>
    <row r="226" spans="29:29" x14ac:dyDescent="0.2">
      <c r="AC226" s="612"/>
    </row>
    <row r="227" spans="29:29" x14ac:dyDescent="0.2">
      <c r="AC227" s="612"/>
    </row>
    <row r="228" spans="29:29" x14ac:dyDescent="0.2">
      <c r="AC228" s="612"/>
    </row>
    <row r="229" spans="29:29" x14ac:dyDescent="0.2">
      <c r="AC229" s="612"/>
    </row>
    <row r="230" spans="29:29" x14ac:dyDescent="0.2">
      <c r="AC230" s="612"/>
    </row>
    <row r="231" spans="29:29" x14ac:dyDescent="0.2">
      <c r="AC231" s="612"/>
    </row>
    <row r="232" spans="29:29" x14ac:dyDescent="0.2">
      <c r="AC232" s="612"/>
    </row>
    <row r="233" spans="29:29" x14ac:dyDescent="0.2">
      <c r="AC233" s="612"/>
    </row>
    <row r="234" spans="29:29" x14ac:dyDescent="0.2">
      <c r="AC234" s="612"/>
    </row>
    <row r="235" spans="29:29" x14ac:dyDescent="0.2">
      <c r="AC235" s="612"/>
    </row>
    <row r="236" spans="29:29" x14ac:dyDescent="0.2">
      <c r="AC236" s="612"/>
    </row>
    <row r="237" spans="29:29" x14ac:dyDescent="0.2">
      <c r="AC237" s="612"/>
    </row>
    <row r="238" spans="29:29" x14ac:dyDescent="0.2">
      <c r="AC238" s="612"/>
    </row>
    <row r="239" spans="29:29" x14ac:dyDescent="0.2">
      <c r="AC239" s="612"/>
    </row>
    <row r="240" spans="29:29" x14ac:dyDescent="0.2">
      <c r="AC240" s="612"/>
    </row>
    <row r="241" spans="29:29" x14ac:dyDescent="0.2">
      <c r="AC241" s="612"/>
    </row>
    <row r="242" spans="29:29" x14ac:dyDescent="0.2">
      <c r="AC242" s="612"/>
    </row>
    <row r="243" spans="29:29" x14ac:dyDescent="0.2">
      <c r="AC243" s="612"/>
    </row>
    <row r="244" spans="29:29" x14ac:dyDescent="0.2">
      <c r="AC244" s="612"/>
    </row>
    <row r="245" spans="29:29" x14ac:dyDescent="0.2">
      <c r="AC245" s="612"/>
    </row>
    <row r="246" spans="29:29" x14ac:dyDescent="0.2">
      <c r="AC246" s="612"/>
    </row>
    <row r="247" spans="29:29" x14ac:dyDescent="0.2">
      <c r="AC247" s="612"/>
    </row>
    <row r="248" spans="29:29" x14ac:dyDescent="0.2">
      <c r="AC248" s="612"/>
    </row>
    <row r="249" spans="29:29" x14ac:dyDescent="0.2">
      <c r="AC249" s="612"/>
    </row>
    <row r="250" spans="29:29" x14ac:dyDescent="0.2">
      <c r="AC250" s="612"/>
    </row>
    <row r="251" spans="29:29" x14ac:dyDescent="0.2">
      <c r="AC251" s="612"/>
    </row>
    <row r="252" spans="29:29" x14ac:dyDescent="0.2">
      <c r="AC252" s="612"/>
    </row>
    <row r="253" spans="29:29" x14ac:dyDescent="0.2">
      <c r="AC253" s="612"/>
    </row>
    <row r="254" spans="29:29" x14ac:dyDescent="0.2">
      <c r="AC254" s="612"/>
    </row>
    <row r="255" spans="29:29" x14ac:dyDescent="0.2">
      <c r="AC255" s="612"/>
    </row>
    <row r="256" spans="29:29" x14ac:dyDescent="0.2">
      <c r="AC256" s="612"/>
    </row>
    <row r="257" spans="29:29" x14ac:dyDescent="0.2">
      <c r="AC257" s="612"/>
    </row>
    <row r="258" spans="29:29" x14ac:dyDescent="0.2">
      <c r="AC258" s="612"/>
    </row>
    <row r="259" spans="29:29" x14ac:dyDescent="0.2">
      <c r="AC259" s="612"/>
    </row>
    <row r="260" spans="29:29" x14ac:dyDescent="0.2">
      <c r="AC260" s="612"/>
    </row>
    <row r="261" spans="29:29" x14ac:dyDescent="0.2">
      <c r="AC261" s="612"/>
    </row>
    <row r="262" spans="29:29" x14ac:dyDescent="0.2">
      <c r="AC262" s="612"/>
    </row>
    <row r="263" spans="29:29" x14ac:dyDescent="0.2">
      <c r="AC263" s="612"/>
    </row>
    <row r="264" spans="29:29" x14ac:dyDescent="0.2">
      <c r="AC264" s="612"/>
    </row>
    <row r="265" spans="29:29" x14ac:dyDescent="0.2">
      <c r="AC265" s="612"/>
    </row>
    <row r="266" spans="29:29" x14ac:dyDescent="0.2">
      <c r="AC266" s="612"/>
    </row>
    <row r="267" spans="29:29" x14ac:dyDescent="0.2">
      <c r="AC267" s="612"/>
    </row>
    <row r="268" spans="29:29" x14ac:dyDescent="0.2">
      <c r="AC268" s="612"/>
    </row>
    <row r="269" spans="29:29" x14ac:dyDescent="0.2">
      <c r="AC269" s="612"/>
    </row>
    <row r="270" spans="29:29" x14ac:dyDescent="0.2">
      <c r="AC270" s="612"/>
    </row>
    <row r="271" spans="29:29" x14ac:dyDescent="0.2">
      <c r="AC271" s="612"/>
    </row>
    <row r="272" spans="29:29" x14ac:dyDescent="0.2">
      <c r="AC272" s="612"/>
    </row>
    <row r="273" spans="29:29" x14ac:dyDescent="0.2">
      <c r="AC273" s="612"/>
    </row>
    <row r="274" spans="29:29" x14ac:dyDescent="0.2">
      <c r="AC274" s="612"/>
    </row>
    <row r="275" spans="29:29" x14ac:dyDescent="0.2">
      <c r="AC275" s="612"/>
    </row>
    <row r="276" spans="29:29" x14ac:dyDescent="0.2">
      <c r="AC276" s="612"/>
    </row>
    <row r="277" spans="29:29" x14ac:dyDescent="0.2">
      <c r="AC277" s="612"/>
    </row>
    <row r="278" spans="29:29" x14ac:dyDescent="0.2">
      <c r="AC278" s="612"/>
    </row>
    <row r="279" spans="29:29" x14ac:dyDescent="0.2">
      <c r="AC279" s="612"/>
    </row>
    <row r="280" spans="29:29" x14ac:dyDescent="0.2">
      <c r="AC280" s="612"/>
    </row>
    <row r="281" spans="29:29" x14ac:dyDescent="0.2">
      <c r="AC281" s="612"/>
    </row>
    <row r="282" spans="29:29" x14ac:dyDescent="0.2">
      <c r="AC282" s="612"/>
    </row>
    <row r="283" spans="29:29" x14ac:dyDescent="0.2">
      <c r="AC283" s="612"/>
    </row>
    <row r="284" spans="29:29" x14ac:dyDescent="0.2">
      <c r="AC284" s="612"/>
    </row>
    <row r="285" spans="29:29" x14ac:dyDescent="0.2">
      <c r="AC285" s="612"/>
    </row>
    <row r="286" spans="29:29" x14ac:dyDescent="0.2">
      <c r="AC286" s="612"/>
    </row>
    <row r="287" spans="29:29" x14ac:dyDescent="0.2">
      <c r="AC287" s="612"/>
    </row>
    <row r="288" spans="29:29" x14ac:dyDescent="0.2">
      <c r="AC288" s="612"/>
    </row>
    <row r="289" spans="29:29" x14ac:dyDescent="0.2">
      <c r="AC289" s="612"/>
    </row>
    <row r="290" spans="29:29" x14ac:dyDescent="0.2">
      <c r="AC290" s="612"/>
    </row>
    <row r="291" spans="29:29" x14ac:dyDescent="0.2">
      <c r="AC291" s="612"/>
    </row>
    <row r="292" spans="29:29" x14ac:dyDescent="0.2">
      <c r="AC292" s="612"/>
    </row>
    <row r="293" spans="29:29" x14ac:dyDescent="0.2">
      <c r="AC293" s="612"/>
    </row>
    <row r="294" spans="29:29" x14ac:dyDescent="0.2">
      <c r="AC294" s="612"/>
    </row>
    <row r="295" spans="29:29" x14ac:dyDescent="0.2">
      <c r="AC295" s="612"/>
    </row>
    <row r="296" spans="29:29" x14ac:dyDescent="0.2">
      <c r="AC296" s="612"/>
    </row>
    <row r="297" spans="29:29" x14ac:dyDescent="0.2">
      <c r="AC297" s="612"/>
    </row>
    <row r="298" spans="29:29" x14ac:dyDescent="0.2">
      <c r="AC298" s="612"/>
    </row>
    <row r="299" spans="29:29" x14ac:dyDescent="0.2">
      <c r="AC299" s="612"/>
    </row>
    <row r="300" spans="29:29" x14ac:dyDescent="0.2">
      <c r="AC300" s="612"/>
    </row>
    <row r="301" spans="29:29" x14ac:dyDescent="0.2">
      <c r="AC301" s="612"/>
    </row>
    <row r="302" spans="29:29" x14ac:dyDescent="0.2">
      <c r="AC302" s="612"/>
    </row>
    <row r="303" spans="29:29" x14ac:dyDescent="0.2">
      <c r="AC303" s="612"/>
    </row>
    <row r="304" spans="29:29" x14ac:dyDescent="0.2">
      <c r="AC304" s="612"/>
    </row>
    <row r="305" spans="29:29" x14ac:dyDescent="0.2">
      <c r="AC305" s="612"/>
    </row>
    <row r="306" spans="29:29" x14ac:dyDescent="0.2">
      <c r="AC306" s="612"/>
    </row>
    <row r="307" spans="29:29" x14ac:dyDescent="0.2">
      <c r="AC307" s="612"/>
    </row>
    <row r="308" spans="29:29" x14ac:dyDescent="0.2">
      <c r="AC308" s="612"/>
    </row>
    <row r="309" spans="29:29" x14ac:dyDescent="0.2">
      <c r="AC309" s="612"/>
    </row>
    <row r="310" spans="29:29" x14ac:dyDescent="0.2">
      <c r="AC310" s="612"/>
    </row>
    <row r="311" spans="29:29" x14ac:dyDescent="0.2">
      <c r="AC311" s="612"/>
    </row>
    <row r="312" spans="29:29" x14ac:dyDescent="0.2">
      <c r="AC312" s="612"/>
    </row>
    <row r="313" spans="29:29" x14ac:dyDescent="0.2">
      <c r="AC313" s="612"/>
    </row>
    <row r="314" spans="29:29" x14ac:dyDescent="0.2">
      <c r="AC314" s="612"/>
    </row>
    <row r="315" spans="29:29" x14ac:dyDescent="0.2">
      <c r="AC315" s="612"/>
    </row>
    <row r="316" spans="29:29" x14ac:dyDescent="0.2">
      <c r="AC316" s="612"/>
    </row>
    <row r="317" spans="29:29" x14ac:dyDescent="0.2">
      <c r="AC317" s="612"/>
    </row>
    <row r="318" spans="29:29" x14ac:dyDescent="0.2">
      <c r="AC318" s="612"/>
    </row>
    <row r="319" spans="29:29" x14ac:dyDescent="0.2">
      <c r="AC319" s="612"/>
    </row>
    <row r="320" spans="29:29" x14ac:dyDescent="0.2">
      <c r="AC320" s="612"/>
    </row>
    <row r="321" spans="29:29" x14ac:dyDescent="0.2">
      <c r="AC321" s="612"/>
    </row>
    <row r="322" spans="29:29" x14ac:dyDescent="0.2">
      <c r="AC322" s="612"/>
    </row>
    <row r="323" spans="29:29" x14ac:dyDescent="0.2">
      <c r="AC323" s="612"/>
    </row>
    <row r="324" spans="29:29" x14ac:dyDescent="0.2">
      <c r="AC324" s="612"/>
    </row>
    <row r="325" spans="29:29" x14ac:dyDescent="0.2">
      <c r="AC325" s="612"/>
    </row>
    <row r="326" spans="29:29" x14ac:dyDescent="0.2">
      <c r="AC326" s="612"/>
    </row>
    <row r="327" spans="29:29" x14ac:dyDescent="0.2">
      <c r="AC327" s="612"/>
    </row>
    <row r="328" spans="29:29" x14ac:dyDescent="0.2">
      <c r="AC328" s="612"/>
    </row>
    <row r="329" spans="29:29" x14ac:dyDescent="0.2">
      <c r="AC329" s="612"/>
    </row>
    <row r="330" spans="29:29" x14ac:dyDescent="0.2">
      <c r="AC330" s="612"/>
    </row>
    <row r="331" spans="29:29" x14ac:dyDescent="0.2">
      <c r="AC331" s="612"/>
    </row>
    <row r="332" spans="29:29" x14ac:dyDescent="0.2">
      <c r="AC332" s="612"/>
    </row>
    <row r="333" spans="29:29" x14ac:dyDescent="0.2">
      <c r="AC333" s="612"/>
    </row>
    <row r="334" spans="29:29" x14ac:dyDescent="0.2">
      <c r="AC334" s="612"/>
    </row>
    <row r="335" spans="29:29" x14ac:dyDescent="0.2">
      <c r="AC335" s="612"/>
    </row>
    <row r="336" spans="29:29" x14ac:dyDescent="0.2">
      <c r="AC336" s="612"/>
    </row>
    <row r="337" spans="29:29" x14ac:dyDescent="0.2">
      <c r="AC337" s="612"/>
    </row>
    <row r="338" spans="29:29" x14ac:dyDescent="0.2">
      <c r="AC338" s="612"/>
    </row>
    <row r="339" spans="29:29" x14ac:dyDescent="0.2">
      <c r="AC339" s="612"/>
    </row>
    <row r="340" spans="29:29" x14ac:dyDescent="0.2">
      <c r="AC340" s="612"/>
    </row>
    <row r="341" spans="29:29" x14ac:dyDescent="0.2">
      <c r="AC341" s="612"/>
    </row>
    <row r="342" spans="29:29" x14ac:dyDescent="0.2">
      <c r="AC342" s="612"/>
    </row>
    <row r="343" spans="29:29" x14ac:dyDescent="0.2">
      <c r="AC343" s="612"/>
    </row>
    <row r="344" spans="29:29" x14ac:dyDescent="0.2">
      <c r="AC344" s="612"/>
    </row>
    <row r="345" spans="29:29" x14ac:dyDescent="0.2">
      <c r="AC345" s="612"/>
    </row>
    <row r="346" spans="29:29" x14ac:dyDescent="0.2">
      <c r="AC346" s="612"/>
    </row>
    <row r="347" spans="29:29" x14ac:dyDescent="0.2">
      <c r="AC347" s="612"/>
    </row>
    <row r="348" spans="29:29" x14ac:dyDescent="0.2">
      <c r="AC348" s="612"/>
    </row>
    <row r="349" spans="29:29" x14ac:dyDescent="0.2">
      <c r="AC349" s="612"/>
    </row>
    <row r="350" spans="29:29" x14ac:dyDescent="0.2">
      <c r="AC350" s="612"/>
    </row>
    <row r="351" spans="29:29" x14ac:dyDescent="0.2">
      <c r="AC351" s="612"/>
    </row>
    <row r="352" spans="29:29" x14ac:dyDescent="0.2">
      <c r="AC352" s="612"/>
    </row>
    <row r="353" spans="29:29" x14ac:dyDescent="0.2">
      <c r="AC353" s="612"/>
    </row>
    <row r="354" spans="29:29" x14ac:dyDescent="0.2">
      <c r="AC354" s="612"/>
    </row>
    <row r="355" spans="29:29" x14ac:dyDescent="0.2">
      <c r="AC355" s="612"/>
    </row>
    <row r="356" spans="29:29" x14ac:dyDescent="0.2">
      <c r="AC356" s="612"/>
    </row>
    <row r="357" spans="29:29" x14ac:dyDescent="0.2">
      <c r="AC357" s="612"/>
    </row>
    <row r="358" spans="29:29" x14ac:dyDescent="0.2">
      <c r="AC358" s="612"/>
    </row>
    <row r="359" spans="29:29" x14ac:dyDescent="0.2">
      <c r="AC359" s="612"/>
    </row>
    <row r="360" spans="29:29" x14ac:dyDescent="0.2">
      <c r="AC360" s="612"/>
    </row>
    <row r="361" spans="29:29" x14ac:dyDescent="0.2">
      <c r="AC361" s="612"/>
    </row>
    <row r="362" spans="29:29" x14ac:dyDescent="0.2">
      <c r="AC362" s="612"/>
    </row>
    <row r="363" spans="29:29" x14ac:dyDescent="0.2">
      <c r="AC363" s="612"/>
    </row>
    <row r="364" spans="29:29" x14ac:dyDescent="0.2">
      <c r="AC364" s="612"/>
    </row>
    <row r="365" spans="29:29" x14ac:dyDescent="0.2">
      <c r="AC365" s="612"/>
    </row>
    <row r="366" spans="29:29" x14ac:dyDescent="0.2">
      <c r="AC366" s="612"/>
    </row>
    <row r="367" spans="29:29" x14ac:dyDescent="0.2">
      <c r="AC367" s="612"/>
    </row>
    <row r="368" spans="29:29" x14ac:dyDescent="0.2">
      <c r="AC368" s="612"/>
    </row>
    <row r="369" spans="29:29" x14ac:dyDescent="0.2">
      <c r="AC369" s="612"/>
    </row>
    <row r="370" spans="29:29" x14ac:dyDescent="0.2">
      <c r="AC370" s="612"/>
    </row>
    <row r="371" spans="29:29" x14ac:dyDescent="0.2">
      <c r="AC371" s="612"/>
    </row>
    <row r="372" spans="29:29" x14ac:dyDescent="0.2">
      <c r="AC372" s="612"/>
    </row>
    <row r="373" spans="29:29" x14ac:dyDescent="0.2">
      <c r="AC373" s="612"/>
    </row>
    <row r="374" spans="29:29" x14ac:dyDescent="0.2">
      <c r="AC374" s="612"/>
    </row>
    <row r="375" spans="29:29" x14ac:dyDescent="0.2">
      <c r="AC375" s="612"/>
    </row>
    <row r="376" spans="29:29" x14ac:dyDescent="0.2">
      <c r="AC376" s="612"/>
    </row>
    <row r="377" spans="29:29" x14ac:dyDescent="0.2">
      <c r="AC377" s="612"/>
    </row>
    <row r="378" spans="29:29" x14ac:dyDescent="0.2">
      <c r="AC378" s="612"/>
    </row>
    <row r="379" spans="29:29" x14ac:dyDescent="0.2">
      <c r="AC379" s="612"/>
    </row>
    <row r="380" spans="29:29" x14ac:dyDescent="0.2">
      <c r="AC380" s="612"/>
    </row>
    <row r="381" spans="29:29" x14ac:dyDescent="0.2">
      <c r="AC381" s="612"/>
    </row>
    <row r="382" spans="29:29" x14ac:dyDescent="0.2">
      <c r="AC382" s="612"/>
    </row>
    <row r="383" spans="29:29" x14ac:dyDescent="0.2">
      <c r="AC383" s="612"/>
    </row>
    <row r="384" spans="29:29" x14ac:dyDescent="0.2">
      <c r="AC384" s="612"/>
    </row>
    <row r="385" spans="29:29" x14ac:dyDescent="0.2">
      <c r="AC385" s="612"/>
    </row>
    <row r="386" spans="29:29" x14ac:dyDescent="0.2">
      <c r="AC386" s="612"/>
    </row>
    <row r="387" spans="29:29" x14ac:dyDescent="0.2">
      <c r="AC387" s="612"/>
    </row>
    <row r="388" spans="29:29" x14ac:dyDescent="0.2">
      <c r="AC388" s="612"/>
    </row>
    <row r="389" spans="29:29" x14ac:dyDescent="0.2">
      <c r="AC389" s="612"/>
    </row>
    <row r="390" spans="29:29" x14ac:dyDescent="0.2">
      <c r="AC390" s="612"/>
    </row>
    <row r="391" spans="29:29" x14ac:dyDescent="0.2">
      <c r="AC391" s="612"/>
    </row>
    <row r="392" spans="29:29" x14ac:dyDescent="0.2">
      <c r="AC392" s="612"/>
    </row>
    <row r="393" spans="29:29" x14ac:dyDescent="0.2">
      <c r="AC393" s="612"/>
    </row>
    <row r="394" spans="29:29" x14ac:dyDescent="0.2">
      <c r="AC394" s="612"/>
    </row>
    <row r="395" spans="29:29" x14ac:dyDescent="0.2">
      <c r="AC395" s="612"/>
    </row>
    <row r="396" spans="29:29" x14ac:dyDescent="0.2">
      <c r="AC396" s="612"/>
    </row>
    <row r="397" spans="29:29" x14ac:dyDescent="0.2">
      <c r="AC397" s="612"/>
    </row>
    <row r="398" spans="29:29" x14ac:dyDescent="0.2">
      <c r="AC398" s="612"/>
    </row>
    <row r="399" spans="29:29" x14ac:dyDescent="0.2">
      <c r="AC399" s="612"/>
    </row>
    <row r="400" spans="29:29" x14ac:dyDescent="0.2">
      <c r="AC400" s="612"/>
    </row>
    <row r="401" spans="29:29" x14ac:dyDescent="0.2">
      <c r="AC401" s="612"/>
    </row>
    <row r="402" spans="29:29" x14ac:dyDescent="0.2">
      <c r="AC402" s="612"/>
    </row>
    <row r="403" spans="29:29" x14ac:dyDescent="0.2">
      <c r="AC403" s="612"/>
    </row>
    <row r="404" spans="29:29" x14ac:dyDescent="0.2">
      <c r="AC404" s="612"/>
    </row>
    <row r="405" spans="29:29" x14ac:dyDescent="0.2">
      <c r="AC405" s="612"/>
    </row>
    <row r="406" spans="29:29" x14ac:dyDescent="0.2">
      <c r="AC406" s="612"/>
    </row>
    <row r="407" spans="29:29" x14ac:dyDescent="0.2">
      <c r="AC407" s="612"/>
    </row>
    <row r="408" spans="29:29" x14ac:dyDescent="0.2">
      <c r="AC408" s="612"/>
    </row>
    <row r="409" spans="29:29" x14ac:dyDescent="0.2">
      <c r="AC409" s="612"/>
    </row>
    <row r="410" spans="29:29" x14ac:dyDescent="0.2">
      <c r="AC410" s="612"/>
    </row>
    <row r="411" spans="29:29" x14ac:dyDescent="0.2">
      <c r="AC411" s="612"/>
    </row>
    <row r="412" spans="29:29" x14ac:dyDescent="0.2">
      <c r="AC412" s="612"/>
    </row>
    <row r="413" spans="29:29" x14ac:dyDescent="0.2">
      <c r="AC413" s="612"/>
    </row>
    <row r="414" spans="29:29" x14ac:dyDescent="0.2">
      <c r="AC414" s="612"/>
    </row>
    <row r="415" spans="29:29" x14ac:dyDescent="0.2">
      <c r="AC415" s="612"/>
    </row>
    <row r="416" spans="29:29" x14ac:dyDescent="0.2">
      <c r="AC416" s="612"/>
    </row>
    <row r="417" spans="29:29" x14ac:dyDescent="0.2">
      <c r="AC417" s="612"/>
    </row>
    <row r="418" spans="29:29" x14ac:dyDescent="0.2">
      <c r="AC418" s="612"/>
    </row>
    <row r="419" spans="29:29" x14ac:dyDescent="0.2">
      <c r="AC419" s="612"/>
    </row>
    <row r="420" spans="29:29" x14ac:dyDescent="0.2">
      <c r="AC420" s="612"/>
    </row>
    <row r="421" spans="29:29" x14ac:dyDescent="0.2">
      <c r="AC421" s="612"/>
    </row>
    <row r="422" spans="29:29" x14ac:dyDescent="0.2">
      <c r="AC422" s="612"/>
    </row>
    <row r="423" spans="29:29" x14ac:dyDescent="0.2">
      <c r="AC423" s="612"/>
    </row>
    <row r="424" spans="29:29" x14ac:dyDescent="0.2">
      <c r="AC424" s="612"/>
    </row>
    <row r="425" spans="29:29" x14ac:dyDescent="0.2">
      <c r="AC425" s="612"/>
    </row>
    <row r="426" spans="29:29" x14ac:dyDescent="0.2">
      <c r="AC426" s="612"/>
    </row>
    <row r="427" spans="29:29" x14ac:dyDescent="0.2">
      <c r="AC427" s="612"/>
    </row>
    <row r="428" spans="29:29" x14ac:dyDescent="0.2">
      <c r="AC428" s="612"/>
    </row>
    <row r="429" spans="29:29" x14ac:dyDescent="0.2">
      <c r="AC429" s="612"/>
    </row>
    <row r="430" spans="29:29" x14ac:dyDescent="0.2">
      <c r="AC430" s="612"/>
    </row>
    <row r="431" spans="29:29" x14ac:dyDescent="0.2">
      <c r="AC431" s="612"/>
    </row>
    <row r="432" spans="29:29" x14ac:dyDescent="0.2">
      <c r="AC432" s="612"/>
    </row>
    <row r="433" spans="29:29" x14ac:dyDescent="0.2">
      <c r="AC433" s="612"/>
    </row>
    <row r="434" spans="29:29" x14ac:dyDescent="0.2">
      <c r="AC434" s="612"/>
    </row>
    <row r="435" spans="29:29" x14ac:dyDescent="0.2">
      <c r="AC435" s="612"/>
    </row>
    <row r="436" spans="29:29" x14ac:dyDescent="0.2">
      <c r="AC436" s="612"/>
    </row>
    <row r="437" spans="29:29" x14ac:dyDescent="0.2">
      <c r="AC437" s="612"/>
    </row>
    <row r="438" spans="29:29" x14ac:dyDescent="0.2">
      <c r="AC438" s="612"/>
    </row>
    <row r="439" spans="29:29" x14ac:dyDescent="0.2">
      <c r="AC439" s="612"/>
    </row>
    <row r="440" spans="29:29" x14ac:dyDescent="0.2">
      <c r="AC440" s="612"/>
    </row>
    <row r="441" spans="29:29" x14ac:dyDescent="0.2">
      <c r="AC441" s="612"/>
    </row>
    <row r="442" spans="29:29" x14ac:dyDescent="0.2">
      <c r="AC442" s="612"/>
    </row>
    <row r="443" spans="29:29" x14ac:dyDescent="0.2">
      <c r="AC443" s="612"/>
    </row>
    <row r="444" spans="29:29" x14ac:dyDescent="0.2">
      <c r="AC444" s="612"/>
    </row>
    <row r="445" spans="29:29" x14ac:dyDescent="0.2">
      <c r="AC445" s="612"/>
    </row>
    <row r="446" spans="29:29" x14ac:dyDescent="0.2">
      <c r="AC446" s="612"/>
    </row>
    <row r="447" spans="29:29" x14ac:dyDescent="0.2">
      <c r="AC447" s="612"/>
    </row>
    <row r="448" spans="29:29" x14ac:dyDescent="0.2">
      <c r="AC448" s="612"/>
    </row>
    <row r="449" spans="29:29" x14ac:dyDescent="0.2">
      <c r="AC449" s="612"/>
    </row>
    <row r="450" spans="29:29" x14ac:dyDescent="0.2">
      <c r="AC450" s="612"/>
    </row>
    <row r="451" spans="29:29" x14ac:dyDescent="0.2">
      <c r="AC451" s="612"/>
    </row>
    <row r="452" spans="29:29" x14ac:dyDescent="0.2">
      <c r="AC452" s="612"/>
    </row>
    <row r="453" spans="29:29" x14ac:dyDescent="0.2">
      <c r="AC453" s="612"/>
    </row>
    <row r="454" spans="29:29" x14ac:dyDescent="0.2">
      <c r="AC454" s="612"/>
    </row>
    <row r="455" spans="29:29" x14ac:dyDescent="0.2">
      <c r="AC455" s="612"/>
    </row>
    <row r="456" spans="29:29" x14ac:dyDescent="0.2">
      <c r="AC456" s="612"/>
    </row>
    <row r="457" spans="29:29" x14ac:dyDescent="0.2">
      <c r="AC457" s="612"/>
    </row>
    <row r="458" spans="29:29" x14ac:dyDescent="0.2">
      <c r="AC458" s="612"/>
    </row>
    <row r="459" spans="29:29" x14ac:dyDescent="0.2">
      <c r="AC459" s="612"/>
    </row>
    <row r="460" spans="29:29" x14ac:dyDescent="0.2">
      <c r="AC460" s="612"/>
    </row>
    <row r="461" spans="29:29" x14ac:dyDescent="0.2">
      <c r="AC461" s="612"/>
    </row>
    <row r="462" spans="29:29" x14ac:dyDescent="0.2">
      <c r="AC462" s="612"/>
    </row>
    <row r="463" spans="29:29" x14ac:dyDescent="0.2">
      <c r="AC463" s="612"/>
    </row>
    <row r="464" spans="29:29" x14ac:dyDescent="0.2">
      <c r="AC464" s="612"/>
    </row>
    <row r="465" spans="29:29" x14ac:dyDescent="0.2">
      <c r="AC465" s="612"/>
    </row>
    <row r="466" spans="29:29" x14ac:dyDescent="0.2">
      <c r="AC466" s="612"/>
    </row>
    <row r="467" spans="29:29" x14ac:dyDescent="0.2">
      <c r="AC467" s="612"/>
    </row>
    <row r="468" spans="29:29" x14ac:dyDescent="0.2">
      <c r="AC468" s="612"/>
    </row>
    <row r="469" spans="29:29" x14ac:dyDescent="0.2">
      <c r="AC469" s="612"/>
    </row>
    <row r="470" spans="29:29" x14ac:dyDescent="0.2">
      <c r="AC470" s="612"/>
    </row>
    <row r="471" spans="29:29" x14ac:dyDescent="0.2">
      <c r="AC471" s="612"/>
    </row>
    <row r="472" spans="29:29" x14ac:dyDescent="0.2">
      <c r="AC472" s="612"/>
    </row>
    <row r="473" spans="29:29" x14ac:dyDescent="0.2">
      <c r="AC473" s="612"/>
    </row>
    <row r="474" spans="29:29" x14ac:dyDescent="0.2">
      <c r="AC474" s="612"/>
    </row>
    <row r="475" spans="29:29" x14ac:dyDescent="0.2">
      <c r="AC475" s="612"/>
    </row>
    <row r="476" spans="29:29" x14ac:dyDescent="0.2">
      <c r="AC476" s="612"/>
    </row>
    <row r="477" spans="29:29" x14ac:dyDescent="0.2">
      <c r="AC477" s="612"/>
    </row>
    <row r="478" spans="29:29" x14ac:dyDescent="0.2">
      <c r="AC478" s="612"/>
    </row>
    <row r="479" spans="29:29" x14ac:dyDescent="0.2">
      <c r="AC479" s="612"/>
    </row>
    <row r="480" spans="29:29" x14ac:dyDescent="0.2">
      <c r="AC480" s="612"/>
    </row>
    <row r="481" spans="29:29" x14ac:dyDescent="0.2">
      <c r="AC481" s="612"/>
    </row>
    <row r="482" spans="29:29" x14ac:dyDescent="0.2">
      <c r="AC482" s="612"/>
    </row>
    <row r="483" spans="29:29" x14ac:dyDescent="0.2">
      <c r="AC483" s="612"/>
    </row>
    <row r="484" spans="29:29" x14ac:dyDescent="0.2">
      <c r="AC484" s="612"/>
    </row>
    <row r="485" spans="29:29" x14ac:dyDescent="0.2">
      <c r="AC485" s="612"/>
    </row>
    <row r="486" spans="29:29" x14ac:dyDescent="0.2">
      <c r="AC486" s="612"/>
    </row>
    <row r="487" spans="29:29" x14ac:dyDescent="0.2">
      <c r="AC487" s="612"/>
    </row>
    <row r="488" spans="29:29" x14ac:dyDescent="0.2">
      <c r="AC488" s="612"/>
    </row>
    <row r="489" spans="29:29" x14ac:dyDescent="0.2">
      <c r="AC489" s="612"/>
    </row>
    <row r="490" spans="29:29" x14ac:dyDescent="0.2">
      <c r="AC490" s="612"/>
    </row>
    <row r="491" spans="29:29" x14ac:dyDescent="0.2">
      <c r="AC491" s="612"/>
    </row>
    <row r="492" spans="29:29" x14ac:dyDescent="0.2">
      <c r="AC492" s="612"/>
    </row>
    <row r="493" spans="29:29" x14ac:dyDescent="0.2">
      <c r="AC493" s="612"/>
    </row>
    <row r="494" spans="29:29" x14ac:dyDescent="0.2">
      <c r="AC494" s="612"/>
    </row>
    <row r="495" spans="29:29" x14ac:dyDescent="0.2">
      <c r="AC495" s="612"/>
    </row>
    <row r="496" spans="29:29" x14ac:dyDescent="0.2">
      <c r="AC496" s="612"/>
    </row>
    <row r="497" spans="29:29" x14ac:dyDescent="0.2">
      <c r="AC497" s="612"/>
    </row>
    <row r="498" spans="29:29" x14ac:dyDescent="0.2">
      <c r="AC498" s="612"/>
    </row>
    <row r="499" spans="29:29" x14ac:dyDescent="0.2">
      <c r="AC499" s="612"/>
    </row>
    <row r="500" spans="29:29" x14ac:dyDescent="0.2">
      <c r="AC500" s="612"/>
    </row>
    <row r="501" spans="29:29" x14ac:dyDescent="0.2">
      <c r="AC501" s="612"/>
    </row>
    <row r="502" spans="29:29" x14ac:dyDescent="0.2">
      <c r="AC502" s="612"/>
    </row>
    <row r="503" spans="29:29" x14ac:dyDescent="0.2">
      <c r="AC503" s="612"/>
    </row>
    <row r="504" spans="29:29" x14ac:dyDescent="0.2">
      <c r="AC504" s="612"/>
    </row>
    <row r="505" spans="29:29" x14ac:dyDescent="0.2">
      <c r="AC505" s="612"/>
    </row>
    <row r="506" spans="29:29" x14ac:dyDescent="0.2">
      <c r="AC506" s="612"/>
    </row>
    <row r="507" spans="29:29" x14ac:dyDescent="0.2">
      <c r="AC507" s="612"/>
    </row>
    <row r="508" spans="29:29" x14ac:dyDescent="0.2">
      <c r="AC508" s="612"/>
    </row>
    <row r="509" spans="29:29" x14ac:dyDescent="0.2">
      <c r="AC509" s="612"/>
    </row>
    <row r="510" spans="29:29" x14ac:dyDescent="0.2">
      <c r="AC510" s="612"/>
    </row>
    <row r="511" spans="29:29" x14ac:dyDescent="0.2">
      <c r="AC511" s="612"/>
    </row>
    <row r="512" spans="29:29" x14ac:dyDescent="0.2">
      <c r="AC512" s="612"/>
    </row>
    <row r="513" spans="29:29" x14ac:dyDescent="0.2">
      <c r="AC513" s="612"/>
    </row>
    <row r="514" spans="29:29" x14ac:dyDescent="0.2">
      <c r="AC514" s="612"/>
    </row>
    <row r="515" spans="29:29" x14ac:dyDescent="0.2">
      <c r="AC515" s="612"/>
    </row>
    <row r="516" spans="29:29" x14ac:dyDescent="0.2">
      <c r="AC516" s="612"/>
    </row>
    <row r="517" spans="29:29" x14ac:dyDescent="0.2">
      <c r="AC517" s="612"/>
    </row>
    <row r="518" spans="29:29" x14ac:dyDescent="0.2">
      <c r="AC518" s="612"/>
    </row>
    <row r="519" spans="29:29" x14ac:dyDescent="0.2">
      <c r="AC519" s="612"/>
    </row>
    <row r="520" spans="29:29" x14ac:dyDescent="0.2">
      <c r="AC520" s="612"/>
    </row>
    <row r="521" spans="29:29" x14ac:dyDescent="0.2">
      <c r="AC521" s="612"/>
    </row>
    <row r="522" spans="29:29" x14ac:dyDescent="0.2">
      <c r="AC522" s="612"/>
    </row>
    <row r="523" spans="29:29" x14ac:dyDescent="0.2">
      <c r="AC523" s="612"/>
    </row>
    <row r="524" spans="29:29" x14ac:dyDescent="0.2">
      <c r="AC524" s="612"/>
    </row>
    <row r="525" spans="29:29" x14ac:dyDescent="0.2">
      <c r="AC525" s="612"/>
    </row>
    <row r="526" spans="29:29" x14ac:dyDescent="0.2">
      <c r="AC526" s="612"/>
    </row>
    <row r="527" spans="29:29" x14ac:dyDescent="0.2">
      <c r="AC527" s="612"/>
    </row>
    <row r="528" spans="29:29" x14ac:dyDescent="0.2">
      <c r="AC528" s="612"/>
    </row>
    <row r="529" spans="29:29" x14ac:dyDescent="0.2">
      <c r="AC529" s="612"/>
    </row>
    <row r="530" spans="29:29" x14ac:dyDescent="0.2">
      <c r="AC530" s="612"/>
    </row>
    <row r="531" spans="29:29" x14ac:dyDescent="0.2">
      <c r="AC531" s="612"/>
    </row>
    <row r="532" spans="29:29" x14ac:dyDescent="0.2">
      <c r="AC532" s="612"/>
    </row>
    <row r="533" spans="29:29" x14ac:dyDescent="0.2">
      <c r="AC533" s="612"/>
    </row>
    <row r="534" spans="29:29" x14ac:dyDescent="0.2">
      <c r="AC534" s="612"/>
    </row>
    <row r="535" spans="29:29" x14ac:dyDescent="0.2">
      <c r="AC535" s="612"/>
    </row>
    <row r="536" spans="29:29" x14ac:dyDescent="0.2">
      <c r="AC536" s="612"/>
    </row>
    <row r="537" spans="29:29" x14ac:dyDescent="0.2">
      <c r="AC537" s="612"/>
    </row>
    <row r="538" spans="29:29" x14ac:dyDescent="0.2">
      <c r="AC538" s="612"/>
    </row>
    <row r="539" spans="29:29" x14ac:dyDescent="0.2">
      <c r="AC539" s="612"/>
    </row>
    <row r="540" spans="29:29" x14ac:dyDescent="0.2">
      <c r="AC540" s="612"/>
    </row>
    <row r="541" spans="29:29" x14ac:dyDescent="0.2">
      <c r="AC541" s="612"/>
    </row>
    <row r="542" spans="29:29" x14ac:dyDescent="0.2">
      <c r="AC542" s="612"/>
    </row>
    <row r="543" spans="29:29" x14ac:dyDescent="0.2">
      <c r="AC543" s="612"/>
    </row>
    <row r="544" spans="29:29" x14ac:dyDescent="0.2">
      <c r="AC544" s="612"/>
    </row>
    <row r="545" spans="29:29" x14ac:dyDescent="0.2">
      <c r="AC545" s="612"/>
    </row>
    <row r="546" spans="29:29" x14ac:dyDescent="0.2">
      <c r="AC546" s="612"/>
    </row>
    <row r="547" spans="29:29" x14ac:dyDescent="0.2">
      <c r="AC547" s="612"/>
    </row>
    <row r="548" spans="29:29" x14ac:dyDescent="0.2">
      <c r="AC548" s="612"/>
    </row>
    <row r="549" spans="29:29" x14ac:dyDescent="0.2">
      <c r="AC549" s="612"/>
    </row>
    <row r="550" spans="29:29" x14ac:dyDescent="0.2">
      <c r="AC550" s="612"/>
    </row>
    <row r="551" spans="29:29" x14ac:dyDescent="0.2">
      <c r="AC551" s="612"/>
    </row>
    <row r="552" spans="29:29" x14ac:dyDescent="0.2">
      <c r="AC552" s="612"/>
    </row>
    <row r="553" spans="29:29" x14ac:dyDescent="0.2">
      <c r="AC553" s="612"/>
    </row>
    <row r="554" spans="29:29" x14ac:dyDescent="0.2">
      <c r="AC554" s="612"/>
    </row>
    <row r="555" spans="29:29" x14ac:dyDescent="0.2">
      <c r="AC555" s="612"/>
    </row>
    <row r="556" spans="29:29" x14ac:dyDescent="0.2">
      <c r="AC556" s="612"/>
    </row>
    <row r="557" spans="29:29" x14ac:dyDescent="0.2">
      <c r="AC557" s="612"/>
    </row>
    <row r="558" spans="29:29" x14ac:dyDescent="0.2">
      <c r="AC558" s="612"/>
    </row>
    <row r="559" spans="29:29" x14ac:dyDescent="0.2">
      <c r="AC559" s="612"/>
    </row>
    <row r="560" spans="29:29" x14ac:dyDescent="0.2">
      <c r="AC560" s="612"/>
    </row>
    <row r="561" spans="29:29" x14ac:dyDescent="0.2">
      <c r="AC561" s="612"/>
    </row>
    <row r="562" spans="29:29" x14ac:dyDescent="0.2">
      <c r="AC562" s="612"/>
    </row>
    <row r="563" spans="29:29" x14ac:dyDescent="0.2">
      <c r="AC563" s="612"/>
    </row>
    <row r="564" spans="29:29" x14ac:dyDescent="0.2">
      <c r="AC564" s="612"/>
    </row>
    <row r="565" spans="29:29" x14ac:dyDescent="0.2">
      <c r="AC565" s="612"/>
    </row>
    <row r="566" spans="29:29" x14ac:dyDescent="0.2">
      <c r="AC566" s="612"/>
    </row>
    <row r="567" spans="29:29" x14ac:dyDescent="0.2">
      <c r="AC567" s="612"/>
    </row>
    <row r="568" spans="29:29" x14ac:dyDescent="0.2">
      <c r="AC568" s="612"/>
    </row>
    <row r="569" spans="29:29" x14ac:dyDescent="0.2">
      <c r="AC569" s="612"/>
    </row>
    <row r="570" spans="29:29" x14ac:dyDescent="0.2">
      <c r="AC570" s="612"/>
    </row>
    <row r="571" spans="29:29" x14ac:dyDescent="0.2">
      <c r="AC571" s="612"/>
    </row>
    <row r="572" spans="29:29" x14ac:dyDescent="0.2">
      <c r="AC572" s="612"/>
    </row>
    <row r="573" spans="29:29" x14ac:dyDescent="0.2">
      <c r="AC573" s="612"/>
    </row>
    <row r="574" spans="29:29" x14ac:dyDescent="0.2">
      <c r="AC574" s="612"/>
    </row>
    <row r="575" spans="29:29" x14ac:dyDescent="0.2">
      <c r="AC575" s="612"/>
    </row>
    <row r="576" spans="29:29" x14ac:dyDescent="0.2">
      <c r="AC576" s="612"/>
    </row>
    <row r="577" spans="29:29" x14ac:dyDescent="0.2">
      <c r="AC577" s="612"/>
    </row>
    <row r="578" spans="29:29" x14ac:dyDescent="0.2">
      <c r="AC578" s="612"/>
    </row>
    <row r="579" spans="29:29" x14ac:dyDescent="0.2">
      <c r="AC579" s="612"/>
    </row>
    <row r="580" spans="29:29" x14ac:dyDescent="0.2">
      <c r="AC580" s="612"/>
    </row>
    <row r="581" spans="29:29" x14ac:dyDescent="0.2">
      <c r="AC581" s="612"/>
    </row>
    <row r="582" spans="29:29" x14ac:dyDescent="0.2">
      <c r="AC582" s="612"/>
    </row>
    <row r="583" spans="29:29" x14ac:dyDescent="0.2">
      <c r="AC583" s="612"/>
    </row>
    <row r="584" spans="29:29" x14ac:dyDescent="0.2">
      <c r="AC584" s="612"/>
    </row>
    <row r="585" spans="29:29" x14ac:dyDescent="0.2">
      <c r="AC585" s="612"/>
    </row>
    <row r="586" spans="29:29" x14ac:dyDescent="0.2">
      <c r="AC586" s="612"/>
    </row>
    <row r="587" spans="29:29" x14ac:dyDescent="0.2">
      <c r="AC587" s="612"/>
    </row>
    <row r="588" spans="29:29" x14ac:dyDescent="0.2">
      <c r="AC588" s="612"/>
    </row>
    <row r="589" spans="29:29" x14ac:dyDescent="0.2">
      <c r="AC589" s="612"/>
    </row>
    <row r="590" spans="29:29" x14ac:dyDescent="0.2">
      <c r="AC590" s="612"/>
    </row>
    <row r="591" spans="29:29" x14ac:dyDescent="0.2">
      <c r="AC591" s="612"/>
    </row>
    <row r="592" spans="29:29" x14ac:dyDescent="0.2">
      <c r="AC592" s="612"/>
    </row>
    <row r="593" spans="29:29" x14ac:dyDescent="0.2">
      <c r="AC593" s="612"/>
    </row>
    <row r="594" spans="29:29" x14ac:dyDescent="0.2">
      <c r="AC594" s="612"/>
    </row>
    <row r="595" spans="29:29" x14ac:dyDescent="0.2">
      <c r="AC595" s="612"/>
    </row>
    <row r="596" spans="29:29" x14ac:dyDescent="0.2">
      <c r="AC596" s="612"/>
    </row>
    <row r="597" spans="29:29" x14ac:dyDescent="0.2">
      <c r="AC597" s="612"/>
    </row>
    <row r="598" spans="29:29" x14ac:dyDescent="0.2">
      <c r="AC598" s="612"/>
    </row>
    <row r="599" spans="29:29" x14ac:dyDescent="0.2">
      <c r="AC599" s="612"/>
    </row>
    <row r="600" spans="29:29" x14ac:dyDescent="0.2">
      <c r="AC600" s="612"/>
    </row>
    <row r="601" spans="29:29" x14ac:dyDescent="0.2">
      <c r="AC601" s="612"/>
    </row>
    <row r="602" spans="29:29" x14ac:dyDescent="0.2">
      <c r="AC602" s="612"/>
    </row>
    <row r="603" spans="29:29" x14ac:dyDescent="0.2">
      <c r="AC603" s="612"/>
    </row>
    <row r="604" spans="29:29" x14ac:dyDescent="0.2">
      <c r="AC604" s="612"/>
    </row>
    <row r="605" spans="29:29" x14ac:dyDescent="0.2">
      <c r="AC605" s="612"/>
    </row>
    <row r="606" spans="29:29" x14ac:dyDescent="0.2">
      <c r="AC606" s="612"/>
    </row>
    <row r="607" spans="29:29" x14ac:dyDescent="0.2">
      <c r="AC607" s="612"/>
    </row>
    <row r="608" spans="29:29" x14ac:dyDescent="0.2">
      <c r="AC608" s="612"/>
    </row>
    <row r="609" spans="29:29" x14ac:dyDescent="0.2">
      <c r="AC609" s="612"/>
    </row>
    <row r="610" spans="29:29" x14ac:dyDescent="0.2">
      <c r="AC610" s="612"/>
    </row>
    <row r="611" spans="29:29" x14ac:dyDescent="0.2">
      <c r="AC611" s="612"/>
    </row>
    <row r="612" spans="29:29" x14ac:dyDescent="0.2">
      <c r="AC612" s="612"/>
    </row>
    <row r="613" spans="29:29" x14ac:dyDescent="0.2">
      <c r="AC613" s="612"/>
    </row>
    <row r="614" spans="29:29" x14ac:dyDescent="0.2">
      <c r="AC614" s="612"/>
    </row>
    <row r="615" spans="29:29" x14ac:dyDescent="0.2">
      <c r="AC615" s="612"/>
    </row>
    <row r="616" spans="29:29" x14ac:dyDescent="0.2">
      <c r="AC616" s="612"/>
    </row>
    <row r="617" spans="29:29" x14ac:dyDescent="0.2">
      <c r="AC617" s="612"/>
    </row>
    <row r="618" spans="29:29" x14ac:dyDescent="0.2">
      <c r="AC618" s="612"/>
    </row>
    <row r="619" spans="29:29" x14ac:dyDescent="0.2">
      <c r="AC619" s="612"/>
    </row>
    <row r="620" spans="29:29" x14ac:dyDescent="0.2">
      <c r="AC620" s="612"/>
    </row>
    <row r="621" spans="29:29" x14ac:dyDescent="0.2">
      <c r="AC621" s="612"/>
    </row>
    <row r="622" spans="29:29" x14ac:dyDescent="0.2">
      <c r="AC622" s="612"/>
    </row>
    <row r="623" spans="29:29" x14ac:dyDescent="0.2">
      <c r="AC623" s="612"/>
    </row>
    <row r="624" spans="29:29" x14ac:dyDescent="0.2">
      <c r="AC624" s="612"/>
    </row>
    <row r="625" spans="29:29" x14ac:dyDescent="0.2">
      <c r="AC625" s="612"/>
    </row>
    <row r="626" spans="29:29" x14ac:dyDescent="0.2">
      <c r="AC626" s="612"/>
    </row>
    <row r="627" spans="29:29" x14ac:dyDescent="0.2">
      <c r="AC627" s="612"/>
    </row>
    <row r="628" spans="29:29" x14ac:dyDescent="0.2">
      <c r="AC628" s="612"/>
    </row>
    <row r="629" spans="29:29" x14ac:dyDescent="0.2">
      <c r="AC629" s="612"/>
    </row>
    <row r="630" spans="29:29" x14ac:dyDescent="0.2">
      <c r="AC630" s="612"/>
    </row>
    <row r="631" spans="29:29" x14ac:dyDescent="0.2">
      <c r="AC631" s="612"/>
    </row>
    <row r="632" spans="29:29" x14ac:dyDescent="0.2">
      <c r="AC632" s="612"/>
    </row>
    <row r="633" spans="29:29" x14ac:dyDescent="0.2">
      <c r="AC633" s="612"/>
    </row>
    <row r="634" spans="29:29" x14ac:dyDescent="0.2">
      <c r="AC634" s="612"/>
    </row>
    <row r="635" spans="29:29" x14ac:dyDescent="0.2">
      <c r="AC635" s="612"/>
    </row>
    <row r="636" spans="29:29" x14ac:dyDescent="0.2">
      <c r="AC636" s="612"/>
    </row>
    <row r="637" spans="29:29" x14ac:dyDescent="0.2">
      <c r="AC637" s="612"/>
    </row>
    <row r="638" spans="29:29" x14ac:dyDescent="0.2">
      <c r="AC638" s="612"/>
    </row>
    <row r="639" spans="29:29" x14ac:dyDescent="0.2">
      <c r="AC639" s="612"/>
    </row>
    <row r="640" spans="29:29" x14ac:dyDescent="0.2">
      <c r="AC640" s="612"/>
    </row>
    <row r="641" spans="29:29" x14ac:dyDescent="0.2">
      <c r="AC641" s="612"/>
    </row>
    <row r="642" spans="29:29" x14ac:dyDescent="0.2">
      <c r="AC642" s="612"/>
    </row>
    <row r="643" spans="29:29" x14ac:dyDescent="0.2">
      <c r="AC643" s="612"/>
    </row>
    <row r="644" spans="29:29" x14ac:dyDescent="0.2">
      <c r="AC644" s="612"/>
    </row>
    <row r="645" spans="29:29" x14ac:dyDescent="0.2">
      <c r="AC645" s="612"/>
    </row>
    <row r="646" spans="29:29" x14ac:dyDescent="0.2">
      <c r="AC646" s="612"/>
    </row>
    <row r="647" spans="29:29" x14ac:dyDescent="0.2">
      <c r="AC647" s="612"/>
    </row>
    <row r="648" spans="29:29" x14ac:dyDescent="0.2">
      <c r="AC648" s="612"/>
    </row>
    <row r="649" spans="29:29" x14ac:dyDescent="0.2">
      <c r="AC649" s="612"/>
    </row>
    <row r="650" spans="29:29" x14ac:dyDescent="0.2">
      <c r="AC650" s="612"/>
    </row>
    <row r="651" spans="29:29" x14ac:dyDescent="0.2">
      <c r="AC651" s="612"/>
    </row>
    <row r="652" spans="29:29" x14ac:dyDescent="0.2">
      <c r="AC652" s="612"/>
    </row>
    <row r="653" spans="29:29" x14ac:dyDescent="0.2">
      <c r="AC653" s="612"/>
    </row>
    <row r="654" spans="29:29" x14ac:dyDescent="0.2">
      <c r="AC654" s="612"/>
    </row>
    <row r="655" spans="29:29" x14ac:dyDescent="0.2">
      <c r="AC655" s="612"/>
    </row>
    <row r="656" spans="29:29" x14ac:dyDescent="0.2">
      <c r="AC656" s="612"/>
    </row>
    <row r="657" spans="29:29" x14ac:dyDescent="0.2">
      <c r="AC657" s="612"/>
    </row>
    <row r="658" spans="29:29" x14ac:dyDescent="0.2">
      <c r="AC658" s="612"/>
    </row>
    <row r="659" spans="29:29" x14ac:dyDescent="0.2">
      <c r="AC659" s="612"/>
    </row>
    <row r="660" spans="29:29" x14ac:dyDescent="0.2">
      <c r="AC660" s="612"/>
    </row>
    <row r="661" spans="29:29" x14ac:dyDescent="0.2">
      <c r="AC661" s="612"/>
    </row>
    <row r="662" spans="29:29" x14ac:dyDescent="0.2">
      <c r="AC662" s="612"/>
    </row>
    <row r="663" spans="29:29" x14ac:dyDescent="0.2">
      <c r="AC663" s="612"/>
    </row>
    <row r="664" spans="29:29" x14ac:dyDescent="0.2">
      <c r="AC664" s="612"/>
    </row>
    <row r="665" spans="29:29" x14ac:dyDescent="0.2">
      <c r="AC665" s="612"/>
    </row>
    <row r="666" spans="29:29" x14ac:dyDescent="0.2">
      <c r="AC666" s="612"/>
    </row>
    <row r="667" spans="29:29" x14ac:dyDescent="0.2">
      <c r="AC667" s="612"/>
    </row>
    <row r="668" spans="29:29" x14ac:dyDescent="0.2">
      <c r="AC668" s="612"/>
    </row>
    <row r="669" spans="29:29" x14ac:dyDescent="0.2">
      <c r="AC669" s="612"/>
    </row>
    <row r="670" spans="29:29" x14ac:dyDescent="0.2">
      <c r="AC670" s="612"/>
    </row>
    <row r="671" spans="29:29" x14ac:dyDescent="0.2">
      <c r="AC671" s="612"/>
    </row>
    <row r="672" spans="29:29" x14ac:dyDescent="0.2">
      <c r="AC672" s="612"/>
    </row>
    <row r="673" spans="29:29" x14ac:dyDescent="0.2">
      <c r="AC673" s="612"/>
    </row>
    <row r="674" spans="29:29" x14ac:dyDescent="0.2">
      <c r="AC674" s="612"/>
    </row>
    <row r="675" spans="29:29" x14ac:dyDescent="0.2">
      <c r="AC675" s="612"/>
    </row>
    <row r="676" spans="29:29" x14ac:dyDescent="0.2">
      <c r="AC676" s="612"/>
    </row>
    <row r="677" spans="29:29" x14ac:dyDescent="0.2">
      <c r="AC677" s="612"/>
    </row>
    <row r="678" spans="29:29" x14ac:dyDescent="0.2">
      <c r="AC678" s="612"/>
    </row>
    <row r="679" spans="29:29" x14ac:dyDescent="0.2">
      <c r="AC679" s="612"/>
    </row>
    <row r="680" spans="29:29" x14ac:dyDescent="0.2">
      <c r="AC680" s="612"/>
    </row>
    <row r="681" spans="29:29" x14ac:dyDescent="0.2">
      <c r="AC681" s="612"/>
    </row>
    <row r="682" spans="29:29" x14ac:dyDescent="0.2">
      <c r="AC682" s="612"/>
    </row>
    <row r="683" spans="29:29" x14ac:dyDescent="0.2">
      <c r="AC683" s="612"/>
    </row>
    <row r="684" spans="29:29" x14ac:dyDescent="0.2">
      <c r="AC684" s="612"/>
    </row>
    <row r="685" spans="29:29" x14ac:dyDescent="0.2">
      <c r="AC685" s="612"/>
    </row>
    <row r="686" spans="29:29" x14ac:dyDescent="0.2">
      <c r="AC686" s="612"/>
    </row>
    <row r="687" spans="29:29" x14ac:dyDescent="0.2">
      <c r="AC687" s="612"/>
    </row>
    <row r="688" spans="29:29" x14ac:dyDescent="0.2">
      <c r="AC688" s="612"/>
    </row>
    <row r="689" spans="29:29" x14ac:dyDescent="0.2">
      <c r="AC689" s="612"/>
    </row>
    <row r="690" spans="29:29" x14ac:dyDescent="0.2">
      <c r="AC690" s="612"/>
    </row>
    <row r="691" spans="29:29" x14ac:dyDescent="0.2">
      <c r="AC691" s="612"/>
    </row>
    <row r="692" spans="29:29" x14ac:dyDescent="0.2">
      <c r="AC692" s="612"/>
    </row>
    <row r="693" spans="29:29" x14ac:dyDescent="0.2">
      <c r="AC693" s="612"/>
    </row>
    <row r="694" spans="29:29" x14ac:dyDescent="0.2">
      <c r="AC694" s="612"/>
    </row>
    <row r="695" spans="29:29" x14ac:dyDescent="0.2">
      <c r="AC695" s="612"/>
    </row>
    <row r="696" spans="29:29" x14ac:dyDescent="0.2">
      <c r="AC696" s="612"/>
    </row>
    <row r="697" spans="29:29" x14ac:dyDescent="0.2">
      <c r="AC697" s="612"/>
    </row>
    <row r="698" spans="29:29" x14ac:dyDescent="0.2">
      <c r="AC698" s="612"/>
    </row>
    <row r="699" spans="29:29" x14ac:dyDescent="0.2">
      <c r="AC699" s="612"/>
    </row>
    <row r="700" spans="29:29" x14ac:dyDescent="0.2">
      <c r="AC700" s="612"/>
    </row>
    <row r="701" spans="29:29" x14ac:dyDescent="0.2">
      <c r="AC701" s="612"/>
    </row>
    <row r="702" spans="29:29" x14ac:dyDescent="0.2">
      <c r="AC702" s="612"/>
    </row>
    <row r="703" spans="29:29" x14ac:dyDescent="0.2">
      <c r="AC703" s="612"/>
    </row>
    <row r="704" spans="29:29" x14ac:dyDescent="0.2">
      <c r="AC704" s="612"/>
    </row>
    <row r="705" spans="29:29" x14ac:dyDescent="0.2">
      <c r="AC705" s="612"/>
    </row>
    <row r="706" spans="29:29" x14ac:dyDescent="0.2">
      <c r="AC706" s="612"/>
    </row>
    <row r="707" spans="29:29" x14ac:dyDescent="0.2">
      <c r="AC707" s="612"/>
    </row>
    <row r="708" spans="29:29" x14ac:dyDescent="0.2">
      <c r="AC708" s="612"/>
    </row>
    <row r="709" spans="29:29" x14ac:dyDescent="0.2">
      <c r="AC709" s="612"/>
    </row>
    <row r="710" spans="29:29" x14ac:dyDescent="0.2">
      <c r="AC710" s="612"/>
    </row>
    <row r="711" spans="29:29" x14ac:dyDescent="0.2">
      <c r="AC711" s="612"/>
    </row>
    <row r="712" spans="29:29" x14ac:dyDescent="0.2">
      <c r="AC712" s="612"/>
    </row>
    <row r="713" spans="29:29" x14ac:dyDescent="0.2">
      <c r="AC713" s="612"/>
    </row>
    <row r="714" spans="29:29" x14ac:dyDescent="0.2">
      <c r="AC714" s="612"/>
    </row>
    <row r="715" spans="29:29" x14ac:dyDescent="0.2">
      <c r="AC715" s="612"/>
    </row>
    <row r="716" spans="29:29" x14ac:dyDescent="0.2">
      <c r="AC716" s="612"/>
    </row>
    <row r="717" spans="29:29" x14ac:dyDescent="0.2">
      <c r="AC717" s="612"/>
    </row>
    <row r="718" spans="29:29" x14ac:dyDescent="0.2">
      <c r="AC718" s="612"/>
    </row>
    <row r="719" spans="29:29" x14ac:dyDescent="0.2">
      <c r="AC719" s="612"/>
    </row>
    <row r="720" spans="29:29" x14ac:dyDescent="0.2">
      <c r="AC720" s="612"/>
    </row>
    <row r="721" spans="29:29" x14ac:dyDescent="0.2">
      <c r="AC721" s="612"/>
    </row>
    <row r="722" spans="29:29" x14ac:dyDescent="0.2">
      <c r="AC722" s="612"/>
    </row>
    <row r="723" spans="29:29" x14ac:dyDescent="0.2">
      <c r="AC723" s="612"/>
    </row>
    <row r="724" spans="29:29" x14ac:dyDescent="0.2">
      <c r="AC724" s="612"/>
    </row>
    <row r="725" spans="29:29" x14ac:dyDescent="0.2">
      <c r="AC725" s="612"/>
    </row>
    <row r="726" spans="29:29" x14ac:dyDescent="0.2">
      <c r="AC726" s="612"/>
    </row>
    <row r="727" spans="29:29" x14ac:dyDescent="0.2">
      <c r="AC727" s="612"/>
    </row>
    <row r="728" spans="29:29" x14ac:dyDescent="0.2">
      <c r="AC728" s="612"/>
    </row>
    <row r="729" spans="29:29" x14ac:dyDescent="0.2">
      <c r="AC729" s="612"/>
    </row>
    <row r="730" spans="29:29" x14ac:dyDescent="0.2">
      <c r="AC730" s="612"/>
    </row>
    <row r="731" spans="29:29" x14ac:dyDescent="0.2">
      <c r="AC731" s="612"/>
    </row>
    <row r="732" spans="29:29" x14ac:dyDescent="0.2">
      <c r="AC732" s="612"/>
    </row>
    <row r="733" spans="29:29" x14ac:dyDescent="0.2">
      <c r="AC733" s="612"/>
    </row>
    <row r="734" spans="29:29" x14ac:dyDescent="0.2">
      <c r="AC734" s="612"/>
    </row>
    <row r="735" spans="29:29" x14ac:dyDescent="0.2">
      <c r="AC735" s="612"/>
    </row>
    <row r="736" spans="29:29" x14ac:dyDescent="0.2">
      <c r="AC736" s="612"/>
    </row>
    <row r="737" spans="29:29" x14ac:dyDescent="0.2">
      <c r="AC737" s="612"/>
    </row>
    <row r="738" spans="29:29" x14ac:dyDescent="0.2">
      <c r="AC738" s="612"/>
    </row>
    <row r="739" spans="29:29" x14ac:dyDescent="0.2">
      <c r="AC739" s="612"/>
    </row>
    <row r="740" spans="29:29" x14ac:dyDescent="0.2">
      <c r="AC740" s="612"/>
    </row>
    <row r="741" spans="29:29" x14ac:dyDescent="0.2">
      <c r="AC741" s="612"/>
    </row>
    <row r="742" spans="29:29" x14ac:dyDescent="0.2">
      <c r="AC742" s="612"/>
    </row>
    <row r="743" spans="29:29" x14ac:dyDescent="0.2">
      <c r="AC743" s="612"/>
    </row>
    <row r="744" spans="29:29" x14ac:dyDescent="0.2">
      <c r="AC744" s="612"/>
    </row>
    <row r="745" spans="29:29" x14ac:dyDescent="0.2">
      <c r="AC745" s="612"/>
    </row>
    <row r="746" spans="29:29" x14ac:dyDescent="0.2">
      <c r="AC746" s="612"/>
    </row>
    <row r="747" spans="29:29" x14ac:dyDescent="0.2">
      <c r="AC747" s="612"/>
    </row>
    <row r="748" spans="29:29" x14ac:dyDescent="0.2">
      <c r="AC748" s="612"/>
    </row>
    <row r="749" spans="29:29" x14ac:dyDescent="0.2">
      <c r="AC749" s="612"/>
    </row>
    <row r="750" spans="29:29" x14ac:dyDescent="0.2">
      <c r="AC750" s="612"/>
    </row>
    <row r="751" spans="29:29" x14ac:dyDescent="0.2">
      <c r="AC751" s="612"/>
    </row>
    <row r="752" spans="29:29" x14ac:dyDescent="0.2">
      <c r="AC752" s="612"/>
    </row>
    <row r="753" spans="29:29" x14ac:dyDescent="0.2">
      <c r="AC753" s="612"/>
    </row>
    <row r="754" spans="29:29" x14ac:dyDescent="0.2">
      <c r="AC754" s="612"/>
    </row>
    <row r="755" spans="29:29" x14ac:dyDescent="0.2">
      <c r="AC755" s="612"/>
    </row>
    <row r="756" spans="29:29" x14ac:dyDescent="0.2">
      <c r="AC756" s="612"/>
    </row>
    <row r="757" spans="29:29" x14ac:dyDescent="0.2">
      <c r="AC757" s="612"/>
    </row>
    <row r="758" spans="29:29" x14ac:dyDescent="0.2">
      <c r="AC758" s="612"/>
    </row>
    <row r="759" spans="29:29" x14ac:dyDescent="0.2">
      <c r="AC759" s="612"/>
    </row>
    <row r="760" spans="29:29" x14ac:dyDescent="0.2">
      <c r="AC760" s="612"/>
    </row>
    <row r="761" spans="29:29" x14ac:dyDescent="0.2">
      <c r="AC761" s="612"/>
    </row>
    <row r="762" spans="29:29" x14ac:dyDescent="0.2">
      <c r="AC762" s="612"/>
    </row>
    <row r="763" spans="29:29" x14ac:dyDescent="0.2">
      <c r="AC763" s="612"/>
    </row>
    <row r="764" spans="29:29" x14ac:dyDescent="0.2">
      <c r="AC764" s="612"/>
    </row>
    <row r="765" spans="29:29" x14ac:dyDescent="0.2">
      <c r="AC765" s="612"/>
    </row>
  </sheetData>
  <mergeCells count="28">
    <mergeCell ref="A7:A10"/>
    <mergeCell ref="B7:B10"/>
    <mergeCell ref="C7:C10"/>
    <mergeCell ref="D7:D10"/>
    <mergeCell ref="E7:L7"/>
    <mergeCell ref="E8:E10"/>
    <mergeCell ref="F8:L8"/>
    <mergeCell ref="F9:H9"/>
    <mergeCell ref="I9:K9"/>
    <mergeCell ref="L9:L10"/>
    <mergeCell ref="Z1:AB1"/>
    <mergeCell ref="Z2:AB2"/>
    <mergeCell ref="A3:X3"/>
    <mergeCell ref="A4:X4"/>
    <mergeCell ref="D5:P5"/>
    <mergeCell ref="AC7:AC10"/>
    <mergeCell ref="V8:AB8"/>
    <mergeCell ref="Y9:AA9"/>
    <mergeCell ref="AB9:AB10"/>
    <mergeCell ref="M8:M10"/>
    <mergeCell ref="N8:T8"/>
    <mergeCell ref="U8:U10"/>
    <mergeCell ref="T9:T10"/>
    <mergeCell ref="N9:P9"/>
    <mergeCell ref="Q9:S9"/>
    <mergeCell ref="V9:X9"/>
    <mergeCell ref="M7:T7"/>
    <mergeCell ref="U7:AB7"/>
  </mergeCells>
  <pageMargins left="0.25" right="0.25" top="0.75" bottom="0.75" header="0.3" footer="0.3"/>
  <pageSetup paperSize="9" scale="29"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C221"/>
  <sheetViews>
    <sheetView view="pageBreakPreview" zoomScale="70" zoomScaleNormal="54" zoomScaleSheetLayoutView="70" workbookViewId="0">
      <pane xSplit="1" ySplit="10" topLeftCell="N210" activePane="bottomRight" state="frozen"/>
      <selection pane="topRight" activeCell="B1" sqref="B1"/>
      <selection pane="bottomLeft" activeCell="A11" sqref="A11"/>
      <selection pane="bottomRight" activeCell="P10" sqref="P10"/>
    </sheetView>
  </sheetViews>
  <sheetFormatPr defaultColWidth="9.140625" defaultRowHeight="15.75" x14ac:dyDescent="0.2"/>
  <cols>
    <col min="1" max="1" width="36.85546875" style="610" customWidth="1"/>
    <col min="2" max="2" width="11.5703125" style="610" customWidth="1"/>
    <col min="3" max="3" width="9.42578125" style="610" customWidth="1"/>
    <col min="4" max="4" width="11.7109375" style="610" customWidth="1"/>
    <col min="5" max="5" width="24.140625" style="644" customWidth="1"/>
    <col min="6" max="6" width="19.42578125" style="645" customWidth="1"/>
    <col min="7" max="7" width="20.140625" style="645" customWidth="1"/>
    <col min="8" max="8" width="26.28515625" style="645" customWidth="1"/>
    <col min="9" max="9" width="14.42578125" style="611" customWidth="1"/>
    <col min="10" max="10" width="17.5703125" style="645" customWidth="1"/>
    <col min="11" max="11" width="20.140625" style="645" customWidth="1"/>
    <col min="12" max="12" width="20.42578125" style="645" customWidth="1"/>
    <col min="13" max="13" width="24.85546875" style="644" customWidth="1"/>
    <col min="14" max="14" width="21.7109375" style="645" customWidth="1"/>
    <col min="15" max="15" width="23.42578125" style="645" customWidth="1"/>
    <col min="16" max="16" width="18.5703125" style="645" customWidth="1"/>
    <col min="17" max="17" width="18.5703125" style="611" customWidth="1"/>
    <col min="18" max="18" width="11.5703125" style="645" customWidth="1"/>
    <col min="19" max="19" width="14.42578125" style="645" customWidth="1"/>
    <col min="20" max="20" width="22.140625" style="645" customWidth="1"/>
    <col min="21" max="21" width="21" style="644" customWidth="1"/>
    <col min="22" max="22" width="20.42578125" style="645" customWidth="1"/>
    <col min="23" max="23" width="26.42578125" style="645" customWidth="1"/>
    <col min="24" max="24" width="24.5703125" style="645" customWidth="1"/>
    <col min="25" max="25" width="14.85546875" style="611" customWidth="1"/>
    <col min="26" max="26" width="10.5703125" style="645" bestFit="1" customWidth="1"/>
    <col min="27" max="27" width="19" style="645" customWidth="1"/>
    <col min="28" max="28" width="22.42578125" style="645" customWidth="1"/>
    <col min="29" max="29" width="17.42578125" style="612" customWidth="1"/>
    <col min="30" max="16384" width="9.140625" style="610"/>
  </cols>
  <sheetData>
    <row r="1" spans="1:29" ht="51.75" customHeight="1" x14ac:dyDescent="0.2">
      <c r="Z1" s="1572" t="s">
        <v>721</v>
      </c>
      <c r="AA1" s="1573"/>
      <c r="AB1" s="1573"/>
    </row>
    <row r="2" spans="1:29" ht="31.9" customHeight="1" x14ac:dyDescent="0.2">
      <c r="Z2" s="1573" t="s">
        <v>722</v>
      </c>
      <c r="AA2" s="1573"/>
      <c r="AB2" s="1573"/>
    </row>
    <row r="3" spans="1:29" s="614" customFormat="1" ht="24.75" customHeight="1" x14ac:dyDescent="0.2">
      <c r="A3" s="1574" t="s">
        <v>1249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613"/>
      <c r="Z3" s="644"/>
      <c r="AA3" s="644"/>
      <c r="AB3" s="644"/>
      <c r="AC3" s="612"/>
    </row>
    <row r="4" spans="1:29" s="614" customFormat="1" ht="25.5" customHeight="1" x14ac:dyDescent="0.2">
      <c r="A4" s="1574" t="s">
        <v>1290</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613"/>
      <c r="Z4" s="644"/>
      <c r="AA4" s="644"/>
      <c r="AB4" s="644"/>
      <c r="AC4" s="612"/>
    </row>
    <row r="5" spans="1:29" x14ac:dyDescent="0.2">
      <c r="A5" s="610" t="s">
        <v>723</v>
      </c>
      <c r="D5" s="1575" t="s">
        <v>204</v>
      </c>
      <c r="E5" s="1576"/>
      <c r="F5" s="1576"/>
      <c r="G5" s="1576"/>
      <c r="H5" s="1576"/>
      <c r="I5" s="1576"/>
      <c r="J5" s="1576"/>
      <c r="K5" s="1576"/>
      <c r="L5" s="1576"/>
      <c r="M5" s="1576"/>
      <c r="N5" s="1576"/>
      <c r="O5" s="1576"/>
      <c r="P5" s="1576"/>
    </row>
    <row r="7" spans="1:29" s="614" customFormat="1" ht="37.5" customHeight="1" x14ac:dyDescent="0.2">
      <c r="A7" s="1565" t="s">
        <v>724</v>
      </c>
      <c r="B7" s="1566" t="s">
        <v>577</v>
      </c>
      <c r="C7" s="1566" t="s">
        <v>578</v>
      </c>
      <c r="D7" s="1566" t="s">
        <v>579</v>
      </c>
      <c r="E7" s="1567" t="s">
        <v>725</v>
      </c>
      <c r="F7" s="1567"/>
      <c r="G7" s="1567"/>
      <c r="H7" s="1567"/>
      <c r="I7" s="1567"/>
      <c r="J7" s="1567"/>
      <c r="K7" s="1567"/>
      <c r="L7" s="1567"/>
      <c r="M7" s="1567" t="s">
        <v>726</v>
      </c>
      <c r="N7" s="1567"/>
      <c r="O7" s="1567"/>
      <c r="P7" s="1567"/>
      <c r="Q7" s="1567"/>
      <c r="R7" s="1567"/>
      <c r="S7" s="1567"/>
      <c r="T7" s="1567"/>
      <c r="U7" s="1567" t="s">
        <v>727</v>
      </c>
      <c r="V7" s="1567"/>
      <c r="W7" s="1567"/>
      <c r="X7" s="1567"/>
      <c r="Y7" s="1567"/>
      <c r="Z7" s="1567"/>
      <c r="AA7" s="1567"/>
      <c r="AB7" s="1567"/>
      <c r="AC7" s="2299" t="s">
        <v>1178</v>
      </c>
    </row>
    <row r="8" spans="1:29" s="616" customFormat="1" ht="39.75" customHeight="1" x14ac:dyDescent="0.2">
      <c r="A8" s="1565"/>
      <c r="B8" s="1566"/>
      <c r="C8" s="1566"/>
      <c r="D8" s="1566"/>
      <c r="E8" s="1568" t="s">
        <v>6</v>
      </c>
      <c r="F8" s="1569" t="s">
        <v>52</v>
      </c>
      <c r="G8" s="1569"/>
      <c r="H8" s="1569"/>
      <c r="I8" s="1569"/>
      <c r="J8" s="1569"/>
      <c r="K8" s="1569"/>
      <c r="L8" s="1569"/>
      <c r="M8" s="1578" t="s">
        <v>6</v>
      </c>
      <c r="N8" s="1569" t="s">
        <v>52</v>
      </c>
      <c r="O8" s="1569"/>
      <c r="P8" s="1569"/>
      <c r="Q8" s="1569"/>
      <c r="R8" s="1569"/>
      <c r="S8" s="1569"/>
      <c r="T8" s="1569"/>
      <c r="U8" s="1578" t="s">
        <v>6</v>
      </c>
      <c r="V8" s="1569" t="s">
        <v>52</v>
      </c>
      <c r="W8" s="1569"/>
      <c r="X8" s="1569"/>
      <c r="Y8" s="1569"/>
      <c r="Z8" s="1569"/>
      <c r="AA8" s="1569"/>
      <c r="AB8" s="1569"/>
      <c r="AC8" s="2299"/>
    </row>
    <row r="9" spans="1:29" s="616" customFormat="1" ht="39.75" customHeight="1" x14ac:dyDescent="0.2">
      <c r="A9" s="1565"/>
      <c r="B9" s="1566"/>
      <c r="C9" s="1566"/>
      <c r="D9" s="1566"/>
      <c r="E9" s="1568"/>
      <c r="F9" s="1570" t="s">
        <v>35</v>
      </c>
      <c r="G9" s="1570"/>
      <c r="H9" s="1570"/>
      <c r="I9" s="1570" t="s">
        <v>45</v>
      </c>
      <c r="J9" s="1570"/>
      <c r="K9" s="1570"/>
      <c r="L9" s="1571" t="s">
        <v>46</v>
      </c>
      <c r="M9" s="1578"/>
      <c r="N9" s="1570" t="s">
        <v>35</v>
      </c>
      <c r="O9" s="1570"/>
      <c r="P9" s="1570"/>
      <c r="Q9" s="1570" t="s">
        <v>45</v>
      </c>
      <c r="R9" s="1570"/>
      <c r="S9" s="1570"/>
      <c r="T9" s="1571" t="s">
        <v>46</v>
      </c>
      <c r="U9" s="1578"/>
      <c r="V9" s="1570" t="s">
        <v>35</v>
      </c>
      <c r="W9" s="1570"/>
      <c r="X9" s="1570"/>
      <c r="Y9" s="1570" t="s">
        <v>45</v>
      </c>
      <c r="Z9" s="1570"/>
      <c r="AA9" s="1570"/>
      <c r="AB9" s="1571" t="s">
        <v>46</v>
      </c>
      <c r="AC9" s="2299"/>
    </row>
    <row r="10" spans="1:29" s="616" customFormat="1" ht="95.25" customHeight="1" x14ac:dyDescent="0.2">
      <c r="A10" s="1565"/>
      <c r="B10" s="1566"/>
      <c r="C10" s="1566"/>
      <c r="D10" s="1566"/>
      <c r="E10" s="1568"/>
      <c r="F10" s="642" t="s">
        <v>43</v>
      </c>
      <c r="G10" s="642" t="s">
        <v>592</v>
      </c>
      <c r="H10" s="642" t="s">
        <v>44</v>
      </c>
      <c r="I10" s="617" t="s">
        <v>55</v>
      </c>
      <c r="J10" s="642" t="s">
        <v>43</v>
      </c>
      <c r="K10" s="642" t="s">
        <v>44</v>
      </c>
      <c r="L10" s="1571"/>
      <c r="M10" s="1578"/>
      <c r="N10" s="642" t="s">
        <v>43</v>
      </c>
      <c r="O10" s="642" t="s">
        <v>592</v>
      </c>
      <c r="P10" s="642" t="s">
        <v>44</v>
      </c>
      <c r="Q10" s="617" t="s">
        <v>55</v>
      </c>
      <c r="R10" s="642" t="s">
        <v>43</v>
      </c>
      <c r="S10" s="642" t="s">
        <v>44</v>
      </c>
      <c r="T10" s="1571"/>
      <c r="U10" s="1578"/>
      <c r="V10" s="642" t="s">
        <v>43</v>
      </c>
      <c r="W10" s="642" t="s">
        <v>592</v>
      </c>
      <c r="X10" s="642" t="s">
        <v>44</v>
      </c>
      <c r="Y10" s="617" t="s">
        <v>55</v>
      </c>
      <c r="Z10" s="642" t="s">
        <v>43</v>
      </c>
      <c r="AA10" s="642" t="s">
        <v>44</v>
      </c>
      <c r="AB10" s="1571"/>
      <c r="AC10" s="2299"/>
    </row>
    <row r="11" spans="1:29" ht="31.5" x14ac:dyDescent="0.2">
      <c r="A11" s="618" t="s">
        <v>909</v>
      </c>
      <c r="B11" s="619" t="s">
        <v>747</v>
      </c>
      <c r="C11" s="620"/>
      <c r="D11" s="620">
        <v>510</v>
      </c>
      <c r="E11" s="596">
        <f>L11+K11+J11+H11+G11+F11</f>
        <v>0</v>
      </c>
      <c r="F11" s="595">
        <f>'[8]Прилож 4 24 (2)'!$V$11</f>
        <v>0</v>
      </c>
      <c r="G11" s="595">
        <f>'Прилож 4 24'!W11</f>
        <v>0</v>
      </c>
      <c r="H11" s="595">
        <f>'Прилож 4 24'!X11</f>
        <v>0</v>
      </c>
      <c r="I11" s="621"/>
      <c r="J11" s="595">
        <f>'Прилож 4 24'!Z11</f>
        <v>0</v>
      </c>
      <c r="K11" s="595">
        <f>'Прилож 4 24'!AA11</f>
        <v>0</v>
      </c>
      <c r="L11" s="595">
        <f>'Прилож 4 24'!AB11</f>
        <v>0</v>
      </c>
      <c r="M11" s="596">
        <f>N11+P11+R11+S11+T11+O11</f>
        <v>332433.68</v>
      </c>
      <c r="N11" s="595"/>
      <c r="O11" s="595"/>
      <c r="P11" s="595">
        <v>255285.97</v>
      </c>
      <c r="Q11" s="621"/>
      <c r="R11" s="595"/>
      <c r="S11" s="595"/>
      <c r="T11" s="595">
        <v>77147.710000000006</v>
      </c>
      <c r="U11" s="596">
        <f>X11+AB11</f>
        <v>332433.68</v>
      </c>
      <c r="V11" s="595">
        <f>F11+N11</f>
        <v>0</v>
      </c>
      <c r="W11" s="595">
        <f>O11+G11</f>
        <v>0</v>
      </c>
      <c r="X11" s="595">
        <f>P11+H11</f>
        <v>255285.97</v>
      </c>
      <c r="Y11" s="621"/>
      <c r="Z11" s="595">
        <f>R11+J11</f>
        <v>0</v>
      </c>
      <c r="AA11" s="595">
        <f>S11+K11</f>
        <v>0</v>
      </c>
      <c r="AB11" s="595">
        <f>T11+L11</f>
        <v>77147.710000000006</v>
      </c>
      <c r="AC11" s="622" t="s">
        <v>1291</v>
      </c>
    </row>
    <row r="12" spans="1:29" ht="109.5" customHeight="1" x14ac:dyDescent="0.2">
      <c r="A12" s="618" t="s">
        <v>728</v>
      </c>
      <c r="B12" s="619" t="s">
        <v>747</v>
      </c>
      <c r="C12" s="620">
        <v>130</v>
      </c>
      <c r="D12" s="620">
        <v>131</v>
      </c>
      <c r="E12" s="596">
        <f t="shared" ref="E12:E93" si="0">L12+K12+J12+H12+G12+F12</f>
        <v>23228700</v>
      </c>
      <c r="F12" s="595">
        <f>'[8]Прилож 4 24 (2)'!$V$12</f>
        <v>16891100</v>
      </c>
      <c r="G12" s="595">
        <f>'Прилож 4 24'!W12</f>
        <v>0</v>
      </c>
      <c r="H12" s="595">
        <f>'Прилож 4 24'!X12</f>
        <v>6337600</v>
      </c>
      <c r="I12" s="621"/>
      <c r="J12" s="595">
        <f>'Прилож 4 24'!Z12</f>
        <v>0</v>
      </c>
      <c r="K12" s="595">
        <f>'Прилож 4 24'!AA12</f>
        <v>0</v>
      </c>
      <c r="L12" s="595">
        <f>'Прилож 4 24'!AB12</f>
        <v>0</v>
      </c>
      <c r="M12" s="596">
        <f t="shared" ref="M12:M75" si="1">N12+P12+R12+S12+T12+O12</f>
        <v>16891100</v>
      </c>
      <c r="N12" s="595">
        <v>16891100</v>
      </c>
      <c r="O12" s="595"/>
      <c r="P12" s="595"/>
      <c r="Q12" s="621"/>
      <c r="R12" s="595"/>
      <c r="S12" s="595"/>
      <c r="T12" s="595"/>
      <c r="U12" s="596">
        <f>V12+X12+Z12+AA12+AB12+W12</f>
        <v>23228700</v>
      </c>
      <c r="V12" s="595">
        <f>'[8]Прилож 4 24 (2)'!$V$12</f>
        <v>16891100</v>
      </c>
      <c r="W12" s="595">
        <f t="shared" ref="W12:X96" si="2">O12+G12</f>
        <v>0</v>
      </c>
      <c r="X12" s="595">
        <f t="shared" si="2"/>
        <v>6337600</v>
      </c>
      <c r="Y12" s="621"/>
      <c r="Z12" s="595">
        <f t="shared" ref="Z12:AB96" si="3">R12+J12</f>
        <v>0</v>
      </c>
      <c r="AA12" s="595">
        <f t="shared" si="3"/>
        <v>0</v>
      </c>
      <c r="AB12" s="595">
        <f t="shared" si="3"/>
        <v>0</v>
      </c>
      <c r="AC12" s="622" t="s">
        <v>1278</v>
      </c>
    </row>
    <row r="13" spans="1:29" ht="58.5" customHeight="1" x14ac:dyDescent="0.2">
      <c r="A13" s="618" t="s">
        <v>580</v>
      </c>
      <c r="B13" s="619" t="s">
        <v>729</v>
      </c>
      <c r="C13" s="620">
        <v>130</v>
      </c>
      <c r="D13" s="620">
        <v>131</v>
      </c>
      <c r="E13" s="596">
        <f t="shared" si="0"/>
        <v>926500</v>
      </c>
      <c r="F13" s="595">
        <f>'[8]Прилож 4 24 (2)'!$V$13</f>
        <v>0</v>
      </c>
      <c r="G13" s="595">
        <f>'Прилож 4 24'!W13</f>
        <v>0</v>
      </c>
      <c r="H13" s="595">
        <f>'Прилож 4 24'!X13</f>
        <v>926500</v>
      </c>
      <c r="I13" s="621"/>
      <c r="J13" s="595">
        <f>'Прилож 4 24'!Z13</f>
        <v>0</v>
      </c>
      <c r="K13" s="595">
        <f>'Прилож 4 24'!AA13</f>
        <v>0</v>
      </c>
      <c r="L13" s="595">
        <f>'Прилож 4 24'!AB13</f>
        <v>0</v>
      </c>
      <c r="M13" s="596">
        <f t="shared" si="1"/>
        <v>0</v>
      </c>
      <c r="N13" s="595"/>
      <c r="O13" s="595"/>
      <c r="P13" s="595"/>
      <c r="Q13" s="621"/>
      <c r="R13" s="595"/>
      <c r="S13" s="595"/>
      <c r="T13" s="595"/>
      <c r="U13" s="596">
        <f t="shared" ref="U13:U94" si="4">V13+X13+Z13+AA13+AB13+W13</f>
        <v>926500</v>
      </c>
      <c r="V13" s="595">
        <f t="shared" ref="V13:V22" si="5">F13+N13</f>
        <v>0</v>
      </c>
      <c r="W13" s="595">
        <f t="shared" si="2"/>
        <v>0</v>
      </c>
      <c r="X13" s="595">
        <f t="shared" si="2"/>
        <v>926500</v>
      </c>
      <c r="Y13" s="621"/>
      <c r="Z13" s="595">
        <f t="shared" si="3"/>
        <v>0</v>
      </c>
      <c r="AA13" s="595">
        <f t="shared" si="3"/>
        <v>0</v>
      </c>
      <c r="AB13" s="595">
        <f t="shared" si="3"/>
        <v>0</v>
      </c>
      <c r="AC13" s="622"/>
    </row>
    <row r="14" spans="1:29" ht="106.5" customHeight="1" x14ac:dyDescent="0.2">
      <c r="A14" s="618" t="s">
        <v>728</v>
      </c>
      <c r="B14" s="619" t="s">
        <v>729</v>
      </c>
      <c r="C14" s="620">
        <v>130</v>
      </c>
      <c r="D14" s="620">
        <v>131</v>
      </c>
      <c r="E14" s="596">
        <f t="shared" si="0"/>
        <v>27785676</v>
      </c>
      <c r="F14" s="595">
        <f>'[8]Прилож 4 24 (2)'!$V$14</f>
        <v>23071130</v>
      </c>
      <c r="G14" s="595">
        <f>'[8]Прилож 4 24 (2)'!$W$14</f>
        <v>1093680</v>
      </c>
      <c r="H14" s="595">
        <f>'Прилож 4 24'!X14</f>
        <v>3620866</v>
      </c>
      <c r="I14" s="621"/>
      <c r="J14" s="595">
        <f>'Прилож 4 24'!Z14</f>
        <v>0</v>
      </c>
      <c r="K14" s="595">
        <f>'Прилож 4 24'!AA14</f>
        <v>0</v>
      </c>
      <c r="L14" s="595">
        <f>'Прилож 4 24'!AB14</f>
        <v>0</v>
      </c>
      <c r="M14" s="596">
        <f t="shared" si="1"/>
        <v>24164810</v>
      </c>
      <c r="N14" s="595">
        <v>23071130</v>
      </c>
      <c r="O14" s="595">
        <v>1093680</v>
      </c>
      <c r="P14" s="595"/>
      <c r="Q14" s="621"/>
      <c r="R14" s="595"/>
      <c r="S14" s="595"/>
      <c r="T14" s="595"/>
      <c r="U14" s="596">
        <f t="shared" si="4"/>
        <v>27785676</v>
      </c>
      <c r="V14" s="595">
        <f>'[8]Прилож 4 24 (2)'!$V$14</f>
        <v>23071130</v>
      </c>
      <c r="W14" s="595">
        <f>'[8]Прилож 4 24 (2)'!$W$14</f>
        <v>1093680</v>
      </c>
      <c r="X14" s="595">
        <f t="shared" si="2"/>
        <v>3620866</v>
      </c>
      <c r="Y14" s="621"/>
      <c r="Z14" s="595">
        <f t="shared" si="3"/>
        <v>0</v>
      </c>
      <c r="AA14" s="595">
        <f t="shared" si="3"/>
        <v>0</v>
      </c>
      <c r="AB14" s="595">
        <f t="shared" si="3"/>
        <v>0</v>
      </c>
      <c r="AC14" s="622" t="s">
        <v>1279</v>
      </c>
    </row>
    <row r="15" spans="1:29" ht="118.5" customHeight="1" x14ac:dyDescent="0.2">
      <c r="A15" s="618" t="s">
        <v>945</v>
      </c>
      <c r="B15" s="619" t="s">
        <v>729</v>
      </c>
      <c r="C15" s="620">
        <v>130</v>
      </c>
      <c r="D15" s="620">
        <v>131</v>
      </c>
      <c r="E15" s="596">
        <f t="shared" si="0"/>
        <v>354251.13</v>
      </c>
      <c r="F15" s="595">
        <f>'[8]Прилож 4 24 (2)'!$V$15</f>
        <v>116903.03999999999</v>
      </c>
      <c r="G15" s="595">
        <f>'[8]Прилож 4 24 (2)'!$W$15</f>
        <v>237348.09</v>
      </c>
      <c r="H15" s="595">
        <f>'Прилож 4 24'!X15</f>
        <v>0</v>
      </c>
      <c r="I15" s="621"/>
      <c r="J15" s="595">
        <f>'Прилож 4 24'!Z15</f>
        <v>0</v>
      </c>
      <c r="K15" s="595">
        <f>'Прилож 4 24'!AA15</f>
        <v>0</v>
      </c>
      <c r="L15" s="595">
        <f>'Прилож 4 24'!AB15</f>
        <v>0</v>
      </c>
      <c r="M15" s="596">
        <f t="shared" si="1"/>
        <v>354251.13</v>
      </c>
      <c r="N15" s="595">
        <v>116903.03999999999</v>
      </c>
      <c r="O15" s="595">
        <v>237348.09</v>
      </c>
      <c r="P15" s="595"/>
      <c r="Q15" s="621"/>
      <c r="R15" s="595"/>
      <c r="S15" s="595"/>
      <c r="T15" s="595"/>
      <c r="U15" s="596">
        <f t="shared" si="4"/>
        <v>354251.13</v>
      </c>
      <c r="V15" s="595">
        <f>'[8]Прилож 4 24 (2)'!$V$15</f>
        <v>116903.03999999999</v>
      </c>
      <c r="W15" s="595">
        <f>'[8]Прилож 4 24 (2)'!$W$15</f>
        <v>237348.09</v>
      </c>
      <c r="X15" s="595">
        <f t="shared" si="2"/>
        <v>0</v>
      </c>
      <c r="Y15" s="621"/>
      <c r="Z15" s="595">
        <f t="shared" si="3"/>
        <v>0</v>
      </c>
      <c r="AA15" s="595">
        <f t="shared" si="3"/>
        <v>0</v>
      </c>
      <c r="AB15" s="595">
        <f t="shared" si="3"/>
        <v>0</v>
      </c>
      <c r="AC15" s="622" t="s">
        <v>1280</v>
      </c>
    </row>
    <row r="16" spans="1:29" ht="57" customHeight="1" x14ac:dyDescent="0.2">
      <c r="A16" s="618" t="s">
        <v>582</v>
      </c>
      <c r="B16" s="619" t="s">
        <v>691</v>
      </c>
      <c r="C16" s="620">
        <v>130</v>
      </c>
      <c r="D16" s="620">
        <v>131</v>
      </c>
      <c r="E16" s="596">
        <f t="shared" si="0"/>
        <v>352345.7</v>
      </c>
      <c r="F16" s="595">
        <f>'[8]Прилож 4 24 (2)'!$V$16</f>
        <v>32288.77</v>
      </c>
      <c r="G16" s="595">
        <f>'Прилож 4 24'!W16</f>
        <v>0</v>
      </c>
      <c r="H16" s="595">
        <f>'Прилож 4 24'!X16</f>
        <v>320056.93</v>
      </c>
      <c r="I16" s="621"/>
      <c r="J16" s="595">
        <f>'Прилож 4 24'!Z16</f>
        <v>0</v>
      </c>
      <c r="K16" s="595">
        <f>'Прилож 4 24'!AA16</f>
        <v>0</v>
      </c>
      <c r="L16" s="595">
        <f>'Прилож 4 24'!AB16</f>
        <v>0</v>
      </c>
      <c r="M16" s="596">
        <f t="shared" si="1"/>
        <v>32288.77</v>
      </c>
      <c r="N16" s="595">
        <v>32288.77</v>
      </c>
      <c r="O16" s="595"/>
      <c r="P16" s="595"/>
      <c r="Q16" s="621"/>
      <c r="R16" s="595"/>
      <c r="S16" s="595"/>
      <c r="T16" s="595"/>
      <c r="U16" s="596">
        <f t="shared" si="4"/>
        <v>352345.7</v>
      </c>
      <c r="V16" s="595">
        <f>'[8]Прилож 4 24 (2)'!$V$16</f>
        <v>32288.77</v>
      </c>
      <c r="W16" s="595">
        <f t="shared" si="2"/>
        <v>0</v>
      </c>
      <c r="X16" s="595">
        <f t="shared" si="2"/>
        <v>320056.93</v>
      </c>
      <c r="Y16" s="621"/>
      <c r="Z16" s="595">
        <f t="shared" si="3"/>
        <v>0</v>
      </c>
      <c r="AA16" s="595">
        <f t="shared" si="3"/>
        <v>0</v>
      </c>
      <c r="AB16" s="595">
        <f t="shared" si="3"/>
        <v>0</v>
      </c>
      <c r="AC16" s="622" t="s">
        <v>1304</v>
      </c>
    </row>
    <row r="17" spans="1:29" ht="62.25" customHeight="1" x14ac:dyDescent="0.2">
      <c r="A17" s="618" t="s">
        <v>283</v>
      </c>
      <c r="B17" s="619" t="s">
        <v>729</v>
      </c>
      <c r="C17" s="620">
        <v>130</v>
      </c>
      <c r="D17" s="620">
        <v>131</v>
      </c>
      <c r="E17" s="596">
        <f t="shared" si="0"/>
        <v>80080</v>
      </c>
      <c r="F17" s="595"/>
      <c r="G17" s="595">
        <f>'Прилож 4 24'!W17</f>
        <v>0</v>
      </c>
      <c r="H17" s="595">
        <f>'Прилож 4 24'!X17</f>
        <v>0</v>
      </c>
      <c r="I17" s="621"/>
      <c r="J17" s="595">
        <f>'Прилож 4 24'!Z17</f>
        <v>0</v>
      </c>
      <c r="K17" s="595">
        <f>'Прилож 4 24'!AA17</f>
        <v>0</v>
      </c>
      <c r="L17" s="595">
        <f>'Прилож 4 24'!AB17</f>
        <v>80080</v>
      </c>
      <c r="M17" s="596">
        <f t="shared" si="1"/>
        <v>0</v>
      </c>
      <c r="N17" s="595"/>
      <c r="O17" s="595"/>
      <c r="P17" s="595"/>
      <c r="Q17" s="621"/>
      <c r="R17" s="595"/>
      <c r="S17" s="595"/>
      <c r="T17" s="595"/>
      <c r="U17" s="596">
        <f t="shared" si="4"/>
        <v>80080</v>
      </c>
      <c r="V17" s="595">
        <f t="shared" si="5"/>
        <v>0</v>
      </c>
      <c r="W17" s="595">
        <f t="shared" si="2"/>
        <v>0</v>
      </c>
      <c r="X17" s="595">
        <f t="shared" si="2"/>
        <v>0</v>
      </c>
      <c r="Y17" s="621"/>
      <c r="Z17" s="595">
        <f t="shared" si="3"/>
        <v>0</v>
      </c>
      <c r="AA17" s="595">
        <f t="shared" si="3"/>
        <v>0</v>
      </c>
      <c r="AB17" s="595">
        <f t="shared" si="3"/>
        <v>80080</v>
      </c>
      <c r="AC17" s="622"/>
    </row>
    <row r="18" spans="1:29" ht="63.75" customHeight="1" x14ac:dyDescent="0.2">
      <c r="A18" s="618" t="s">
        <v>282</v>
      </c>
      <c r="B18" s="619" t="s">
        <v>729</v>
      </c>
      <c r="C18" s="620">
        <v>130</v>
      </c>
      <c r="D18" s="620">
        <v>131</v>
      </c>
      <c r="E18" s="596">
        <f t="shared" si="0"/>
        <v>0</v>
      </c>
      <c r="F18" s="595">
        <f>'[8]Прилож 4 24 (2)'!$V$11</f>
        <v>0</v>
      </c>
      <c r="G18" s="595">
        <f>'Прилож 4 24'!W18</f>
        <v>0</v>
      </c>
      <c r="H18" s="595">
        <f>'Прилож 4 24'!X18</f>
        <v>0</v>
      </c>
      <c r="I18" s="621"/>
      <c r="J18" s="595">
        <f>'Прилож 4 24'!Z18</f>
        <v>0</v>
      </c>
      <c r="K18" s="595">
        <f>'Прилож 4 24'!AA18</f>
        <v>0</v>
      </c>
      <c r="L18" s="595">
        <f>'Прилож 4 24'!AB18</f>
        <v>0</v>
      </c>
      <c r="M18" s="596">
        <f t="shared" si="1"/>
        <v>0</v>
      </c>
      <c r="N18" s="595"/>
      <c r="O18" s="595"/>
      <c r="P18" s="595"/>
      <c r="Q18" s="621"/>
      <c r="R18" s="595"/>
      <c r="S18" s="595"/>
      <c r="T18" s="595"/>
      <c r="U18" s="596">
        <f t="shared" si="4"/>
        <v>0</v>
      </c>
      <c r="V18" s="595">
        <f t="shared" si="5"/>
        <v>0</v>
      </c>
      <c r="W18" s="595">
        <f t="shared" si="2"/>
        <v>0</v>
      </c>
      <c r="X18" s="595">
        <f t="shared" si="2"/>
        <v>0</v>
      </c>
      <c r="Y18" s="621"/>
      <c r="Z18" s="595">
        <f t="shared" si="3"/>
        <v>0</v>
      </c>
      <c r="AA18" s="595">
        <f t="shared" si="3"/>
        <v>0</v>
      </c>
      <c r="AB18" s="595">
        <f t="shared" si="3"/>
        <v>0</v>
      </c>
      <c r="AC18" s="622"/>
    </row>
    <row r="19" spans="1:29" ht="52.5" customHeight="1" x14ac:dyDescent="0.2">
      <c r="A19" s="618" t="s">
        <v>273</v>
      </c>
      <c r="B19" s="619" t="s">
        <v>729</v>
      </c>
      <c r="C19" s="620">
        <v>130</v>
      </c>
      <c r="D19" s="620">
        <v>131</v>
      </c>
      <c r="E19" s="596">
        <f t="shared" si="0"/>
        <v>0</v>
      </c>
      <c r="F19" s="595">
        <f>'[8]Прилож 4 24 (2)'!$V$11</f>
        <v>0</v>
      </c>
      <c r="G19" s="595">
        <f>'Прилож 4 24'!W19</f>
        <v>0</v>
      </c>
      <c r="H19" s="595">
        <f>'Прилож 4 24'!X19</f>
        <v>0</v>
      </c>
      <c r="I19" s="621"/>
      <c r="J19" s="595">
        <f>'Прилож 4 24'!Z19</f>
        <v>0</v>
      </c>
      <c r="K19" s="595">
        <f>'Прилож 4 24'!AA19</f>
        <v>0</v>
      </c>
      <c r="L19" s="595">
        <f>'Прилож 4 24'!AB19</f>
        <v>0</v>
      </c>
      <c r="M19" s="596">
        <f t="shared" si="1"/>
        <v>0</v>
      </c>
      <c r="N19" s="595"/>
      <c r="O19" s="595"/>
      <c r="P19" s="595"/>
      <c r="Q19" s="621"/>
      <c r="R19" s="595"/>
      <c r="S19" s="595"/>
      <c r="T19" s="595"/>
      <c r="U19" s="596">
        <f t="shared" si="4"/>
        <v>0</v>
      </c>
      <c r="V19" s="595">
        <f t="shared" si="5"/>
        <v>0</v>
      </c>
      <c r="W19" s="595">
        <f t="shared" si="2"/>
        <v>0</v>
      </c>
      <c r="X19" s="595">
        <f t="shared" si="2"/>
        <v>0</v>
      </c>
      <c r="Y19" s="621"/>
      <c r="Z19" s="595">
        <f t="shared" si="3"/>
        <v>0</v>
      </c>
      <c r="AA19" s="595">
        <f t="shared" si="3"/>
        <v>0</v>
      </c>
      <c r="AB19" s="595">
        <f t="shared" si="3"/>
        <v>0</v>
      </c>
      <c r="AC19" s="622"/>
    </row>
    <row r="20" spans="1:29" ht="47.25" x14ac:dyDescent="0.2">
      <c r="A20" s="618" t="s">
        <v>789</v>
      </c>
      <c r="B20" s="619" t="s">
        <v>747</v>
      </c>
      <c r="C20" s="620">
        <v>130</v>
      </c>
      <c r="D20" s="620">
        <v>131</v>
      </c>
      <c r="E20" s="596">
        <f t="shared" si="0"/>
        <v>1170130</v>
      </c>
      <c r="F20" s="595">
        <f>'[8]Прилож 4 24 (2)'!$V$11</f>
        <v>0</v>
      </c>
      <c r="G20" s="595">
        <f>'Прилож 4 24'!W20</f>
        <v>0</v>
      </c>
      <c r="H20" s="595">
        <f>'Прилож 4 24'!X20</f>
        <v>0</v>
      </c>
      <c r="I20" s="621"/>
      <c r="J20" s="595">
        <f>'Прилож 4 24'!Z20</f>
        <v>0</v>
      </c>
      <c r="K20" s="595">
        <f>'Прилож 4 24'!AA20</f>
        <v>0</v>
      </c>
      <c r="L20" s="595">
        <f>'[8]Прилож 4 24 (2)'!$AB$20</f>
        <v>1170130</v>
      </c>
      <c r="M20" s="596">
        <f t="shared" si="1"/>
        <v>-600000</v>
      </c>
      <c r="N20" s="595"/>
      <c r="O20" s="595"/>
      <c r="P20" s="595"/>
      <c r="Q20" s="621"/>
      <c r="R20" s="595"/>
      <c r="S20" s="595"/>
      <c r="T20" s="595">
        <v>-600000</v>
      </c>
      <c r="U20" s="596">
        <f t="shared" si="4"/>
        <v>1170130</v>
      </c>
      <c r="V20" s="595">
        <f t="shared" si="5"/>
        <v>0</v>
      </c>
      <c r="W20" s="595">
        <f t="shared" si="2"/>
        <v>0</v>
      </c>
      <c r="X20" s="595">
        <f t="shared" si="2"/>
        <v>0</v>
      </c>
      <c r="Y20" s="621"/>
      <c r="Z20" s="595">
        <f t="shared" si="3"/>
        <v>0</v>
      </c>
      <c r="AA20" s="595">
        <f t="shared" si="3"/>
        <v>0</v>
      </c>
      <c r="AB20" s="595">
        <f>'[8]Прилож 4 24 (2)'!$AB$20</f>
        <v>1170130</v>
      </c>
      <c r="AC20" s="622" t="s">
        <v>1300</v>
      </c>
    </row>
    <row r="21" spans="1:29" ht="111.75" customHeight="1" x14ac:dyDescent="0.2">
      <c r="A21" s="618" t="s">
        <v>1237</v>
      </c>
      <c r="B21" s="619" t="s">
        <v>747</v>
      </c>
      <c r="C21" s="620">
        <v>150</v>
      </c>
      <c r="D21" s="620">
        <v>152</v>
      </c>
      <c r="E21" s="596">
        <f t="shared" si="0"/>
        <v>116466</v>
      </c>
      <c r="F21" s="595">
        <f>'[8]Прилож 4 24 (2)'!$V$11</f>
        <v>0</v>
      </c>
      <c r="G21" s="595">
        <f>'Прилож 4 24'!W21</f>
        <v>0</v>
      </c>
      <c r="H21" s="595">
        <f>'Прилож 4 24'!X21</f>
        <v>0</v>
      </c>
      <c r="I21" s="623" t="s">
        <v>1250</v>
      </c>
      <c r="J21" s="595">
        <f>'Прилож 4 24'!Z21</f>
        <v>0</v>
      </c>
      <c r="K21" s="595">
        <f>'Прилож 4 24'!AA21</f>
        <v>116466</v>
      </c>
      <c r="L21" s="595">
        <f>'Прилож 4 24'!AB21</f>
        <v>0</v>
      </c>
      <c r="M21" s="596">
        <f t="shared" si="1"/>
        <v>0</v>
      </c>
      <c r="N21" s="595"/>
      <c r="O21" s="595"/>
      <c r="P21" s="595"/>
      <c r="Q21" s="621"/>
      <c r="R21" s="595"/>
      <c r="S21" s="595"/>
      <c r="T21" s="595"/>
      <c r="U21" s="596">
        <f t="shared" si="4"/>
        <v>116466</v>
      </c>
      <c r="V21" s="595">
        <f t="shared" si="5"/>
        <v>0</v>
      </c>
      <c r="W21" s="595">
        <f t="shared" si="2"/>
        <v>0</v>
      </c>
      <c r="X21" s="595">
        <f t="shared" si="2"/>
        <v>0</v>
      </c>
      <c r="Y21" s="621" t="s">
        <v>1250</v>
      </c>
      <c r="Z21" s="595">
        <f t="shared" si="3"/>
        <v>0</v>
      </c>
      <c r="AA21" s="595">
        <f t="shared" si="3"/>
        <v>116466</v>
      </c>
      <c r="AB21" s="595">
        <f t="shared" si="3"/>
        <v>0</v>
      </c>
      <c r="AC21" s="622"/>
    </row>
    <row r="22" spans="1:29" ht="32.25" customHeight="1" x14ac:dyDescent="0.2">
      <c r="A22" s="618" t="s">
        <v>581</v>
      </c>
      <c r="B22" s="619" t="s">
        <v>64</v>
      </c>
      <c r="C22" s="620">
        <v>150</v>
      </c>
      <c r="D22" s="620">
        <v>152</v>
      </c>
      <c r="E22" s="596">
        <f t="shared" si="0"/>
        <v>87037.3</v>
      </c>
      <c r="F22" s="595">
        <f>'[8]Прилож 4 24 (2)'!$V$11</f>
        <v>0</v>
      </c>
      <c r="G22" s="595">
        <f>'Прилож 4 24'!W22</f>
        <v>0</v>
      </c>
      <c r="H22" s="595">
        <f>'Прилож 4 24'!X22</f>
        <v>0</v>
      </c>
      <c r="I22" s="623" t="s">
        <v>1235</v>
      </c>
      <c r="J22" s="595">
        <f>'Прилож 4 24'!Z22</f>
        <v>0</v>
      </c>
      <c r="K22" s="595">
        <f>'Прилож 4 24'!AA22</f>
        <v>87037.3</v>
      </c>
      <c r="L22" s="595">
        <f>'Прилож 4 24'!AB22</f>
        <v>0</v>
      </c>
      <c r="M22" s="596">
        <f t="shared" si="1"/>
        <v>0</v>
      </c>
      <c r="N22" s="595"/>
      <c r="O22" s="595"/>
      <c r="P22" s="595"/>
      <c r="Q22" s="621"/>
      <c r="R22" s="595"/>
      <c r="S22" s="595"/>
      <c r="T22" s="595"/>
      <c r="U22" s="596">
        <f t="shared" si="4"/>
        <v>87037.3</v>
      </c>
      <c r="V22" s="595">
        <f t="shared" si="5"/>
        <v>0</v>
      </c>
      <c r="W22" s="595">
        <f t="shared" si="2"/>
        <v>0</v>
      </c>
      <c r="X22" s="595">
        <f t="shared" si="2"/>
        <v>0</v>
      </c>
      <c r="Y22" s="621" t="s">
        <v>1235</v>
      </c>
      <c r="Z22" s="595">
        <f t="shared" si="3"/>
        <v>0</v>
      </c>
      <c r="AA22" s="595">
        <f t="shared" si="3"/>
        <v>87037.3</v>
      </c>
      <c r="AB22" s="595">
        <f t="shared" si="3"/>
        <v>0</v>
      </c>
      <c r="AC22" s="622"/>
    </row>
    <row r="23" spans="1:29" ht="84" customHeight="1" x14ac:dyDescent="0.2">
      <c r="A23" s="618" t="s">
        <v>790</v>
      </c>
      <c r="B23" s="619" t="s">
        <v>791</v>
      </c>
      <c r="C23" s="620">
        <v>130</v>
      </c>
      <c r="D23" s="620">
        <v>131</v>
      </c>
      <c r="E23" s="596">
        <f t="shared" si="0"/>
        <v>600000</v>
      </c>
      <c r="F23" s="595">
        <f>'[8]Прилож 4 24 (2)'!$V$23</f>
        <v>600000</v>
      </c>
      <c r="G23" s="595">
        <f>'Прилож 4 24'!W23</f>
        <v>0</v>
      </c>
      <c r="H23" s="595">
        <f>'Прилож 4 24'!X23</f>
        <v>0</v>
      </c>
      <c r="I23" s="623"/>
      <c r="J23" s="595">
        <f>'Прилож 4 24'!Z23</f>
        <v>0</v>
      </c>
      <c r="K23" s="595">
        <f>'Прилож 4 24'!AA23</f>
        <v>0</v>
      </c>
      <c r="L23" s="595">
        <f>'Прилож 4 24'!AB23</f>
        <v>0</v>
      </c>
      <c r="M23" s="596">
        <f t="shared" si="1"/>
        <v>600000</v>
      </c>
      <c r="N23" s="595">
        <v>600000</v>
      </c>
      <c r="O23" s="595"/>
      <c r="P23" s="595"/>
      <c r="Q23" s="621"/>
      <c r="R23" s="595"/>
      <c r="S23" s="595"/>
      <c r="T23" s="595"/>
      <c r="U23" s="596">
        <f t="shared" si="4"/>
        <v>600000</v>
      </c>
      <c r="V23" s="595">
        <f>'[8]Прилож 4 24 (2)'!$V$23</f>
        <v>600000</v>
      </c>
      <c r="W23" s="595">
        <f t="shared" si="2"/>
        <v>0</v>
      </c>
      <c r="X23" s="595">
        <f t="shared" si="2"/>
        <v>0</v>
      </c>
      <c r="Y23" s="621"/>
      <c r="Z23" s="595">
        <f t="shared" si="3"/>
        <v>0</v>
      </c>
      <c r="AA23" s="595">
        <f t="shared" si="3"/>
        <v>0</v>
      </c>
      <c r="AB23" s="595">
        <f t="shared" si="3"/>
        <v>0</v>
      </c>
      <c r="AC23" s="622" t="s">
        <v>1299</v>
      </c>
    </row>
    <row r="24" spans="1:29" ht="109.5" customHeight="1" x14ac:dyDescent="0.2">
      <c r="A24" s="618" t="s">
        <v>1236</v>
      </c>
      <c r="B24" s="619" t="s">
        <v>729</v>
      </c>
      <c r="C24" s="620">
        <v>150</v>
      </c>
      <c r="D24" s="620">
        <v>152</v>
      </c>
      <c r="E24" s="596">
        <f t="shared" si="0"/>
        <v>7777777.7800000003</v>
      </c>
      <c r="F24" s="595">
        <f>'[8]Прилож 4 24 (2)'!$V$11</f>
        <v>0</v>
      </c>
      <c r="G24" s="595">
        <f>'Прилож 4 24'!W24</f>
        <v>0</v>
      </c>
      <c r="H24" s="595">
        <f>'Прилож 4 24'!X24</f>
        <v>0</v>
      </c>
      <c r="I24" s="623" t="s">
        <v>1251</v>
      </c>
      <c r="J24" s="595">
        <f>'Прилож 4 24'!Z24</f>
        <v>0</v>
      </c>
      <c r="K24" s="595">
        <f>'Прилож 4 24'!AA24</f>
        <v>7777777.7800000003</v>
      </c>
      <c r="L24" s="595">
        <f>'Прилож 4 24'!AB24</f>
        <v>0</v>
      </c>
      <c r="M24" s="596">
        <f t="shared" si="1"/>
        <v>0</v>
      </c>
      <c r="N24" s="595"/>
      <c r="O24" s="595"/>
      <c r="P24" s="595"/>
      <c r="Q24" s="621"/>
      <c r="R24" s="595"/>
      <c r="S24" s="595"/>
      <c r="T24" s="595"/>
      <c r="U24" s="596">
        <f t="shared" si="4"/>
        <v>7777777.7800000003</v>
      </c>
      <c r="V24" s="595">
        <f t="shared" ref="V24:V96" si="6">F24+N24</f>
        <v>0</v>
      </c>
      <c r="W24" s="595">
        <f t="shared" si="2"/>
        <v>0</v>
      </c>
      <c r="X24" s="595">
        <f t="shared" si="2"/>
        <v>0</v>
      </c>
      <c r="Y24" s="621" t="s">
        <v>1251</v>
      </c>
      <c r="Z24" s="595">
        <f t="shared" si="3"/>
        <v>0</v>
      </c>
      <c r="AA24" s="595">
        <f t="shared" si="3"/>
        <v>7777777.7800000003</v>
      </c>
      <c r="AB24" s="595">
        <f t="shared" si="3"/>
        <v>0</v>
      </c>
      <c r="AC24" s="622"/>
    </row>
    <row r="25" spans="1:29" ht="60" customHeight="1" x14ac:dyDescent="0.2">
      <c r="A25" s="618" t="s">
        <v>284</v>
      </c>
      <c r="B25" s="619" t="s">
        <v>691</v>
      </c>
      <c r="C25" s="620">
        <v>130</v>
      </c>
      <c r="D25" s="620">
        <v>131</v>
      </c>
      <c r="E25" s="596">
        <f t="shared" si="0"/>
        <v>0</v>
      </c>
      <c r="F25" s="595">
        <f>'[8]Прилож 4 24 (2)'!$V$11</f>
        <v>0</v>
      </c>
      <c r="G25" s="595">
        <f>'Прилож 4 24'!W25</f>
        <v>0</v>
      </c>
      <c r="H25" s="595">
        <f>'Прилож 4 24'!X25</f>
        <v>0</v>
      </c>
      <c r="I25" s="623"/>
      <c r="J25" s="595">
        <f>'Прилож 4 24'!Z25</f>
        <v>0</v>
      </c>
      <c r="K25" s="595">
        <f>'Прилож 4 24'!AA25</f>
        <v>0</v>
      </c>
      <c r="L25" s="595"/>
      <c r="M25" s="596">
        <f t="shared" si="1"/>
        <v>0</v>
      </c>
      <c r="N25" s="595"/>
      <c r="O25" s="595"/>
      <c r="P25" s="595"/>
      <c r="Q25" s="621"/>
      <c r="R25" s="595"/>
      <c r="S25" s="595"/>
      <c r="T25" s="595"/>
      <c r="U25" s="596">
        <f t="shared" si="4"/>
        <v>0</v>
      </c>
      <c r="V25" s="595"/>
      <c r="W25" s="595"/>
      <c r="X25" s="595"/>
      <c r="Y25" s="621"/>
      <c r="Z25" s="595"/>
      <c r="AA25" s="595"/>
      <c r="AB25" s="595"/>
      <c r="AC25" s="622"/>
    </row>
    <row r="26" spans="1:29" s="614" customFormat="1" ht="28.5" customHeight="1" x14ac:dyDescent="0.2">
      <c r="A26" s="624" t="s">
        <v>730</v>
      </c>
      <c r="B26" s="596">
        <f t="shared" ref="B26:S26" si="7">SUM(B12:B25)</f>
        <v>0</v>
      </c>
      <c r="C26" s="596"/>
      <c r="D26" s="596"/>
      <c r="E26" s="596">
        <f t="shared" si="7"/>
        <v>62478963.910000004</v>
      </c>
      <c r="F26" s="595">
        <f>'[8]Прилож 4 24 (2)'!$V$26</f>
        <v>40711421.810000002</v>
      </c>
      <c r="G26" s="596">
        <f t="shared" si="7"/>
        <v>1331028.0900000001</v>
      </c>
      <c r="H26" s="596">
        <f t="shared" si="7"/>
        <v>11205022.93</v>
      </c>
      <c r="I26" s="596">
        <f t="shared" si="7"/>
        <v>0</v>
      </c>
      <c r="J26" s="596">
        <f t="shared" si="7"/>
        <v>0</v>
      </c>
      <c r="K26" s="596">
        <f t="shared" si="7"/>
        <v>7981281.0800000001</v>
      </c>
      <c r="L26" s="596">
        <f t="shared" si="7"/>
        <v>1250210</v>
      </c>
      <c r="M26" s="596">
        <f t="shared" si="7"/>
        <v>41442449.900000006</v>
      </c>
      <c r="N26" s="596">
        <f t="shared" si="7"/>
        <v>40711421.810000002</v>
      </c>
      <c r="O26" s="596">
        <f t="shared" si="7"/>
        <v>1331028.0900000001</v>
      </c>
      <c r="P26" s="596">
        <f t="shared" si="7"/>
        <v>0</v>
      </c>
      <c r="Q26" s="596">
        <f t="shared" si="7"/>
        <v>0</v>
      </c>
      <c r="R26" s="596">
        <f t="shared" si="7"/>
        <v>0</v>
      </c>
      <c r="S26" s="596">
        <f t="shared" si="7"/>
        <v>0</v>
      </c>
      <c r="T26" s="596">
        <f>SUM(T12:T25)</f>
        <v>-600000</v>
      </c>
      <c r="U26" s="596">
        <f t="shared" ref="U26:AB26" si="8">SUM(U12:U25)</f>
        <v>62478963.910000004</v>
      </c>
      <c r="V26" s="596">
        <f t="shared" si="8"/>
        <v>40711421.810000002</v>
      </c>
      <c r="W26" s="596">
        <f t="shared" si="8"/>
        <v>1331028.0900000001</v>
      </c>
      <c r="X26" s="596">
        <f t="shared" si="8"/>
        <v>11205022.93</v>
      </c>
      <c r="Y26" s="596">
        <f t="shared" si="8"/>
        <v>0</v>
      </c>
      <c r="Z26" s="596">
        <f t="shared" si="8"/>
        <v>0</v>
      </c>
      <c r="AA26" s="596">
        <f t="shared" si="8"/>
        <v>7981281.0800000001</v>
      </c>
      <c r="AB26" s="596">
        <f t="shared" si="8"/>
        <v>1250210</v>
      </c>
      <c r="AC26" s="627"/>
    </row>
    <row r="27" spans="1:29" x14ac:dyDescent="0.2">
      <c r="A27" s="620" t="s">
        <v>731</v>
      </c>
      <c r="B27" s="619" t="s">
        <v>747</v>
      </c>
      <c r="C27" s="620">
        <v>111</v>
      </c>
      <c r="D27" s="620">
        <v>211</v>
      </c>
      <c r="E27" s="596">
        <f t="shared" si="0"/>
        <v>14441714.18</v>
      </c>
      <c r="F27" s="595">
        <f>'[8]Прилож 4 24 (2)'!$V$27</f>
        <v>12099601.689999999</v>
      </c>
      <c r="G27" s="595">
        <f>'[8]Прилож 4 24 (2)'!$W$27</f>
        <v>0</v>
      </c>
      <c r="H27" s="595">
        <f>'Прилож 4 24'!X27</f>
        <v>2342112.4900000002</v>
      </c>
      <c r="I27" s="623"/>
      <c r="J27" s="595">
        <f>'Прилож 4 24'!Z27</f>
        <v>0</v>
      </c>
      <c r="K27" s="595">
        <f>'Прилож 4 24'!AA27</f>
        <v>0</v>
      </c>
      <c r="L27" s="595">
        <f>'Прилож 4 24'!AB27</f>
        <v>0</v>
      </c>
      <c r="M27" s="596">
        <f t="shared" si="1"/>
        <v>12099601.689999999</v>
      </c>
      <c r="N27" s="595">
        <v>12099601.689999999</v>
      </c>
      <c r="O27" s="595"/>
      <c r="P27" s="595"/>
      <c r="Q27" s="621"/>
      <c r="R27" s="595"/>
      <c r="S27" s="595"/>
      <c r="T27" s="595"/>
      <c r="U27" s="596">
        <f t="shared" si="4"/>
        <v>14441714.18</v>
      </c>
      <c r="V27" s="595">
        <f>'[8]Прилож 4 24 (2)'!$V$27</f>
        <v>12099601.689999999</v>
      </c>
      <c r="W27" s="595">
        <f>'[8]Прилож 4 24 (2)'!$W$27</f>
        <v>0</v>
      </c>
      <c r="X27" s="595">
        <f t="shared" si="2"/>
        <v>2342112.4900000002</v>
      </c>
      <c r="Y27" s="621"/>
      <c r="Z27" s="595">
        <f t="shared" si="3"/>
        <v>0</v>
      </c>
      <c r="AA27" s="595">
        <f t="shared" si="3"/>
        <v>0</v>
      </c>
      <c r="AB27" s="595">
        <f t="shared" si="3"/>
        <v>0</v>
      </c>
      <c r="AC27" s="622"/>
    </row>
    <row r="28" spans="1:29" x14ac:dyDescent="0.2">
      <c r="A28" s="620" t="s">
        <v>731</v>
      </c>
      <c r="B28" s="619" t="s">
        <v>729</v>
      </c>
      <c r="C28" s="620">
        <v>111</v>
      </c>
      <c r="D28" s="620">
        <v>211</v>
      </c>
      <c r="E28" s="596">
        <f t="shared" si="0"/>
        <v>18414753.77</v>
      </c>
      <c r="F28" s="595">
        <f>'[8]Прилож 4 24 (2)'!$V$28</f>
        <v>16863153.77</v>
      </c>
      <c r="G28" s="595">
        <f>'[8]Прилож 4 24 (2)'!$W$28</f>
        <v>840000</v>
      </c>
      <c r="H28" s="595">
        <f>'Прилож 4 24'!X28</f>
        <v>711600</v>
      </c>
      <c r="I28" s="623"/>
      <c r="J28" s="595">
        <f>'Прилож 4 24'!Z28</f>
        <v>0</v>
      </c>
      <c r="K28" s="595">
        <f>'Прилож 4 24'!AA28</f>
        <v>0</v>
      </c>
      <c r="L28" s="595">
        <f>'Прилож 4 24'!AB28</f>
        <v>0</v>
      </c>
      <c r="M28" s="596">
        <f t="shared" si="1"/>
        <v>17703153.77</v>
      </c>
      <c r="N28" s="595">
        <v>16863153.77</v>
      </c>
      <c r="O28" s="595">
        <v>840000</v>
      </c>
      <c r="P28" s="595"/>
      <c r="Q28" s="621"/>
      <c r="R28" s="595"/>
      <c r="S28" s="595"/>
      <c r="T28" s="595"/>
      <c r="U28" s="596">
        <f>V28+X28+Z28+AA28+AB28+W28</f>
        <v>18414753.77</v>
      </c>
      <c r="V28" s="595">
        <v>16863153.77</v>
      </c>
      <c r="W28" s="595">
        <f>'[8]Прилож 4 24 (2)'!$W$28</f>
        <v>840000</v>
      </c>
      <c r="X28" s="595">
        <f t="shared" si="2"/>
        <v>711600</v>
      </c>
      <c r="Y28" s="621"/>
      <c r="Z28" s="595">
        <f t="shared" si="3"/>
        <v>0</v>
      </c>
      <c r="AA28" s="595">
        <f t="shared" si="3"/>
        <v>0</v>
      </c>
      <c r="AB28" s="595">
        <f t="shared" si="3"/>
        <v>0</v>
      </c>
      <c r="AC28" s="622"/>
    </row>
    <row r="29" spans="1:29" x14ac:dyDescent="0.2">
      <c r="A29" s="620" t="s">
        <v>943</v>
      </c>
      <c r="B29" s="619" t="s">
        <v>729</v>
      </c>
      <c r="C29" s="620">
        <v>111</v>
      </c>
      <c r="D29" s="620">
        <v>211</v>
      </c>
      <c r="E29" s="596">
        <f t="shared" si="0"/>
        <v>272082.28000000003</v>
      </c>
      <c r="F29" s="595">
        <f>'[8]Прилож 4 24 (2)'!$V$29</f>
        <v>89787.28</v>
      </c>
      <c r="G29" s="595">
        <f>'[8]Прилож 4 24 (2)'!$W$29</f>
        <v>182295</v>
      </c>
      <c r="H29" s="595">
        <f>'Прилож 4 24'!X29</f>
        <v>0</v>
      </c>
      <c r="I29" s="623"/>
      <c r="J29" s="595">
        <f>'Прилож 4 24'!Z29</f>
        <v>0</v>
      </c>
      <c r="K29" s="595">
        <f>'Прилож 4 24'!AA29</f>
        <v>0</v>
      </c>
      <c r="L29" s="595">
        <f>'Прилож 4 24'!AB29</f>
        <v>0</v>
      </c>
      <c r="M29" s="596">
        <f t="shared" si="1"/>
        <v>272082.28000000003</v>
      </c>
      <c r="N29" s="595">
        <f>советник!I16</f>
        <v>89787.28</v>
      </c>
      <c r="O29" s="595">
        <v>182295</v>
      </c>
      <c r="P29" s="595"/>
      <c r="Q29" s="621"/>
      <c r="R29" s="595"/>
      <c r="S29" s="595"/>
      <c r="T29" s="595"/>
      <c r="U29" s="596">
        <f t="shared" si="4"/>
        <v>272082.28000000003</v>
      </c>
      <c r="V29" s="595">
        <f>'[8]Прилож 4 24 (2)'!$V$29</f>
        <v>89787.28</v>
      </c>
      <c r="W29" s="595">
        <f>'[8]Прилож 4 24 (2)'!$W$29</f>
        <v>182295</v>
      </c>
      <c r="X29" s="595">
        <f t="shared" si="2"/>
        <v>0</v>
      </c>
      <c r="Y29" s="621"/>
      <c r="Z29" s="595">
        <f t="shared" si="3"/>
        <v>0</v>
      </c>
      <c r="AA29" s="595">
        <f t="shared" si="3"/>
        <v>0</v>
      </c>
      <c r="AB29" s="595">
        <f t="shared" si="3"/>
        <v>0</v>
      </c>
      <c r="AC29" s="622"/>
    </row>
    <row r="30" spans="1:29" x14ac:dyDescent="0.2">
      <c r="A30" s="620" t="s">
        <v>731</v>
      </c>
      <c r="B30" s="619" t="s">
        <v>64</v>
      </c>
      <c r="C30" s="620">
        <v>111</v>
      </c>
      <c r="D30" s="620">
        <v>211</v>
      </c>
      <c r="E30" s="596">
        <f t="shared" si="0"/>
        <v>64391.3</v>
      </c>
      <c r="F30" s="595">
        <f>'[8]Прилож 4 24 (2)'!$V$30</f>
        <v>0</v>
      </c>
      <c r="G30" s="595">
        <f>'[8]Прилож 4 24 (2)'!$W$30</f>
        <v>0</v>
      </c>
      <c r="H30" s="595">
        <f>'Прилож 4 24'!X30</f>
        <v>0</v>
      </c>
      <c r="I30" s="623" t="s">
        <v>1235</v>
      </c>
      <c r="J30" s="595">
        <f>'Прилож 4 24'!Z30</f>
        <v>0</v>
      </c>
      <c r="K30" s="595">
        <f>'Прилож 4 24'!AA30</f>
        <v>64391.3</v>
      </c>
      <c r="L30" s="595">
        <f>'Прилож 4 24'!AB30</f>
        <v>0</v>
      </c>
      <c r="M30" s="596">
        <f t="shared" si="1"/>
        <v>0</v>
      </c>
      <c r="N30" s="595"/>
      <c r="O30" s="595"/>
      <c r="P30" s="595"/>
      <c r="Q30" s="621"/>
      <c r="R30" s="595"/>
      <c r="S30" s="595"/>
      <c r="T30" s="595"/>
      <c r="U30" s="596">
        <f t="shared" si="4"/>
        <v>64391.3</v>
      </c>
      <c r="V30" s="595">
        <f t="shared" si="6"/>
        <v>0</v>
      </c>
      <c r="W30" s="595">
        <f t="shared" si="2"/>
        <v>0</v>
      </c>
      <c r="X30" s="595">
        <f t="shared" si="2"/>
        <v>0</v>
      </c>
      <c r="Y30" s="621" t="s">
        <v>1235</v>
      </c>
      <c r="Z30" s="595">
        <f t="shared" si="3"/>
        <v>0</v>
      </c>
      <c r="AA30" s="595">
        <f t="shared" si="3"/>
        <v>64391.3</v>
      </c>
      <c r="AB30" s="595">
        <f t="shared" si="3"/>
        <v>0</v>
      </c>
      <c r="AC30" s="622"/>
    </row>
    <row r="31" spans="1:29" x14ac:dyDescent="0.2">
      <c r="A31" s="620" t="s">
        <v>731</v>
      </c>
      <c r="B31" s="619" t="s">
        <v>691</v>
      </c>
      <c r="C31" s="620">
        <v>111</v>
      </c>
      <c r="D31" s="620">
        <v>211</v>
      </c>
      <c r="E31" s="596">
        <f t="shared" si="0"/>
        <v>56017.74</v>
      </c>
      <c r="F31" s="595">
        <f>'[8]Прилож 4 24 (2)'!$V$31</f>
        <v>0</v>
      </c>
      <c r="G31" s="595">
        <f>'[8]Прилож 4 24 (2)'!$W$31</f>
        <v>0</v>
      </c>
      <c r="H31" s="595">
        <f>'Прилож 4 24'!X31</f>
        <v>47558.6</v>
      </c>
      <c r="I31" s="623"/>
      <c r="J31" s="595">
        <f>'Прилож 4 24'!Z31</f>
        <v>0</v>
      </c>
      <c r="K31" s="595">
        <f>'Прилож 4 24'!AA31</f>
        <v>0</v>
      </c>
      <c r="L31" s="595">
        <f>'Прилож 4 24'!AB31</f>
        <v>8459.14</v>
      </c>
      <c r="M31" s="596">
        <f t="shared" si="1"/>
        <v>0</v>
      </c>
      <c r="N31" s="595"/>
      <c r="O31" s="595"/>
      <c r="P31" s="595"/>
      <c r="Q31" s="621"/>
      <c r="R31" s="595"/>
      <c r="S31" s="595"/>
      <c r="T31" s="595"/>
      <c r="U31" s="596">
        <f t="shared" si="4"/>
        <v>56017.74</v>
      </c>
      <c r="V31" s="595">
        <f t="shared" si="6"/>
        <v>0</v>
      </c>
      <c r="W31" s="595">
        <f t="shared" si="2"/>
        <v>0</v>
      </c>
      <c r="X31" s="595">
        <f t="shared" si="2"/>
        <v>47558.6</v>
      </c>
      <c r="Y31" s="621"/>
      <c r="Z31" s="595">
        <f t="shared" si="3"/>
        <v>0</v>
      </c>
      <c r="AA31" s="595">
        <f t="shared" si="3"/>
        <v>0</v>
      </c>
      <c r="AB31" s="595">
        <f t="shared" si="3"/>
        <v>8459.14</v>
      </c>
      <c r="AC31" s="622"/>
    </row>
    <row r="32" spans="1:29" s="614" customFormat="1" x14ac:dyDescent="0.2">
      <c r="A32" s="624" t="s">
        <v>732</v>
      </c>
      <c r="B32" s="624"/>
      <c r="C32" s="624"/>
      <c r="D32" s="624"/>
      <c r="E32" s="596">
        <f t="shared" si="0"/>
        <v>33248959.270000003</v>
      </c>
      <c r="F32" s="595">
        <f>SUM(F27:F31)</f>
        <v>29052542.740000002</v>
      </c>
      <c r="G32" s="595">
        <f>SUM(G27:G31)</f>
        <v>1022295</v>
      </c>
      <c r="H32" s="595">
        <f>'Прилож 4 24'!X32</f>
        <v>3101271.0900000003</v>
      </c>
      <c r="I32" s="625"/>
      <c r="J32" s="595">
        <f>'Прилож 4 24'!Z32</f>
        <v>0</v>
      </c>
      <c r="K32" s="595">
        <f>'Прилож 4 24'!AA32</f>
        <v>64391.3</v>
      </c>
      <c r="L32" s="595">
        <f>'Прилож 4 24'!AB32</f>
        <v>8459.14</v>
      </c>
      <c r="M32" s="596">
        <f>N32+P32+R32+S32+T32+O32</f>
        <v>30074837.740000002</v>
      </c>
      <c r="N32" s="596">
        <f>SUM(N27:N31)</f>
        <v>29052542.740000002</v>
      </c>
      <c r="O32" s="596">
        <f t="shared" ref="O32:T32" si="9">SUM(O27:O31)</f>
        <v>1022295</v>
      </c>
      <c r="P32" s="596">
        <f t="shared" si="9"/>
        <v>0</v>
      </c>
      <c r="Q32" s="626"/>
      <c r="R32" s="596">
        <f t="shared" si="9"/>
        <v>0</v>
      </c>
      <c r="S32" s="596">
        <f t="shared" si="9"/>
        <v>0</v>
      </c>
      <c r="T32" s="596">
        <f t="shared" si="9"/>
        <v>0</v>
      </c>
      <c r="U32" s="596">
        <f>V32+X32+Z32+AA32+AB32+W32</f>
        <v>33248959.270000003</v>
      </c>
      <c r="V32" s="596">
        <f>'[8]Прилож 4 24 (2)'!$V$32</f>
        <v>29052542.740000002</v>
      </c>
      <c r="W32" s="596">
        <f>'[8]Прилож 4 24 (2)'!$W$32</f>
        <v>1022295</v>
      </c>
      <c r="X32" s="596">
        <f t="shared" si="2"/>
        <v>3101271.0900000003</v>
      </c>
      <c r="Y32" s="626"/>
      <c r="Z32" s="596">
        <f t="shared" si="3"/>
        <v>0</v>
      </c>
      <c r="AA32" s="596">
        <f t="shared" si="3"/>
        <v>64391.3</v>
      </c>
      <c r="AB32" s="596">
        <f t="shared" si="3"/>
        <v>8459.14</v>
      </c>
      <c r="AC32" s="627"/>
    </row>
    <row r="33" spans="1:29" ht="51.75" customHeight="1" x14ac:dyDescent="0.2">
      <c r="A33" s="618" t="s">
        <v>845</v>
      </c>
      <c r="B33" s="619" t="s">
        <v>747</v>
      </c>
      <c r="C33" s="620">
        <v>111</v>
      </c>
      <c r="D33" s="620">
        <v>266</v>
      </c>
      <c r="E33" s="596">
        <f t="shared" si="0"/>
        <v>0</v>
      </c>
      <c r="F33" s="595">
        <f>'[8]Прилож 4 24 (2)'!$V$11</f>
        <v>0</v>
      </c>
      <c r="G33" s="595">
        <f>'Прилож 4 24'!W33</f>
        <v>0</v>
      </c>
      <c r="H33" s="595">
        <f>'Прилож 4 24'!X33</f>
        <v>0</v>
      </c>
      <c r="I33" s="623"/>
      <c r="J33" s="595">
        <f>'Прилож 4 24'!Z33</f>
        <v>0</v>
      </c>
      <c r="K33" s="595">
        <f>'Прилож 4 24'!AA33</f>
        <v>0</v>
      </c>
      <c r="L33" s="595">
        <f>'Прилож 4 24'!AB33</f>
        <v>0</v>
      </c>
      <c r="M33" s="596">
        <f t="shared" si="1"/>
        <v>100000</v>
      </c>
      <c r="N33" s="595">
        <v>100000</v>
      </c>
      <c r="O33" s="595"/>
      <c r="P33" s="595"/>
      <c r="Q33" s="621"/>
      <c r="R33" s="595"/>
      <c r="S33" s="595"/>
      <c r="T33" s="595"/>
      <c r="U33" s="596">
        <f t="shared" si="4"/>
        <v>100000</v>
      </c>
      <c r="V33" s="595">
        <f t="shared" si="6"/>
        <v>100000</v>
      </c>
      <c r="W33" s="595">
        <f t="shared" si="2"/>
        <v>0</v>
      </c>
      <c r="X33" s="595">
        <f t="shared" si="2"/>
        <v>0</v>
      </c>
      <c r="Y33" s="621"/>
      <c r="Z33" s="595">
        <f t="shared" si="3"/>
        <v>0</v>
      </c>
      <c r="AA33" s="595">
        <f t="shared" si="3"/>
        <v>0</v>
      </c>
      <c r="AB33" s="595">
        <f t="shared" si="3"/>
        <v>0</v>
      </c>
      <c r="AC33" s="622"/>
    </row>
    <row r="34" spans="1:29" ht="51.75" customHeight="1" x14ac:dyDescent="0.2">
      <c r="A34" s="618" t="s">
        <v>845</v>
      </c>
      <c r="B34" s="619" t="s">
        <v>729</v>
      </c>
      <c r="C34" s="620">
        <v>111</v>
      </c>
      <c r="D34" s="620">
        <v>266</v>
      </c>
      <c r="E34" s="596">
        <f t="shared" si="0"/>
        <v>0</v>
      </c>
      <c r="F34" s="595">
        <f>'[8]Прилож 4 24 (2)'!$V$11</f>
        <v>0</v>
      </c>
      <c r="G34" s="595">
        <f>'Прилож 4 24'!W34</f>
        <v>0</v>
      </c>
      <c r="H34" s="595">
        <f>'Прилож 4 24'!X34</f>
        <v>0</v>
      </c>
      <c r="I34" s="623"/>
      <c r="J34" s="595">
        <f>'Прилож 4 24'!Z34</f>
        <v>0</v>
      </c>
      <c r="K34" s="595">
        <f>'Прилож 4 24'!AA34</f>
        <v>0</v>
      </c>
      <c r="L34" s="595">
        <f>'Прилож 4 24'!AB34</f>
        <v>0</v>
      </c>
      <c r="M34" s="596">
        <f t="shared" si="1"/>
        <v>80000</v>
      </c>
      <c r="N34" s="595">
        <v>80000</v>
      </c>
      <c r="O34" s="595"/>
      <c r="P34" s="595"/>
      <c r="Q34" s="621"/>
      <c r="R34" s="595"/>
      <c r="S34" s="595"/>
      <c r="T34" s="595"/>
      <c r="U34" s="596">
        <f t="shared" si="4"/>
        <v>80000</v>
      </c>
      <c r="V34" s="595">
        <f t="shared" si="6"/>
        <v>80000</v>
      </c>
      <c r="W34" s="595">
        <f t="shared" si="2"/>
        <v>0</v>
      </c>
      <c r="X34" s="595">
        <f t="shared" si="2"/>
        <v>0</v>
      </c>
      <c r="Y34" s="621"/>
      <c r="Z34" s="595">
        <f t="shared" si="3"/>
        <v>0</v>
      </c>
      <c r="AA34" s="595">
        <f t="shared" si="3"/>
        <v>0</v>
      </c>
      <c r="AB34" s="595">
        <f t="shared" si="3"/>
        <v>0</v>
      </c>
      <c r="AC34" s="622"/>
    </row>
    <row r="35" spans="1:29" s="614" customFormat="1" x14ac:dyDescent="0.2">
      <c r="A35" s="624" t="s">
        <v>847</v>
      </c>
      <c r="B35" s="624"/>
      <c r="C35" s="624"/>
      <c r="D35" s="624"/>
      <c r="E35" s="596">
        <f t="shared" si="0"/>
        <v>0</v>
      </c>
      <c r="F35" s="595">
        <f>'[8]Прилож 4 24 (2)'!$V$11</f>
        <v>0</v>
      </c>
      <c r="G35" s="595">
        <f>'Прилож 4 24'!W35</f>
        <v>0</v>
      </c>
      <c r="H35" s="595">
        <f>'Прилож 4 24'!X35</f>
        <v>0</v>
      </c>
      <c r="I35" s="626"/>
      <c r="J35" s="595">
        <f>'Прилож 4 24'!Z35</f>
        <v>0</v>
      </c>
      <c r="K35" s="595">
        <f>'Прилож 4 24'!AA35</f>
        <v>0</v>
      </c>
      <c r="L35" s="595">
        <f>'Прилож 4 24'!AB35</f>
        <v>0</v>
      </c>
      <c r="M35" s="596">
        <f t="shared" si="1"/>
        <v>180000</v>
      </c>
      <c r="N35" s="596">
        <f>SUM(N33:N34)</f>
        <v>180000</v>
      </c>
      <c r="O35" s="596">
        <f t="shared" ref="O35:T35" si="10">SUM(O33:O34)</f>
        <v>0</v>
      </c>
      <c r="P35" s="596">
        <f t="shared" si="10"/>
        <v>0</v>
      </c>
      <c r="Q35" s="626"/>
      <c r="R35" s="596">
        <f t="shared" si="10"/>
        <v>0</v>
      </c>
      <c r="S35" s="596">
        <f t="shared" si="10"/>
        <v>0</v>
      </c>
      <c r="T35" s="596">
        <f t="shared" si="10"/>
        <v>0</v>
      </c>
      <c r="U35" s="596">
        <f t="shared" si="4"/>
        <v>180000</v>
      </c>
      <c r="V35" s="596">
        <f t="shared" si="6"/>
        <v>180000</v>
      </c>
      <c r="W35" s="596">
        <f t="shared" si="2"/>
        <v>0</v>
      </c>
      <c r="X35" s="596">
        <f t="shared" si="2"/>
        <v>0</v>
      </c>
      <c r="Y35" s="626">
        <f t="shared" ref="Y35:Y37" si="11">SUM(Y33:Y34)</f>
        <v>0</v>
      </c>
      <c r="Z35" s="596">
        <f t="shared" si="3"/>
        <v>0</v>
      </c>
      <c r="AA35" s="596">
        <f t="shared" si="3"/>
        <v>0</v>
      </c>
      <c r="AB35" s="596">
        <f t="shared" si="3"/>
        <v>0</v>
      </c>
      <c r="AC35" s="627"/>
    </row>
    <row r="36" spans="1:29" ht="66.75" customHeight="1" x14ac:dyDescent="0.2">
      <c r="A36" s="618" t="s">
        <v>1270</v>
      </c>
      <c r="B36" s="619" t="s">
        <v>691</v>
      </c>
      <c r="C36" s="620">
        <v>112</v>
      </c>
      <c r="D36" s="620">
        <v>222</v>
      </c>
      <c r="E36" s="596">
        <f t="shared" si="0"/>
        <v>2727.9</v>
      </c>
      <c r="F36" s="595">
        <f>'[8]Прилож 4 24 (2)'!$V$11</f>
        <v>0</v>
      </c>
      <c r="G36" s="595">
        <f>'Прилож 4 24'!W36</f>
        <v>0</v>
      </c>
      <c r="H36" s="595">
        <f>'Прилож 4 24'!X36</f>
        <v>2315.96</v>
      </c>
      <c r="I36" s="623"/>
      <c r="J36" s="595">
        <f>'Прилож 4 24'!Z36</f>
        <v>0</v>
      </c>
      <c r="K36" s="595">
        <f>'Прилож 4 24'!AA36</f>
        <v>0</v>
      </c>
      <c r="L36" s="595">
        <f>'Прилож 4 24'!AB36</f>
        <v>411.94</v>
      </c>
      <c r="M36" s="596">
        <f t="shared" si="1"/>
        <v>0</v>
      </c>
      <c r="N36" s="595"/>
      <c r="O36" s="595"/>
      <c r="P36" s="595"/>
      <c r="Q36" s="621"/>
      <c r="R36" s="595"/>
      <c r="S36" s="595"/>
      <c r="T36" s="595"/>
      <c r="U36" s="596">
        <f t="shared" si="4"/>
        <v>2727.9</v>
      </c>
      <c r="V36" s="595">
        <f t="shared" si="6"/>
        <v>0</v>
      </c>
      <c r="W36" s="595">
        <f t="shared" si="2"/>
        <v>0</v>
      </c>
      <c r="X36" s="595">
        <f t="shared" si="2"/>
        <v>2315.96</v>
      </c>
      <c r="Y36" s="621"/>
      <c r="Z36" s="595">
        <f t="shared" si="3"/>
        <v>0</v>
      </c>
      <c r="AA36" s="595">
        <f t="shared" si="3"/>
        <v>0</v>
      </c>
      <c r="AB36" s="595">
        <f t="shared" si="3"/>
        <v>411.94</v>
      </c>
      <c r="AC36" s="622"/>
    </row>
    <row r="37" spans="1:29" s="614" customFormat="1" x14ac:dyDescent="0.2">
      <c r="A37" s="624" t="s">
        <v>1264</v>
      </c>
      <c r="B37" s="624"/>
      <c r="C37" s="624"/>
      <c r="D37" s="624"/>
      <c r="E37" s="596">
        <f>SUM(E36)</f>
        <v>2727.9</v>
      </c>
      <c r="F37" s="595">
        <f>'[8]Прилож 4 24 (2)'!$V$11</f>
        <v>0</v>
      </c>
      <c r="G37" s="595">
        <f>'Прилож 4 24'!W37</f>
        <v>0</v>
      </c>
      <c r="H37" s="595">
        <f>'Прилож 4 24'!X37</f>
        <v>2315.96</v>
      </c>
      <c r="I37" s="626"/>
      <c r="J37" s="595">
        <f>'Прилож 4 24'!Z37</f>
        <v>0</v>
      </c>
      <c r="K37" s="595">
        <f>'Прилож 4 24'!AA37</f>
        <v>0</v>
      </c>
      <c r="L37" s="595">
        <f>'Прилож 4 24'!AB37</f>
        <v>411.94</v>
      </c>
      <c r="M37" s="596">
        <f t="shared" si="1"/>
        <v>0</v>
      </c>
      <c r="N37" s="596">
        <f>SUM(N36)</f>
        <v>0</v>
      </c>
      <c r="O37" s="596">
        <f t="shared" ref="O37:T37" si="12">SUM(O35:O36)</f>
        <v>0</v>
      </c>
      <c r="P37" s="596">
        <f t="shared" si="12"/>
        <v>0</v>
      </c>
      <c r="Q37" s="626"/>
      <c r="R37" s="596">
        <f t="shared" si="12"/>
        <v>0</v>
      </c>
      <c r="S37" s="596">
        <f t="shared" si="12"/>
        <v>0</v>
      </c>
      <c r="T37" s="596">
        <f t="shared" si="12"/>
        <v>0</v>
      </c>
      <c r="U37" s="596">
        <f t="shared" si="4"/>
        <v>2727.9</v>
      </c>
      <c r="V37" s="596">
        <f t="shared" si="6"/>
        <v>0</v>
      </c>
      <c r="W37" s="596">
        <f t="shared" si="2"/>
        <v>0</v>
      </c>
      <c r="X37" s="596">
        <f t="shared" si="2"/>
        <v>2315.96</v>
      </c>
      <c r="Y37" s="626">
        <f t="shared" si="11"/>
        <v>0</v>
      </c>
      <c r="Z37" s="596">
        <f t="shared" si="3"/>
        <v>0</v>
      </c>
      <c r="AA37" s="596">
        <f t="shared" si="3"/>
        <v>0</v>
      </c>
      <c r="AB37" s="596">
        <f t="shared" si="3"/>
        <v>411.94</v>
      </c>
      <c r="AC37" s="627"/>
    </row>
    <row r="38" spans="1:29" s="614" customFormat="1" ht="78.75" x14ac:dyDescent="0.2">
      <c r="A38" s="618" t="s">
        <v>748</v>
      </c>
      <c r="B38" s="619" t="s">
        <v>747</v>
      </c>
      <c r="C38" s="620">
        <v>119</v>
      </c>
      <c r="D38" s="620">
        <v>213</v>
      </c>
      <c r="E38" s="596">
        <f t="shared" si="0"/>
        <v>707317.97</v>
      </c>
      <c r="F38" s="595">
        <f>'[8]Прилож 4 24 (2)'!$V$11</f>
        <v>0</v>
      </c>
      <c r="G38" s="595">
        <f>'Прилож 4 24'!W38</f>
        <v>0</v>
      </c>
      <c r="H38" s="595">
        <f>'Прилож 4 24'!X38</f>
        <v>707317.97</v>
      </c>
      <c r="I38" s="628"/>
      <c r="J38" s="595">
        <f>'Прилож 4 24'!Z38</f>
        <v>0</v>
      </c>
      <c r="K38" s="595">
        <f>'Прилож 4 24'!AA38</f>
        <v>0</v>
      </c>
      <c r="L38" s="595">
        <f>'Прилож 4 24'!AB38</f>
        <v>0</v>
      </c>
      <c r="M38" s="596">
        <f t="shared" si="1"/>
        <v>3684279.71</v>
      </c>
      <c r="N38" s="595">
        <v>3684279.71</v>
      </c>
      <c r="O38" s="595"/>
      <c r="P38" s="595"/>
      <c r="Q38" s="628"/>
      <c r="R38" s="595"/>
      <c r="S38" s="595"/>
      <c r="T38" s="595"/>
      <c r="U38" s="596">
        <f t="shared" si="4"/>
        <v>4391597.68</v>
      </c>
      <c r="V38" s="595">
        <f t="shared" si="6"/>
        <v>3684279.71</v>
      </c>
      <c r="W38" s="595">
        <f t="shared" si="2"/>
        <v>0</v>
      </c>
      <c r="X38" s="595">
        <f t="shared" si="2"/>
        <v>707317.97</v>
      </c>
      <c r="Y38" s="628"/>
      <c r="Z38" s="595">
        <f t="shared" si="3"/>
        <v>0</v>
      </c>
      <c r="AA38" s="595">
        <f t="shared" si="3"/>
        <v>0</v>
      </c>
      <c r="AB38" s="595">
        <f t="shared" si="3"/>
        <v>0</v>
      </c>
      <c r="AC38" s="622"/>
    </row>
    <row r="39" spans="1:29" s="614" customFormat="1" ht="78.75" x14ac:dyDescent="0.2">
      <c r="A39" s="618" t="s">
        <v>748</v>
      </c>
      <c r="B39" s="619" t="s">
        <v>729</v>
      </c>
      <c r="C39" s="620">
        <v>119</v>
      </c>
      <c r="D39" s="620">
        <v>213</v>
      </c>
      <c r="E39" s="596">
        <f t="shared" si="0"/>
        <v>214900</v>
      </c>
      <c r="F39" s="595">
        <f>'[8]Прилож 4 24 (2)'!$V$11</f>
        <v>0</v>
      </c>
      <c r="G39" s="595">
        <f>'Прилож 4 24'!W39</f>
        <v>0</v>
      </c>
      <c r="H39" s="595">
        <f>'Прилож 4 24'!X39</f>
        <v>214900</v>
      </c>
      <c r="I39" s="628"/>
      <c r="J39" s="595">
        <f>'Прилож 4 24'!Z39</f>
        <v>0</v>
      </c>
      <c r="K39" s="595">
        <f>'Прилож 4 24'!AA39</f>
        <v>0</v>
      </c>
      <c r="L39" s="595">
        <f>'Прилож 4 24'!AB39</f>
        <v>0</v>
      </c>
      <c r="M39" s="596">
        <f t="shared" si="1"/>
        <v>5346352.4400000004</v>
      </c>
      <c r="N39" s="595">
        <v>5092672.4400000004</v>
      </c>
      <c r="O39" s="595">
        <v>253680</v>
      </c>
      <c r="P39" s="595"/>
      <c r="Q39" s="628"/>
      <c r="R39" s="595"/>
      <c r="S39" s="595"/>
      <c r="T39" s="595"/>
      <c r="U39" s="596">
        <f t="shared" si="4"/>
        <v>5561252.4400000004</v>
      </c>
      <c r="V39" s="595">
        <f t="shared" si="6"/>
        <v>5092672.4400000004</v>
      </c>
      <c r="W39" s="595">
        <f t="shared" si="2"/>
        <v>253680</v>
      </c>
      <c r="X39" s="595">
        <f t="shared" si="2"/>
        <v>214900</v>
      </c>
      <c r="Y39" s="628"/>
      <c r="Z39" s="595">
        <f t="shared" si="3"/>
        <v>0</v>
      </c>
      <c r="AA39" s="595">
        <f t="shared" si="3"/>
        <v>0</v>
      </c>
      <c r="AB39" s="595">
        <f t="shared" si="3"/>
        <v>0</v>
      </c>
      <c r="AC39" s="622"/>
    </row>
    <row r="40" spans="1:29" s="614" customFormat="1" ht="94.5" x14ac:dyDescent="0.2">
      <c r="A40" s="618" t="s">
        <v>944</v>
      </c>
      <c r="B40" s="619" t="s">
        <v>729</v>
      </c>
      <c r="C40" s="620">
        <v>119</v>
      </c>
      <c r="D40" s="620">
        <v>213</v>
      </c>
      <c r="E40" s="596">
        <f t="shared" si="0"/>
        <v>0</v>
      </c>
      <c r="F40" s="595">
        <f>'[8]Прилож 4 24 (2)'!$V$11</f>
        <v>0</v>
      </c>
      <c r="G40" s="595">
        <f>'Прилож 4 24'!W40</f>
        <v>0</v>
      </c>
      <c r="H40" s="595">
        <f>'Прилож 4 24'!X40</f>
        <v>0</v>
      </c>
      <c r="I40" s="628"/>
      <c r="J40" s="595">
        <f>'Прилож 4 24'!Z40</f>
        <v>0</v>
      </c>
      <c r="K40" s="595">
        <f>'Прилож 4 24'!AA40</f>
        <v>0</v>
      </c>
      <c r="L40" s="595">
        <f>'Прилож 4 24'!AB40</f>
        <v>0</v>
      </c>
      <c r="M40" s="596">
        <f t="shared" si="1"/>
        <v>82168.849999999991</v>
      </c>
      <c r="N40" s="595">
        <f>'советник 213 нов'!E23</f>
        <v>27115.759999999998</v>
      </c>
      <c r="O40" s="595">
        <v>55053.09</v>
      </c>
      <c r="P40" s="595"/>
      <c r="Q40" s="628"/>
      <c r="R40" s="595"/>
      <c r="S40" s="595"/>
      <c r="T40" s="595"/>
      <c r="U40" s="596">
        <f t="shared" si="4"/>
        <v>82168.849999999991</v>
      </c>
      <c r="V40" s="595">
        <f t="shared" si="6"/>
        <v>27115.759999999998</v>
      </c>
      <c r="W40" s="595">
        <f t="shared" si="2"/>
        <v>55053.09</v>
      </c>
      <c r="X40" s="595">
        <f t="shared" si="2"/>
        <v>0</v>
      </c>
      <c r="Y40" s="628"/>
      <c r="Z40" s="595">
        <f t="shared" si="3"/>
        <v>0</v>
      </c>
      <c r="AA40" s="595">
        <f t="shared" si="3"/>
        <v>0</v>
      </c>
      <c r="AB40" s="595">
        <f t="shared" si="3"/>
        <v>0</v>
      </c>
      <c r="AC40" s="622"/>
    </row>
    <row r="41" spans="1:29" s="614" customFormat="1" ht="78.75" x14ac:dyDescent="0.2">
      <c r="A41" s="618" t="s">
        <v>748</v>
      </c>
      <c r="B41" s="619" t="s">
        <v>64</v>
      </c>
      <c r="C41" s="620">
        <v>119</v>
      </c>
      <c r="D41" s="620">
        <v>213</v>
      </c>
      <c r="E41" s="596">
        <f t="shared" si="0"/>
        <v>19446</v>
      </c>
      <c r="F41" s="595">
        <f>'[8]Прилож 4 24 (2)'!$V$11</f>
        <v>0</v>
      </c>
      <c r="G41" s="595">
        <f>'Прилож 4 24'!W41</f>
        <v>0</v>
      </c>
      <c r="H41" s="595">
        <f>'Прилож 4 24'!X41</f>
        <v>0</v>
      </c>
      <c r="I41" s="623" t="s">
        <v>1235</v>
      </c>
      <c r="J41" s="595">
        <f>'Прилож 4 24'!Z41</f>
        <v>0</v>
      </c>
      <c r="K41" s="595">
        <f>'Прилож 4 24'!AA41</f>
        <v>19446</v>
      </c>
      <c r="L41" s="595">
        <f>'Прилож 4 24'!AB41</f>
        <v>0</v>
      </c>
      <c r="M41" s="596">
        <f t="shared" si="1"/>
        <v>0</v>
      </c>
      <c r="N41" s="595"/>
      <c r="O41" s="595"/>
      <c r="P41" s="595"/>
      <c r="Q41" s="628"/>
      <c r="R41" s="595"/>
      <c r="S41" s="595"/>
      <c r="T41" s="595"/>
      <c r="U41" s="596">
        <f t="shared" si="4"/>
        <v>19446</v>
      </c>
      <c r="V41" s="595">
        <f t="shared" si="6"/>
        <v>0</v>
      </c>
      <c r="W41" s="595">
        <f t="shared" si="2"/>
        <v>0</v>
      </c>
      <c r="X41" s="595">
        <f t="shared" si="2"/>
        <v>0</v>
      </c>
      <c r="Y41" s="621" t="s">
        <v>1235</v>
      </c>
      <c r="Z41" s="595">
        <f t="shared" si="3"/>
        <v>0</v>
      </c>
      <c r="AA41" s="595">
        <f t="shared" si="3"/>
        <v>19446</v>
      </c>
      <c r="AB41" s="595">
        <f t="shared" si="3"/>
        <v>0</v>
      </c>
      <c r="AC41" s="622"/>
    </row>
    <row r="42" spans="1:29" s="614" customFormat="1" ht="78.75" x14ac:dyDescent="0.2">
      <c r="A42" s="618" t="s">
        <v>748</v>
      </c>
      <c r="B42" s="619" t="s">
        <v>691</v>
      </c>
      <c r="C42" s="620">
        <v>119</v>
      </c>
      <c r="D42" s="620">
        <v>213</v>
      </c>
      <c r="E42" s="596">
        <f t="shared" si="0"/>
        <v>16917.36</v>
      </c>
      <c r="F42" s="595">
        <f>'[8]Прилож 4 24 (2)'!$V$11</f>
        <v>0</v>
      </c>
      <c r="G42" s="595">
        <f>'Прилож 4 24'!W42</f>
        <v>0</v>
      </c>
      <c r="H42" s="595">
        <f>'Прилож 4 24'!X42</f>
        <v>14362.7</v>
      </c>
      <c r="I42" s="629"/>
      <c r="J42" s="595">
        <f>'Прилож 4 24'!Z42</f>
        <v>0</v>
      </c>
      <c r="K42" s="595">
        <f>'Прилож 4 24'!AA42</f>
        <v>0</v>
      </c>
      <c r="L42" s="595">
        <f>'Прилож 4 24'!AB42</f>
        <v>2554.66</v>
      </c>
      <c r="M42" s="596">
        <f t="shared" si="1"/>
        <v>0</v>
      </c>
      <c r="N42" s="595"/>
      <c r="O42" s="595"/>
      <c r="P42" s="595"/>
      <c r="Q42" s="628"/>
      <c r="R42" s="595"/>
      <c r="S42" s="595"/>
      <c r="T42" s="595"/>
      <c r="U42" s="596">
        <f t="shared" si="4"/>
        <v>16917.36</v>
      </c>
      <c r="V42" s="595">
        <f t="shared" si="6"/>
        <v>0</v>
      </c>
      <c r="W42" s="595">
        <f t="shared" si="2"/>
        <v>0</v>
      </c>
      <c r="X42" s="595">
        <f t="shared" si="2"/>
        <v>14362.7</v>
      </c>
      <c r="Y42" s="628"/>
      <c r="Z42" s="595">
        <f t="shared" si="3"/>
        <v>0</v>
      </c>
      <c r="AA42" s="595">
        <f t="shared" si="3"/>
        <v>0</v>
      </c>
      <c r="AB42" s="595">
        <f t="shared" si="3"/>
        <v>2554.66</v>
      </c>
      <c r="AC42" s="622"/>
    </row>
    <row r="43" spans="1:29" s="614" customFormat="1" x14ac:dyDescent="0.2">
      <c r="A43" s="630" t="s">
        <v>733</v>
      </c>
      <c r="B43" s="631"/>
      <c r="C43" s="624"/>
      <c r="D43" s="624"/>
      <c r="E43" s="596">
        <f>L43+K43+J43+H43+G43+F43</f>
        <v>958581.33</v>
      </c>
      <c r="F43" s="595">
        <f>'[8]Прилож 4 24 (2)'!$V$11</f>
        <v>0</v>
      </c>
      <c r="G43" s="595">
        <f>'Прилож 4 24'!W43</f>
        <v>0</v>
      </c>
      <c r="H43" s="595">
        <f>'Прилож 4 24'!X43</f>
        <v>936580.66999999993</v>
      </c>
      <c r="I43" s="626"/>
      <c r="J43" s="595">
        <f>'Прилож 4 24'!Z43</f>
        <v>0</v>
      </c>
      <c r="K43" s="595">
        <f>'Прилож 4 24'!AA43</f>
        <v>19446</v>
      </c>
      <c r="L43" s="595">
        <f>'Прилож 4 24'!AB43</f>
        <v>2554.66</v>
      </c>
      <c r="M43" s="596">
        <f t="shared" si="1"/>
        <v>9112801</v>
      </c>
      <c r="N43" s="596">
        <f t="shared" ref="N43:T43" si="13">SUM(N38:N42)</f>
        <v>8804067.9100000001</v>
      </c>
      <c r="O43" s="596">
        <f t="shared" si="13"/>
        <v>308733.08999999997</v>
      </c>
      <c r="P43" s="596">
        <f t="shared" si="13"/>
        <v>0</v>
      </c>
      <c r="Q43" s="626"/>
      <c r="R43" s="596">
        <f t="shared" si="13"/>
        <v>0</v>
      </c>
      <c r="S43" s="596">
        <f t="shared" si="13"/>
        <v>0</v>
      </c>
      <c r="T43" s="596">
        <f t="shared" si="13"/>
        <v>0</v>
      </c>
      <c r="U43" s="596">
        <f t="shared" si="4"/>
        <v>10071382.33</v>
      </c>
      <c r="V43" s="596">
        <f t="shared" si="6"/>
        <v>8804067.9100000001</v>
      </c>
      <c r="W43" s="596">
        <f t="shared" si="2"/>
        <v>308733.08999999997</v>
      </c>
      <c r="X43" s="596">
        <f t="shared" si="2"/>
        <v>936580.66999999993</v>
      </c>
      <c r="Y43" s="626"/>
      <c r="Z43" s="596">
        <f t="shared" si="3"/>
        <v>0</v>
      </c>
      <c r="AA43" s="596">
        <f t="shared" si="3"/>
        <v>19446</v>
      </c>
      <c r="AB43" s="596">
        <f t="shared" si="3"/>
        <v>2554.66</v>
      </c>
      <c r="AC43" s="627"/>
    </row>
    <row r="44" spans="1:29" ht="31.5" x14ac:dyDescent="0.2">
      <c r="A44" s="618" t="s">
        <v>1183</v>
      </c>
      <c r="B44" s="619" t="s">
        <v>747</v>
      </c>
      <c r="C44" s="620">
        <v>244</v>
      </c>
      <c r="D44" s="620">
        <v>221</v>
      </c>
      <c r="E44" s="596">
        <f t="shared" si="0"/>
        <v>14452.3</v>
      </c>
      <c r="F44" s="595">
        <f>'[8]Прилож 4 24 (2)'!$V$11</f>
        <v>0</v>
      </c>
      <c r="G44" s="595">
        <f>'Прилож 4 24'!W44</f>
        <v>0</v>
      </c>
      <c r="H44" s="595">
        <f>'Прилож 4 24'!X44</f>
        <v>14452.3</v>
      </c>
      <c r="I44" s="628"/>
      <c r="J44" s="595">
        <f>'Прилож 4 24'!Z44</f>
        <v>0</v>
      </c>
      <c r="K44" s="595">
        <f>'Прилож 4 24'!AA44</f>
        <v>0</v>
      </c>
      <c r="L44" s="595">
        <f>'Прилож 4 24'!AB44</f>
        <v>0</v>
      </c>
      <c r="M44" s="596">
        <f t="shared" si="1"/>
        <v>0</v>
      </c>
      <c r="N44" s="595"/>
      <c r="O44" s="595"/>
      <c r="P44" s="595"/>
      <c r="Q44" s="621"/>
      <c r="R44" s="595"/>
      <c r="S44" s="595"/>
      <c r="T44" s="595"/>
      <c r="U44" s="596">
        <f t="shared" si="4"/>
        <v>14452.3</v>
      </c>
      <c r="V44" s="595">
        <f t="shared" si="6"/>
        <v>0</v>
      </c>
      <c r="W44" s="595">
        <f t="shared" si="2"/>
        <v>0</v>
      </c>
      <c r="X44" s="595">
        <f t="shared" si="2"/>
        <v>14452.3</v>
      </c>
      <c r="Y44" s="628"/>
      <c r="Z44" s="595">
        <f t="shared" si="3"/>
        <v>0</v>
      </c>
      <c r="AA44" s="595">
        <f t="shared" si="3"/>
        <v>0</v>
      </c>
      <c r="AB44" s="595">
        <f t="shared" si="3"/>
        <v>0</v>
      </c>
      <c r="AC44" s="622"/>
    </row>
    <row r="45" spans="1:29" x14ac:dyDescent="0.2">
      <c r="A45" s="618" t="s">
        <v>1184</v>
      </c>
      <c r="B45" s="619" t="s">
        <v>747</v>
      </c>
      <c r="C45" s="620">
        <v>244</v>
      </c>
      <c r="D45" s="620">
        <v>221</v>
      </c>
      <c r="E45" s="596">
        <f t="shared" si="0"/>
        <v>36000</v>
      </c>
      <c r="F45" s="595">
        <f>'[8]Прилож 4 24 (2)'!$V$11</f>
        <v>0</v>
      </c>
      <c r="G45" s="595">
        <f>'Прилож 4 24'!W45</f>
        <v>0</v>
      </c>
      <c r="H45" s="595">
        <f>'Прилож 4 24'!X45</f>
        <v>36000</v>
      </c>
      <c r="I45" s="628"/>
      <c r="J45" s="595">
        <f>'Прилож 4 24'!Z45</f>
        <v>0</v>
      </c>
      <c r="K45" s="595">
        <f>'Прилож 4 24'!AA45</f>
        <v>0</v>
      </c>
      <c r="L45" s="595">
        <f>'Прилож 4 24'!AB45</f>
        <v>0</v>
      </c>
      <c r="M45" s="596">
        <f t="shared" si="1"/>
        <v>0</v>
      </c>
      <c r="N45" s="595"/>
      <c r="O45" s="595"/>
      <c r="P45" s="595"/>
      <c r="Q45" s="621"/>
      <c r="R45" s="595"/>
      <c r="S45" s="595"/>
      <c r="T45" s="595"/>
      <c r="U45" s="596">
        <f t="shared" si="4"/>
        <v>36000</v>
      </c>
      <c r="V45" s="595">
        <f t="shared" si="6"/>
        <v>0</v>
      </c>
      <c r="W45" s="595">
        <f t="shared" si="2"/>
        <v>0</v>
      </c>
      <c r="X45" s="595">
        <f t="shared" si="2"/>
        <v>36000</v>
      </c>
      <c r="Y45" s="628"/>
      <c r="Z45" s="595">
        <f t="shared" si="3"/>
        <v>0</v>
      </c>
      <c r="AA45" s="595">
        <f t="shared" si="3"/>
        <v>0</v>
      </c>
      <c r="AB45" s="595">
        <f t="shared" si="3"/>
        <v>0</v>
      </c>
      <c r="AC45" s="622"/>
    </row>
    <row r="46" spans="1:29" ht="31.5" x14ac:dyDescent="0.2">
      <c r="A46" s="618" t="s">
        <v>158</v>
      </c>
      <c r="B46" s="619" t="s">
        <v>747</v>
      </c>
      <c r="C46" s="620">
        <v>244</v>
      </c>
      <c r="D46" s="620">
        <v>221</v>
      </c>
      <c r="E46" s="596">
        <f t="shared" si="0"/>
        <v>6600</v>
      </c>
      <c r="F46" s="595">
        <f>'[8]Прилож 4 24 (2)'!$V$11</f>
        <v>0</v>
      </c>
      <c r="G46" s="595">
        <f>'Прилож 4 24'!W46</f>
        <v>0</v>
      </c>
      <c r="H46" s="595">
        <f>'Прилож 4 24'!X46</f>
        <v>6600</v>
      </c>
      <c r="I46" s="628"/>
      <c r="J46" s="595">
        <f>'Прилож 4 24'!Z46</f>
        <v>0</v>
      </c>
      <c r="K46" s="595">
        <f>'Прилож 4 24'!AA46</f>
        <v>0</v>
      </c>
      <c r="L46" s="595">
        <f>'Прилож 4 24'!AB46</f>
        <v>0</v>
      </c>
      <c r="M46" s="596">
        <f t="shared" si="1"/>
        <v>0</v>
      </c>
      <c r="N46" s="595"/>
      <c r="O46" s="595"/>
      <c r="P46" s="595"/>
      <c r="Q46" s="621"/>
      <c r="R46" s="595"/>
      <c r="S46" s="595"/>
      <c r="T46" s="595"/>
      <c r="U46" s="596">
        <f t="shared" si="4"/>
        <v>6600</v>
      </c>
      <c r="V46" s="595">
        <f t="shared" si="6"/>
        <v>0</v>
      </c>
      <c r="W46" s="595">
        <f t="shared" si="2"/>
        <v>0</v>
      </c>
      <c r="X46" s="595">
        <f t="shared" si="2"/>
        <v>6600</v>
      </c>
      <c r="Y46" s="628"/>
      <c r="Z46" s="595">
        <f t="shared" si="3"/>
        <v>0</v>
      </c>
      <c r="AA46" s="595">
        <f t="shared" si="3"/>
        <v>0</v>
      </c>
      <c r="AB46" s="595">
        <f t="shared" si="3"/>
        <v>0</v>
      </c>
      <c r="AC46" s="622"/>
    </row>
    <row r="47" spans="1:29" s="637" customFormat="1" x14ac:dyDescent="0.2">
      <c r="A47" s="632" t="s">
        <v>1143</v>
      </c>
      <c r="B47" s="633" t="s">
        <v>747</v>
      </c>
      <c r="C47" s="634">
        <v>244</v>
      </c>
      <c r="D47" s="634">
        <v>221</v>
      </c>
      <c r="E47" s="597">
        <f>SUM(E44:E46)</f>
        <v>57052.3</v>
      </c>
      <c r="F47" s="595">
        <f>'[8]Прилож 4 24 (2)'!$V$11</f>
        <v>0</v>
      </c>
      <c r="G47" s="595">
        <f>'Прилож 4 24'!W47</f>
        <v>0</v>
      </c>
      <c r="H47" s="595">
        <f>'Прилож 4 24'!X47</f>
        <v>57052.3</v>
      </c>
      <c r="I47" s="635"/>
      <c r="J47" s="595">
        <f>'Прилож 4 24'!Z47</f>
        <v>0</v>
      </c>
      <c r="K47" s="595">
        <f>'Прилож 4 24'!AA47</f>
        <v>0</v>
      </c>
      <c r="L47" s="595">
        <f>'Прилож 4 24'!AB47</f>
        <v>0</v>
      </c>
      <c r="M47" s="596">
        <f t="shared" si="1"/>
        <v>0</v>
      </c>
      <c r="N47" s="597">
        <f t="shared" ref="N47:AB47" si="14">SUM(N44:N46)</f>
        <v>0</v>
      </c>
      <c r="O47" s="597">
        <f t="shared" si="14"/>
        <v>0</v>
      </c>
      <c r="P47" s="597">
        <f t="shared" si="14"/>
        <v>0</v>
      </c>
      <c r="Q47" s="635"/>
      <c r="R47" s="597">
        <f t="shared" si="14"/>
        <v>0</v>
      </c>
      <c r="S47" s="597">
        <f t="shared" si="14"/>
        <v>0</v>
      </c>
      <c r="T47" s="597">
        <f t="shared" si="14"/>
        <v>0</v>
      </c>
      <c r="U47" s="597">
        <f t="shared" si="14"/>
        <v>57052.3</v>
      </c>
      <c r="V47" s="597">
        <f t="shared" si="14"/>
        <v>0</v>
      </c>
      <c r="W47" s="597">
        <f t="shared" si="14"/>
        <v>0</v>
      </c>
      <c r="X47" s="597">
        <f t="shared" si="14"/>
        <v>57052.3</v>
      </c>
      <c r="Y47" s="635"/>
      <c r="Z47" s="597">
        <f t="shared" si="14"/>
        <v>0</v>
      </c>
      <c r="AA47" s="597">
        <f t="shared" si="14"/>
        <v>0</v>
      </c>
      <c r="AB47" s="597">
        <f t="shared" si="14"/>
        <v>0</v>
      </c>
      <c r="AC47" s="636"/>
    </row>
    <row r="48" spans="1:29" ht="31.5" x14ac:dyDescent="0.2">
      <c r="A48" s="618" t="s">
        <v>1183</v>
      </c>
      <c r="B48" s="619" t="s">
        <v>729</v>
      </c>
      <c r="C48" s="620">
        <v>244</v>
      </c>
      <c r="D48" s="620">
        <v>221</v>
      </c>
      <c r="E48" s="596">
        <f t="shared" si="0"/>
        <v>44560.93</v>
      </c>
      <c r="F48" s="595">
        <f>'[8]Прилож 4 24 (2)'!$V$11</f>
        <v>0</v>
      </c>
      <c r="G48" s="595">
        <f>'Прилож 4 24'!W48</f>
        <v>0</v>
      </c>
      <c r="H48" s="595">
        <f>'Прилож 4 24'!X48</f>
        <v>44560.93</v>
      </c>
      <c r="I48" s="628"/>
      <c r="J48" s="595">
        <f>'Прилож 4 24'!Z48</f>
        <v>0</v>
      </c>
      <c r="K48" s="595">
        <f>'Прилож 4 24'!AA48</f>
        <v>0</v>
      </c>
      <c r="L48" s="595">
        <f>'Прилож 4 24'!AB48</f>
        <v>0</v>
      </c>
      <c r="M48" s="596">
        <f t="shared" si="1"/>
        <v>0</v>
      </c>
      <c r="N48" s="595"/>
      <c r="O48" s="595"/>
      <c r="P48" s="595"/>
      <c r="Q48" s="621"/>
      <c r="R48" s="595"/>
      <c r="S48" s="595"/>
      <c r="T48" s="595"/>
      <c r="U48" s="596">
        <f t="shared" si="4"/>
        <v>44560.93</v>
      </c>
      <c r="V48" s="595">
        <f t="shared" si="6"/>
        <v>0</v>
      </c>
      <c r="W48" s="595">
        <f t="shared" si="2"/>
        <v>0</v>
      </c>
      <c r="X48" s="595">
        <f t="shared" si="2"/>
        <v>44560.93</v>
      </c>
      <c r="Y48" s="628"/>
      <c r="Z48" s="595">
        <f t="shared" si="3"/>
        <v>0</v>
      </c>
      <c r="AA48" s="595">
        <f t="shared" si="3"/>
        <v>0</v>
      </c>
      <c r="AB48" s="595">
        <f t="shared" si="3"/>
        <v>0</v>
      </c>
      <c r="AC48" s="622"/>
    </row>
    <row r="49" spans="1:29" x14ac:dyDescent="0.2">
      <c r="A49" s="618" t="s">
        <v>597</v>
      </c>
      <c r="B49" s="619" t="s">
        <v>729</v>
      </c>
      <c r="C49" s="620">
        <v>244</v>
      </c>
      <c r="D49" s="620">
        <v>221</v>
      </c>
      <c r="E49" s="596">
        <f t="shared" si="0"/>
        <v>34080</v>
      </c>
      <c r="F49" s="595">
        <f>'[8]Прилож 4 24 (2)'!$V$11</f>
        <v>0</v>
      </c>
      <c r="G49" s="595">
        <f>'Прилож 4 24'!W49</f>
        <v>0</v>
      </c>
      <c r="H49" s="595">
        <f>'Прилож 4 24'!X49</f>
        <v>34080</v>
      </c>
      <c r="I49" s="628"/>
      <c r="J49" s="595">
        <f>'Прилож 4 24'!Z49</f>
        <v>0</v>
      </c>
      <c r="K49" s="595">
        <f>'Прилож 4 24'!AA49</f>
        <v>0</v>
      </c>
      <c r="L49" s="595">
        <f>'Прилож 4 24'!AB49</f>
        <v>0</v>
      </c>
      <c r="M49" s="596">
        <f t="shared" si="1"/>
        <v>0</v>
      </c>
      <c r="N49" s="595"/>
      <c r="O49" s="595"/>
      <c r="P49" s="595"/>
      <c r="Q49" s="621"/>
      <c r="R49" s="595"/>
      <c r="S49" s="595"/>
      <c r="T49" s="595"/>
      <c r="U49" s="596">
        <f t="shared" si="4"/>
        <v>34080</v>
      </c>
      <c r="V49" s="595">
        <f t="shared" si="6"/>
        <v>0</v>
      </c>
      <c r="W49" s="595">
        <f t="shared" si="2"/>
        <v>0</v>
      </c>
      <c r="X49" s="595">
        <f t="shared" si="2"/>
        <v>34080</v>
      </c>
      <c r="Y49" s="628"/>
      <c r="Z49" s="595">
        <f t="shared" si="3"/>
        <v>0</v>
      </c>
      <c r="AA49" s="595">
        <f t="shared" si="3"/>
        <v>0</v>
      </c>
      <c r="AB49" s="595">
        <f t="shared" si="3"/>
        <v>0</v>
      </c>
      <c r="AC49" s="622"/>
    </row>
    <row r="50" spans="1:29" ht="31.5" x14ac:dyDescent="0.2">
      <c r="A50" s="618" t="s">
        <v>158</v>
      </c>
      <c r="B50" s="619" t="s">
        <v>729</v>
      </c>
      <c r="C50" s="620">
        <v>244</v>
      </c>
      <c r="D50" s="620">
        <v>221</v>
      </c>
      <c r="E50" s="596">
        <f t="shared" si="0"/>
        <v>6600</v>
      </c>
      <c r="F50" s="595">
        <f>'[8]Прилож 4 24 (2)'!$V$11</f>
        <v>0</v>
      </c>
      <c r="G50" s="595">
        <f>'Прилож 4 24'!W50</f>
        <v>0</v>
      </c>
      <c r="H50" s="595">
        <f>'Прилож 4 24'!X50</f>
        <v>6600</v>
      </c>
      <c r="I50" s="628"/>
      <c r="J50" s="595">
        <f>'Прилож 4 24'!Z50</f>
        <v>0</v>
      </c>
      <c r="K50" s="595">
        <f>'Прилож 4 24'!AA50</f>
        <v>0</v>
      </c>
      <c r="L50" s="595">
        <f>'Прилож 4 24'!AB50</f>
        <v>0</v>
      </c>
      <c r="M50" s="596">
        <f t="shared" si="1"/>
        <v>0</v>
      </c>
      <c r="N50" s="595"/>
      <c r="O50" s="595"/>
      <c r="P50" s="595"/>
      <c r="Q50" s="621"/>
      <c r="R50" s="595"/>
      <c r="S50" s="595"/>
      <c r="T50" s="595"/>
      <c r="U50" s="596">
        <f t="shared" si="4"/>
        <v>6600</v>
      </c>
      <c r="V50" s="595">
        <f t="shared" si="6"/>
        <v>0</v>
      </c>
      <c r="W50" s="595">
        <f t="shared" si="2"/>
        <v>0</v>
      </c>
      <c r="X50" s="595">
        <f t="shared" si="2"/>
        <v>6600</v>
      </c>
      <c r="Y50" s="628"/>
      <c r="Z50" s="595">
        <f t="shared" si="3"/>
        <v>0</v>
      </c>
      <c r="AA50" s="595">
        <f t="shared" si="3"/>
        <v>0</v>
      </c>
      <c r="AB50" s="595">
        <f t="shared" si="3"/>
        <v>0</v>
      </c>
      <c r="AC50" s="622"/>
    </row>
    <row r="51" spans="1:29" s="637" customFormat="1" x14ac:dyDescent="0.2">
      <c r="A51" s="632" t="s">
        <v>1143</v>
      </c>
      <c r="B51" s="633" t="s">
        <v>729</v>
      </c>
      <c r="C51" s="634">
        <v>244</v>
      </c>
      <c r="D51" s="634">
        <v>221</v>
      </c>
      <c r="E51" s="597">
        <f>SUM(E48:E50)</f>
        <v>85240.93</v>
      </c>
      <c r="F51" s="595">
        <f>'[8]Прилож 4 24 (2)'!$V$11</f>
        <v>0</v>
      </c>
      <c r="G51" s="595">
        <f>'Прилож 4 24'!W51</f>
        <v>0</v>
      </c>
      <c r="H51" s="595">
        <f>'Прилож 4 24'!X51</f>
        <v>85240.93</v>
      </c>
      <c r="I51" s="635"/>
      <c r="J51" s="595">
        <f>'Прилож 4 24'!Z51</f>
        <v>0</v>
      </c>
      <c r="K51" s="595">
        <f>'Прилож 4 24'!AA51</f>
        <v>0</v>
      </c>
      <c r="L51" s="595">
        <f>'Прилож 4 24'!AB51</f>
        <v>0</v>
      </c>
      <c r="M51" s="596">
        <f t="shared" si="1"/>
        <v>0</v>
      </c>
      <c r="N51" s="597">
        <f t="shared" ref="N51:AB51" si="15">SUM(N48:N50)</f>
        <v>0</v>
      </c>
      <c r="O51" s="597">
        <f t="shared" si="15"/>
        <v>0</v>
      </c>
      <c r="P51" s="597">
        <f t="shared" si="15"/>
        <v>0</v>
      </c>
      <c r="Q51" s="635"/>
      <c r="R51" s="597">
        <f t="shared" si="15"/>
        <v>0</v>
      </c>
      <c r="S51" s="597">
        <f t="shared" si="15"/>
        <v>0</v>
      </c>
      <c r="T51" s="597">
        <f t="shared" si="15"/>
        <v>0</v>
      </c>
      <c r="U51" s="597">
        <f t="shared" si="15"/>
        <v>85240.93</v>
      </c>
      <c r="V51" s="597">
        <f t="shared" si="15"/>
        <v>0</v>
      </c>
      <c r="W51" s="597">
        <f t="shared" si="15"/>
        <v>0</v>
      </c>
      <c r="X51" s="597">
        <f t="shared" si="15"/>
        <v>85240.93</v>
      </c>
      <c r="Y51" s="635"/>
      <c r="Z51" s="597">
        <f t="shared" si="15"/>
        <v>0</v>
      </c>
      <c r="AA51" s="597">
        <f t="shared" si="15"/>
        <v>0</v>
      </c>
      <c r="AB51" s="597">
        <f t="shared" si="15"/>
        <v>0</v>
      </c>
      <c r="AC51" s="636"/>
    </row>
    <row r="52" spans="1:29" s="614" customFormat="1" x14ac:dyDescent="0.2">
      <c r="A52" s="630" t="s">
        <v>734</v>
      </c>
      <c r="B52" s="631"/>
      <c r="C52" s="624"/>
      <c r="D52" s="624"/>
      <c r="E52" s="596">
        <f>E51+E47</f>
        <v>142293.22999999998</v>
      </c>
      <c r="F52" s="595">
        <f>'[8]Прилож 4 24 (2)'!$V$11</f>
        <v>0</v>
      </c>
      <c r="G52" s="595">
        <f>'Прилож 4 24'!W52</f>
        <v>0</v>
      </c>
      <c r="H52" s="595">
        <f>'Прилож 4 24'!X52</f>
        <v>142293.22999999998</v>
      </c>
      <c r="I52" s="626"/>
      <c r="J52" s="595">
        <f>'Прилож 4 24'!Z52</f>
        <v>0</v>
      </c>
      <c r="K52" s="595">
        <f>'Прилож 4 24'!AA52</f>
        <v>0</v>
      </c>
      <c r="L52" s="595">
        <f>'Прилож 4 24'!AB52</f>
        <v>0</v>
      </c>
      <c r="M52" s="596">
        <f t="shared" si="1"/>
        <v>0</v>
      </c>
      <c r="N52" s="596">
        <f t="shared" ref="N52:AB52" si="16">N51+N47</f>
        <v>0</v>
      </c>
      <c r="O52" s="596">
        <f t="shared" si="16"/>
        <v>0</v>
      </c>
      <c r="P52" s="596">
        <f t="shared" si="16"/>
        <v>0</v>
      </c>
      <c r="Q52" s="626"/>
      <c r="R52" s="596">
        <f t="shared" si="16"/>
        <v>0</v>
      </c>
      <c r="S52" s="596">
        <f t="shared" si="16"/>
        <v>0</v>
      </c>
      <c r="T52" s="596">
        <f t="shared" si="16"/>
        <v>0</v>
      </c>
      <c r="U52" s="596">
        <f t="shared" si="16"/>
        <v>142293.22999999998</v>
      </c>
      <c r="V52" s="596">
        <f t="shared" si="16"/>
        <v>0</v>
      </c>
      <c r="W52" s="596">
        <f t="shared" si="16"/>
        <v>0</v>
      </c>
      <c r="X52" s="596">
        <f t="shared" si="16"/>
        <v>142293.22999999998</v>
      </c>
      <c r="Y52" s="626"/>
      <c r="Z52" s="596">
        <f t="shared" si="16"/>
        <v>0</v>
      </c>
      <c r="AA52" s="596">
        <f t="shared" si="16"/>
        <v>0</v>
      </c>
      <c r="AB52" s="596">
        <f t="shared" si="16"/>
        <v>0</v>
      </c>
      <c r="AC52" s="627"/>
    </row>
    <row r="53" spans="1:29" x14ac:dyDescent="0.2">
      <c r="A53" s="618" t="s">
        <v>126</v>
      </c>
      <c r="B53" s="619" t="s">
        <v>747</v>
      </c>
      <c r="C53" s="620">
        <v>244</v>
      </c>
      <c r="D53" s="620">
        <v>223</v>
      </c>
      <c r="E53" s="596">
        <f t="shared" si="0"/>
        <v>30113.4</v>
      </c>
      <c r="F53" s="595">
        <f>'[8]Прилож 4 24 (2)'!$V$11</f>
        <v>0</v>
      </c>
      <c r="G53" s="595">
        <f>'Прилож 4 24'!W53</f>
        <v>0</v>
      </c>
      <c r="H53" s="595">
        <f>'Прилож 4 24'!X53</f>
        <v>30113.4</v>
      </c>
      <c r="I53" s="628"/>
      <c r="J53" s="595">
        <f>'Прилож 4 24'!Z53</f>
        <v>0</v>
      </c>
      <c r="K53" s="595">
        <f>'Прилож 4 24'!AA53</f>
        <v>0</v>
      </c>
      <c r="L53" s="595">
        <f>'Прилож 4 24'!AB53</f>
        <v>0</v>
      </c>
      <c r="M53" s="596">
        <f t="shared" si="1"/>
        <v>0</v>
      </c>
      <c r="N53" s="595"/>
      <c r="O53" s="595"/>
      <c r="P53" s="595"/>
      <c r="Q53" s="621"/>
      <c r="R53" s="595"/>
      <c r="S53" s="595"/>
      <c r="T53" s="595"/>
      <c r="U53" s="596">
        <f t="shared" si="4"/>
        <v>30113.4</v>
      </c>
      <c r="V53" s="595">
        <f t="shared" si="6"/>
        <v>0</v>
      </c>
      <c r="W53" s="595">
        <f t="shared" si="2"/>
        <v>0</v>
      </c>
      <c r="X53" s="595">
        <f t="shared" si="2"/>
        <v>30113.4</v>
      </c>
      <c r="Y53" s="628"/>
      <c r="Z53" s="595">
        <f t="shared" si="3"/>
        <v>0</v>
      </c>
      <c r="AA53" s="595">
        <f t="shared" si="3"/>
        <v>0</v>
      </c>
      <c r="AB53" s="595">
        <f t="shared" si="3"/>
        <v>0</v>
      </c>
      <c r="AC53" s="622"/>
    </row>
    <row r="54" spans="1:29" x14ac:dyDescent="0.2">
      <c r="A54" s="618" t="s">
        <v>1261</v>
      </c>
      <c r="B54" s="619" t="s">
        <v>747</v>
      </c>
      <c r="C54" s="620">
        <v>244</v>
      </c>
      <c r="D54" s="620">
        <v>223</v>
      </c>
      <c r="E54" s="596">
        <f t="shared" si="0"/>
        <v>40636.9</v>
      </c>
      <c r="F54" s="595">
        <f>'[8]Прилож 4 24 (2)'!$V$11</f>
        <v>0</v>
      </c>
      <c r="G54" s="595">
        <f>'Прилож 4 24'!W54</f>
        <v>0</v>
      </c>
      <c r="H54" s="595">
        <f>'Прилож 4 24'!X54</f>
        <v>40636.9</v>
      </c>
      <c r="I54" s="628"/>
      <c r="J54" s="595">
        <f>'Прилож 4 24'!Z54</f>
        <v>0</v>
      </c>
      <c r="K54" s="595">
        <f>'Прилож 4 24'!AA54</f>
        <v>0</v>
      </c>
      <c r="L54" s="595">
        <f>'Прилож 4 24'!AB54</f>
        <v>0</v>
      </c>
      <c r="M54" s="596">
        <f t="shared" si="1"/>
        <v>0</v>
      </c>
      <c r="N54" s="595"/>
      <c r="O54" s="595"/>
      <c r="P54" s="595"/>
      <c r="Q54" s="621"/>
      <c r="R54" s="595"/>
      <c r="S54" s="595"/>
      <c r="T54" s="595"/>
      <c r="U54" s="596">
        <f t="shared" si="4"/>
        <v>40636.9</v>
      </c>
      <c r="V54" s="595">
        <f t="shared" si="6"/>
        <v>0</v>
      </c>
      <c r="W54" s="595">
        <f t="shared" si="2"/>
        <v>0</v>
      </c>
      <c r="X54" s="595">
        <f t="shared" si="2"/>
        <v>40636.9</v>
      </c>
      <c r="Y54" s="628"/>
      <c r="Z54" s="595">
        <f t="shared" si="3"/>
        <v>0</v>
      </c>
      <c r="AA54" s="595">
        <f t="shared" si="3"/>
        <v>0</v>
      </c>
      <c r="AB54" s="595">
        <f t="shared" si="3"/>
        <v>0</v>
      </c>
      <c r="AC54" s="622"/>
    </row>
    <row r="55" spans="1:29" x14ac:dyDescent="0.2">
      <c r="A55" s="618" t="s">
        <v>128</v>
      </c>
      <c r="B55" s="619" t="s">
        <v>747</v>
      </c>
      <c r="C55" s="620">
        <v>244</v>
      </c>
      <c r="D55" s="620">
        <v>223</v>
      </c>
      <c r="E55" s="596">
        <f t="shared" si="0"/>
        <v>75941.84</v>
      </c>
      <c r="F55" s="595">
        <f>'[8]Прилож 4 24 (2)'!$V$11</f>
        <v>0</v>
      </c>
      <c r="G55" s="595">
        <f>'Прилож 4 24'!W55</f>
        <v>0</v>
      </c>
      <c r="H55" s="595">
        <f>'Прилож 4 24'!X55</f>
        <v>75941.84</v>
      </c>
      <c r="I55" s="628"/>
      <c r="J55" s="595">
        <f>'Прилож 4 24'!Z55</f>
        <v>0</v>
      </c>
      <c r="K55" s="595">
        <f>'Прилож 4 24'!AA55</f>
        <v>0</v>
      </c>
      <c r="L55" s="595">
        <f>'Прилож 4 24'!AB55</f>
        <v>0</v>
      </c>
      <c r="M55" s="596">
        <f t="shared" si="1"/>
        <v>0</v>
      </c>
      <c r="N55" s="595"/>
      <c r="O55" s="595"/>
      <c r="P55" s="595"/>
      <c r="Q55" s="621"/>
      <c r="R55" s="595"/>
      <c r="S55" s="595"/>
      <c r="T55" s="595"/>
      <c r="U55" s="596">
        <f t="shared" si="4"/>
        <v>75941.84</v>
      </c>
      <c r="V55" s="595">
        <f t="shared" si="6"/>
        <v>0</v>
      </c>
      <c r="W55" s="595">
        <f t="shared" si="2"/>
        <v>0</v>
      </c>
      <c r="X55" s="595">
        <f t="shared" si="2"/>
        <v>75941.84</v>
      </c>
      <c r="Y55" s="628"/>
      <c r="Z55" s="595">
        <f t="shared" si="3"/>
        <v>0</v>
      </c>
      <c r="AA55" s="595">
        <f t="shared" si="3"/>
        <v>0</v>
      </c>
      <c r="AB55" s="595">
        <f t="shared" si="3"/>
        <v>0</v>
      </c>
      <c r="AC55" s="622"/>
    </row>
    <row r="56" spans="1:29" x14ac:dyDescent="0.2">
      <c r="A56" s="618" t="s">
        <v>1259</v>
      </c>
      <c r="B56" s="619" t="s">
        <v>747</v>
      </c>
      <c r="C56" s="620">
        <v>244</v>
      </c>
      <c r="D56" s="620">
        <v>223</v>
      </c>
      <c r="E56" s="596">
        <f t="shared" si="0"/>
        <v>78343.55</v>
      </c>
      <c r="F56" s="595">
        <f>'[8]Прилож 4 24 (2)'!$V$11</f>
        <v>0</v>
      </c>
      <c r="G56" s="595">
        <f>'Прилож 4 24'!W56</f>
        <v>0</v>
      </c>
      <c r="H56" s="595">
        <f>'Прилож 4 24'!X56</f>
        <v>78343.55</v>
      </c>
      <c r="I56" s="628"/>
      <c r="J56" s="595">
        <f>'Прилож 4 24'!Z56</f>
        <v>0</v>
      </c>
      <c r="K56" s="595">
        <f>'Прилож 4 24'!AA56</f>
        <v>0</v>
      </c>
      <c r="L56" s="595">
        <f>'Прилож 4 24'!AB56</f>
        <v>0</v>
      </c>
      <c r="M56" s="596">
        <f t="shared" si="1"/>
        <v>0</v>
      </c>
      <c r="N56" s="595"/>
      <c r="O56" s="595"/>
      <c r="P56" s="595"/>
      <c r="Q56" s="621"/>
      <c r="R56" s="595"/>
      <c r="S56" s="595"/>
      <c r="T56" s="595"/>
      <c r="U56" s="596">
        <f t="shared" si="4"/>
        <v>78343.55</v>
      </c>
      <c r="V56" s="595">
        <f t="shared" si="6"/>
        <v>0</v>
      </c>
      <c r="W56" s="595">
        <f t="shared" si="2"/>
        <v>0</v>
      </c>
      <c r="X56" s="595">
        <f t="shared" si="2"/>
        <v>78343.55</v>
      </c>
      <c r="Y56" s="628"/>
      <c r="Z56" s="595">
        <f t="shared" si="3"/>
        <v>0</v>
      </c>
      <c r="AA56" s="595">
        <f t="shared" si="3"/>
        <v>0</v>
      </c>
      <c r="AB56" s="595">
        <f t="shared" si="3"/>
        <v>0</v>
      </c>
      <c r="AC56" s="622"/>
    </row>
    <row r="57" spans="1:29" ht="31.5" x14ac:dyDescent="0.2">
      <c r="A57" s="618" t="s">
        <v>1238</v>
      </c>
      <c r="B57" s="619" t="s">
        <v>747</v>
      </c>
      <c r="C57" s="620">
        <v>244</v>
      </c>
      <c r="D57" s="620">
        <v>223</v>
      </c>
      <c r="E57" s="596">
        <f t="shared" si="0"/>
        <v>37970.92</v>
      </c>
      <c r="F57" s="595">
        <f>'[8]Прилож 4 24 (2)'!$V$11</f>
        <v>0</v>
      </c>
      <c r="G57" s="595">
        <f>'Прилож 4 24'!W57</f>
        <v>0</v>
      </c>
      <c r="H57" s="595">
        <f>'Прилож 4 24'!X57</f>
        <v>37970.92</v>
      </c>
      <c r="I57" s="628"/>
      <c r="J57" s="595">
        <f>'Прилож 4 24'!Z57</f>
        <v>0</v>
      </c>
      <c r="K57" s="595">
        <f>'Прилож 4 24'!AA57</f>
        <v>0</v>
      </c>
      <c r="L57" s="595">
        <f>'Прилож 4 24'!AB57</f>
        <v>0</v>
      </c>
      <c r="M57" s="596">
        <f t="shared" si="1"/>
        <v>0</v>
      </c>
      <c r="N57" s="595"/>
      <c r="O57" s="595"/>
      <c r="P57" s="595"/>
      <c r="Q57" s="621"/>
      <c r="R57" s="595"/>
      <c r="S57" s="595"/>
      <c r="T57" s="595"/>
      <c r="U57" s="596">
        <f t="shared" si="4"/>
        <v>37970.92</v>
      </c>
      <c r="V57" s="595">
        <f t="shared" si="6"/>
        <v>0</v>
      </c>
      <c r="W57" s="595">
        <f t="shared" si="2"/>
        <v>0</v>
      </c>
      <c r="X57" s="595">
        <f t="shared" si="2"/>
        <v>37970.92</v>
      </c>
      <c r="Y57" s="628"/>
      <c r="Z57" s="595">
        <f t="shared" si="3"/>
        <v>0</v>
      </c>
      <c r="AA57" s="595">
        <f t="shared" si="3"/>
        <v>0</v>
      </c>
      <c r="AB57" s="595">
        <f t="shared" si="3"/>
        <v>0</v>
      </c>
      <c r="AC57" s="622"/>
    </row>
    <row r="58" spans="1:29" ht="31.5" x14ac:dyDescent="0.2">
      <c r="A58" s="618" t="s">
        <v>1262</v>
      </c>
      <c r="B58" s="619" t="s">
        <v>747</v>
      </c>
      <c r="C58" s="620">
        <v>244</v>
      </c>
      <c r="D58" s="620">
        <v>223</v>
      </c>
      <c r="E58" s="596">
        <f t="shared" si="0"/>
        <v>39171.78</v>
      </c>
      <c r="F58" s="595">
        <f>'[8]Прилож 4 24 (2)'!$V$11</f>
        <v>0</v>
      </c>
      <c r="G58" s="595">
        <f>'Прилож 4 24'!W58</f>
        <v>0</v>
      </c>
      <c r="H58" s="595">
        <f>'Прилож 4 24'!X58</f>
        <v>39171.78</v>
      </c>
      <c r="I58" s="628"/>
      <c r="J58" s="595">
        <f>'Прилож 4 24'!Z58</f>
        <v>0</v>
      </c>
      <c r="K58" s="595">
        <f>'Прилож 4 24'!AA58</f>
        <v>0</v>
      </c>
      <c r="L58" s="595">
        <f>'Прилож 4 24'!AB58</f>
        <v>0</v>
      </c>
      <c r="M58" s="596">
        <f t="shared" si="1"/>
        <v>0</v>
      </c>
      <c r="N58" s="595"/>
      <c r="O58" s="595"/>
      <c r="P58" s="595"/>
      <c r="Q58" s="621"/>
      <c r="R58" s="595"/>
      <c r="S58" s="595"/>
      <c r="T58" s="595"/>
      <c r="U58" s="596">
        <f t="shared" si="4"/>
        <v>39171.78</v>
      </c>
      <c r="V58" s="595">
        <f t="shared" si="6"/>
        <v>0</v>
      </c>
      <c r="W58" s="595">
        <f t="shared" si="2"/>
        <v>0</v>
      </c>
      <c r="X58" s="595">
        <f t="shared" si="2"/>
        <v>39171.78</v>
      </c>
      <c r="Y58" s="628"/>
      <c r="Z58" s="595">
        <f t="shared" si="3"/>
        <v>0</v>
      </c>
      <c r="AA58" s="595">
        <f t="shared" si="3"/>
        <v>0</v>
      </c>
      <c r="AB58" s="595">
        <f t="shared" si="3"/>
        <v>0</v>
      </c>
      <c r="AC58" s="622"/>
    </row>
    <row r="59" spans="1:29" ht="31.5" x14ac:dyDescent="0.2">
      <c r="A59" s="618" t="s">
        <v>1140</v>
      </c>
      <c r="B59" s="619" t="s">
        <v>747</v>
      </c>
      <c r="C59" s="620">
        <v>244</v>
      </c>
      <c r="D59" s="620">
        <v>223</v>
      </c>
      <c r="E59" s="596">
        <f t="shared" si="0"/>
        <v>9612.2000000000007</v>
      </c>
      <c r="F59" s="595">
        <f>'[8]Прилож 4 24 (2)'!$V$11</f>
        <v>0</v>
      </c>
      <c r="G59" s="595">
        <f>'Прилож 4 24'!W59</f>
        <v>0</v>
      </c>
      <c r="H59" s="595">
        <f>'Прилож 4 24'!X59</f>
        <v>9612.2000000000007</v>
      </c>
      <c r="I59" s="628"/>
      <c r="J59" s="595">
        <f>'Прилож 4 24'!Z59</f>
        <v>0</v>
      </c>
      <c r="K59" s="595">
        <f>'Прилож 4 24'!AA59</f>
        <v>0</v>
      </c>
      <c r="L59" s="595">
        <f>'Прилож 4 24'!AB59</f>
        <v>0</v>
      </c>
      <c r="M59" s="596">
        <f t="shared" si="1"/>
        <v>0</v>
      </c>
      <c r="N59" s="595"/>
      <c r="O59" s="595"/>
      <c r="P59" s="595"/>
      <c r="Q59" s="621"/>
      <c r="R59" s="595"/>
      <c r="S59" s="595"/>
      <c r="T59" s="595"/>
      <c r="U59" s="596">
        <f t="shared" si="4"/>
        <v>9612.2000000000007</v>
      </c>
      <c r="V59" s="595">
        <f t="shared" si="6"/>
        <v>0</v>
      </c>
      <c r="W59" s="595">
        <f t="shared" si="2"/>
        <v>0</v>
      </c>
      <c r="X59" s="595">
        <f t="shared" si="2"/>
        <v>9612.2000000000007</v>
      </c>
      <c r="Y59" s="628"/>
      <c r="Z59" s="595">
        <f t="shared" si="3"/>
        <v>0</v>
      </c>
      <c r="AA59" s="595">
        <f t="shared" si="3"/>
        <v>0</v>
      </c>
      <c r="AB59" s="595">
        <f t="shared" si="3"/>
        <v>0</v>
      </c>
      <c r="AC59" s="622"/>
    </row>
    <row r="60" spans="1:29" ht="48.75" customHeight="1" x14ac:dyDescent="0.2">
      <c r="A60" s="618" t="s">
        <v>1141</v>
      </c>
      <c r="B60" s="619" t="s">
        <v>747</v>
      </c>
      <c r="C60" s="620">
        <v>244</v>
      </c>
      <c r="D60" s="620">
        <v>223</v>
      </c>
      <c r="E60" s="596">
        <f t="shared" si="0"/>
        <v>9008.24</v>
      </c>
      <c r="F60" s="595">
        <f>'[8]Прилож 4 24 (2)'!$V$11</f>
        <v>0</v>
      </c>
      <c r="G60" s="595">
        <f>'Прилож 4 24'!W60</f>
        <v>0</v>
      </c>
      <c r="H60" s="595">
        <f>'Прилож 4 24'!X60</f>
        <v>9008.24</v>
      </c>
      <c r="I60" s="628"/>
      <c r="J60" s="595">
        <f>'Прилож 4 24'!Z60</f>
        <v>0</v>
      </c>
      <c r="K60" s="595">
        <f>'Прилож 4 24'!AA60</f>
        <v>0</v>
      </c>
      <c r="L60" s="595">
        <f>'Прилож 4 24'!AB60</f>
        <v>0</v>
      </c>
      <c r="M60" s="596">
        <f t="shared" si="1"/>
        <v>0</v>
      </c>
      <c r="N60" s="595"/>
      <c r="O60" s="595"/>
      <c r="P60" s="595"/>
      <c r="Q60" s="621"/>
      <c r="R60" s="595"/>
      <c r="S60" s="595"/>
      <c r="T60" s="595"/>
      <c r="U60" s="596">
        <f t="shared" si="4"/>
        <v>9008.24</v>
      </c>
      <c r="V60" s="595">
        <f t="shared" si="6"/>
        <v>0</v>
      </c>
      <c r="W60" s="595">
        <f t="shared" si="2"/>
        <v>0</v>
      </c>
      <c r="X60" s="595">
        <f t="shared" si="2"/>
        <v>9008.24</v>
      </c>
      <c r="Y60" s="628"/>
      <c r="Z60" s="595">
        <f t="shared" si="3"/>
        <v>0</v>
      </c>
      <c r="AA60" s="595">
        <f t="shared" si="3"/>
        <v>0</v>
      </c>
      <c r="AB60" s="595">
        <f t="shared" si="3"/>
        <v>0</v>
      </c>
      <c r="AC60" s="622"/>
    </row>
    <row r="61" spans="1:29" ht="48.75" customHeight="1" x14ac:dyDescent="0.2">
      <c r="A61" s="618" t="s">
        <v>130</v>
      </c>
      <c r="B61" s="619" t="s">
        <v>747</v>
      </c>
      <c r="C61" s="620">
        <v>244</v>
      </c>
      <c r="D61" s="620">
        <v>223</v>
      </c>
      <c r="E61" s="596">
        <f t="shared" si="0"/>
        <v>50838.7</v>
      </c>
      <c r="F61" s="595">
        <f>'[8]Прилож 4 24 (2)'!$V$11</f>
        <v>0</v>
      </c>
      <c r="G61" s="595">
        <f>'Прилож 4 24'!W61</f>
        <v>0</v>
      </c>
      <c r="H61" s="595">
        <f>'Прилож 4 24'!X61</f>
        <v>50838.7</v>
      </c>
      <c r="I61" s="628"/>
      <c r="J61" s="595">
        <f>'Прилож 4 24'!Z61</f>
        <v>0</v>
      </c>
      <c r="K61" s="595">
        <f>'Прилож 4 24'!AA61</f>
        <v>0</v>
      </c>
      <c r="L61" s="595">
        <f>'Прилож 4 24'!AB61</f>
        <v>0</v>
      </c>
      <c r="M61" s="596">
        <f t="shared" si="1"/>
        <v>0</v>
      </c>
      <c r="N61" s="595"/>
      <c r="O61" s="595"/>
      <c r="P61" s="595"/>
      <c r="Q61" s="621"/>
      <c r="R61" s="595"/>
      <c r="S61" s="595"/>
      <c r="T61" s="595"/>
      <c r="U61" s="596">
        <f t="shared" si="4"/>
        <v>50838.7</v>
      </c>
      <c r="V61" s="595">
        <f t="shared" si="6"/>
        <v>0</v>
      </c>
      <c r="W61" s="595">
        <f t="shared" si="2"/>
        <v>0</v>
      </c>
      <c r="X61" s="595">
        <f t="shared" si="2"/>
        <v>50838.7</v>
      </c>
      <c r="Y61" s="628"/>
      <c r="Z61" s="595">
        <f t="shared" si="3"/>
        <v>0</v>
      </c>
      <c r="AA61" s="595">
        <f t="shared" si="3"/>
        <v>0</v>
      </c>
      <c r="AB61" s="595">
        <f t="shared" si="3"/>
        <v>0</v>
      </c>
      <c r="AC61" s="622"/>
    </row>
    <row r="62" spans="1:29" s="637" customFormat="1" ht="16.5" customHeight="1" x14ac:dyDescent="0.2">
      <c r="A62" s="632" t="s">
        <v>1143</v>
      </c>
      <c r="B62" s="633" t="s">
        <v>747</v>
      </c>
      <c r="C62" s="634">
        <v>244</v>
      </c>
      <c r="D62" s="634">
        <v>223</v>
      </c>
      <c r="E62" s="597">
        <f>SUM(E53:E61)</f>
        <v>371637.53</v>
      </c>
      <c r="F62" s="595">
        <f>'[8]Прилож 4 24 (2)'!$V$11</f>
        <v>0</v>
      </c>
      <c r="G62" s="595">
        <f>'Прилож 4 24'!W62</f>
        <v>0</v>
      </c>
      <c r="H62" s="595">
        <f>'Прилож 4 24'!X62</f>
        <v>371637.53</v>
      </c>
      <c r="I62" s="635"/>
      <c r="J62" s="595">
        <f>'Прилож 4 24'!Z62</f>
        <v>0</v>
      </c>
      <c r="K62" s="595">
        <f>'Прилож 4 24'!AA62</f>
        <v>0</v>
      </c>
      <c r="L62" s="595">
        <f>'Прилож 4 24'!AB62</f>
        <v>0</v>
      </c>
      <c r="M62" s="596">
        <f t="shared" si="1"/>
        <v>0</v>
      </c>
      <c r="N62" s="598"/>
      <c r="O62" s="598"/>
      <c r="P62" s="598"/>
      <c r="Q62" s="638"/>
      <c r="R62" s="598"/>
      <c r="S62" s="598"/>
      <c r="T62" s="598"/>
      <c r="U62" s="596">
        <f t="shared" si="4"/>
        <v>371637.53</v>
      </c>
      <c r="V62" s="598"/>
      <c r="W62" s="598"/>
      <c r="X62" s="595">
        <f t="shared" si="2"/>
        <v>371637.53</v>
      </c>
      <c r="Y62" s="639"/>
      <c r="Z62" s="598"/>
      <c r="AA62" s="598"/>
      <c r="AB62" s="598"/>
      <c r="AC62" s="636"/>
    </row>
    <row r="63" spans="1:29" x14ac:dyDescent="0.2">
      <c r="A63" s="618" t="s">
        <v>126</v>
      </c>
      <c r="B63" s="619" t="s">
        <v>729</v>
      </c>
      <c r="C63" s="620">
        <v>244</v>
      </c>
      <c r="D63" s="620">
        <v>223</v>
      </c>
      <c r="E63" s="596">
        <f t="shared" si="0"/>
        <v>9511.2999999999993</v>
      </c>
      <c r="F63" s="595">
        <f>'[8]Прилож 4 24 (2)'!$V$11</f>
        <v>0</v>
      </c>
      <c r="G63" s="595">
        <f>'Прилож 4 24'!W63</f>
        <v>0</v>
      </c>
      <c r="H63" s="595">
        <f>'Прилож 4 24'!X63</f>
        <v>9511.2999999999993</v>
      </c>
      <c r="I63" s="628"/>
      <c r="J63" s="595">
        <f>'Прилож 4 24'!Z63</f>
        <v>0</v>
      </c>
      <c r="K63" s="595">
        <f>'Прилож 4 24'!AA63</f>
        <v>0</v>
      </c>
      <c r="L63" s="595">
        <f>'Прилож 4 24'!AB63</f>
        <v>0</v>
      </c>
      <c r="M63" s="596">
        <f t="shared" si="1"/>
        <v>0</v>
      </c>
      <c r="N63" s="595"/>
      <c r="O63" s="595"/>
      <c r="P63" s="595"/>
      <c r="Q63" s="621"/>
      <c r="R63" s="595"/>
      <c r="S63" s="595"/>
      <c r="T63" s="595"/>
      <c r="U63" s="596">
        <f t="shared" si="4"/>
        <v>9511.2999999999993</v>
      </c>
      <c r="V63" s="595">
        <f t="shared" si="6"/>
        <v>0</v>
      </c>
      <c r="W63" s="595">
        <f t="shared" si="2"/>
        <v>0</v>
      </c>
      <c r="X63" s="595">
        <f t="shared" si="2"/>
        <v>9511.2999999999993</v>
      </c>
      <c r="Y63" s="628"/>
      <c r="Z63" s="595">
        <f t="shared" si="3"/>
        <v>0</v>
      </c>
      <c r="AA63" s="595">
        <f t="shared" si="3"/>
        <v>0</v>
      </c>
      <c r="AB63" s="595">
        <f t="shared" si="3"/>
        <v>0</v>
      </c>
      <c r="AC63" s="622"/>
    </row>
    <row r="64" spans="1:29" x14ac:dyDescent="0.2">
      <c r="A64" s="618" t="s">
        <v>127</v>
      </c>
      <c r="B64" s="619" t="s">
        <v>729</v>
      </c>
      <c r="C64" s="620">
        <v>244</v>
      </c>
      <c r="D64" s="620">
        <v>223</v>
      </c>
      <c r="E64" s="596">
        <f t="shared" si="0"/>
        <v>4191.91</v>
      </c>
      <c r="F64" s="595">
        <f>'[8]Прилож 4 24 (2)'!$V$11</f>
        <v>0</v>
      </c>
      <c r="G64" s="595">
        <f>'Прилож 4 24'!W64</f>
        <v>0</v>
      </c>
      <c r="H64" s="595">
        <f>'Прилож 4 24'!X64</f>
        <v>4191.91</v>
      </c>
      <c r="I64" s="628"/>
      <c r="J64" s="595">
        <f>'Прилож 4 24'!Z64</f>
        <v>0</v>
      </c>
      <c r="K64" s="595">
        <f>'Прилож 4 24'!AA64</f>
        <v>0</v>
      </c>
      <c r="L64" s="595">
        <f>'Прилож 4 24'!AB64</f>
        <v>0</v>
      </c>
      <c r="M64" s="596">
        <f t="shared" si="1"/>
        <v>0</v>
      </c>
      <c r="N64" s="595"/>
      <c r="O64" s="595"/>
      <c r="P64" s="595"/>
      <c r="Q64" s="621"/>
      <c r="R64" s="595"/>
      <c r="S64" s="595"/>
      <c r="T64" s="595"/>
      <c r="U64" s="596">
        <f t="shared" si="4"/>
        <v>4191.91</v>
      </c>
      <c r="V64" s="595">
        <f t="shared" si="6"/>
        <v>0</v>
      </c>
      <c r="W64" s="595">
        <f t="shared" si="2"/>
        <v>0</v>
      </c>
      <c r="X64" s="595">
        <f t="shared" si="2"/>
        <v>4191.91</v>
      </c>
      <c r="Y64" s="628"/>
      <c r="Z64" s="595">
        <f t="shared" si="3"/>
        <v>0</v>
      </c>
      <c r="AA64" s="595">
        <f t="shared" si="3"/>
        <v>0</v>
      </c>
      <c r="AB64" s="595">
        <f t="shared" si="3"/>
        <v>0</v>
      </c>
      <c r="AC64" s="622"/>
    </row>
    <row r="65" spans="1:29" x14ac:dyDescent="0.2">
      <c r="A65" s="618" t="s">
        <v>128</v>
      </c>
      <c r="B65" s="619" t="s">
        <v>729</v>
      </c>
      <c r="C65" s="620">
        <v>244</v>
      </c>
      <c r="D65" s="620">
        <v>223</v>
      </c>
      <c r="E65" s="596">
        <f t="shared" si="0"/>
        <v>19267.8</v>
      </c>
      <c r="F65" s="595">
        <f>'[8]Прилож 4 24 (2)'!$V$11</f>
        <v>0</v>
      </c>
      <c r="G65" s="595">
        <f>'Прилож 4 24'!W65</f>
        <v>0</v>
      </c>
      <c r="H65" s="595">
        <f>'Прилож 4 24'!X65</f>
        <v>19267.8</v>
      </c>
      <c r="I65" s="628"/>
      <c r="J65" s="595">
        <f>'Прилож 4 24'!Z65</f>
        <v>0</v>
      </c>
      <c r="K65" s="595">
        <f>'Прилож 4 24'!AA65</f>
        <v>0</v>
      </c>
      <c r="L65" s="595">
        <f>'Прилож 4 24'!AB65</f>
        <v>0</v>
      </c>
      <c r="M65" s="596">
        <f t="shared" si="1"/>
        <v>0</v>
      </c>
      <c r="N65" s="595"/>
      <c r="O65" s="595"/>
      <c r="P65" s="595"/>
      <c r="Q65" s="621"/>
      <c r="R65" s="595"/>
      <c r="S65" s="595"/>
      <c r="T65" s="595"/>
      <c r="U65" s="596">
        <f t="shared" si="4"/>
        <v>19267.8</v>
      </c>
      <c r="V65" s="595">
        <f t="shared" si="6"/>
        <v>0</v>
      </c>
      <c r="W65" s="595">
        <f t="shared" si="2"/>
        <v>0</v>
      </c>
      <c r="X65" s="595">
        <f t="shared" si="2"/>
        <v>19267.8</v>
      </c>
      <c r="Y65" s="628"/>
      <c r="Z65" s="595">
        <f t="shared" si="3"/>
        <v>0</v>
      </c>
      <c r="AA65" s="595">
        <f t="shared" si="3"/>
        <v>0</v>
      </c>
      <c r="AB65" s="595">
        <f t="shared" si="3"/>
        <v>0</v>
      </c>
      <c r="AC65" s="622"/>
    </row>
    <row r="66" spans="1:29" x14ac:dyDescent="0.2">
      <c r="A66" s="618" t="s">
        <v>129</v>
      </c>
      <c r="B66" s="619" t="s">
        <v>729</v>
      </c>
      <c r="C66" s="620">
        <v>244</v>
      </c>
      <c r="D66" s="620">
        <v>223</v>
      </c>
      <c r="E66" s="596">
        <f t="shared" si="0"/>
        <v>12829.48</v>
      </c>
      <c r="F66" s="595">
        <f>'[8]Прилож 4 24 (2)'!$V$11</f>
        <v>0</v>
      </c>
      <c r="G66" s="595">
        <f>'Прилож 4 24'!W66</f>
        <v>0</v>
      </c>
      <c r="H66" s="595">
        <f>'Прилож 4 24'!X66</f>
        <v>12829.48</v>
      </c>
      <c r="I66" s="628"/>
      <c r="J66" s="595">
        <f>'Прилож 4 24'!Z66</f>
        <v>0</v>
      </c>
      <c r="K66" s="595">
        <f>'Прилож 4 24'!AA66</f>
        <v>0</v>
      </c>
      <c r="L66" s="595">
        <f>'Прилож 4 24'!AB66</f>
        <v>0</v>
      </c>
      <c r="M66" s="596">
        <f t="shared" si="1"/>
        <v>0</v>
      </c>
      <c r="N66" s="595"/>
      <c r="O66" s="595"/>
      <c r="P66" s="595"/>
      <c r="Q66" s="621"/>
      <c r="R66" s="595"/>
      <c r="S66" s="595"/>
      <c r="T66" s="595"/>
      <c r="U66" s="596">
        <f t="shared" si="4"/>
        <v>12829.48</v>
      </c>
      <c r="V66" s="595">
        <f t="shared" si="6"/>
        <v>0</v>
      </c>
      <c r="W66" s="595">
        <f t="shared" si="2"/>
        <v>0</v>
      </c>
      <c r="X66" s="595">
        <f t="shared" si="2"/>
        <v>12829.48</v>
      </c>
      <c r="Y66" s="628"/>
      <c r="Z66" s="595">
        <f t="shared" si="3"/>
        <v>0</v>
      </c>
      <c r="AA66" s="595">
        <f t="shared" si="3"/>
        <v>0</v>
      </c>
      <c r="AB66" s="595">
        <f t="shared" si="3"/>
        <v>0</v>
      </c>
      <c r="AC66" s="622"/>
    </row>
    <row r="67" spans="1:29" ht="31.5" x14ac:dyDescent="0.2">
      <c r="A67" s="618" t="s">
        <v>1238</v>
      </c>
      <c r="B67" s="619" t="s">
        <v>729</v>
      </c>
      <c r="C67" s="620">
        <v>244</v>
      </c>
      <c r="D67" s="620">
        <v>223</v>
      </c>
      <c r="E67" s="596">
        <f t="shared" si="0"/>
        <v>9633.9</v>
      </c>
      <c r="F67" s="595">
        <f>'[8]Прилож 4 24 (2)'!$V$11</f>
        <v>0</v>
      </c>
      <c r="G67" s="595">
        <f>'Прилож 4 24'!W67</f>
        <v>0</v>
      </c>
      <c r="H67" s="595">
        <f>'Прилож 4 24'!X67</f>
        <v>9633.9</v>
      </c>
      <c r="I67" s="628"/>
      <c r="J67" s="595">
        <f>'Прилож 4 24'!Z67</f>
        <v>0</v>
      </c>
      <c r="K67" s="595">
        <f>'Прилож 4 24'!AA67</f>
        <v>0</v>
      </c>
      <c r="L67" s="595">
        <f>'Прилож 4 24'!AB67</f>
        <v>0</v>
      </c>
      <c r="M67" s="596">
        <f t="shared" si="1"/>
        <v>0</v>
      </c>
      <c r="N67" s="595"/>
      <c r="O67" s="595"/>
      <c r="P67" s="595"/>
      <c r="Q67" s="621"/>
      <c r="R67" s="595"/>
      <c r="S67" s="595"/>
      <c r="T67" s="595"/>
      <c r="U67" s="596">
        <f t="shared" si="4"/>
        <v>9633.9</v>
      </c>
      <c r="V67" s="595">
        <f t="shared" si="6"/>
        <v>0</v>
      </c>
      <c r="W67" s="595">
        <f t="shared" si="2"/>
        <v>0</v>
      </c>
      <c r="X67" s="595">
        <f t="shared" si="2"/>
        <v>9633.9</v>
      </c>
      <c r="Y67" s="628"/>
      <c r="Z67" s="595">
        <f t="shared" si="3"/>
        <v>0</v>
      </c>
      <c r="AA67" s="595">
        <f t="shared" si="3"/>
        <v>0</v>
      </c>
      <c r="AB67" s="595">
        <f t="shared" si="3"/>
        <v>0</v>
      </c>
      <c r="AC67" s="622"/>
    </row>
    <row r="68" spans="1:29" ht="31.5" x14ac:dyDescent="0.2">
      <c r="A68" s="618" t="s">
        <v>1239</v>
      </c>
      <c r="B68" s="619" t="s">
        <v>729</v>
      </c>
      <c r="C68" s="620">
        <v>244</v>
      </c>
      <c r="D68" s="620">
        <v>223</v>
      </c>
      <c r="E68" s="596">
        <f t="shared" si="0"/>
        <v>6414.74</v>
      </c>
      <c r="F68" s="595">
        <f>'[8]Прилож 4 24 (2)'!$V$11</f>
        <v>0</v>
      </c>
      <c r="G68" s="595">
        <f>'Прилож 4 24'!W68</f>
        <v>0</v>
      </c>
      <c r="H68" s="595">
        <f>'Прилож 4 24'!X68</f>
        <v>6414.74</v>
      </c>
      <c r="I68" s="628"/>
      <c r="J68" s="595">
        <f>'Прилож 4 24'!Z68</f>
        <v>0</v>
      </c>
      <c r="K68" s="595">
        <f>'Прилож 4 24'!AA68</f>
        <v>0</v>
      </c>
      <c r="L68" s="595">
        <f>'Прилож 4 24'!AB68</f>
        <v>0</v>
      </c>
      <c r="M68" s="596">
        <f t="shared" si="1"/>
        <v>0</v>
      </c>
      <c r="N68" s="595"/>
      <c r="O68" s="595"/>
      <c r="P68" s="595"/>
      <c r="Q68" s="621"/>
      <c r="R68" s="595"/>
      <c r="S68" s="595"/>
      <c r="T68" s="595"/>
      <c r="U68" s="596">
        <f t="shared" si="4"/>
        <v>6414.74</v>
      </c>
      <c r="V68" s="595">
        <f t="shared" si="6"/>
        <v>0</v>
      </c>
      <c r="W68" s="595">
        <f t="shared" si="2"/>
        <v>0</v>
      </c>
      <c r="X68" s="595">
        <f t="shared" si="2"/>
        <v>6414.74</v>
      </c>
      <c r="Y68" s="628"/>
      <c r="Z68" s="595">
        <f t="shared" si="3"/>
        <v>0</v>
      </c>
      <c r="AA68" s="595">
        <f t="shared" si="3"/>
        <v>0</v>
      </c>
      <c r="AB68" s="595">
        <f t="shared" si="3"/>
        <v>0</v>
      </c>
      <c r="AC68" s="622"/>
    </row>
    <row r="69" spans="1:29" ht="31.5" x14ac:dyDescent="0.2">
      <c r="A69" s="618" t="s">
        <v>1140</v>
      </c>
      <c r="B69" s="619" t="s">
        <v>729</v>
      </c>
      <c r="C69" s="620">
        <v>244</v>
      </c>
      <c r="D69" s="620">
        <v>223</v>
      </c>
      <c r="E69" s="596">
        <f t="shared" si="0"/>
        <v>30788.12</v>
      </c>
      <c r="F69" s="595">
        <f>'[8]Прилож 4 24 (2)'!$V$11</f>
        <v>0</v>
      </c>
      <c r="G69" s="595">
        <f>'Прилож 4 24'!W69</f>
        <v>0</v>
      </c>
      <c r="H69" s="595">
        <f>'Прилож 4 24'!X69</f>
        <v>30788.12</v>
      </c>
      <c r="I69" s="628"/>
      <c r="J69" s="595">
        <f>'Прилож 4 24'!Z69</f>
        <v>0</v>
      </c>
      <c r="K69" s="595">
        <f>'Прилож 4 24'!AA69</f>
        <v>0</v>
      </c>
      <c r="L69" s="595">
        <f>'Прилож 4 24'!AB69</f>
        <v>0</v>
      </c>
      <c r="M69" s="596">
        <f t="shared" si="1"/>
        <v>0</v>
      </c>
      <c r="N69" s="595"/>
      <c r="O69" s="595"/>
      <c r="P69" s="595"/>
      <c r="Q69" s="621"/>
      <c r="R69" s="595"/>
      <c r="S69" s="595"/>
      <c r="T69" s="595"/>
      <c r="U69" s="596">
        <f t="shared" si="4"/>
        <v>30788.12</v>
      </c>
      <c r="V69" s="595">
        <f t="shared" si="6"/>
        <v>0</v>
      </c>
      <c r="W69" s="595">
        <f t="shared" si="2"/>
        <v>0</v>
      </c>
      <c r="X69" s="595">
        <f t="shared" si="2"/>
        <v>30788.12</v>
      </c>
      <c r="Y69" s="628"/>
      <c r="Z69" s="595">
        <f t="shared" si="3"/>
        <v>0</v>
      </c>
      <c r="AA69" s="595">
        <f t="shared" si="3"/>
        <v>0</v>
      </c>
      <c r="AB69" s="595">
        <f t="shared" si="3"/>
        <v>0</v>
      </c>
      <c r="AC69" s="622"/>
    </row>
    <row r="70" spans="1:29" ht="31.5" x14ac:dyDescent="0.2">
      <c r="A70" s="618" t="s">
        <v>1141</v>
      </c>
      <c r="B70" s="619" t="s">
        <v>729</v>
      </c>
      <c r="C70" s="620">
        <v>244</v>
      </c>
      <c r="D70" s="620">
        <v>223</v>
      </c>
      <c r="E70" s="596">
        <f t="shared" si="0"/>
        <v>28826.37</v>
      </c>
      <c r="F70" s="595">
        <f>'[8]Прилож 4 24 (2)'!$V$11</f>
        <v>0</v>
      </c>
      <c r="G70" s="595">
        <f>'Прилож 4 24'!W70</f>
        <v>0</v>
      </c>
      <c r="H70" s="595">
        <f>'Прилож 4 24'!X70</f>
        <v>28826.37</v>
      </c>
      <c r="I70" s="628"/>
      <c r="J70" s="595">
        <f>'Прилож 4 24'!Z70</f>
        <v>0</v>
      </c>
      <c r="K70" s="595">
        <f>'Прилож 4 24'!AA70</f>
        <v>0</v>
      </c>
      <c r="L70" s="595">
        <f>'Прилож 4 24'!AB70</f>
        <v>0</v>
      </c>
      <c r="M70" s="596">
        <f t="shared" si="1"/>
        <v>0</v>
      </c>
      <c r="N70" s="595"/>
      <c r="O70" s="595"/>
      <c r="P70" s="595"/>
      <c r="Q70" s="621"/>
      <c r="R70" s="595"/>
      <c r="S70" s="595"/>
      <c r="T70" s="595"/>
      <c r="U70" s="596">
        <f t="shared" si="4"/>
        <v>28826.37</v>
      </c>
      <c r="V70" s="595">
        <f t="shared" si="6"/>
        <v>0</v>
      </c>
      <c r="W70" s="595">
        <f t="shared" si="2"/>
        <v>0</v>
      </c>
      <c r="X70" s="595">
        <f t="shared" si="2"/>
        <v>28826.37</v>
      </c>
      <c r="Y70" s="628"/>
      <c r="Z70" s="595">
        <f t="shared" si="3"/>
        <v>0</v>
      </c>
      <c r="AA70" s="595">
        <f t="shared" si="3"/>
        <v>0</v>
      </c>
      <c r="AB70" s="595">
        <f t="shared" si="3"/>
        <v>0</v>
      </c>
      <c r="AC70" s="622"/>
    </row>
    <row r="71" spans="1:29" ht="44.25" customHeight="1" x14ac:dyDescent="0.2">
      <c r="A71" s="618" t="s">
        <v>130</v>
      </c>
      <c r="B71" s="619" t="s">
        <v>729</v>
      </c>
      <c r="C71" s="620">
        <v>244</v>
      </c>
      <c r="D71" s="620">
        <v>223</v>
      </c>
      <c r="E71" s="596">
        <f t="shared" si="0"/>
        <v>36973.599999999999</v>
      </c>
      <c r="F71" s="595">
        <f>'[8]Прилож 4 24 (2)'!$V$11</f>
        <v>0</v>
      </c>
      <c r="G71" s="595">
        <f>'Прилож 4 24'!W71</f>
        <v>0</v>
      </c>
      <c r="H71" s="595">
        <f>'Прилож 4 24'!X71</f>
        <v>36973.599999999999</v>
      </c>
      <c r="I71" s="628"/>
      <c r="J71" s="595">
        <f>'Прилож 4 24'!Z71</f>
        <v>0</v>
      </c>
      <c r="K71" s="595">
        <f>'Прилож 4 24'!AA71</f>
        <v>0</v>
      </c>
      <c r="L71" s="595">
        <f>'Прилож 4 24'!AB71</f>
        <v>0</v>
      </c>
      <c r="M71" s="596">
        <f t="shared" si="1"/>
        <v>1026.4000000000001</v>
      </c>
      <c r="N71" s="595"/>
      <c r="O71" s="595"/>
      <c r="P71" s="595">
        <v>1026.4000000000001</v>
      </c>
      <c r="Q71" s="621"/>
      <c r="R71" s="595"/>
      <c r="S71" s="595"/>
      <c r="T71" s="595"/>
      <c r="U71" s="596">
        <f t="shared" si="4"/>
        <v>38000</v>
      </c>
      <c r="V71" s="595">
        <f t="shared" si="6"/>
        <v>0</v>
      </c>
      <c r="W71" s="595">
        <f t="shared" si="2"/>
        <v>0</v>
      </c>
      <c r="X71" s="595">
        <f t="shared" si="2"/>
        <v>38000</v>
      </c>
      <c r="Y71" s="628"/>
      <c r="Z71" s="595">
        <f t="shared" si="3"/>
        <v>0</v>
      </c>
      <c r="AA71" s="595">
        <f t="shared" si="3"/>
        <v>0</v>
      </c>
      <c r="AB71" s="595">
        <f t="shared" si="3"/>
        <v>0</v>
      </c>
      <c r="AC71" s="622" t="s">
        <v>1110</v>
      </c>
    </row>
    <row r="72" spans="1:29" s="637" customFormat="1" x14ac:dyDescent="0.2">
      <c r="A72" s="632" t="s">
        <v>1143</v>
      </c>
      <c r="B72" s="633" t="s">
        <v>729</v>
      </c>
      <c r="C72" s="634">
        <v>244</v>
      </c>
      <c r="D72" s="634">
        <v>223</v>
      </c>
      <c r="E72" s="597">
        <f>SUM(E63:E71)</f>
        <v>158437.21999999997</v>
      </c>
      <c r="F72" s="595">
        <f>'[8]Прилож 4 24 (2)'!$V$11</f>
        <v>0</v>
      </c>
      <c r="G72" s="595">
        <f>'Прилож 4 24'!W72</f>
        <v>0</v>
      </c>
      <c r="H72" s="595">
        <f>'Прилож 4 24'!X72</f>
        <v>158437.21999999997</v>
      </c>
      <c r="I72" s="635"/>
      <c r="J72" s="595">
        <f>'Прилож 4 24'!Z72</f>
        <v>0</v>
      </c>
      <c r="K72" s="595">
        <f>'Прилож 4 24'!AA72</f>
        <v>0</v>
      </c>
      <c r="L72" s="595">
        <f>'Прилож 4 24'!AB72</f>
        <v>0</v>
      </c>
      <c r="M72" s="596">
        <f t="shared" si="1"/>
        <v>1026.4000000000001</v>
      </c>
      <c r="N72" s="597">
        <f t="shared" ref="N72:AB72" si="17">SUM(N63:N71)</f>
        <v>0</v>
      </c>
      <c r="O72" s="597">
        <f t="shared" si="17"/>
        <v>0</v>
      </c>
      <c r="P72" s="597">
        <f t="shared" si="17"/>
        <v>1026.4000000000001</v>
      </c>
      <c r="Q72" s="635"/>
      <c r="R72" s="597">
        <f t="shared" si="17"/>
        <v>0</v>
      </c>
      <c r="S72" s="597">
        <f t="shared" si="17"/>
        <v>0</v>
      </c>
      <c r="T72" s="597">
        <f t="shared" si="17"/>
        <v>0</v>
      </c>
      <c r="U72" s="597">
        <f t="shared" si="17"/>
        <v>159463.62</v>
      </c>
      <c r="V72" s="597">
        <f t="shared" si="17"/>
        <v>0</v>
      </c>
      <c r="W72" s="597">
        <f t="shared" si="17"/>
        <v>0</v>
      </c>
      <c r="X72" s="597">
        <f t="shared" si="17"/>
        <v>159463.62</v>
      </c>
      <c r="Y72" s="635"/>
      <c r="Z72" s="597">
        <f t="shared" si="17"/>
        <v>0</v>
      </c>
      <c r="AA72" s="597">
        <f t="shared" si="17"/>
        <v>0</v>
      </c>
      <c r="AB72" s="597">
        <f t="shared" si="17"/>
        <v>0</v>
      </c>
      <c r="AC72" s="636"/>
    </row>
    <row r="73" spans="1:29" s="614" customFormat="1" x14ac:dyDescent="0.2">
      <c r="A73" s="630" t="s">
        <v>736</v>
      </c>
      <c r="B73" s="631"/>
      <c r="C73" s="624"/>
      <c r="D73" s="624"/>
      <c r="E73" s="596">
        <f>E72+E62</f>
        <v>530074.75</v>
      </c>
      <c r="F73" s="595">
        <f>'[8]Прилож 4 24 (2)'!$V$11</f>
        <v>0</v>
      </c>
      <c r="G73" s="595">
        <f>'Прилож 4 24'!W73</f>
        <v>0</v>
      </c>
      <c r="H73" s="595">
        <f>'Прилож 4 24'!X73</f>
        <v>530074.75</v>
      </c>
      <c r="I73" s="626"/>
      <c r="J73" s="595">
        <f>'Прилож 4 24'!Z73</f>
        <v>0</v>
      </c>
      <c r="K73" s="595">
        <f>'Прилож 4 24'!AA73</f>
        <v>0</v>
      </c>
      <c r="L73" s="595">
        <f>'Прилож 4 24'!AB73</f>
        <v>0</v>
      </c>
      <c r="M73" s="596">
        <f t="shared" si="1"/>
        <v>1026.4000000000001</v>
      </c>
      <c r="N73" s="596">
        <f t="shared" ref="N73:AB73" si="18">N72+N62</f>
        <v>0</v>
      </c>
      <c r="O73" s="596">
        <f t="shared" si="18"/>
        <v>0</v>
      </c>
      <c r="P73" s="596">
        <f t="shared" si="18"/>
        <v>1026.4000000000001</v>
      </c>
      <c r="Q73" s="626"/>
      <c r="R73" s="596">
        <f t="shared" si="18"/>
        <v>0</v>
      </c>
      <c r="S73" s="596">
        <f t="shared" si="18"/>
        <v>0</v>
      </c>
      <c r="T73" s="596">
        <f t="shared" si="18"/>
        <v>0</v>
      </c>
      <c r="U73" s="596">
        <f t="shared" si="18"/>
        <v>531101.15</v>
      </c>
      <c r="V73" s="596">
        <f t="shared" si="18"/>
        <v>0</v>
      </c>
      <c r="W73" s="596">
        <f t="shared" si="18"/>
        <v>0</v>
      </c>
      <c r="X73" s="596">
        <f t="shared" si="18"/>
        <v>531101.15</v>
      </c>
      <c r="Y73" s="626"/>
      <c r="Z73" s="596">
        <f t="shared" si="18"/>
        <v>0</v>
      </c>
      <c r="AA73" s="596">
        <f t="shared" si="18"/>
        <v>0</v>
      </c>
      <c r="AB73" s="596">
        <f t="shared" si="18"/>
        <v>0</v>
      </c>
      <c r="AC73" s="627"/>
    </row>
    <row r="74" spans="1:29" x14ac:dyDescent="0.2">
      <c r="A74" s="618" t="s">
        <v>131</v>
      </c>
      <c r="B74" s="619" t="s">
        <v>747</v>
      </c>
      <c r="C74" s="620">
        <v>247</v>
      </c>
      <c r="D74" s="620">
        <v>223</v>
      </c>
      <c r="E74" s="596">
        <f>L74+K74+J74+H74+G74+F74</f>
        <v>546600</v>
      </c>
      <c r="F74" s="595">
        <f>'[8]Прилож 4 24 (2)'!$V$11</f>
        <v>0</v>
      </c>
      <c r="G74" s="595">
        <f>'Прилож 4 24'!W74</f>
        <v>0</v>
      </c>
      <c r="H74" s="595">
        <f>'Прилож 4 24'!X74</f>
        <v>546600</v>
      </c>
      <c r="I74" s="621"/>
      <c r="J74" s="595">
        <f>'Прилож 4 24'!Z74</f>
        <v>0</v>
      </c>
      <c r="K74" s="595">
        <f>'Прилож 4 24'!AA74</f>
        <v>0</v>
      </c>
      <c r="L74" s="595">
        <f>'Прилож 4 24'!AB74</f>
        <v>0</v>
      </c>
      <c r="M74" s="596">
        <f t="shared" si="1"/>
        <v>0</v>
      </c>
      <c r="N74" s="595"/>
      <c r="O74" s="595"/>
      <c r="P74" s="595"/>
      <c r="Q74" s="621"/>
      <c r="R74" s="595"/>
      <c r="S74" s="595"/>
      <c r="T74" s="595"/>
      <c r="U74" s="596">
        <f>V74+X74+Z74+AA74+AB74+W74</f>
        <v>546600</v>
      </c>
      <c r="V74" s="595">
        <f>F74+N74</f>
        <v>0</v>
      </c>
      <c r="W74" s="595">
        <f>O74+G74</f>
        <v>0</v>
      </c>
      <c r="X74" s="595">
        <f>P74+H74</f>
        <v>546600</v>
      </c>
      <c r="Y74" s="621"/>
      <c r="Z74" s="595">
        <f>R74+J74</f>
        <v>0</v>
      </c>
      <c r="AA74" s="595">
        <f>S74+K74</f>
        <v>0</v>
      </c>
      <c r="AB74" s="595">
        <f>T74+L74</f>
        <v>0</v>
      </c>
      <c r="AC74" s="622"/>
    </row>
    <row r="75" spans="1:29" ht="16.5" customHeight="1" x14ac:dyDescent="0.2">
      <c r="A75" s="618" t="s">
        <v>133</v>
      </c>
      <c r="B75" s="619" t="s">
        <v>747</v>
      </c>
      <c r="C75" s="620">
        <v>247</v>
      </c>
      <c r="D75" s="620">
        <v>223</v>
      </c>
      <c r="E75" s="596">
        <f t="shared" si="0"/>
        <v>465510.83</v>
      </c>
      <c r="F75" s="595">
        <f>'[8]Прилож 4 24 (2)'!$V$11</f>
        <v>0</v>
      </c>
      <c r="G75" s="595">
        <f>'Прилож 4 24'!W75</f>
        <v>0</v>
      </c>
      <c r="H75" s="595">
        <f>'Прилож 4 24'!X75</f>
        <v>465510.83</v>
      </c>
      <c r="I75" s="621"/>
      <c r="J75" s="595">
        <f>'Прилож 4 24'!Z75</f>
        <v>0</v>
      </c>
      <c r="K75" s="595">
        <f>'Прилож 4 24'!AA75</f>
        <v>0</v>
      </c>
      <c r="L75" s="595">
        <f>'Прилож 4 24'!AB75</f>
        <v>0</v>
      </c>
      <c r="M75" s="596">
        <f t="shared" si="1"/>
        <v>0</v>
      </c>
      <c r="N75" s="595"/>
      <c r="O75" s="595"/>
      <c r="P75" s="595"/>
      <c r="Q75" s="621"/>
      <c r="R75" s="595"/>
      <c r="S75" s="595"/>
      <c r="T75" s="595"/>
      <c r="U75" s="596">
        <f t="shared" si="4"/>
        <v>465510.83</v>
      </c>
      <c r="V75" s="595">
        <f t="shared" si="6"/>
        <v>0</v>
      </c>
      <c r="W75" s="595">
        <f t="shared" si="2"/>
        <v>0</v>
      </c>
      <c r="X75" s="595">
        <f t="shared" si="2"/>
        <v>465510.83</v>
      </c>
      <c r="Y75" s="621"/>
      <c r="Z75" s="595">
        <f t="shared" si="3"/>
        <v>0</v>
      </c>
      <c r="AA75" s="595">
        <f t="shared" si="3"/>
        <v>0</v>
      </c>
      <c r="AB75" s="595">
        <f t="shared" si="3"/>
        <v>0</v>
      </c>
      <c r="AC75" s="622"/>
    </row>
    <row r="76" spans="1:29" ht="16.5" customHeight="1" x14ac:dyDescent="0.2">
      <c r="A76" s="618" t="s">
        <v>1260</v>
      </c>
      <c r="B76" s="619" t="s">
        <v>747</v>
      </c>
      <c r="C76" s="620">
        <v>247</v>
      </c>
      <c r="D76" s="620">
        <v>223</v>
      </c>
      <c r="E76" s="596">
        <f t="shared" si="0"/>
        <v>318968.24</v>
      </c>
      <c r="F76" s="595">
        <f>'[8]Прилож 4 24 (2)'!$V$11</f>
        <v>0</v>
      </c>
      <c r="G76" s="595">
        <f>'Прилож 4 24'!W76</f>
        <v>0</v>
      </c>
      <c r="H76" s="595">
        <f>'Прилож 4 24'!X76</f>
        <v>318968.24</v>
      </c>
      <c r="I76" s="621"/>
      <c r="J76" s="595">
        <f>'Прилож 4 24'!Z76</f>
        <v>0</v>
      </c>
      <c r="K76" s="595">
        <f>'Прилож 4 24'!AA76</f>
        <v>0</v>
      </c>
      <c r="L76" s="595">
        <f>'Прилож 4 24'!AB76</f>
        <v>0</v>
      </c>
      <c r="M76" s="596">
        <f t="shared" ref="M76:M139" si="19">N76+P76+R76+S76+T76+O76</f>
        <v>0</v>
      </c>
      <c r="N76" s="595"/>
      <c r="O76" s="595"/>
      <c r="P76" s="595"/>
      <c r="Q76" s="621"/>
      <c r="R76" s="595"/>
      <c r="S76" s="595"/>
      <c r="T76" s="595"/>
      <c r="U76" s="596">
        <f t="shared" si="4"/>
        <v>318968.24</v>
      </c>
      <c r="V76" s="595">
        <f t="shared" si="6"/>
        <v>0</v>
      </c>
      <c r="W76" s="595">
        <f t="shared" si="2"/>
        <v>0</v>
      </c>
      <c r="X76" s="595">
        <f t="shared" si="2"/>
        <v>318968.24</v>
      </c>
      <c r="Y76" s="621"/>
      <c r="Z76" s="595">
        <f t="shared" si="3"/>
        <v>0</v>
      </c>
      <c r="AA76" s="595">
        <f t="shared" si="3"/>
        <v>0</v>
      </c>
      <c r="AB76" s="595">
        <f t="shared" si="3"/>
        <v>0</v>
      </c>
      <c r="AC76" s="622"/>
    </row>
    <row r="77" spans="1:29" ht="31.5" x14ac:dyDescent="0.2">
      <c r="A77" s="618" t="s">
        <v>1240</v>
      </c>
      <c r="B77" s="619" t="s">
        <v>747</v>
      </c>
      <c r="C77" s="620">
        <v>247</v>
      </c>
      <c r="D77" s="620">
        <v>223</v>
      </c>
      <c r="E77" s="596">
        <f t="shared" si="0"/>
        <v>63447.51</v>
      </c>
      <c r="F77" s="595">
        <f>'[8]Прилож 4 24 (2)'!$V$11</f>
        <v>0</v>
      </c>
      <c r="G77" s="595">
        <f>'Прилож 4 24'!W77</f>
        <v>0</v>
      </c>
      <c r="H77" s="595">
        <f>'Прилож 4 24'!X77</f>
        <v>63447.51</v>
      </c>
      <c r="I77" s="621"/>
      <c r="J77" s="595">
        <f>'Прилож 4 24'!Z77</f>
        <v>0</v>
      </c>
      <c r="K77" s="595">
        <f>'Прилож 4 24'!AA77</f>
        <v>0</v>
      </c>
      <c r="L77" s="595">
        <f>'Прилож 4 24'!AB77</f>
        <v>0</v>
      </c>
      <c r="M77" s="596">
        <f t="shared" si="19"/>
        <v>0</v>
      </c>
      <c r="N77" s="595"/>
      <c r="O77" s="595"/>
      <c r="P77" s="595"/>
      <c r="Q77" s="621"/>
      <c r="R77" s="595"/>
      <c r="S77" s="595"/>
      <c r="T77" s="595"/>
      <c r="U77" s="596">
        <f t="shared" si="4"/>
        <v>63447.51</v>
      </c>
      <c r="V77" s="595">
        <f t="shared" si="6"/>
        <v>0</v>
      </c>
      <c r="W77" s="595">
        <f t="shared" si="2"/>
        <v>0</v>
      </c>
      <c r="X77" s="595">
        <f t="shared" si="2"/>
        <v>63447.51</v>
      </c>
      <c r="Y77" s="621"/>
      <c r="Z77" s="595">
        <f t="shared" si="3"/>
        <v>0</v>
      </c>
      <c r="AA77" s="595">
        <f t="shared" si="3"/>
        <v>0</v>
      </c>
      <c r="AB77" s="595">
        <f t="shared" si="3"/>
        <v>0</v>
      </c>
      <c r="AC77" s="622"/>
    </row>
    <row r="78" spans="1:29" ht="31.5" x14ac:dyDescent="0.2">
      <c r="A78" s="618" t="s">
        <v>1241</v>
      </c>
      <c r="B78" s="619" t="s">
        <v>747</v>
      </c>
      <c r="C78" s="620">
        <v>247</v>
      </c>
      <c r="D78" s="620">
        <v>223</v>
      </c>
      <c r="E78" s="596">
        <f t="shared" si="0"/>
        <v>52047.07</v>
      </c>
      <c r="F78" s="595">
        <f>'[8]Прилож 4 24 (2)'!$V$11</f>
        <v>0</v>
      </c>
      <c r="G78" s="595">
        <f>'Прилож 4 24'!W78</f>
        <v>0</v>
      </c>
      <c r="H78" s="595">
        <f>'Прилож 4 24'!X78</f>
        <v>52047.07</v>
      </c>
      <c r="I78" s="621"/>
      <c r="J78" s="595">
        <f>'Прилож 4 24'!Z78</f>
        <v>0</v>
      </c>
      <c r="K78" s="595">
        <f>'Прилож 4 24'!AA78</f>
        <v>0</v>
      </c>
      <c r="L78" s="595">
        <f>'Прилож 4 24'!AB78</f>
        <v>0</v>
      </c>
      <c r="M78" s="596">
        <f t="shared" si="19"/>
        <v>0</v>
      </c>
      <c r="N78" s="595"/>
      <c r="O78" s="595"/>
      <c r="P78" s="595"/>
      <c r="Q78" s="621"/>
      <c r="R78" s="595"/>
      <c r="S78" s="595"/>
      <c r="T78" s="595"/>
      <c r="U78" s="596">
        <f t="shared" si="4"/>
        <v>52047.07</v>
      </c>
      <c r="V78" s="595">
        <f t="shared" si="6"/>
        <v>0</v>
      </c>
      <c r="W78" s="595">
        <f t="shared" si="2"/>
        <v>0</v>
      </c>
      <c r="X78" s="595">
        <f t="shared" si="2"/>
        <v>52047.07</v>
      </c>
      <c r="Y78" s="621"/>
      <c r="Z78" s="595">
        <f t="shared" si="3"/>
        <v>0</v>
      </c>
      <c r="AA78" s="595">
        <f t="shared" si="3"/>
        <v>0</v>
      </c>
      <c r="AB78" s="595">
        <f t="shared" si="3"/>
        <v>0</v>
      </c>
      <c r="AC78" s="622"/>
    </row>
    <row r="79" spans="1:29" ht="31.5" x14ac:dyDescent="0.2">
      <c r="A79" s="618" t="s">
        <v>1242</v>
      </c>
      <c r="B79" s="619" t="s">
        <v>747</v>
      </c>
      <c r="C79" s="620">
        <v>247</v>
      </c>
      <c r="D79" s="620">
        <v>223</v>
      </c>
      <c r="E79" s="596">
        <f t="shared" si="0"/>
        <v>40719.379999999997</v>
      </c>
      <c r="F79" s="595">
        <f>'[8]Прилож 4 24 (2)'!$V$11</f>
        <v>0</v>
      </c>
      <c r="G79" s="595">
        <f>'Прилож 4 24'!W79</f>
        <v>0</v>
      </c>
      <c r="H79" s="595">
        <f>'Прилож 4 24'!X79</f>
        <v>40719.379999999997</v>
      </c>
      <c r="I79" s="621"/>
      <c r="J79" s="595">
        <f>'Прилож 4 24'!Z79</f>
        <v>0</v>
      </c>
      <c r="K79" s="595">
        <f>'Прилож 4 24'!AA79</f>
        <v>0</v>
      </c>
      <c r="L79" s="595">
        <f>'Прилож 4 24'!AB79</f>
        <v>0</v>
      </c>
      <c r="M79" s="596">
        <f t="shared" si="19"/>
        <v>0</v>
      </c>
      <c r="N79" s="595"/>
      <c r="O79" s="595"/>
      <c r="P79" s="595"/>
      <c r="Q79" s="621"/>
      <c r="R79" s="595"/>
      <c r="S79" s="595"/>
      <c r="T79" s="595"/>
      <c r="U79" s="596">
        <f t="shared" si="4"/>
        <v>40719.379999999997</v>
      </c>
      <c r="V79" s="595">
        <f t="shared" si="6"/>
        <v>0</v>
      </c>
      <c r="W79" s="595">
        <f t="shared" si="2"/>
        <v>0</v>
      </c>
      <c r="X79" s="595">
        <f t="shared" si="2"/>
        <v>40719.379999999997</v>
      </c>
      <c r="Y79" s="621"/>
      <c r="Z79" s="595">
        <f t="shared" si="3"/>
        <v>0</v>
      </c>
      <c r="AA79" s="595">
        <f t="shared" si="3"/>
        <v>0</v>
      </c>
      <c r="AB79" s="595">
        <f t="shared" si="3"/>
        <v>0</v>
      </c>
      <c r="AC79" s="622"/>
    </row>
    <row r="80" spans="1:29" ht="31.5" x14ac:dyDescent="0.2">
      <c r="A80" s="618" t="s">
        <v>1242</v>
      </c>
      <c r="B80" s="619" t="s">
        <v>747</v>
      </c>
      <c r="C80" s="620">
        <v>247</v>
      </c>
      <c r="D80" s="620">
        <v>223</v>
      </c>
      <c r="E80" s="596">
        <f t="shared" si="0"/>
        <v>52360.07</v>
      </c>
      <c r="F80" s="595">
        <f>'[8]Прилож 4 24 (2)'!$V$11</f>
        <v>0</v>
      </c>
      <c r="G80" s="595">
        <f>'Прилож 4 24'!W80</f>
        <v>0</v>
      </c>
      <c r="H80" s="595">
        <f>'Прилож 4 24'!X80</f>
        <v>52360.07</v>
      </c>
      <c r="I80" s="621"/>
      <c r="J80" s="595">
        <f>'Прилож 4 24'!Z80</f>
        <v>0</v>
      </c>
      <c r="K80" s="595">
        <f>'Прилож 4 24'!AA80</f>
        <v>0</v>
      </c>
      <c r="L80" s="595">
        <f>'Прилож 4 24'!AB80</f>
        <v>0</v>
      </c>
      <c r="M80" s="596">
        <f t="shared" si="19"/>
        <v>0</v>
      </c>
      <c r="N80" s="595"/>
      <c r="O80" s="595"/>
      <c r="P80" s="595"/>
      <c r="Q80" s="621"/>
      <c r="R80" s="595"/>
      <c r="S80" s="595"/>
      <c r="T80" s="595"/>
      <c r="U80" s="596">
        <f t="shared" si="4"/>
        <v>52360.07</v>
      </c>
      <c r="V80" s="595">
        <f t="shared" si="6"/>
        <v>0</v>
      </c>
      <c r="W80" s="595">
        <f t="shared" si="2"/>
        <v>0</v>
      </c>
      <c r="X80" s="595">
        <f t="shared" si="2"/>
        <v>52360.07</v>
      </c>
      <c r="Y80" s="621"/>
      <c r="Z80" s="595">
        <f t="shared" si="3"/>
        <v>0</v>
      </c>
      <c r="AA80" s="595">
        <f t="shared" si="3"/>
        <v>0</v>
      </c>
      <c r="AB80" s="595">
        <f t="shared" si="3"/>
        <v>0</v>
      </c>
      <c r="AC80" s="622"/>
    </row>
    <row r="81" spans="1:29" s="637" customFormat="1" x14ac:dyDescent="0.2">
      <c r="A81" s="632" t="s">
        <v>1143</v>
      </c>
      <c r="B81" s="633" t="s">
        <v>747</v>
      </c>
      <c r="C81" s="634">
        <v>247</v>
      </c>
      <c r="D81" s="634">
        <v>223</v>
      </c>
      <c r="E81" s="597">
        <f>SUM(E74:E80)</f>
        <v>1539653.1</v>
      </c>
      <c r="F81" s="595">
        <f>'[8]Прилож 4 24 (2)'!$V$11</f>
        <v>0</v>
      </c>
      <c r="G81" s="595">
        <f>'Прилож 4 24'!W81</f>
        <v>0</v>
      </c>
      <c r="H81" s="595">
        <f>'Прилож 4 24'!X81</f>
        <v>1539653.1</v>
      </c>
      <c r="I81" s="635"/>
      <c r="J81" s="595">
        <f>'Прилож 4 24'!Z81</f>
        <v>0</v>
      </c>
      <c r="K81" s="595">
        <f>'Прилож 4 24'!AA81</f>
        <v>0</v>
      </c>
      <c r="L81" s="595">
        <f>'Прилож 4 24'!AB81</f>
        <v>0</v>
      </c>
      <c r="M81" s="596">
        <f t="shared" si="19"/>
        <v>0</v>
      </c>
      <c r="N81" s="597">
        <f t="shared" ref="N81:AB81" si="20">SUM(N74:N80)</f>
        <v>0</v>
      </c>
      <c r="O81" s="597">
        <f t="shared" si="20"/>
        <v>0</v>
      </c>
      <c r="P81" s="597">
        <f t="shared" si="20"/>
        <v>0</v>
      </c>
      <c r="Q81" s="635"/>
      <c r="R81" s="597">
        <f t="shared" si="20"/>
        <v>0</v>
      </c>
      <c r="S81" s="597">
        <f t="shared" si="20"/>
        <v>0</v>
      </c>
      <c r="T81" s="597">
        <f t="shared" si="20"/>
        <v>0</v>
      </c>
      <c r="U81" s="597">
        <f t="shared" si="20"/>
        <v>1539653.1</v>
      </c>
      <c r="V81" s="597">
        <f t="shared" si="20"/>
        <v>0</v>
      </c>
      <c r="W81" s="597">
        <f t="shared" si="20"/>
        <v>0</v>
      </c>
      <c r="X81" s="597">
        <f t="shared" si="20"/>
        <v>1539653.1</v>
      </c>
      <c r="Y81" s="635"/>
      <c r="Z81" s="597">
        <f t="shared" si="20"/>
        <v>0</v>
      </c>
      <c r="AA81" s="597">
        <f t="shared" si="20"/>
        <v>0</v>
      </c>
      <c r="AB81" s="597">
        <f t="shared" si="20"/>
        <v>0</v>
      </c>
      <c r="AC81" s="636"/>
    </row>
    <row r="82" spans="1:29" x14ac:dyDescent="0.2">
      <c r="A82" s="618" t="s">
        <v>131</v>
      </c>
      <c r="B82" s="619" t="s">
        <v>729</v>
      </c>
      <c r="C82" s="620">
        <v>247</v>
      </c>
      <c r="D82" s="620">
        <v>223</v>
      </c>
      <c r="E82" s="596">
        <f>L82+K82+J82+H82+G82+F82</f>
        <v>446000</v>
      </c>
      <c r="F82" s="595">
        <f>'[8]Прилож 4 24 (2)'!$V$11</f>
        <v>0</v>
      </c>
      <c r="G82" s="595">
        <f>'Прилож 4 24'!W82</f>
        <v>0</v>
      </c>
      <c r="H82" s="595">
        <f>'Прилож 4 24'!X82</f>
        <v>446000</v>
      </c>
      <c r="I82" s="621"/>
      <c r="J82" s="595">
        <f>'Прилож 4 24'!Z82</f>
        <v>0</v>
      </c>
      <c r="K82" s="595">
        <f>'Прилож 4 24'!AA82</f>
        <v>0</v>
      </c>
      <c r="L82" s="595">
        <f>'Прилож 4 24'!AB82</f>
        <v>0</v>
      </c>
      <c r="M82" s="596">
        <f t="shared" si="19"/>
        <v>0</v>
      </c>
      <c r="N82" s="595"/>
      <c r="O82" s="595"/>
      <c r="P82" s="595"/>
      <c r="Q82" s="621"/>
      <c r="R82" s="595"/>
      <c r="S82" s="595"/>
      <c r="T82" s="595"/>
      <c r="U82" s="596">
        <f>V82+X82+Z82+AA82+AB82+W82</f>
        <v>446000</v>
      </c>
      <c r="V82" s="595">
        <f>F82+N82</f>
        <v>0</v>
      </c>
      <c r="W82" s="595">
        <f>O82+G82</f>
        <v>0</v>
      </c>
      <c r="X82" s="595">
        <f>P82+H82</f>
        <v>446000</v>
      </c>
      <c r="Y82" s="621"/>
      <c r="Z82" s="595">
        <f>R82+J82</f>
        <v>0</v>
      </c>
      <c r="AA82" s="595">
        <f>S82+K82</f>
        <v>0</v>
      </c>
      <c r="AB82" s="595">
        <f>T82+L82</f>
        <v>0</v>
      </c>
      <c r="AC82" s="622"/>
    </row>
    <row r="83" spans="1:29" ht="16.5" customHeight="1" x14ac:dyDescent="0.2">
      <c r="A83" s="618" t="s">
        <v>133</v>
      </c>
      <c r="B83" s="619" t="s">
        <v>729</v>
      </c>
      <c r="C83" s="620">
        <v>247</v>
      </c>
      <c r="D83" s="620">
        <v>223</v>
      </c>
      <c r="E83" s="596">
        <f t="shared" ref="E83:E88" si="21">L83+K83+J83+H83+G83+F83</f>
        <v>1088533.3600000001</v>
      </c>
      <c r="F83" s="595">
        <f>'[8]Прилож 4 24 (2)'!$V$11</f>
        <v>0</v>
      </c>
      <c r="G83" s="595">
        <f>'Прилож 4 24'!W83</f>
        <v>0</v>
      </c>
      <c r="H83" s="595">
        <f>'Прилож 4 24'!X83</f>
        <v>1088533.3600000001</v>
      </c>
      <c r="I83" s="621"/>
      <c r="J83" s="595">
        <f>'Прилож 4 24'!Z83</f>
        <v>0</v>
      </c>
      <c r="K83" s="595">
        <f>'Прилож 4 24'!AA83</f>
        <v>0</v>
      </c>
      <c r="L83" s="595">
        <f>'Прилож 4 24'!AB83</f>
        <v>0</v>
      </c>
      <c r="M83" s="596">
        <f t="shared" si="19"/>
        <v>0</v>
      </c>
      <c r="N83" s="595"/>
      <c r="O83" s="595"/>
      <c r="P83" s="595"/>
      <c r="Q83" s="621"/>
      <c r="R83" s="595"/>
      <c r="S83" s="595"/>
      <c r="T83" s="595"/>
      <c r="U83" s="596">
        <f t="shared" ref="U83:U88" si="22">V83+X83+Z83+AA83+AB83+W83</f>
        <v>1088533.3600000001</v>
      </c>
      <c r="V83" s="595">
        <f t="shared" ref="V83:V88" si="23">F83+N83</f>
        <v>0</v>
      </c>
      <c r="W83" s="595">
        <f t="shared" ref="W83:X88" si="24">O83+G83</f>
        <v>0</v>
      </c>
      <c r="X83" s="595">
        <f t="shared" si="24"/>
        <v>1088533.3600000001</v>
      </c>
      <c r="Y83" s="621"/>
      <c r="Z83" s="595">
        <f t="shared" ref="Z83:AB88" si="25">R83+J83</f>
        <v>0</v>
      </c>
      <c r="AA83" s="595">
        <f t="shared" si="25"/>
        <v>0</v>
      </c>
      <c r="AB83" s="595">
        <f t="shared" si="25"/>
        <v>0</v>
      </c>
      <c r="AC83" s="622"/>
    </row>
    <row r="84" spans="1:29" ht="16.5" customHeight="1" x14ac:dyDescent="0.2">
      <c r="A84" s="618" t="s">
        <v>1260</v>
      </c>
      <c r="B84" s="619" t="s">
        <v>729</v>
      </c>
      <c r="C84" s="620">
        <v>247</v>
      </c>
      <c r="D84" s="620">
        <v>223</v>
      </c>
      <c r="E84" s="596">
        <f t="shared" si="21"/>
        <v>618609.81999999995</v>
      </c>
      <c r="F84" s="595">
        <f>'[8]Прилож 4 24 (2)'!$V$11</f>
        <v>0</v>
      </c>
      <c r="G84" s="595">
        <f>'Прилож 4 24'!W84</f>
        <v>0</v>
      </c>
      <c r="H84" s="595">
        <f>'Прилож 4 24'!X84</f>
        <v>618609.81999999995</v>
      </c>
      <c r="I84" s="621"/>
      <c r="J84" s="595">
        <f>'Прилож 4 24'!Z84</f>
        <v>0</v>
      </c>
      <c r="K84" s="595">
        <f>'Прилож 4 24'!AA84</f>
        <v>0</v>
      </c>
      <c r="L84" s="595">
        <f>'Прилож 4 24'!AB84</f>
        <v>0</v>
      </c>
      <c r="M84" s="596">
        <f t="shared" si="19"/>
        <v>0</v>
      </c>
      <c r="N84" s="595"/>
      <c r="O84" s="595"/>
      <c r="P84" s="595"/>
      <c r="Q84" s="621"/>
      <c r="R84" s="595"/>
      <c r="S84" s="595"/>
      <c r="T84" s="595"/>
      <c r="U84" s="596">
        <f t="shared" si="22"/>
        <v>618609.81999999995</v>
      </c>
      <c r="V84" s="595">
        <f t="shared" si="23"/>
        <v>0</v>
      </c>
      <c r="W84" s="595">
        <f t="shared" si="24"/>
        <v>0</v>
      </c>
      <c r="X84" s="595">
        <f t="shared" si="24"/>
        <v>618609.81999999995</v>
      </c>
      <c r="Y84" s="621"/>
      <c r="Z84" s="595">
        <f t="shared" si="25"/>
        <v>0</v>
      </c>
      <c r="AA84" s="595">
        <f t="shared" si="25"/>
        <v>0</v>
      </c>
      <c r="AB84" s="595">
        <f t="shared" si="25"/>
        <v>0</v>
      </c>
      <c r="AC84" s="622"/>
    </row>
    <row r="85" spans="1:29" ht="31.5" x14ac:dyDescent="0.2">
      <c r="A85" s="618" t="s">
        <v>1240</v>
      </c>
      <c r="B85" s="619" t="s">
        <v>729</v>
      </c>
      <c r="C85" s="620">
        <v>247</v>
      </c>
      <c r="D85" s="620">
        <v>223</v>
      </c>
      <c r="E85" s="596">
        <f t="shared" si="21"/>
        <v>15346.51</v>
      </c>
      <c r="F85" s="595">
        <f>'[8]Прилож 4 24 (2)'!$V$11</f>
        <v>0</v>
      </c>
      <c r="G85" s="595">
        <f>'Прилож 4 24'!W85</f>
        <v>0</v>
      </c>
      <c r="H85" s="595">
        <f>'Прилож 4 24'!X85</f>
        <v>15346.51</v>
      </c>
      <c r="I85" s="621"/>
      <c r="J85" s="595">
        <f>'Прилож 4 24'!Z85</f>
        <v>0</v>
      </c>
      <c r="K85" s="595">
        <f>'Прилож 4 24'!AA85</f>
        <v>0</v>
      </c>
      <c r="L85" s="595">
        <f>'Прилож 4 24'!AB85</f>
        <v>0</v>
      </c>
      <c r="M85" s="596">
        <f t="shared" si="19"/>
        <v>0</v>
      </c>
      <c r="N85" s="595"/>
      <c r="O85" s="595"/>
      <c r="P85" s="595"/>
      <c r="Q85" s="621"/>
      <c r="R85" s="595"/>
      <c r="S85" s="595"/>
      <c r="T85" s="595"/>
      <c r="U85" s="596">
        <f t="shared" si="22"/>
        <v>15346.51</v>
      </c>
      <c r="V85" s="595">
        <f t="shared" si="23"/>
        <v>0</v>
      </c>
      <c r="W85" s="595">
        <f t="shared" si="24"/>
        <v>0</v>
      </c>
      <c r="X85" s="595">
        <f t="shared" si="24"/>
        <v>15346.51</v>
      </c>
      <c r="Y85" s="621"/>
      <c r="Z85" s="595">
        <f t="shared" si="25"/>
        <v>0</v>
      </c>
      <c r="AA85" s="595">
        <f t="shared" si="25"/>
        <v>0</v>
      </c>
      <c r="AB85" s="595">
        <f t="shared" si="25"/>
        <v>0</v>
      </c>
      <c r="AC85" s="622"/>
    </row>
    <row r="86" spans="1:29" ht="31.5" x14ac:dyDescent="0.2">
      <c r="A86" s="618" t="s">
        <v>1241</v>
      </c>
      <c r="B86" s="619" t="s">
        <v>729</v>
      </c>
      <c r="C86" s="620">
        <v>247</v>
      </c>
      <c r="D86" s="620">
        <v>223</v>
      </c>
      <c r="E86" s="596">
        <f t="shared" si="21"/>
        <v>13515.22</v>
      </c>
      <c r="F86" s="595">
        <f>'[8]Прилож 4 24 (2)'!$V$11</f>
        <v>0</v>
      </c>
      <c r="G86" s="595">
        <f>'Прилож 4 24'!W86</f>
        <v>0</v>
      </c>
      <c r="H86" s="595">
        <f>'Прилож 4 24'!X86</f>
        <v>13515.22</v>
      </c>
      <c r="I86" s="621"/>
      <c r="J86" s="595">
        <f>'Прилож 4 24'!Z86</f>
        <v>0</v>
      </c>
      <c r="K86" s="595">
        <f>'Прилож 4 24'!AA86</f>
        <v>0</v>
      </c>
      <c r="L86" s="595">
        <f>'Прилож 4 24'!AB86</f>
        <v>0</v>
      </c>
      <c r="M86" s="596">
        <f t="shared" si="19"/>
        <v>0</v>
      </c>
      <c r="N86" s="595"/>
      <c r="O86" s="595"/>
      <c r="P86" s="595"/>
      <c r="Q86" s="621"/>
      <c r="R86" s="595"/>
      <c r="S86" s="595"/>
      <c r="T86" s="595"/>
      <c r="U86" s="596">
        <f t="shared" si="22"/>
        <v>13515.22</v>
      </c>
      <c r="V86" s="595">
        <f t="shared" si="23"/>
        <v>0</v>
      </c>
      <c r="W86" s="595">
        <f t="shared" si="24"/>
        <v>0</v>
      </c>
      <c r="X86" s="595">
        <f t="shared" si="24"/>
        <v>13515.22</v>
      </c>
      <c r="Y86" s="621"/>
      <c r="Z86" s="595">
        <f t="shared" si="25"/>
        <v>0</v>
      </c>
      <c r="AA86" s="595">
        <f t="shared" si="25"/>
        <v>0</v>
      </c>
      <c r="AB86" s="595">
        <f t="shared" si="25"/>
        <v>0</v>
      </c>
      <c r="AC86" s="622"/>
    </row>
    <row r="87" spans="1:29" ht="31.5" x14ac:dyDescent="0.2">
      <c r="A87" s="618" t="s">
        <v>1242</v>
      </c>
      <c r="B87" s="619" t="s">
        <v>729</v>
      </c>
      <c r="C87" s="620">
        <v>247</v>
      </c>
      <c r="D87" s="620">
        <v>223</v>
      </c>
      <c r="E87" s="596">
        <f t="shared" si="21"/>
        <v>9599.83</v>
      </c>
      <c r="F87" s="595">
        <f>'[8]Прилож 4 24 (2)'!$V$11</f>
        <v>0</v>
      </c>
      <c r="G87" s="595">
        <f>'Прилож 4 24'!W87</f>
        <v>0</v>
      </c>
      <c r="H87" s="595">
        <f>'Прилож 4 24'!X87</f>
        <v>9599.83</v>
      </c>
      <c r="I87" s="621"/>
      <c r="J87" s="595">
        <f>'Прилож 4 24'!Z87</f>
        <v>0</v>
      </c>
      <c r="K87" s="595">
        <f>'Прилож 4 24'!AA87</f>
        <v>0</v>
      </c>
      <c r="L87" s="595">
        <f>'Прилож 4 24'!AB87</f>
        <v>0</v>
      </c>
      <c r="M87" s="596">
        <f t="shared" si="19"/>
        <v>0</v>
      </c>
      <c r="N87" s="595"/>
      <c r="O87" s="595"/>
      <c r="P87" s="595"/>
      <c r="Q87" s="621"/>
      <c r="R87" s="595"/>
      <c r="S87" s="595"/>
      <c r="T87" s="595"/>
      <c r="U87" s="596">
        <f t="shared" si="22"/>
        <v>9599.83</v>
      </c>
      <c r="V87" s="595">
        <f t="shared" si="23"/>
        <v>0</v>
      </c>
      <c r="W87" s="595">
        <f t="shared" si="24"/>
        <v>0</v>
      </c>
      <c r="X87" s="595">
        <f t="shared" si="24"/>
        <v>9599.83</v>
      </c>
      <c r="Y87" s="621"/>
      <c r="Z87" s="595">
        <f t="shared" si="25"/>
        <v>0</v>
      </c>
      <c r="AA87" s="595">
        <f t="shared" si="25"/>
        <v>0</v>
      </c>
      <c r="AB87" s="595">
        <f t="shared" si="25"/>
        <v>0</v>
      </c>
      <c r="AC87" s="622"/>
    </row>
    <row r="88" spans="1:29" ht="31.5" x14ac:dyDescent="0.2">
      <c r="A88" s="618" t="s">
        <v>1242</v>
      </c>
      <c r="B88" s="619" t="s">
        <v>729</v>
      </c>
      <c r="C88" s="620">
        <v>247</v>
      </c>
      <c r="D88" s="620">
        <v>223</v>
      </c>
      <c r="E88" s="596">
        <f t="shared" si="21"/>
        <v>10621.01</v>
      </c>
      <c r="F88" s="595">
        <f>'[8]Прилож 4 24 (2)'!$V$11</f>
        <v>0</v>
      </c>
      <c r="G88" s="595">
        <f>'Прилож 4 24'!W88</f>
        <v>0</v>
      </c>
      <c r="H88" s="595">
        <f>'Прилож 4 24'!X88</f>
        <v>10621.01</v>
      </c>
      <c r="I88" s="621"/>
      <c r="J88" s="595">
        <f>'Прилож 4 24'!Z88</f>
        <v>0</v>
      </c>
      <c r="K88" s="595">
        <f>'Прилож 4 24'!AA88</f>
        <v>0</v>
      </c>
      <c r="L88" s="595">
        <f>'Прилож 4 24'!AB88</f>
        <v>0</v>
      </c>
      <c r="M88" s="596">
        <f t="shared" si="19"/>
        <v>0</v>
      </c>
      <c r="N88" s="595"/>
      <c r="O88" s="595"/>
      <c r="P88" s="595"/>
      <c r="Q88" s="621"/>
      <c r="R88" s="595"/>
      <c r="S88" s="595"/>
      <c r="T88" s="595"/>
      <c r="U88" s="596">
        <f t="shared" si="22"/>
        <v>10621.01</v>
      </c>
      <c r="V88" s="595">
        <f t="shared" si="23"/>
        <v>0</v>
      </c>
      <c r="W88" s="595">
        <f t="shared" si="24"/>
        <v>0</v>
      </c>
      <c r="X88" s="595">
        <f t="shared" si="24"/>
        <v>10621.01</v>
      </c>
      <c r="Y88" s="621"/>
      <c r="Z88" s="595">
        <f t="shared" si="25"/>
        <v>0</v>
      </c>
      <c r="AA88" s="595">
        <f t="shared" si="25"/>
        <v>0</v>
      </c>
      <c r="AB88" s="595">
        <f t="shared" si="25"/>
        <v>0</v>
      </c>
      <c r="AC88" s="622"/>
    </row>
    <row r="89" spans="1:29" s="637" customFormat="1" x14ac:dyDescent="0.2">
      <c r="A89" s="632" t="s">
        <v>1143</v>
      </c>
      <c r="B89" s="633" t="s">
        <v>729</v>
      </c>
      <c r="C89" s="634">
        <v>247</v>
      </c>
      <c r="D89" s="634">
        <v>223</v>
      </c>
      <c r="E89" s="597">
        <f>SUM(E82:E88)</f>
        <v>2202225.75</v>
      </c>
      <c r="F89" s="595">
        <f>'[8]Прилож 4 24 (2)'!$V$11</f>
        <v>0</v>
      </c>
      <c r="G89" s="595">
        <f>'Прилож 4 24'!W89</f>
        <v>0</v>
      </c>
      <c r="H89" s="595">
        <f>'Прилож 4 24'!X89</f>
        <v>2202225.75</v>
      </c>
      <c r="I89" s="635"/>
      <c r="J89" s="595">
        <f>'Прилож 4 24'!Z89</f>
        <v>0</v>
      </c>
      <c r="K89" s="595">
        <f>'Прилож 4 24'!AA89</f>
        <v>0</v>
      </c>
      <c r="L89" s="595">
        <f>'Прилож 4 24'!AB89</f>
        <v>0</v>
      </c>
      <c r="M89" s="596">
        <f t="shared" si="19"/>
        <v>0</v>
      </c>
      <c r="N89" s="597">
        <f t="shared" ref="N89:P89" si="26">SUM(N82:N88)</f>
        <v>0</v>
      </c>
      <c r="O89" s="597">
        <f t="shared" si="26"/>
        <v>0</v>
      </c>
      <c r="P89" s="597">
        <f t="shared" si="26"/>
        <v>0</v>
      </c>
      <c r="Q89" s="635"/>
      <c r="R89" s="597">
        <f t="shared" ref="R89:X89" si="27">SUM(R82:R88)</f>
        <v>0</v>
      </c>
      <c r="S89" s="597">
        <f t="shared" si="27"/>
        <v>0</v>
      </c>
      <c r="T89" s="597">
        <f t="shared" si="27"/>
        <v>0</v>
      </c>
      <c r="U89" s="597">
        <f t="shared" si="27"/>
        <v>2202225.75</v>
      </c>
      <c r="V89" s="597">
        <f t="shared" si="27"/>
        <v>0</v>
      </c>
      <c r="W89" s="597">
        <f t="shared" si="27"/>
        <v>0</v>
      </c>
      <c r="X89" s="597">
        <f t="shared" si="27"/>
        <v>2202225.75</v>
      </c>
      <c r="Y89" s="635"/>
      <c r="Z89" s="597">
        <f t="shared" ref="Z89:AB89" si="28">SUM(Z82:Z88)</f>
        <v>0</v>
      </c>
      <c r="AA89" s="597">
        <f t="shared" si="28"/>
        <v>0</v>
      </c>
      <c r="AB89" s="597">
        <f t="shared" si="28"/>
        <v>0</v>
      </c>
      <c r="AC89" s="636"/>
    </row>
    <row r="90" spans="1:29" s="614" customFormat="1" x14ac:dyDescent="0.2">
      <c r="A90" s="630" t="s">
        <v>737</v>
      </c>
      <c r="B90" s="631"/>
      <c r="C90" s="624"/>
      <c r="D90" s="624"/>
      <c r="E90" s="596">
        <f>E89+E81</f>
        <v>3741878.85</v>
      </c>
      <c r="F90" s="595">
        <f>'[8]Прилож 4 24 (2)'!$V$11</f>
        <v>0</v>
      </c>
      <c r="G90" s="595">
        <f>'Прилож 4 24'!W90</f>
        <v>0</v>
      </c>
      <c r="H90" s="595">
        <f>'Прилож 4 24'!X90</f>
        <v>3741878.85</v>
      </c>
      <c r="I90" s="626"/>
      <c r="J90" s="595">
        <f>'Прилож 4 24'!Z90</f>
        <v>0</v>
      </c>
      <c r="K90" s="595">
        <f>'Прилож 4 24'!AA90</f>
        <v>0</v>
      </c>
      <c r="L90" s="595">
        <f>'Прилож 4 24'!AB90</f>
        <v>0</v>
      </c>
      <c r="M90" s="596">
        <f t="shared" si="19"/>
        <v>0</v>
      </c>
      <c r="N90" s="596">
        <f t="shared" ref="N90:AB90" si="29">N89+N81</f>
        <v>0</v>
      </c>
      <c r="O90" s="596">
        <f t="shared" si="29"/>
        <v>0</v>
      </c>
      <c r="P90" s="596">
        <f t="shared" si="29"/>
        <v>0</v>
      </c>
      <c r="Q90" s="626"/>
      <c r="R90" s="596">
        <f t="shared" si="29"/>
        <v>0</v>
      </c>
      <c r="S90" s="596">
        <f t="shared" si="29"/>
        <v>0</v>
      </c>
      <c r="T90" s="596">
        <f t="shared" si="29"/>
        <v>0</v>
      </c>
      <c r="U90" s="596">
        <f t="shared" si="29"/>
        <v>3741878.85</v>
      </c>
      <c r="V90" s="596">
        <f t="shared" si="29"/>
        <v>0</v>
      </c>
      <c r="W90" s="596">
        <f t="shared" si="29"/>
        <v>0</v>
      </c>
      <c r="X90" s="596">
        <f t="shared" si="29"/>
        <v>3741878.85</v>
      </c>
      <c r="Y90" s="626"/>
      <c r="Z90" s="596">
        <f t="shared" si="29"/>
        <v>0</v>
      </c>
      <c r="AA90" s="596">
        <f t="shared" si="29"/>
        <v>0</v>
      </c>
      <c r="AB90" s="596">
        <f t="shared" si="29"/>
        <v>0</v>
      </c>
      <c r="AC90" s="627"/>
    </row>
    <row r="91" spans="1:29" ht="31.5" x14ac:dyDescent="0.2">
      <c r="A91" s="618" t="s">
        <v>1230</v>
      </c>
      <c r="B91" s="619" t="s">
        <v>729</v>
      </c>
      <c r="C91" s="620">
        <v>243</v>
      </c>
      <c r="D91" s="620">
        <v>225</v>
      </c>
      <c r="E91" s="595">
        <f>K91</f>
        <v>7777777.7800000003</v>
      </c>
      <c r="F91" s="595">
        <f>'[8]Прилож 4 24 (2)'!$V$11</f>
        <v>0</v>
      </c>
      <c r="G91" s="595">
        <f>'Прилож 4 24'!W91</f>
        <v>0</v>
      </c>
      <c r="H91" s="595">
        <f>'Прилож 4 24'!X91</f>
        <v>0</v>
      </c>
      <c r="I91" s="621">
        <v>963324061</v>
      </c>
      <c r="J91" s="595">
        <f>'Прилож 4 24'!Z91</f>
        <v>0</v>
      </c>
      <c r="K91" s="595">
        <f>'Прилож 4 24'!AA91</f>
        <v>7777777.7800000003</v>
      </c>
      <c r="L91" s="595">
        <f>'Прилож 4 24'!AB91</f>
        <v>0</v>
      </c>
      <c r="M91" s="596">
        <f t="shared" si="19"/>
        <v>0</v>
      </c>
      <c r="N91" s="595"/>
      <c r="O91" s="595"/>
      <c r="P91" s="595"/>
      <c r="Q91" s="625"/>
      <c r="R91" s="595"/>
      <c r="S91" s="595"/>
      <c r="T91" s="595"/>
      <c r="U91" s="595">
        <f>AA91</f>
        <v>7777777.7800000003</v>
      </c>
      <c r="V91" s="595"/>
      <c r="W91" s="595"/>
      <c r="X91" s="595"/>
      <c r="Y91" s="621">
        <v>963324061</v>
      </c>
      <c r="Z91" s="595"/>
      <c r="AA91" s="595">
        <f>K91+S91</f>
        <v>7777777.7800000003</v>
      </c>
      <c r="AB91" s="595"/>
      <c r="AC91" s="622"/>
    </row>
    <row r="92" spans="1:29" s="614" customFormat="1" ht="28.5" customHeight="1" x14ac:dyDescent="0.2">
      <c r="A92" s="630" t="s">
        <v>1312</v>
      </c>
      <c r="B92" s="631" t="s">
        <v>729</v>
      </c>
      <c r="C92" s="624">
        <v>243</v>
      </c>
      <c r="D92" s="624">
        <v>225</v>
      </c>
      <c r="E92" s="596">
        <f>K92</f>
        <v>7777777.7800000003</v>
      </c>
      <c r="F92" s="595">
        <f>'[8]Прилож 4 24 (2)'!$V$11</f>
        <v>0</v>
      </c>
      <c r="G92" s="595">
        <f>'Прилож 4 24'!W92</f>
        <v>0</v>
      </c>
      <c r="H92" s="595">
        <f>'Прилож 4 24'!X92</f>
        <v>0</v>
      </c>
      <c r="I92" s="626"/>
      <c r="J92" s="595">
        <f>'Прилож 4 24'!Z92</f>
        <v>0</v>
      </c>
      <c r="K92" s="595">
        <f>'Прилож 4 24'!AA92</f>
        <v>7777777.7800000003</v>
      </c>
      <c r="L92" s="595">
        <f>'Прилож 4 24'!AB92</f>
        <v>0</v>
      </c>
      <c r="M92" s="596">
        <f t="shared" si="19"/>
        <v>0</v>
      </c>
      <c r="N92" s="596"/>
      <c r="O92" s="596"/>
      <c r="P92" s="596"/>
      <c r="Q92" s="626"/>
      <c r="R92" s="596"/>
      <c r="S92" s="596"/>
      <c r="T92" s="596"/>
      <c r="U92" s="596">
        <f>AA92</f>
        <v>7777777.7800000003</v>
      </c>
      <c r="V92" s="596"/>
      <c r="W92" s="596"/>
      <c r="X92" s="596"/>
      <c r="Y92" s="626"/>
      <c r="Z92" s="596"/>
      <c r="AA92" s="596">
        <f>AA91</f>
        <v>7777777.7800000003</v>
      </c>
      <c r="AB92" s="596"/>
      <c r="AC92" s="627"/>
    </row>
    <row r="93" spans="1:29" ht="78.75" x14ac:dyDescent="0.2">
      <c r="A93" s="618" t="s">
        <v>1188</v>
      </c>
      <c r="B93" s="619" t="s">
        <v>747</v>
      </c>
      <c r="C93" s="620">
        <v>244</v>
      </c>
      <c r="D93" s="620">
        <v>225</v>
      </c>
      <c r="E93" s="596">
        <f t="shared" si="0"/>
        <v>50400</v>
      </c>
      <c r="F93" s="595">
        <f>'[8]Прилож 4 24 (2)'!$V$11</f>
        <v>0</v>
      </c>
      <c r="G93" s="595">
        <f>'Прилож 4 24'!W93</f>
        <v>0</v>
      </c>
      <c r="H93" s="595">
        <f>'Прилож 4 24'!X93</f>
        <v>50400</v>
      </c>
      <c r="I93" s="623"/>
      <c r="J93" s="595">
        <f>'Прилож 4 24'!Z93</f>
        <v>0</v>
      </c>
      <c r="K93" s="595">
        <f>'Прилож 4 24'!AA93</f>
        <v>0</v>
      </c>
      <c r="L93" s="595">
        <f>'Прилож 4 24'!AB93</f>
        <v>0</v>
      </c>
      <c r="M93" s="596">
        <f t="shared" si="19"/>
        <v>0</v>
      </c>
      <c r="N93" s="595"/>
      <c r="O93" s="595"/>
      <c r="P93" s="595"/>
      <c r="Q93" s="621"/>
      <c r="R93" s="595"/>
      <c r="S93" s="595"/>
      <c r="T93" s="595"/>
      <c r="U93" s="596">
        <f t="shared" si="4"/>
        <v>50400</v>
      </c>
      <c r="V93" s="595">
        <f t="shared" si="6"/>
        <v>0</v>
      </c>
      <c r="W93" s="595">
        <f t="shared" si="2"/>
        <v>0</v>
      </c>
      <c r="X93" s="595">
        <f t="shared" si="2"/>
        <v>50400</v>
      </c>
      <c r="Y93" s="628"/>
      <c r="Z93" s="595">
        <f t="shared" si="3"/>
        <v>0</v>
      </c>
      <c r="AA93" s="595">
        <f t="shared" si="3"/>
        <v>0</v>
      </c>
      <c r="AB93" s="595">
        <f t="shared" si="3"/>
        <v>0</v>
      </c>
      <c r="AC93" s="622"/>
    </row>
    <row r="94" spans="1:29" x14ac:dyDescent="0.2">
      <c r="A94" s="618" t="s">
        <v>1193</v>
      </c>
      <c r="B94" s="619" t="s">
        <v>747</v>
      </c>
      <c r="C94" s="620">
        <v>244</v>
      </c>
      <c r="D94" s="620">
        <v>225</v>
      </c>
      <c r="E94" s="596">
        <f t="shared" ref="E94:E156" si="30">L94+K94+J94+H94+G94+F94</f>
        <v>49836</v>
      </c>
      <c r="F94" s="595">
        <f>'[8]Прилож 4 24 (2)'!$V$11</f>
        <v>0</v>
      </c>
      <c r="G94" s="595">
        <f>'Прилож 4 24'!W94</f>
        <v>0</v>
      </c>
      <c r="H94" s="595">
        <f>'Прилож 4 24'!X94</f>
        <v>49836</v>
      </c>
      <c r="I94" s="623"/>
      <c r="J94" s="595">
        <f>'Прилож 4 24'!Z94</f>
        <v>0</v>
      </c>
      <c r="K94" s="595">
        <f>'Прилож 4 24'!AA94</f>
        <v>0</v>
      </c>
      <c r="L94" s="595">
        <f>'Прилож 4 24'!AB94</f>
        <v>0</v>
      </c>
      <c r="M94" s="596">
        <f t="shared" si="19"/>
        <v>0</v>
      </c>
      <c r="N94" s="595"/>
      <c r="O94" s="595"/>
      <c r="P94" s="595"/>
      <c r="Q94" s="621"/>
      <c r="R94" s="595"/>
      <c r="S94" s="595"/>
      <c r="T94" s="595"/>
      <c r="U94" s="596">
        <f t="shared" si="4"/>
        <v>49836</v>
      </c>
      <c r="V94" s="595">
        <f t="shared" si="6"/>
        <v>0</v>
      </c>
      <c r="W94" s="595">
        <f t="shared" si="2"/>
        <v>0</v>
      </c>
      <c r="X94" s="595">
        <f t="shared" si="2"/>
        <v>49836</v>
      </c>
      <c r="Y94" s="628"/>
      <c r="Z94" s="595">
        <f t="shared" si="3"/>
        <v>0</v>
      </c>
      <c r="AA94" s="595">
        <f t="shared" si="3"/>
        <v>0</v>
      </c>
      <c r="AB94" s="595">
        <f t="shared" si="3"/>
        <v>0</v>
      </c>
      <c r="AC94" s="622"/>
    </row>
    <row r="95" spans="1:29" ht="54" customHeight="1" x14ac:dyDescent="0.2">
      <c r="A95" s="618" t="s">
        <v>1192</v>
      </c>
      <c r="B95" s="619" t="s">
        <v>747</v>
      </c>
      <c r="C95" s="620">
        <v>244</v>
      </c>
      <c r="D95" s="620">
        <v>225</v>
      </c>
      <c r="E95" s="596">
        <f t="shared" si="30"/>
        <v>2844</v>
      </c>
      <c r="F95" s="595">
        <f>'[8]Прилож 4 24 (2)'!$V$11</f>
        <v>0</v>
      </c>
      <c r="G95" s="595">
        <f>'Прилож 4 24'!W95</f>
        <v>0</v>
      </c>
      <c r="H95" s="595">
        <f>'Прилож 4 24'!X95</f>
        <v>2844</v>
      </c>
      <c r="I95" s="623"/>
      <c r="J95" s="595">
        <f>'Прилож 4 24'!Z95</f>
        <v>0</v>
      </c>
      <c r="K95" s="595">
        <f>'Прилож 4 24'!AA95</f>
        <v>0</v>
      </c>
      <c r="L95" s="595">
        <f>'Прилож 4 24'!AB95</f>
        <v>0</v>
      </c>
      <c r="M95" s="596">
        <f t="shared" si="19"/>
        <v>1015</v>
      </c>
      <c r="N95" s="595"/>
      <c r="O95" s="595"/>
      <c r="P95" s="595">
        <v>1015</v>
      </c>
      <c r="Q95" s="621"/>
      <c r="R95" s="595"/>
      <c r="S95" s="595"/>
      <c r="T95" s="595"/>
      <c r="U95" s="596">
        <f t="shared" ref="U95:U157" si="31">V95+X95+Z95+AA95+AB95+W95</f>
        <v>3859</v>
      </c>
      <c r="V95" s="595">
        <f t="shared" si="6"/>
        <v>0</v>
      </c>
      <c r="W95" s="595">
        <f t="shared" si="2"/>
        <v>0</v>
      </c>
      <c r="X95" s="595">
        <f t="shared" si="2"/>
        <v>3859</v>
      </c>
      <c r="Y95" s="628"/>
      <c r="Z95" s="595">
        <f t="shared" si="3"/>
        <v>0</v>
      </c>
      <c r="AA95" s="595">
        <f t="shared" si="3"/>
        <v>0</v>
      </c>
      <c r="AB95" s="595">
        <f t="shared" si="3"/>
        <v>0</v>
      </c>
      <c r="AC95" s="622" t="s">
        <v>1110</v>
      </c>
    </row>
    <row r="96" spans="1:29" ht="31.5" x14ac:dyDescent="0.2">
      <c r="A96" s="618" t="s">
        <v>1187</v>
      </c>
      <c r="B96" s="619" t="s">
        <v>747</v>
      </c>
      <c r="C96" s="620">
        <v>244</v>
      </c>
      <c r="D96" s="620">
        <v>225</v>
      </c>
      <c r="E96" s="596">
        <f t="shared" si="30"/>
        <v>21600</v>
      </c>
      <c r="F96" s="595">
        <f>'[8]Прилож 4 24 (2)'!$V$11</f>
        <v>0</v>
      </c>
      <c r="G96" s="595">
        <f>'Прилож 4 24'!W96</f>
        <v>0</v>
      </c>
      <c r="H96" s="595">
        <f>'Прилож 4 24'!X96</f>
        <v>21600</v>
      </c>
      <c r="I96" s="623"/>
      <c r="J96" s="595">
        <f>'Прилож 4 24'!Z96</f>
        <v>0</v>
      </c>
      <c r="K96" s="595">
        <f>'Прилож 4 24'!AA96</f>
        <v>0</v>
      </c>
      <c r="L96" s="595">
        <f>'Прилож 4 24'!AB96</f>
        <v>0</v>
      </c>
      <c r="M96" s="596">
        <f t="shared" si="19"/>
        <v>0</v>
      </c>
      <c r="N96" s="595"/>
      <c r="O96" s="595"/>
      <c r="P96" s="595"/>
      <c r="Q96" s="621"/>
      <c r="R96" s="595"/>
      <c r="S96" s="595"/>
      <c r="T96" s="595"/>
      <c r="U96" s="596">
        <f t="shared" si="31"/>
        <v>21600</v>
      </c>
      <c r="V96" s="595">
        <f t="shared" si="6"/>
        <v>0</v>
      </c>
      <c r="W96" s="595">
        <f t="shared" si="2"/>
        <v>0</v>
      </c>
      <c r="X96" s="595">
        <f t="shared" si="2"/>
        <v>21600</v>
      </c>
      <c r="Y96" s="628"/>
      <c r="Z96" s="595">
        <f t="shared" si="3"/>
        <v>0</v>
      </c>
      <c r="AA96" s="595">
        <f t="shared" si="3"/>
        <v>0</v>
      </c>
      <c r="AB96" s="595">
        <f t="shared" si="3"/>
        <v>0</v>
      </c>
      <c r="AC96" s="622"/>
    </row>
    <row r="97" spans="1:29" s="612" customFormat="1" ht="47.25" x14ac:dyDescent="0.2">
      <c r="A97" s="618" t="s">
        <v>1203</v>
      </c>
      <c r="B97" s="619" t="s">
        <v>747</v>
      </c>
      <c r="C97" s="620">
        <v>244</v>
      </c>
      <c r="D97" s="620">
        <v>225</v>
      </c>
      <c r="E97" s="596">
        <f t="shared" si="30"/>
        <v>15000</v>
      </c>
      <c r="F97" s="595">
        <f>'[8]Прилож 4 24 (2)'!$V$11</f>
        <v>0</v>
      </c>
      <c r="G97" s="595">
        <f>'Прилож 4 24'!W97</f>
        <v>0</v>
      </c>
      <c r="H97" s="595">
        <f>'Прилож 4 24'!X97</f>
        <v>15000</v>
      </c>
      <c r="I97" s="623"/>
      <c r="J97" s="595">
        <f>'Прилож 4 24'!Z97</f>
        <v>0</v>
      </c>
      <c r="K97" s="595">
        <f>'Прилож 4 24'!AA97</f>
        <v>0</v>
      </c>
      <c r="L97" s="595">
        <f>'Прилож 4 24'!AB97</f>
        <v>0</v>
      </c>
      <c r="M97" s="596">
        <f t="shared" si="19"/>
        <v>0</v>
      </c>
      <c r="N97" s="595"/>
      <c r="O97" s="595"/>
      <c r="P97" s="595"/>
      <c r="Q97" s="621"/>
      <c r="R97" s="595"/>
      <c r="S97" s="595"/>
      <c r="T97" s="595"/>
      <c r="U97" s="596">
        <f t="shared" si="31"/>
        <v>15000</v>
      </c>
      <c r="V97" s="595">
        <f t="shared" ref="V97:V163" si="32">F97+N97</f>
        <v>0</v>
      </c>
      <c r="W97" s="595">
        <f t="shared" ref="W97:X163" si="33">O97+G97</f>
        <v>0</v>
      </c>
      <c r="X97" s="595">
        <f t="shared" si="33"/>
        <v>15000</v>
      </c>
      <c r="Y97" s="628"/>
      <c r="Z97" s="595">
        <f t="shared" ref="Z97:AB163" si="34">R97+J97</f>
        <v>0</v>
      </c>
      <c r="AA97" s="595">
        <f t="shared" si="34"/>
        <v>0</v>
      </c>
      <c r="AB97" s="595">
        <f t="shared" si="34"/>
        <v>0</v>
      </c>
      <c r="AC97" s="622"/>
    </row>
    <row r="98" spans="1:29" s="612" customFormat="1" x14ac:dyDescent="0.2">
      <c r="A98" s="618" t="s">
        <v>583</v>
      </c>
      <c r="B98" s="619" t="s">
        <v>747</v>
      </c>
      <c r="C98" s="620">
        <v>244</v>
      </c>
      <c r="D98" s="620">
        <v>225</v>
      </c>
      <c r="E98" s="596">
        <f t="shared" si="30"/>
        <v>5000</v>
      </c>
      <c r="F98" s="595">
        <f>'[8]Прилож 4 24 (2)'!$V$11</f>
        <v>0</v>
      </c>
      <c r="G98" s="595">
        <f>'Прилож 4 24'!W98</f>
        <v>0</v>
      </c>
      <c r="H98" s="595">
        <f>'Прилож 4 24'!X98</f>
        <v>5000</v>
      </c>
      <c r="I98" s="623"/>
      <c r="J98" s="595">
        <f>'Прилож 4 24'!Z98</f>
        <v>0</v>
      </c>
      <c r="K98" s="595">
        <f>'Прилож 4 24'!AA98</f>
        <v>0</v>
      </c>
      <c r="L98" s="595">
        <f>'Прилож 4 24'!AB98</f>
        <v>0</v>
      </c>
      <c r="M98" s="596">
        <f t="shared" si="19"/>
        <v>0</v>
      </c>
      <c r="N98" s="595"/>
      <c r="O98" s="595"/>
      <c r="P98" s="595"/>
      <c r="Q98" s="621"/>
      <c r="R98" s="595"/>
      <c r="S98" s="595"/>
      <c r="T98" s="595"/>
      <c r="U98" s="596">
        <f t="shared" si="31"/>
        <v>5000</v>
      </c>
      <c r="V98" s="595">
        <f t="shared" si="32"/>
        <v>0</v>
      </c>
      <c r="W98" s="595">
        <f t="shared" si="33"/>
        <v>0</v>
      </c>
      <c r="X98" s="595">
        <f t="shared" si="33"/>
        <v>5000</v>
      </c>
      <c r="Y98" s="628"/>
      <c r="Z98" s="595">
        <f t="shared" si="34"/>
        <v>0</v>
      </c>
      <c r="AA98" s="595">
        <f t="shared" si="34"/>
        <v>0</v>
      </c>
      <c r="AB98" s="595">
        <f t="shared" si="34"/>
        <v>0</v>
      </c>
      <c r="AC98" s="622"/>
    </row>
    <row r="99" spans="1:29" s="612" customFormat="1" ht="47.25" x14ac:dyDescent="0.2">
      <c r="A99" s="618" t="s">
        <v>1297</v>
      </c>
      <c r="B99" s="619" t="s">
        <v>747</v>
      </c>
      <c r="C99" s="620">
        <v>244</v>
      </c>
      <c r="D99" s="620">
        <v>225</v>
      </c>
      <c r="E99" s="596">
        <f t="shared" si="30"/>
        <v>0</v>
      </c>
      <c r="F99" s="595">
        <f>'[8]Прилож 4 24 (2)'!$V$11</f>
        <v>0</v>
      </c>
      <c r="G99" s="595">
        <f>'Прилож 4 24'!W99</f>
        <v>0</v>
      </c>
      <c r="H99" s="595">
        <f>'Прилож 4 24'!X99</f>
        <v>0</v>
      </c>
      <c r="I99" s="623"/>
      <c r="J99" s="595">
        <f>'Прилож 4 24'!Z99</f>
        <v>0</v>
      </c>
      <c r="K99" s="595">
        <f>'Прилож 4 24'!AA99</f>
        <v>0</v>
      </c>
      <c r="L99" s="595">
        <f>'Прилож 4 24'!AB99</f>
        <v>0</v>
      </c>
      <c r="M99" s="596">
        <f t="shared" si="19"/>
        <v>4000</v>
      </c>
      <c r="N99" s="595"/>
      <c r="O99" s="595"/>
      <c r="P99" s="595">
        <v>4000</v>
      </c>
      <c r="Q99" s="621"/>
      <c r="R99" s="595"/>
      <c r="S99" s="595"/>
      <c r="T99" s="595"/>
      <c r="U99" s="596">
        <f t="shared" si="31"/>
        <v>4000</v>
      </c>
      <c r="V99" s="595">
        <f t="shared" si="32"/>
        <v>0</v>
      </c>
      <c r="W99" s="595">
        <f t="shared" si="33"/>
        <v>0</v>
      </c>
      <c r="X99" s="595">
        <f t="shared" si="33"/>
        <v>4000</v>
      </c>
      <c r="Y99" s="628"/>
      <c r="Z99" s="595">
        <f t="shared" si="34"/>
        <v>0</v>
      </c>
      <c r="AA99" s="595">
        <f t="shared" si="34"/>
        <v>0</v>
      </c>
      <c r="AB99" s="595">
        <f t="shared" si="34"/>
        <v>0</v>
      </c>
      <c r="AC99" s="622" t="s">
        <v>1298</v>
      </c>
    </row>
    <row r="100" spans="1:29" s="612" customFormat="1" ht="47.25" x14ac:dyDescent="0.2">
      <c r="A100" s="618" t="s">
        <v>1204</v>
      </c>
      <c r="B100" s="619" t="s">
        <v>747</v>
      </c>
      <c r="C100" s="620">
        <v>244</v>
      </c>
      <c r="D100" s="620">
        <v>225</v>
      </c>
      <c r="E100" s="596">
        <f t="shared" si="30"/>
        <v>0</v>
      </c>
      <c r="F100" s="595">
        <f>'[8]Прилож 4 24 (2)'!$V$11</f>
        <v>0</v>
      </c>
      <c r="G100" s="595">
        <f>'Прилож 4 24'!W100</f>
        <v>0</v>
      </c>
      <c r="H100" s="595">
        <f>'Прилож 4 24'!X100</f>
        <v>0</v>
      </c>
      <c r="I100" s="623"/>
      <c r="J100" s="595">
        <f>'Прилож 4 24'!Z100</f>
        <v>0</v>
      </c>
      <c r="K100" s="595">
        <f>'Прилож 4 24'!AA100</f>
        <v>0</v>
      </c>
      <c r="L100" s="595">
        <f>'Прилож 4 24'!AB100</f>
        <v>0</v>
      </c>
      <c r="M100" s="596">
        <f t="shared" si="19"/>
        <v>20000</v>
      </c>
      <c r="N100" s="595"/>
      <c r="O100" s="595"/>
      <c r="P100" s="595">
        <v>20000</v>
      </c>
      <c r="Q100" s="621"/>
      <c r="R100" s="595"/>
      <c r="S100" s="595"/>
      <c r="T100" s="595"/>
      <c r="U100" s="596">
        <f t="shared" si="31"/>
        <v>20000</v>
      </c>
      <c r="V100" s="595"/>
      <c r="W100" s="595"/>
      <c r="X100" s="595">
        <f t="shared" si="33"/>
        <v>20000</v>
      </c>
      <c r="Y100" s="628"/>
      <c r="Z100" s="595"/>
      <c r="AA100" s="595"/>
      <c r="AB100" s="595"/>
      <c r="AC100" s="622" t="s">
        <v>1298</v>
      </c>
    </row>
    <row r="101" spans="1:29" s="612" customFormat="1" ht="48.75" customHeight="1" x14ac:dyDescent="0.2">
      <c r="A101" s="618" t="s">
        <v>143</v>
      </c>
      <c r="B101" s="619" t="s">
        <v>747</v>
      </c>
      <c r="C101" s="620">
        <v>244</v>
      </c>
      <c r="D101" s="620">
        <v>225</v>
      </c>
      <c r="E101" s="596">
        <f t="shared" si="30"/>
        <v>12000</v>
      </c>
      <c r="F101" s="595">
        <f>'[8]Прилож 4 24 (2)'!$V$11</f>
        <v>0</v>
      </c>
      <c r="G101" s="595">
        <f>'Прилож 4 24'!W101</f>
        <v>0</v>
      </c>
      <c r="H101" s="595">
        <f>'Прилож 4 24'!X101</f>
        <v>12000</v>
      </c>
      <c r="I101" s="623"/>
      <c r="J101" s="595">
        <f>'Прилож 4 24'!Z101</f>
        <v>0</v>
      </c>
      <c r="K101" s="595">
        <f>'Прилож 4 24'!AA101</f>
        <v>0</v>
      </c>
      <c r="L101" s="595">
        <f>'Прилож 4 24'!AB101</f>
        <v>0</v>
      </c>
      <c r="M101" s="596">
        <f t="shared" si="19"/>
        <v>0</v>
      </c>
      <c r="N101" s="595"/>
      <c r="O101" s="595"/>
      <c r="P101" s="595"/>
      <c r="Q101" s="621"/>
      <c r="R101" s="595"/>
      <c r="S101" s="595"/>
      <c r="T101" s="595"/>
      <c r="U101" s="596">
        <f t="shared" si="31"/>
        <v>12000</v>
      </c>
      <c r="V101" s="595">
        <f t="shared" si="32"/>
        <v>0</v>
      </c>
      <c r="W101" s="595">
        <f t="shared" si="33"/>
        <v>0</v>
      </c>
      <c r="X101" s="595">
        <f t="shared" si="33"/>
        <v>12000</v>
      </c>
      <c r="Y101" s="628"/>
      <c r="Z101" s="595">
        <f t="shared" si="34"/>
        <v>0</v>
      </c>
      <c r="AA101" s="595">
        <f t="shared" si="34"/>
        <v>0</v>
      </c>
      <c r="AB101" s="595">
        <f t="shared" si="34"/>
        <v>0</v>
      </c>
      <c r="AC101" s="622"/>
    </row>
    <row r="102" spans="1:29" s="612" customFormat="1" ht="47.25" x14ac:dyDescent="0.2">
      <c r="A102" s="618" t="s">
        <v>645</v>
      </c>
      <c r="B102" s="619" t="s">
        <v>747</v>
      </c>
      <c r="C102" s="620">
        <v>244</v>
      </c>
      <c r="D102" s="620">
        <v>225</v>
      </c>
      <c r="E102" s="596">
        <f t="shared" si="30"/>
        <v>0</v>
      </c>
      <c r="F102" s="595">
        <f>'[8]Прилож 4 24 (2)'!$V$11</f>
        <v>0</v>
      </c>
      <c r="G102" s="595">
        <f>'Прилож 4 24'!W102</f>
        <v>0</v>
      </c>
      <c r="H102" s="595">
        <f>'Прилож 4 24'!X102</f>
        <v>0</v>
      </c>
      <c r="I102" s="623"/>
      <c r="J102" s="595">
        <f>'Прилож 4 24'!Z102</f>
        <v>0</v>
      </c>
      <c r="K102" s="595">
        <f>'Прилож 4 24'!AA102</f>
        <v>0</v>
      </c>
      <c r="L102" s="595">
        <f>'Прилож 4 24'!AB102</f>
        <v>0</v>
      </c>
      <c r="M102" s="596">
        <f t="shared" si="19"/>
        <v>10000</v>
      </c>
      <c r="N102" s="595"/>
      <c r="O102" s="595"/>
      <c r="P102" s="595">
        <v>10000</v>
      </c>
      <c r="Q102" s="621"/>
      <c r="R102" s="595"/>
      <c r="S102" s="595"/>
      <c r="T102" s="595"/>
      <c r="U102" s="596">
        <f t="shared" si="31"/>
        <v>10000</v>
      </c>
      <c r="V102" s="595">
        <f t="shared" si="32"/>
        <v>0</v>
      </c>
      <c r="W102" s="595">
        <f t="shared" si="33"/>
        <v>0</v>
      </c>
      <c r="X102" s="595">
        <f t="shared" si="33"/>
        <v>10000</v>
      </c>
      <c r="Y102" s="628"/>
      <c r="Z102" s="595">
        <f t="shared" si="34"/>
        <v>0</v>
      </c>
      <c r="AA102" s="595">
        <f t="shared" si="34"/>
        <v>0</v>
      </c>
      <c r="AB102" s="595">
        <f t="shared" si="34"/>
        <v>0</v>
      </c>
      <c r="AC102" s="622" t="s">
        <v>1298</v>
      </c>
    </row>
    <row r="103" spans="1:29" s="612" customFormat="1" ht="47.25" x14ac:dyDescent="0.2">
      <c r="A103" s="618" t="s">
        <v>646</v>
      </c>
      <c r="B103" s="619" t="s">
        <v>747</v>
      </c>
      <c r="C103" s="620">
        <v>244</v>
      </c>
      <c r="D103" s="620">
        <v>225</v>
      </c>
      <c r="E103" s="596">
        <f t="shared" si="30"/>
        <v>0</v>
      </c>
      <c r="F103" s="595">
        <f>'[8]Прилож 4 24 (2)'!$V$11</f>
        <v>0</v>
      </c>
      <c r="G103" s="595">
        <f>'Прилож 4 24'!W103</f>
        <v>0</v>
      </c>
      <c r="H103" s="595">
        <f>'Прилож 4 24'!X103</f>
        <v>0</v>
      </c>
      <c r="I103" s="623"/>
      <c r="J103" s="595">
        <f>'Прилож 4 24'!Z103</f>
        <v>0</v>
      </c>
      <c r="K103" s="595">
        <f>'Прилож 4 24'!AA103</f>
        <v>0</v>
      </c>
      <c r="L103" s="595">
        <f>'Прилож 4 24'!AB103</f>
        <v>0</v>
      </c>
      <c r="M103" s="596">
        <f t="shared" si="19"/>
        <v>20000</v>
      </c>
      <c r="N103" s="595"/>
      <c r="O103" s="595"/>
      <c r="P103" s="595">
        <v>20000</v>
      </c>
      <c r="Q103" s="621"/>
      <c r="R103" s="595"/>
      <c r="S103" s="595"/>
      <c r="T103" s="595"/>
      <c r="U103" s="596">
        <f t="shared" si="31"/>
        <v>20000</v>
      </c>
      <c r="V103" s="595">
        <f t="shared" si="32"/>
        <v>0</v>
      </c>
      <c r="W103" s="595">
        <f t="shared" si="33"/>
        <v>0</v>
      </c>
      <c r="X103" s="595">
        <f t="shared" si="33"/>
        <v>20000</v>
      </c>
      <c r="Y103" s="628"/>
      <c r="Z103" s="595">
        <f t="shared" si="34"/>
        <v>0</v>
      </c>
      <c r="AA103" s="595">
        <f t="shared" si="34"/>
        <v>0</v>
      </c>
      <c r="AB103" s="595">
        <f t="shared" si="34"/>
        <v>0</v>
      </c>
      <c r="AC103" s="622" t="s">
        <v>1298</v>
      </c>
    </row>
    <row r="104" spans="1:29" s="612" customFormat="1" ht="54" customHeight="1" x14ac:dyDescent="0.2">
      <c r="A104" s="618" t="s">
        <v>146</v>
      </c>
      <c r="B104" s="619" t="s">
        <v>747</v>
      </c>
      <c r="C104" s="620">
        <v>244</v>
      </c>
      <c r="D104" s="620">
        <v>225</v>
      </c>
      <c r="E104" s="596">
        <f t="shared" si="30"/>
        <v>0</v>
      </c>
      <c r="F104" s="595">
        <f>'[8]Прилож 4 24 (2)'!$V$11</f>
        <v>0</v>
      </c>
      <c r="G104" s="595">
        <f>'Прилож 4 24'!W105</f>
        <v>0</v>
      </c>
      <c r="H104" s="595">
        <f>'Прилож 4 24'!X105</f>
        <v>0</v>
      </c>
      <c r="I104" s="623"/>
      <c r="J104" s="595">
        <f>'Прилож 4 24'!Z105</f>
        <v>0</v>
      </c>
      <c r="K104" s="595">
        <f>'Прилож 4 24'!AA105</f>
        <v>0</v>
      </c>
      <c r="L104" s="595">
        <f>'Прилож 4 24'!AB105</f>
        <v>0</v>
      </c>
      <c r="M104" s="596">
        <f t="shared" si="19"/>
        <v>20000</v>
      </c>
      <c r="N104" s="595"/>
      <c r="O104" s="595"/>
      <c r="P104" s="595">
        <v>20000</v>
      </c>
      <c r="Q104" s="621"/>
      <c r="R104" s="595"/>
      <c r="S104" s="595"/>
      <c r="T104" s="595"/>
      <c r="U104" s="596">
        <f t="shared" si="31"/>
        <v>20000</v>
      </c>
      <c r="V104" s="595">
        <f t="shared" si="32"/>
        <v>0</v>
      </c>
      <c r="W104" s="595">
        <f t="shared" si="33"/>
        <v>0</v>
      </c>
      <c r="X104" s="595">
        <f t="shared" si="33"/>
        <v>20000</v>
      </c>
      <c r="Y104" s="628"/>
      <c r="Z104" s="595">
        <f t="shared" si="34"/>
        <v>0</v>
      </c>
      <c r="AA104" s="595">
        <f t="shared" si="34"/>
        <v>0</v>
      </c>
      <c r="AB104" s="595">
        <f t="shared" si="34"/>
        <v>0</v>
      </c>
      <c r="AC104" s="622" t="s">
        <v>1298</v>
      </c>
    </row>
    <row r="105" spans="1:29" s="612" customFormat="1" ht="47.25" x14ac:dyDescent="0.2">
      <c r="A105" s="618" t="s">
        <v>148</v>
      </c>
      <c r="B105" s="619" t="s">
        <v>747</v>
      </c>
      <c r="C105" s="620">
        <v>244</v>
      </c>
      <c r="D105" s="620">
        <v>225</v>
      </c>
      <c r="E105" s="596">
        <f t="shared" si="30"/>
        <v>12000</v>
      </c>
      <c r="F105" s="595">
        <f>'[8]Прилож 4 24 (2)'!$V$11</f>
        <v>0</v>
      </c>
      <c r="G105" s="595">
        <f>'Прилож 4 24'!W106</f>
        <v>0</v>
      </c>
      <c r="H105" s="595">
        <f>'Прилож 4 24'!X106</f>
        <v>12000</v>
      </c>
      <c r="I105" s="623"/>
      <c r="J105" s="595">
        <f>'Прилож 4 24'!Z106</f>
        <v>0</v>
      </c>
      <c r="K105" s="595">
        <f>'Прилож 4 24'!AA106</f>
        <v>0</v>
      </c>
      <c r="L105" s="595">
        <f>'Прилож 4 24'!AB106</f>
        <v>0</v>
      </c>
      <c r="M105" s="596">
        <f t="shared" si="19"/>
        <v>0</v>
      </c>
      <c r="N105" s="595"/>
      <c r="O105" s="595"/>
      <c r="P105" s="595"/>
      <c r="Q105" s="621"/>
      <c r="R105" s="595"/>
      <c r="S105" s="595"/>
      <c r="T105" s="595"/>
      <c r="U105" s="596">
        <f t="shared" si="31"/>
        <v>12000</v>
      </c>
      <c r="V105" s="595">
        <f t="shared" si="32"/>
        <v>0</v>
      </c>
      <c r="W105" s="595">
        <f t="shared" si="33"/>
        <v>0</v>
      </c>
      <c r="X105" s="595">
        <f t="shared" si="33"/>
        <v>12000</v>
      </c>
      <c r="Y105" s="628"/>
      <c r="Z105" s="595">
        <f t="shared" si="34"/>
        <v>0</v>
      </c>
      <c r="AA105" s="595">
        <f t="shared" si="34"/>
        <v>0</v>
      </c>
      <c r="AB105" s="595">
        <f t="shared" si="34"/>
        <v>0</v>
      </c>
      <c r="AC105" s="622"/>
    </row>
    <row r="106" spans="1:29" s="612" customFormat="1" ht="48" customHeight="1" x14ac:dyDescent="0.2">
      <c r="A106" s="618" t="s">
        <v>149</v>
      </c>
      <c r="B106" s="619" t="s">
        <v>747</v>
      </c>
      <c r="C106" s="620">
        <v>244</v>
      </c>
      <c r="D106" s="620">
        <v>225</v>
      </c>
      <c r="E106" s="596">
        <f t="shared" si="30"/>
        <v>4000</v>
      </c>
      <c r="F106" s="595">
        <f>'[8]Прилож 4 24 (2)'!$V$11</f>
        <v>0</v>
      </c>
      <c r="G106" s="595">
        <f>'Прилож 4 24'!W107</f>
        <v>0</v>
      </c>
      <c r="H106" s="595">
        <f>'Прилож 4 24'!X107</f>
        <v>4000</v>
      </c>
      <c r="I106" s="623"/>
      <c r="J106" s="595">
        <f>'Прилож 4 24'!Z107</f>
        <v>0</v>
      </c>
      <c r="K106" s="595">
        <f>'Прилож 4 24'!AA107</f>
        <v>0</v>
      </c>
      <c r="L106" s="595">
        <f>'Прилож 4 24'!AB107</f>
        <v>0</v>
      </c>
      <c r="M106" s="596">
        <f t="shared" si="19"/>
        <v>0</v>
      </c>
      <c r="N106" s="595"/>
      <c r="O106" s="595"/>
      <c r="P106" s="595"/>
      <c r="Q106" s="621"/>
      <c r="R106" s="595"/>
      <c r="S106" s="595"/>
      <c r="T106" s="595"/>
      <c r="U106" s="596">
        <f t="shared" si="31"/>
        <v>4000</v>
      </c>
      <c r="V106" s="595">
        <f t="shared" si="32"/>
        <v>0</v>
      </c>
      <c r="W106" s="595">
        <f t="shared" si="33"/>
        <v>0</v>
      </c>
      <c r="X106" s="595">
        <f t="shared" si="33"/>
        <v>4000</v>
      </c>
      <c r="Y106" s="628"/>
      <c r="Z106" s="595">
        <f t="shared" si="34"/>
        <v>0</v>
      </c>
      <c r="AA106" s="595">
        <f t="shared" si="34"/>
        <v>0</v>
      </c>
      <c r="AB106" s="595">
        <f t="shared" si="34"/>
        <v>0</v>
      </c>
      <c r="AC106" s="622"/>
    </row>
    <row r="107" spans="1:29" s="612" customFormat="1" ht="47.25" x14ac:dyDescent="0.2">
      <c r="A107" s="618" t="s">
        <v>647</v>
      </c>
      <c r="B107" s="619" t="s">
        <v>747</v>
      </c>
      <c r="C107" s="620">
        <v>244</v>
      </c>
      <c r="D107" s="620">
        <v>225</v>
      </c>
      <c r="E107" s="596">
        <f t="shared" si="30"/>
        <v>0</v>
      </c>
      <c r="F107" s="595">
        <f>'[8]Прилож 4 24 (2)'!$V$11</f>
        <v>0</v>
      </c>
      <c r="G107" s="595">
        <f>'Прилож 4 24'!W109</f>
        <v>0</v>
      </c>
      <c r="H107" s="595">
        <f>'Прилож 4 24'!X109</f>
        <v>0</v>
      </c>
      <c r="I107" s="623"/>
      <c r="J107" s="595">
        <f>'Прилож 4 24'!Z109</f>
        <v>0</v>
      </c>
      <c r="K107" s="595">
        <f>'Прилож 4 24'!AA109</f>
        <v>0</v>
      </c>
      <c r="L107" s="595">
        <f>'Прилож 4 24'!AB109</f>
        <v>0</v>
      </c>
      <c r="M107" s="596">
        <f t="shared" si="19"/>
        <v>10000</v>
      </c>
      <c r="N107" s="595"/>
      <c r="O107" s="595"/>
      <c r="P107" s="595">
        <v>10000</v>
      </c>
      <c r="Q107" s="621"/>
      <c r="R107" s="595"/>
      <c r="S107" s="595"/>
      <c r="T107" s="595"/>
      <c r="U107" s="596">
        <f t="shared" si="31"/>
        <v>10000</v>
      </c>
      <c r="V107" s="595">
        <f t="shared" si="32"/>
        <v>0</v>
      </c>
      <c r="W107" s="595">
        <f t="shared" si="33"/>
        <v>0</v>
      </c>
      <c r="X107" s="595">
        <f t="shared" si="33"/>
        <v>10000</v>
      </c>
      <c r="Y107" s="628"/>
      <c r="Z107" s="595">
        <f t="shared" si="34"/>
        <v>0</v>
      </c>
      <c r="AA107" s="595">
        <f t="shared" si="34"/>
        <v>0</v>
      </c>
      <c r="AB107" s="595">
        <f t="shared" si="34"/>
        <v>0</v>
      </c>
      <c r="AC107" s="622" t="s">
        <v>1298</v>
      </c>
    </row>
    <row r="108" spans="1:29" s="612" customFormat="1" ht="31.5" x14ac:dyDescent="0.2">
      <c r="A108" s="618" t="s">
        <v>1185</v>
      </c>
      <c r="B108" s="619" t="s">
        <v>747</v>
      </c>
      <c r="C108" s="620">
        <v>244</v>
      </c>
      <c r="D108" s="620">
        <v>225</v>
      </c>
      <c r="E108" s="596">
        <f t="shared" si="30"/>
        <v>19716</v>
      </c>
      <c r="F108" s="595">
        <f>'[8]Прилож 4 24 (2)'!$V$11</f>
        <v>0</v>
      </c>
      <c r="G108" s="595">
        <f>'Прилож 4 24'!W110</f>
        <v>0</v>
      </c>
      <c r="H108" s="595">
        <f>'Прилож 4 24'!X110</f>
        <v>19716</v>
      </c>
      <c r="I108" s="623"/>
      <c r="J108" s="595">
        <f>'Прилож 4 24'!Z110</f>
        <v>0</v>
      </c>
      <c r="K108" s="595">
        <f>'Прилож 4 24'!AA110</f>
        <v>0</v>
      </c>
      <c r="L108" s="595">
        <f>'Прилож 4 24'!AB110</f>
        <v>0</v>
      </c>
      <c r="M108" s="596">
        <f t="shared" si="19"/>
        <v>0</v>
      </c>
      <c r="N108" s="595"/>
      <c r="O108" s="595"/>
      <c r="P108" s="595"/>
      <c r="Q108" s="621"/>
      <c r="R108" s="595"/>
      <c r="S108" s="595"/>
      <c r="T108" s="595"/>
      <c r="U108" s="596">
        <f t="shared" si="31"/>
        <v>19716</v>
      </c>
      <c r="V108" s="595">
        <f t="shared" si="32"/>
        <v>0</v>
      </c>
      <c r="W108" s="595">
        <f t="shared" si="33"/>
        <v>0</v>
      </c>
      <c r="X108" s="595">
        <f t="shared" si="33"/>
        <v>19716</v>
      </c>
      <c r="Y108" s="628"/>
      <c r="Z108" s="595">
        <f t="shared" si="34"/>
        <v>0</v>
      </c>
      <c r="AA108" s="595">
        <f t="shared" si="34"/>
        <v>0</v>
      </c>
      <c r="AB108" s="595">
        <f t="shared" si="34"/>
        <v>0</v>
      </c>
      <c r="AC108" s="622"/>
    </row>
    <row r="109" spans="1:29" s="612" customFormat="1" ht="31.5" x14ac:dyDescent="0.2">
      <c r="A109" s="618" t="s">
        <v>587</v>
      </c>
      <c r="B109" s="619" t="s">
        <v>747</v>
      </c>
      <c r="C109" s="620">
        <v>244</v>
      </c>
      <c r="D109" s="620">
        <v>225</v>
      </c>
      <c r="E109" s="596">
        <f t="shared" si="30"/>
        <v>14952</v>
      </c>
      <c r="F109" s="595">
        <f>'[8]Прилож 4 24 (2)'!$V$11</f>
        <v>0</v>
      </c>
      <c r="G109" s="595">
        <f>'Прилож 4 24'!W111</f>
        <v>0</v>
      </c>
      <c r="H109" s="595">
        <f>'Прилож 4 24'!X111</f>
        <v>14952</v>
      </c>
      <c r="I109" s="623"/>
      <c r="J109" s="595">
        <f>'Прилож 4 24'!Z111</f>
        <v>0</v>
      </c>
      <c r="K109" s="595">
        <f>'Прилож 4 24'!AA111</f>
        <v>0</v>
      </c>
      <c r="L109" s="595">
        <f>'Прилож 4 24'!AB111</f>
        <v>0</v>
      </c>
      <c r="M109" s="596">
        <f t="shared" si="19"/>
        <v>0</v>
      </c>
      <c r="N109" s="595"/>
      <c r="O109" s="595"/>
      <c r="P109" s="595"/>
      <c r="Q109" s="621"/>
      <c r="R109" s="595"/>
      <c r="S109" s="595"/>
      <c r="T109" s="595"/>
      <c r="U109" s="596">
        <f t="shared" si="31"/>
        <v>14952</v>
      </c>
      <c r="V109" s="595">
        <f t="shared" si="32"/>
        <v>0</v>
      </c>
      <c r="W109" s="595">
        <f t="shared" si="33"/>
        <v>0</v>
      </c>
      <c r="X109" s="595">
        <f t="shared" si="33"/>
        <v>14952</v>
      </c>
      <c r="Y109" s="628"/>
      <c r="Z109" s="595">
        <f t="shared" si="34"/>
        <v>0</v>
      </c>
      <c r="AA109" s="595">
        <f t="shared" si="34"/>
        <v>0</v>
      </c>
      <c r="AB109" s="595">
        <f t="shared" si="34"/>
        <v>0</v>
      </c>
      <c r="AC109" s="622"/>
    </row>
    <row r="110" spans="1:29" s="612" customFormat="1" ht="31.5" x14ac:dyDescent="0.2">
      <c r="A110" s="618" t="s">
        <v>1109</v>
      </c>
      <c r="B110" s="619" t="s">
        <v>747</v>
      </c>
      <c r="C110" s="620">
        <v>244</v>
      </c>
      <c r="D110" s="620">
        <v>225</v>
      </c>
      <c r="E110" s="596">
        <f t="shared" si="30"/>
        <v>45398.879999999997</v>
      </c>
      <c r="F110" s="595">
        <f>'[8]Прилож 4 24 (2)'!$V$11</f>
        <v>0</v>
      </c>
      <c r="G110" s="595">
        <f>'Прилож 4 24'!W112</f>
        <v>0</v>
      </c>
      <c r="H110" s="595">
        <f>'Прилож 4 24'!X112</f>
        <v>45398.879999999997</v>
      </c>
      <c r="I110" s="623"/>
      <c r="J110" s="595">
        <f>'Прилож 4 24'!Z112</f>
        <v>0</v>
      </c>
      <c r="K110" s="595">
        <f>'Прилож 4 24'!AA112</f>
        <v>0</v>
      </c>
      <c r="L110" s="595">
        <f>'Прилож 4 24'!AB112</f>
        <v>0</v>
      </c>
      <c r="M110" s="596">
        <f t="shared" si="19"/>
        <v>0</v>
      </c>
      <c r="N110" s="595"/>
      <c r="O110" s="595"/>
      <c r="P110" s="595"/>
      <c r="Q110" s="621"/>
      <c r="R110" s="595"/>
      <c r="S110" s="595"/>
      <c r="T110" s="595"/>
      <c r="U110" s="596">
        <f t="shared" si="31"/>
        <v>45398.879999999997</v>
      </c>
      <c r="V110" s="595"/>
      <c r="W110" s="595"/>
      <c r="X110" s="595">
        <f t="shared" si="33"/>
        <v>45398.879999999997</v>
      </c>
      <c r="Y110" s="621"/>
      <c r="Z110" s="595"/>
      <c r="AA110" s="595">
        <f>S110</f>
        <v>0</v>
      </c>
      <c r="AB110" s="595"/>
      <c r="AC110" s="622"/>
    </row>
    <row r="111" spans="1:29" ht="31.5" x14ac:dyDescent="0.2">
      <c r="A111" s="618" t="s">
        <v>157</v>
      </c>
      <c r="B111" s="619" t="s">
        <v>747</v>
      </c>
      <c r="C111" s="620">
        <v>244</v>
      </c>
      <c r="D111" s="620">
        <v>225</v>
      </c>
      <c r="E111" s="596">
        <f t="shared" si="30"/>
        <v>10000</v>
      </c>
      <c r="F111" s="595">
        <f>'[8]Прилож 4 24 (2)'!$V$11</f>
        <v>0</v>
      </c>
      <c r="G111" s="595">
        <f>'Прилож 4 24'!W113</f>
        <v>0</v>
      </c>
      <c r="H111" s="595">
        <f>'Прилож 4 24'!X113</f>
        <v>10000</v>
      </c>
      <c r="I111" s="623"/>
      <c r="J111" s="595">
        <f>'Прилож 4 24'!Z113</f>
        <v>0</v>
      </c>
      <c r="K111" s="595">
        <f>'Прилож 4 24'!AA113</f>
        <v>0</v>
      </c>
      <c r="L111" s="595">
        <f>'Прилож 4 24'!AB113</f>
        <v>0</v>
      </c>
      <c r="M111" s="596">
        <f t="shared" si="19"/>
        <v>0</v>
      </c>
      <c r="N111" s="595"/>
      <c r="O111" s="595"/>
      <c r="P111" s="595"/>
      <c r="Q111" s="621"/>
      <c r="R111" s="595"/>
      <c r="S111" s="595"/>
      <c r="T111" s="595"/>
      <c r="U111" s="596">
        <f t="shared" si="31"/>
        <v>10000</v>
      </c>
      <c r="V111" s="595">
        <f t="shared" ref="V111:V113" si="35">F111+N111</f>
        <v>0</v>
      </c>
      <c r="W111" s="595">
        <f t="shared" ref="W111:W113" si="36">O111+G111</f>
        <v>0</v>
      </c>
      <c r="X111" s="595">
        <f t="shared" si="33"/>
        <v>10000</v>
      </c>
      <c r="Y111" s="628"/>
      <c r="Z111" s="595">
        <f t="shared" ref="Z111:AB113" si="37">R111+J111</f>
        <v>0</v>
      </c>
      <c r="AA111" s="595">
        <f t="shared" si="37"/>
        <v>0</v>
      </c>
      <c r="AB111" s="595">
        <f t="shared" si="37"/>
        <v>0</v>
      </c>
      <c r="AC111" s="622"/>
    </row>
    <row r="112" spans="1:29" s="637" customFormat="1" x14ac:dyDescent="0.2">
      <c r="A112" s="632" t="s">
        <v>1143</v>
      </c>
      <c r="B112" s="633" t="s">
        <v>747</v>
      </c>
      <c r="C112" s="634">
        <v>244</v>
      </c>
      <c r="D112" s="634">
        <v>225</v>
      </c>
      <c r="E112" s="597">
        <f>SUM(E93:E111)</f>
        <v>262746.88</v>
      </c>
      <c r="F112" s="595">
        <f>'[8]Прилож 4 24 (2)'!$V$11</f>
        <v>0</v>
      </c>
      <c r="G112" s="595">
        <f>'Прилож 4 24'!W114</f>
        <v>0</v>
      </c>
      <c r="H112" s="595">
        <f>'Прилож 4 24'!X114</f>
        <v>262746.88</v>
      </c>
      <c r="I112" s="635"/>
      <c r="J112" s="595">
        <f>'Прилож 4 24'!Z114</f>
        <v>0</v>
      </c>
      <c r="K112" s="595">
        <f>'Прилож 4 24'!AA114</f>
        <v>0</v>
      </c>
      <c r="L112" s="595">
        <f>'Прилож 4 24'!AB114</f>
        <v>0</v>
      </c>
      <c r="M112" s="596">
        <f t="shared" si="19"/>
        <v>85015</v>
      </c>
      <c r="N112" s="597">
        <f>SUM(N93:N111)</f>
        <v>0</v>
      </c>
      <c r="O112" s="597">
        <f>SUM(O93:O111)</f>
        <v>0</v>
      </c>
      <c r="P112" s="597">
        <f>SUM(P93:P111)</f>
        <v>85015</v>
      </c>
      <c r="Q112" s="635"/>
      <c r="R112" s="597">
        <f t="shared" ref="R112:X112" si="38">SUM(R93:R111)</f>
        <v>0</v>
      </c>
      <c r="S112" s="597">
        <f t="shared" si="38"/>
        <v>0</v>
      </c>
      <c r="T112" s="597">
        <f t="shared" si="38"/>
        <v>0</v>
      </c>
      <c r="U112" s="597">
        <f t="shared" si="38"/>
        <v>347761.88</v>
      </c>
      <c r="V112" s="597">
        <f t="shared" si="38"/>
        <v>0</v>
      </c>
      <c r="W112" s="597">
        <f t="shared" si="38"/>
        <v>0</v>
      </c>
      <c r="X112" s="597">
        <f t="shared" si="38"/>
        <v>347761.88</v>
      </c>
      <c r="Y112" s="635"/>
      <c r="Z112" s="597">
        <f>SUM(Z93:Z111)</f>
        <v>0</v>
      </c>
      <c r="AA112" s="597">
        <f>SUM(AA93:AA111)</f>
        <v>0</v>
      </c>
      <c r="AB112" s="597">
        <f>SUM(AB93:AB111)</f>
        <v>0</v>
      </c>
      <c r="AC112" s="636"/>
    </row>
    <row r="113" spans="1:29" ht="78.75" x14ac:dyDescent="0.2">
      <c r="A113" s="618" t="s">
        <v>1188</v>
      </c>
      <c r="B113" s="619" t="s">
        <v>729</v>
      </c>
      <c r="C113" s="620">
        <v>244</v>
      </c>
      <c r="D113" s="620">
        <v>225</v>
      </c>
      <c r="E113" s="596">
        <f t="shared" si="30"/>
        <v>50400</v>
      </c>
      <c r="F113" s="595">
        <f>'[8]Прилож 4 24 (2)'!$V$11</f>
        <v>0</v>
      </c>
      <c r="G113" s="595">
        <f>'Прилож 4 24'!W115</f>
        <v>0</v>
      </c>
      <c r="H113" s="595">
        <f>'Прилож 4 24'!X115</f>
        <v>50400</v>
      </c>
      <c r="I113" s="623"/>
      <c r="J113" s="595">
        <f>'Прилож 4 24'!Z115</f>
        <v>0</v>
      </c>
      <c r="K113" s="595">
        <f>'Прилож 4 24'!AA115</f>
        <v>0</v>
      </c>
      <c r="L113" s="595">
        <f>'Прилож 4 24'!AB115</f>
        <v>0</v>
      </c>
      <c r="M113" s="596">
        <f t="shared" si="19"/>
        <v>0</v>
      </c>
      <c r="N113" s="595"/>
      <c r="O113" s="595"/>
      <c r="P113" s="595"/>
      <c r="Q113" s="621"/>
      <c r="R113" s="595"/>
      <c r="S113" s="595"/>
      <c r="T113" s="595"/>
      <c r="U113" s="596">
        <f t="shared" si="31"/>
        <v>50400</v>
      </c>
      <c r="V113" s="595">
        <f t="shared" si="35"/>
        <v>0</v>
      </c>
      <c r="W113" s="595">
        <f t="shared" si="36"/>
        <v>0</v>
      </c>
      <c r="X113" s="595">
        <f t="shared" si="33"/>
        <v>50400</v>
      </c>
      <c r="Y113" s="628"/>
      <c r="Z113" s="595">
        <f t="shared" si="37"/>
        <v>0</v>
      </c>
      <c r="AA113" s="595">
        <f t="shared" si="37"/>
        <v>0</v>
      </c>
      <c r="AB113" s="595">
        <f t="shared" si="37"/>
        <v>0</v>
      </c>
      <c r="AC113" s="622"/>
    </row>
    <row r="114" spans="1:29" x14ac:dyDescent="0.2">
      <c r="A114" s="618" t="s">
        <v>1193</v>
      </c>
      <c r="B114" s="619" t="s">
        <v>729</v>
      </c>
      <c r="C114" s="620">
        <v>244</v>
      </c>
      <c r="D114" s="620">
        <v>225</v>
      </c>
      <c r="E114" s="596">
        <f t="shared" si="30"/>
        <v>73152</v>
      </c>
      <c r="F114" s="595">
        <f>'[8]Прилож 4 24 (2)'!$V$11</f>
        <v>0</v>
      </c>
      <c r="G114" s="595">
        <f>'Прилож 4 24'!W116</f>
        <v>0</v>
      </c>
      <c r="H114" s="595">
        <f>'Прилож 4 24'!X116</f>
        <v>73152</v>
      </c>
      <c r="I114" s="623"/>
      <c r="J114" s="595">
        <f>'Прилож 4 24'!Z116</f>
        <v>0</v>
      </c>
      <c r="K114" s="595">
        <f>'Прилож 4 24'!AA116</f>
        <v>0</v>
      </c>
      <c r="L114" s="595">
        <f>'Прилож 4 24'!AB116</f>
        <v>0</v>
      </c>
      <c r="M114" s="596">
        <f t="shared" si="19"/>
        <v>0</v>
      </c>
      <c r="N114" s="595"/>
      <c r="O114" s="595"/>
      <c r="P114" s="595"/>
      <c r="Q114" s="621"/>
      <c r="R114" s="595"/>
      <c r="S114" s="595"/>
      <c r="T114" s="595"/>
      <c r="U114" s="596">
        <f t="shared" si="31"/>
        <v>73152</v>
      </c>
      <c r="V114" s="595">
        <f t="shared" si="32"/>
        <v>0</v>
      </c>
      <c r="W114" s="595">
        <f t="shared" si="33"/>
        <v>0</v>
      </c>
      <c r="X114" s="595">
        <f t="shared" si="33"/>
        <v>73152</v>
      </c>
      <c r="Y114" s="628"/>
      <c r="Z114" s="595">
        <f t="shared" si="34"/>
        <v>0</v>
      </c>
      <c r="AA114" s="595">
        <f t="shared" si="34"/>
        <v>0</v>
      </c>
      <c r="AB114" s="595">
        <f t="shared" si="34"/>
        <v>0</v>
      </c>
      <c r="AC114" s="622"/>
    </row>
    <row r="115" spans="1:29" ht="54" customHeight="1" x14ac:dyDescent="0.2">
      <c r="A115" s="618" t="s">
        <v>1192</v>
      </c>
      <c r="B115" s="619" t="s">
        <v>729</v>
      </c>
      <c r="C115" s="620">
        <v>244</v>
      </c>
      <c r="D115" s="620">
        <v>225</v>
      </c>
      <c r="E115" s="596">
        <f t="shared" si="30"/>
        <v>2844</v>
      </c>
      <c r="F115" s="595">
        <f>'[8]Прилож 4 24 (2)'!$V$11</f>
        <v>0</v>
      </c>
      <c r="G115" s="595">
        <f>'Прилож 4 24'!W117</f>
        <v>0</v>
      </c>
      <c r="H115" s="595">
        <f>'Прилож 4 24'!X117</f>
        <v>2844</v>
      </c>
      <c r="I115" s="623"/>
      <c r="J115" s="595">
        <f>'Прилож 4 24'!Z117</f>
        <v>0</v>
      </c>
      <c r="K115" s="595">
        <f>'Прилож 4 24'!AA117</f>
        <v>0</v>
      </c>
      <c r="L115" s="595">
        <f>'Прилож 4 24'!AB117</f>
        <v>0</v>
      </c>
      <c r="M115" s="596">
        <f t="shared" si="19"/>
        <v>1015</v>
      </c>
      <c r="N115" s="595"/>
      <c r="O115" s="595"/>
      <c r="P115" s="595">
        <v>1015</v>
      </c>
      <c r="Q115" s="621"/>
      <c r="R115" s="595"/>
      <c r="S115" s="595"/>
      <c r="T115" s="595"/>
      <c r="U115" s="596">
        <f t="shared" si="31"/>
        <v>3859</v>
      </c>
      <c r="V115" s="595">
        <f t="shared" si="32"/>
        <v>0</v>
      </c>
      <c r="W115" s="595">
        <f t="shared" si="33"/>
        <v>0</v>
      </c>
      <c r="X115" s="595">
        <f t="shared" si="33"/>
        <v>3859</v>
      </c>
      <c r="Y115" s="628"/>
      <c r="Z115" s="595">
        <f t="shared" si="34"/>
        <v>0</v>
      </c>
      <c r="AA115" s="595">
        <f t="shared" si="34"/>
        <v>0</v>
      </c>
      <c r="AB115" s="595">
        <f t="shared" si="34"/>
        <v>0</v>
      </c>
      <c r="AC115" s="622" t="s">
        <v>1110</v>
      </c>
    </row>
    <row r="116" spans="1:29" ht="31.5" x14ac:dyDescent="0.2">
      <c r="A116" s="618" t="s">
        <v>1186</v>
      </c>
      <c r="B116" s="619" t="s">
        <v>729</v>
      </c>
      <c r="C116" s="620">
        <v>244</v>
      </c>
      <c r="D116" s="620">
        <v>225</v>
      </c>
      <c r="E116" s="596">
        <f t="shared" si="30"/>
        <v>23457.360000000001</v>
      </c>
      <c r="F116" s="595">
        <f>'[8]Прилож 4 24 (2)'!$V$11</f>
        <v>0</v>
      </c>
      <c r="G116" s="595">
        <f>'Прилож 4 24'!W118</f>
        <v>0</v>
      </c>
      <c r="H116" s="595">
        <f>'Прилож 4 24'!X118</f>
        <v>23457.360000000001</v>
      </c>
      <c r="I116" s="623"/>
      <c r="J116" s="595">
        <f>'Прилож 4 24'!Z118</f>
        <v>0</v>
      </c>
      <c r="K116" s="595">
        <f>'Прилож 4 24'!AA118</f>
        <v>0</v>
      </c>
      <c r="L116" s="595">
        <f>'Прилож 4 24'!AB118</f>
        <v>0</v>
      </c>
      <c r="M116" s="596">
        <f t="shared" si="19"/>
        <v>0</v>
      </c>
      <c r="N116" s="595"/>
      <c r="O116" s="595"/>
      <c r="P116" s="595"/>
      <c r="Q116" s="621"/>
      <c r="R116" s="595"/>
      <c r="S116" s="595"/>
      <c r="T116" s="595"/>
      <c r="U116" s="596">
        <f t="shared" si="31"/>
        <v>23457.360000000001</v>
      </c>
      <c r="V116" s="595">
        <f t="shared" si="32"/>
        <v>0</v>
      </c>
      <c r="W116" s="595">
        <f t="shared" si="33"/>
        <v>0</v>
      </c>
      <c r="X116" s="595">
        <f t="shared" si="33"/>
        <v>23457.360000000001</v>
      </c>
      <c r="Y116" s="628"/>
      <c r="Z116" s="595">
        <f t="shared" si="34"/>
        <v>0</v>
      </c>
      <c r="AA116" s="595">
        <f t="shared" si="34"/>
        <v>0</v>
      </c>
      <c r="AB116" s="595">
        <f t="shared" si="34"/>
        <v>0</v>
      </c>
      <c r="AC116" s="622"/>
    </row>
    <row r="117" spans="1:29" ht="55.5" customHeight="1" x14ac:dyDescent="0.2">
      <c r="A117" s="618" t="s">
        <v>148</v>
      </c>
      <c r="B117" s="619" t="s">
        <v>729</v>
      </c>
      <c r="C117" s="620">
        <v>244</v>
      </c>
      <c r="D117" s="620">
        <v>225</v>
      </c>
      <c r="E117" s="596">
        <f t="shared" si="30"/>
        <v>4000</v>
      </c>
      <c r="F117" s="595">
        <f>'[8]Прилож 4 24 (2)'!$V$11</f>
        <v>0</v>
      </c>
      <c r="G117" s="595">
        <f>'Прилож 4 24'!W119</f>
        <v>0</v>
      </c>
      <c r="H117" s="595">
        <f>'Прилож 4 24'!X119</f>
        <v>4000</v>
      </c>
      <c r="I117" s="623"/>
      <c r="J117" s="595">
        <f>'Прилож 4 24'!Z119</f>
        <v>0</v>
      </c>
      <c r="K117" s="595">
        <f>'Прилож 4 24'!AA119</f>
        <v>0</v>
      </c>
      <c r="L117" s="595">
        <f>'Прилож 4 24'!AB119</f>
        <v>0</v>
      </c>
      <c r="M117" s="596">
        <f t="shared" si="19"/>
        <v>0</v>
      </c>
      <c r="N117" s="595"/>
      <c r="O117" s="595"/>
      <c r="P117" s="595"/>
      <c r="Q117" s="621"/>
      <c r="R117" s="595"/>
      <c r="S117" s="595"/>
      <c r="T117" s="595"/>
      <c r="U117" s="596">
        <f t="shared" si="31"/>
        <v>4000</v>
      </c>
      <c r="V117" s="595">
        <f t="shared" si="32"/>
        <v>0</v>
      </c>
      <c r="W117" s="595">
        <f t="shared" si="33"/>
        <v>0</v>
      </c>
      <c r="X117" s="595">
        <f t="shared" si="33"/>
        <v>4000</v>
      </c>
      <c r="Y117" s="628"/>
      <c r="Z117" s="595">
        <f t="shared" si="34"/>
        <v>0</v>
      </c>
      <c r="AA117" s="595">
        <f t="shared" si="34"/>
        <v>0</v>
      </c>
      <c r="AB117" s="595">
        <f t="shared" si="34"/>
        <v>0</v>
      </c>
      <c r="AC117" s="622"/>
    </row>
    <row r="118" spans="1:29" x14ac:dyDescent="0.2">
      <c r="A118" s="618" t="s">
        <v>627</v>
      </c>
      <c r="B118" s="619" t="s">
        <v>729</v>
      </c>
      <c r="C118" s="620">
        <v>244</v>
      </c>
      <c r="D118" s="620">
        <v>225</v>
      </c>
      <c r="E118" s="596">
        <f t="shared" si="30"/>
        <v>126092.16</v>
      </c>
      <c r="F118" s="595">
        <f>'[8]Прилож 4 24 (2)'!$V$11</f>
        <v>0</v>
      </c>
      <c r="G118" s="595">
        <f>'Прилож 4 24'!W120</f>
        <v>0</v>
      </c>
      <c r="H118" s="595">
        <f>'Прилож 4 24'!X120</f>
        <v>126092.16</v>
      </c>
      <c r="I118" s="623"/>
      <c r="J118" s="595">
        <f>'Прилож 4 24'!Z120</f>
        <v>0</v>
      </c>
      <c r="K118" s="595">
        <f>'Прилож 4 24'!AA120</f>
        <v>0</v>
      </c>
      <c r="L118" s="595">
        <f>'Прилож 4 24'!AB120</f>
        <v>0</v>
      </c>
      <c r="M118" s="596">
        <f t="shared" si="19"/>
        <v>0</v>
      </c>
      <c r="N118" s="595"/>
      <c r="O118" s="595"/>
      <c r="P118" s="595"/>
      <c r="Q118" s="621"/>
      <c r="R118" s="595"/>
      <c r="S118" s="595"/>
      <c r="T118" s="595"/>
      <c r="U118" s="596">
        <f t="shared" si="31"/>
        <v>126092.16</v>
      </c>
      <c r="V118" s="595">
        <f t="shared" si="32"/>
        <v>0</v>
      </c>
      <c r="W118" s="595">
        <f t="shared" si="33"/>
        <v>0</v>
      </c>
      <c r="X118" s="595">
        <f t="shared" si="33"/>
        <v>126092.16</v>
      </c>
      <c r="Y118" s="628"/>
      <c r="Z118" s="595">
        <f t="shared" si="34"/>
        <v>0</v>
      </c>
      <c r="AA118" s="595">
        <f t="shared" si="34"/>
        <v>0</v>
      </c>
      <c r="AB118" s="595">
        <f t="shared" si="34"/>
        <v>0</v>
      </c>
      <c r="AC118" s="622"/>
    </row>
    <row r="119" spans="1:29" ht="31.5" x14ac:dyDescent="0.2">
      <c r="A119" s="618" t="s">
        <v>759</v>
      </c>
      <c r="B119" s="619" t="s">
        <v>729</v>
      </c>
      <c r="C119" s="620">
        <v>244</v>
      </c>
      <c r="D119" s="620">
        <v>225</v>
      </c>
      <c r="E119" s="596">
        <f t="shared" si="30"/>
        <v>12000</v>
      </c>
      <c r="F119" s="595">
        <f>'[8]Прилож 4 24 (2)'!$V$11</f>
        <v>0</v>
      </c>
      <c r="G119" s="595">
        <f>'Прилож 4 24'!W121</f>
        <v>0</v>
      </c>
      <c r="H119" s="595">
        <f>'Прилож 4 24'!X121</f>
        <v>12000</v>
      </c>
      <c r="I119" s="623"/>
      <c r="J119" s="595">
        <f>'Прилож 4 24'!Z121</f>
        <v>0</v>
      </c>
      <c r="K119" s="595">
        <f>'Прилож 4 24'!AA121</f>
        <v>0</v>
      </c>
      <c r="L119" s="595">
        <f>'Прилож 4 24'!AB121</f>
        <v>0</v>
      </c>
      <c r="M119" s="596">
        <f t="shared" si="19"/>
        <v>0</v>
      </c>
      <c r="N119" s="595"/>
      <c r="O119" s="595"/>
      <c r="P119" s="595"/>
      <c r="Q119" s="621"/>
      <c r="R119" s="595"/>
      <c r="S119" s="595"/>
      <c r="T119" s="595"/>
      <c r="U119" s="596">
        <f t="shared" si="31"/>
        <v>12000</v>
      </c>
      <c r="V119" s="595">
        <f t="shared" si="32"/>
        <v>0</v>
      </c>
      <c r="W119" s="595">
        <f t="shared" si="33"/>
        <v>0</v>
      </c>
      <c r="X119" s="595">
        <f t="shared" si="33"/>
        <v>12000</v>
      </c>
      <c r="Y119" s="628"/>
      <c r="Z119" s="595">
        <f t="shared" si="34"/>
        <v>0</v>
      </c>
      <c r="AA119" s="595">
        <f t="shared" si="34"/>
        <v>0</v>
      </c>
      <c r="AB119" s="595">
        <f t="shared" si="34"/>
        <v>0</v>
      </c>
      <c r="AC119" s="622"/>
    </row>
    <row r="120" spans="1:29" ht="36" customHeight="1" x14ac:dyDescent="0.2">
      <c r="A120" s="618" t="s">
        <v>143</v>
      </c>
      <c r="B120" s="619" t="s">
        <v>729</v>
      </c>
      <c r="C120" s="620">
        <v>244</v>
      </c>
      <c r="D120" s="620">
        <v>225</v>
      </c>
      <c r="E120" s="596">
        <f t="shared" si="30"/>
        <v>36219.360000000001</v>
      </c>
      <c r="F120" s="595">
        <f>'[8]Прилож 4 24 (2)'!$V$11</f>
        <v>0</v>
      </c>
      <c r="G120" s="595">
        <f>'Прилож 4 24'!W122</f>
        <v>0</v>
      </c>
      <c r="H120" s="595">
        <f>'Прилож 4 24'!X122</f>
        <v>36219.360000000001</v>
      </c>
      <c r="I120" s="623"/>
      <c r="J120" s="595">
        <f>'Прилож 4 24'!Z122</f>
        <v>0</v>
      </c>
      <c r="K120" s="595">
        <f>'Прилож 4 24'!AA122</f>
        <v>0</v>
      </c>
      <c r="L120" s="595">
        <f>'Прилож 4 24'!AB122</f>
        <v>0</v>
      </c>
      <c r="M120" s="596">
        <f t="shared" si="19"/>
        <v>0</v>
      </c>
      <c r="N120" s="595"/>
      <c r="O120" s="595"/>
      <c r="P120" s="595"/>
      <c r="Q120" s="621"/>
      <c r="R120" s="595"/>
      <c r="S120" s="595"/>
      <c r="T120" s="595"/>
      <c r="U120" s="596">
        <f t="shared" si="31"/>
        <v>36219.360000000001</v>
      </c>
      <c r="V120" s="595">
        <f t="shared" si="32"/>
        <v>0</v>
      </c>
      <c r="W120" s="595">
        <f t="shared" si="33"/>
        <v>0</v>
      </c>
      <c r="X120" s="595">
        <f t="shared" si="33"/>
        <v>36219.360000000001</v>
      </c>
      <c r="Y120" s="628"/>
      <c r="Z120" s="595">
        <f t="shared" si="34"/>
        <v>0</v>
      </c>
      <c r="AA120" s="595">
        <f t="shared" si="34"/>
        <v>0</v>
      </c>
      <c r="AB120" s="595">
        <f t="shared" si="34"/>
        <v>0</v>
      </c>
      <c r="AC120" s="622"/>
    </row>
    <row r="121" spans="1:29" ht="46.5" customHeight="1" x14ac:dyDescent="0.2">
      <c r="A121" s="618" t="s">
        <v>635</v>
      </c>
      <c r="B121" s="619" t="s">
        <v>729</v>
      </c>
      <c r="C121" s="620">
        <v>244</v>
      </c>
      <c r="D121" s="620">
        <v>225</v>
      </c>
      <c r="E121" s="596">
        <f t="shared" si="30"/>
        <v>70000</v>
      </c>
      <c r="F121" s="595">
        <f>'[8]Прилож 4 24 (2)'!$V$11</f>
        <v>0</v>
      </c>
      <c r="G121" s="595">
        <f>'Прилож 4 24'!W123</f>
        <v>0</v>
      </c>
      <c r="H121" s="595">
        <f>'Прилож 4 24'!X123</f>
        <v>70000</v>
      </c>
      <c r="I121" s="623"/>
      <c r="J121" s="595">
        <f>'Прилож 4 24'!Z123</f>
        <v>0</v>
      </c>
      <c r="K121" s="595">
        <f>'Прилож 4 24'!AA123</f>
        <v>0</v>
      </c>
      <c r="L121" s="595">
        <f>'Прилож 4 24'!AB123</f>
        <v>0</v>
      </c>
      <c r="M121" s="596">
        <f t="shared" si="19"/>
        <v>0</v>
      </c>
      <c r="N121" s="595"/>
      <c r="O121" s="595"/>
      <c r="P121" s="595"/>
      <c r="Q121" s="621"/>
      <c r="R121" s="595"/>
      <c r="S121" s="595"/>
      <c r="T121" s="595"/>
      <c r="U121" s="596">
        <f t="shared" si="31"/>
        <v>70000</v>
      </c>
      <c r="V121" s="595">
        <f t="shared" si="32"/>
        <v>0</v>
      </c>
      <c r="W121" s="595">
        <f t="shared" si="33"/>
        <v>0</v>
      </c>
      <c r="X121" s="595">
        <f t="shared" si="33"/>
        <v>70000</v>
      </c>
      <c r="Y121" s="628"/>
      <c r="Z121" s="595">
        <f t="shared" si="34"/>
        <v>0</v>
      </c>
      <c r="AA121" s="595">
        <f t="shared" si="34"/>
        <v>0</v>
      </c>
      <c r="AB121" s="595">
        <f t="shared" si="34"/>
        <v>0</v>
      </c>
      <c r="AC121" s="622"/>
    </row>
    <row r="122" spans="1:29" ht="31.5" x14ac:dyDescent="0.2">
      <c r="A122" s="618" t="s">
        <v>951</v>
      </c>
      <c r="B122" s="619" t="s">
        <v>729</v>
      </c>
      <c r="C122" s="620">
        <v>244</v>
      </c>
      <c r="D122" s="620">
        <v>225</v>
      </c>
      <c r="E122" s="596">
        <f t="shared" si="30"/>
        <v>10000</v>
      </c>
      <c r="F122" s="595">
        <f>'[8]Прилож 4 24 (2)'!$V$11</f>
        <v>0</v>
      </c>
      <c r="G122" s="595">
        <f>'Прилож 4 24'!W124</f>
        <v>0</v>
      </c>
      <c r="H122" s="595">
        <f>'Прилож 4 24'!X124</f>
        <v>10000</v>
      </c>
      <c r="I122" s="623"/>
      <c r="J122" s="595">
        <f>'Прилож 4 24'!Z124</f>
        <v>0</v>
      </c>
      <c r="K122" s="595">
        <f>'Прилож 4 24'!AA124</f>
        <v>0</v>
      </c>
      <c r="L122" s="595">
        <f>'Прилож 4 24'!AB124</f>
        <v>0</v>
      </c>
      <c r="M122" s="596">
        <f t="shared" si="19"/>
        <v>0</v>
      </c>
      <c r="N122" s="595"/>
      <c r="O122" s="595"/>
      <c r="P122" s="595"/>
      <c r="Q122" s="621"/>
      <c r="R122" s="595"/>
      <c r="S122" s="595"/>
      <c r="T122" s="595"/>
      <c r="U122" s="596">
        <f t="shared" si="31"/>
        <v>10000</v>
      </c>
      <c r="V122" s="595">
        <f t="shared" si="32"/>
        <v>0</v>
      </c>
      <c r="W122" s="595">
        <f t="shared" si="33"/>
        <v>0</v>
      </c>
      <c r="X122" s="595">
        <f t="shared" si="33"/>
        <v>10000</v>
      </c>
      <c r="Y122" s="628"/>
      <c r="Z122" s="595">
        <f t="shared" si="34"/>
        <v>0</v>
      </c>
      <c r="AA122" s="595">
        <f t="shared" si="34"/>
        <v>0</v>
      </c>
      <c r="AB122" s="595">
        <f t="shared" si="34"/>
        <v>0</v>
      </c>
      <c r="AC122" s="622"/>
    </row>
    <row r="123" spans="1:29" x14ac:dyDescent="0.2">
      <c r="A123" s="618" t="s">
        <v>150</v>
      </c>
      <c r="B123" s="619" t="s">
        <v>729</v>
      </c>
      <c r="C123" s="620">
        <v>244</v>
      </c>
      <c r="D123" s="620">
        <v>225</v>
      </c>
      <c r="E123" s="596">
        <f t="shared" si="30"/>
        <v>4500</v>
      </c>
      <c r="F123" s="595">
        <f>'[8]Прилож 4 24 (2)'!$V$11</f>
        <v>0</v>
      </c>
      <c r="G123" s="595">
        <f>'Прилож 4 24'!W125</f>
        <v>0</v>
      </c>
      <c r="H123" s="595">
        <f>'Прилож 4 24'!X125</f>
        <v>4500</v>
      </c>
      <c r="I123" s="623"/>
      <c r="J123" s="595">
        <f>'Прилож 4 24'!Z125</f>
        <v>0</v>
      </c>
      <c r="K123" s="595">
        <f>'Прилож 4 24'!AA125</f>
        <v>0</v>
      </c>
      <c r="L123" s="595">
        <f>'Прилож 4 24'!AB125</f>
        <v>0</v>
      </c>
      <c r="M123" s="596">
        <f t="shared" si="19"/>
        <v>0</v>
      </c>
      <c r="N123" s="595"/>
      <c r="O123" s="595"/>
      <c r="P123" s="595"/>
      <c r="Q123" s="621"/>
      <c r="R123" s="595"/>
      <c r="S123" s="595"/>
      <c r="T123" s="595"/>
      <c r="U123" s="596">
        <f t="shared" si="31"/>
        <v>4500</v>
      </c>
      <c r="V123" s="595">
        <f t="shared" si="32"/>
        <v>0</v>
      </c>
      <c r="W123" s="595">
        <f t="shared" si="33"/>
        <v>0</v>
      </c>
      <c r="X123" s="595">
        <f t="shared" si="33"/>
        <v>4500</v>
      </c>
      <c r="Y123" s="628"/>
      <c r="Z123" s="595">
        <f t="shared" si="34"/>
        <v>0</v>
      </c>
      <c r="AA123" s="595">
        <f t="shared" si="34"/>
        <v>0</v>
      </c>
      <c r="AB123" s="595">
        <f t="shared" si="34"/>
        <v>0</v>
      </c>
      <c r="AC123" s="622"/>
    </row>
    <row r="124" spans="1:29" ht="31.5" x14ac:dyDescent="0.2">
      <c r="A124" s="618" t="s">
        <v>952</v>
      </c>
      <c r="B124" s="619" t="s">
        <v>729</v>
      </c>
      <c r="C124" s="620">
        <v>244</v>
      </c>
      <c r="D124" s="620">
        <v>225</v>
      </c>
      <c r="E124" s="596">
        <f t="shared" si="30"/>
        <v>20000</v>
      </c>
      <c r="F124" s="595">
        <f>'[8]Прилож 4 24 (2)'!$V$11</f>
        <v>0</v>
      </c>
      <c r="G124" s="595">
        <f>'Прилож 4 24'!W126</f>
        <v>0</v>
      </c>
      <c r="H124" s="595">
        <f>'Прилож 4 24'!X126</f>
        <v>20000</v>
      </c>
      <c r="I124" s="623"/>
      <c r="J124" s="595">
        <f>'Прилож 4 24'!Z126</f>
        <v>0</v>
      </c>
      <c r="K124" s="595">
        <f>'Прилож 4 24'!AA126</f>
        <v>0</v>
      </c>
      <c r="L124" s="595">
        <f>'Прилож 4 24'!AB126</f>
        <v>0</v>
      </c>
      <c r="M124" s="596">
        <f t="shared" si="19"/>
        <v>0</v>
      </c>
      <c r="N124" s="595"/>
      <c r="O124" s="595"/>
      <c r="P124" s="595"/>
      <c r="Q124" s="621"/>
      <c r="R124" s="595"/>
      <c r="S124" s="595"/>
      <c r="T124" s="595"/>
      <c r="U124" s="596">
        <f t="shared" si="31"/>
        <v>20000</v>
      </c>
      <c r="V124" s="595">
        <f t="shared" si="32"/>
        <v>0</v>
      </c>
      <c r="W124" s="595">
        <f t="shared" si="33"/>
        <v>0</v>
      </c>
      <c r="X124" s="595">
        <f t="shared" si="33"/>
        <v>20000</v>
      </c>
      <c r="Y124" s="628"/>
      <c r="Z124" s="595">
        <f t="shared" si="34"/>
        <v>0</v>
      </c>
      <c r="AA124" s="595">
        <f t="shared" si="34"/>
        <v>0</v>
      </c>
      <c r="AB124" s="595">
        <f t="shared" si="34"/>
        <v>0</v>
      </c>
      <c r="AC124" s="622"/>
    </row>
    <row r="125" spans="1:29" ht="45.75" customHeight="1" x14ac:dyDescent="0.2">
      <c r="A125" s="618" t="s">
        <v>149</v>
      </c>
      <c r="B125" s="619" t="s">
        <v>729</v>
      </c>
      <c r="C125" s="620">
        <v>244</v>
      </c>
      <c r="D125" s="620">
        <v>225</v>
      </c>
      <c r="E125" s="596">
        <f t="shared" si="30"/>
        <v>2652</v>
      </c>
      <c r="F125" s="595">
        <f>'[8]Прилож 4 24 (2)'!$V$11</f>
        <v>0</v>
      </c>
      <c r="G125" s="595">
        <f>'Прилож 4 24'!W127</f>
        <v>0</v>
      </c>
      <c r="H125" s="595">
        <f>'Прилож 4 24'!X127</f>
        <v>2652</v>
      </c>
      <c r="I125" s="623"/>
      <c r="J125" s="595">
        <f>'Прилож 4 24'!Z127</f>
        <v>0</v>
      </c>
      <c r="K125" s="595">
        <f>'Прилож 4 24'!AA127</f>
        <v>0</v>
      </c>
      <c r="L125" s="595">
        <f>'Прилож 4 24'!AB127</f>
        <v>0</v>
      </c>
      <c r="M125" s="596">
        <f t="shared" si="19"/>
        <v>0</v>
      </c>
      <c r="N125" s="595"/>
      <c r="O125" s="595"/>
      <c r="P125" s="595"/>
      <c r="Q125" s="621"/>
      <c r="R125" s="595"/>
      <c r="S125" s="595"/>
      <c r="T125" s="595"/>
      <c r="U125" s="596">
        <f t="shared" si="31"/>
        <v>2652</v>
      </c>
      <c r="V125" s="595">
        <f t="shared" si="32"/>
        <v>0</v>
      </c>
      <c r="W125" s="595">
        <f t="shared" si="33"/>
        <v>0</v>
      </c>
      <c r="X125" s="595">
        <f t="shared" si="33"/>
        <v>2652</v>
      </c>
      <c r="Y125" s="628"/>
      <c r="Z125" s="595">
        <f t="shared" si="34"/>
        <v>0</v>
      </c>
      <c r="AA125" s="595">
        <f t="shared" si="34"/>
        <v>0</v>
      </c>
      <c r="AB125" s="595">
        <f t="shared" si="34"/>
        <v>0</v>
      </c>
      <c r="AC125" s="622"/>
    </row>
    <row r="126" spans="1:29" ht="31.5" x14ac:dyDescent="0.2">
      <c r="A126" s="618" t="s">
        <v>644</v>
      </c>
      <c r="B126" s="619" t="s">
        <v>729</v>
      </c>
      <c r="C126" s="620">
        <v>244</v>
      </c>
      <c r="D126" s="620">
        <v>225</v>
      </c>
      <c r="E126" s="596">
        <f t="shared" si="30"/>
        <v>15000</v>
      </c>
      <c r="F126" s="595">
        <f>'[8]Прилож 4 24 (2)'!$V$11</f>
        <v>0</v>
      </c>
      <c r="G126" s="595">
        <f>'Прилож 4 24'!W128</f>
        <v>0</v>
      </c>
      <c r="H126" s="595">
        <f>'Прилож 4 24'!X128</f>
        <v>15000</v>
      </c>
      <c r="I126" s="623"/>
      <c r="J126" s="595">
        <f>'Прилож 4 24'!Z128</f>
        <v>0</v>
      </c>
      <c r="K126" s="595">
        <f>'Прилож 4 24'!AA128</f>
        <v>0</v>
      </c>
      <c r="L126" s="595">
        <f>'Прилож 4 24'!AB128</f>
        <v>0</v>
      </c>
      <c r="M126" s="596">
        <f t="shared" si="19"/>
        <v>0</v>
      </c>
      <c r="N126" s="595"/>
      <c r="O126" s="595"/>
      <c r="P126" s="595"/>
      <c r="Q126" s="621"/>
      <c r="R126" s="595"/>
      <c r="S126" s="595"/>
      <c r="T126" s="595"/>
      <c r="U126" s="596">
        <f t="shared" si="31"/>
        <v>15000</v>
      </c>
      <c r="V126" s="595">
        <f t="shared" si="32"/>
        <v>0</v>
      </c>
      <c r="W126" s="595">
        <f t="shared" si="33"/>
        <v>0</v>
      </c>
      <c r="X126" s="595">
        <f t="shared" si="33"/>
        <v>15000</v>
      </c>
      <c r="Y126" s="628"/>
      <c r="Z126" s="595">
        <f t="shared" si="34"/>
        <v>0</v>
      </c>
      <c r="AA126" s="595">
        <f t="shared" si="34"/>
        <v>0</v>
      </c>
      <c r="AB126" s="595">
        <f t="shared" si="34"/>
        <v>0</v>
      </c>
      <c r="AC126" s="622"/>
    </row>
    <row r="127" spans="1:29" ht="31.5" x14ac:dyDescent="0.2">
      <c r="A127" s="618" t="s">
        <v>587</v>
      </c>
      <c r="B127" s="619" t="s">
        <v>729</v>
      </c>
      <c r="C127" s="620">
        <v>244</v>
      </c>
      <c r="D127" s="620">
        <v>225</v>
      </c>
      <c r="E127" s="596">
        <f t="shared" si="30"/>
        <v>15624</v>
      </c>
      <c r="F127" s="595">
        <f>'[8]Прилож 4 24 (2)'!$V$11</f>
        <v>0</v>
      </c>
      <c r="G127" s="595">
        <f>'Прилож 4 24'!W129</f>
        <v>0</v>
      </c>
      <c r="H127" s="595">
        <f>'Прилож 4 24'!X129</f>
        <v>15624</v>
      </c>
      <c r="I127" s="623"/>
      <c r="J127" s="595">
        <f>'Прилож 4 24'!Z129</f>
        <v>0</v>
      </c>
      <c r="K127" s="595">
        <f>'Прилож 4 24'!AA129</f>
        <v>0</v>
      </c>
      <c r="L127" s="595">
        <f>'Прилож 4 24'!AB129</f>
        <v>0</v>
      </c>
      <c r="M127" s="596">
        <f t="shared" si="19"/>
        <v>0</v>
      </c>
      <c r="N127" s="595"/>
      <c r="O127" s="595"/>
      <c r="P127" s="595"/>
      <c r="Q127" s="621"/>
      <c r="R127" s="595"/>
      <c r="S127" s="595"/>
      <c r="T127" s="595"/>
      <c r="U127" s="596">
        <f t="shared" si="31"/>
        <v>15624</v>
      </c>
      <c r="V127" s="595">
        <f t="shared" si="32"/>
        <v>0</v>
      </c>
      <c r="W127" s="595">
        <f t="shared" si="33"/>
        <v>0</v>
      </c>
      <c r="X127" s="595">
        <f t="shared" si="33"/>
        <v>15624</v>
      </c>
      <c r="Y127" s="628"/>
      <c r="Z127" s="595">
        <f t="shared" si="34"/>
        <v>0</v>
      </c>
      <c r="AA127" s="595">
        <f t="shared" si="34"/>
        <v>0</v>
      </c>
      <c r="AB127" s="595">
        <f t="shared" si="34"/>
        <v>0</v>
      </c>
      <c r="AC127" s="622"/>
    </row>
    <row r="128" spans="1:29" ht="31.5" x14ac:dyDescent="0.2">
      <c r="A128" s="618" t="s">
        <v>1208</v>
      </c>
      <c r="B128" s="619" t="s">
        <v>729</v>
      </c>
      <c r="C128" s="620">
        <v>244</v>
      </c>
      <c r="D128" s="620">
        <v>225</v>
      </c>
      <c r="E128" s="596">
        <f t="shared" si="30"/>
        <v>17500</v>
      </c>
      <c r="F128" s="595">
        <f>'[8]Прилож 4 24 (2)'!$V$11</f>
        <v>0</v>
      </c>
      <c r="G128" s="595">
        <f>'Прилож 4 24'!W130</f>
        <v>0</v>
      </c>
      <c r="H128" s="595">
        <f>'Прилож 4 24'!X130</f>
        <v>17500</v>
      </c>
      <c r="I128" s="623"/>
      <c r="J128" s="595">
        <f>'Прилож 4 24'!Z130</f>
        <v>0</v>
      </c>
      <c r="K128" s="595">
        <f>'Прилож 4 24'!AA130</f>
        <v>0</v>
      </c>
      <c r="L128" s="595">
        <f>'Прилож 4 24'!AB130</f>
        <v>0</v>
      </c>
      <c r="M128" s="596">
        <f t="shared" si="19"/>
        <v>0</v>
      </c>
      <c r="N128" s="595"/>
      <c r="O128" s="595"/>
      <c r="P128" s="595"/>
      <c r="Q128" s="621"/>
      <c r="R128" s="595"/>
      <c r="S128" s="595"/>
      <c r="T128" s="595"/>
      <c r="U128" s="596">
        <f t="shared" si="31"/>
        <v>17500</v>
      </c>
      <c r="V128" s="595"/>
      <c r="W128" s="595"/>
      <c r="X128" s="595">
        <f t="shared" si="33"/>
        <v>17500</v>
      </c>
      <c r="Y128" s="628"/>
      <c r="Z128" s="595"/>
      <c r="AA128" s="595"/>
      <c r="AB128" s="595"/>
      <c r="AC128" s="622"/>
    </row>
    <row r="129" spans="1:29" ht="31.5" x14ac:dyDescent="0.2">
      <c r="A129" s="618" t="s">
        <v>157</v>
      </c>
      <c r="B129" s="619" t="s">
        <v>729</v>
      </c>
      <c r="C129" s="620">
        <v>244</v>
      </c>
      <c r="D129" s="620">
        <v>225</v>
      </c>
      <c r="E129" s="596">
        <f t="shared" si="30"/>
        <v>10000</v>
      </c>
      <c r="F129" s="595">
        <f>'[8]Прилож 4 24 (2)'!$V$11</f>
        <v>0</v>
      </c>
      <c r="G129" s="595">
        <f>'Прилож 4 24'!W131</f>
        <v>0</v>
      </c>
      <c r="H129" s="595">
        <f>'Прилож 4 24'!X131</f>
        <v>10000</v>
      </c>
      <c r="I129" s="623"/>
      <c r="J129" s="595">
        <f>'Прилож 4 24'!Z131</f>
        <v>0</v>
      </c>
      <c r="K129" s="595">
        <f>'Прилож 4 24'!AA131</f>
        <v>0</v>
      </c>
      <c r="L129" s="595">
        <f>'Прилож 4 24'!AB131</f>
        <v>0</v>
      </c>
      <c r="M129" s="596">
        <f t="shared" si="19"/>
        <v>0</v>
      </c>
      <c r="N129" s="595"/>
      <c r="O129" s="595"/>
      <c r="P129" s="595"/>
      <c r="Q129" s="621"/>
      <c r="R129" s="595"/>
      <c r="S129" s="595"/>
      <c r="T129" s="595"/>
      <c r="U129" s="596">
        <f t="shared" si="31"/>
        <v>10000</v>
      </c>
      <c r="V129" s="595">
        <f t="shared" ref="V129:V130" si="39">F129+N129</f>
        <v>0</v>
      </c>
      <c r="W129" s="595">
        <f t="shared" ref="W129:W130" si="40">O129+G129</f>
        <v>0</v>
      </c>
      <c r="X129" s="595">
        <f t="shared" si="33"/>
        <v>10000</v>
      </c>
      <c r="Y129" s="628"/>
      <c r="Z129" s="595">
        <f t="shared" ref="Z129:AB130" si="41">R129+J129</f>
        <v>0</v>
      </c>
      <c r="AA129" s="595">
        <f t="shared" si="41"/>
        <v>0</v>
      </c>
      <c r="AB129" s="595">
        <f t="shared" si="41"/>
        <v>0</v>
      </c>
      <c r="AC129" s="622"/>
    </row>
    <row r="130" spans="1:29" x14ac:dyDescent="0.2">
      <c r="A130" s="618" t="s">
        <v>583</v>
      </c>
      <c r="B130" s="619" t="s">
        <v>729</v>
      </c>
      <c r="C130" s="620">
        <v>244</v>
      </c>
      <c r="D130" s="620">
        <v>225</v>
      </c>
      <c r="E130" s="596">
        <f t="shared" si="30"/>
        <v>5000</v>
      </c>
      <c r="F130" s="595">
        <f>'[8]Прилож 4 24 (2)'!$V$11</f>
        <v>0</v>
      </c>
      <c r="G130" s="595">
        <f>'Прилож 4 24'!W132</f>
        <v>0</v>
      </c>
      <c r="H130" s="595">
        <f>'Прилож 4 24'!X132</f>
        <v>5000</v>
      </c>
      <c r="I130" s="623"/>
      <c r="J130" s="595">
        <f>'Прилож 4 24'!Z132</f>
        <v>0</v>
      </c>
      <c r="K130" s="595">
        <f>'Прилож 4 24'!AA132</f>
        <v>0</v>
      </c>
      <c r="L130" s="595">
        <f>'Прилож 4 24'!AB132</f>
        <v>0</v>
      </c>
      <c r="M130" s="596">
        <f t="shared" si="19"/>
        <v>0</v>
      </c>
      <c r="N130" s="595"/>
      <c r="O130" s="595"/>
      <c r="P130" s="595"/>
      <c r="Q130" s="621"/>
      <c r="R130" s="595"/>
      <c r="S130" s="595"/>
      <c r="T130" s="595"/>
      <c r="U130" s="596">
        <f t="shared" si="31"/>
        <v>5000</v>
      </c>
      <c r="V130" s="595">
        <f t="shared" si="39"/>
        <v>0</v>
      </c>
      <c r="W130" s="595">
        <f t="shared" si="40"/>
        <v>0</v>
      </c>
      <c r="X130" s="595">
        <f t="shared" si="33"/>
        <v>5000</v>
      </c>
      <c r="Y130" s="628"/>
      <c r="Z130" s="595">
        <f t="shared" si="41"/>
        <v>0</v>
      </c>
      <c r="AA130" s="595">
        <f t="shared" si="41"/>
        <v>0</v>
      </c>
      <c r="AB130" s="595">
        <f t="shared" si="41"/>
        <v>0</v>
      </c>
      <c r="AC130" s="622"/>
    </row>
    <row r="131" spans="1:29" x14ac:dyDescent="0.2">
      <c r="A131" s="618" t="s">
        <v>1204</v>
      </c>
      <c r="B131" s="619" t="s">
        <v>729</v>
      </c>
      <c r="C131" s="620">
        <v>244</v>
      </c>
      <c r="D131" s="620">
        <v>225</v>
      </c>
      <c r="E131" s="596">
        <f t="shared" si="30"/>
        <v>50000</v>
      </c>
      <c r="F131" s="595">
        <f>'[8]Прилож 4 24 (2)'!$V$11</f>
        <v>0</v>
      </c>
      <c r="G131" s="595">
        <f>'Прилож 4 24'!W133</f>
        <v>0</v>
      </c>
      <c r="H131" s="595">
        <f>'Прилож 4 24'!X133</f>
        <v>50000</v>
      </c>
      <c r="I131" s="623"/>
      <c r="J131" s="595">
        <f>'Прилож 4 24'!Z133</f>
        <v>0</v>
      </c>
      <c r="K131" s="595">
        <f>'Прилож 4 24'!AA133</f>
        <v>0</v>
      </c>
      <c r="L131" s="595">
        <f>'Прилож 4 24'!AB133</f>
        <v>0</v>
      </c>
      <c r="M131" s="596">
        <f t="shared" si="19"/>
        <v>0</v>
      </c>
      <c r="N131" s="595"/>
      <c r="O131" s="595"/>
      <c r="P131" s="595"/>
      <c r="Q131" s="621"/>
      <c r="R131" s="595"/>
      <c r="S131" s="595"/>
      <c r="T131" s="595"/>
      <c r="U131" s="596">
        <f t="shared" si="31"/>
        <v>50000</v>
      </c>
      <c r="V131" s="595"/>
      <c r="W131" s="595"/>
      <c r="X131" s="595">
        <f t="shared" si="33"/>
        <v>50000</v>
      </c>
      <c r="Y131" s="628"/>
      <c r="Z131" s="595"/>
      <c r="AA131" s="595"/>
      <c r="AB131" s="595"/>
      <c r="AC131" s="622"/>
    </row>
    <row r="132" spans="1:29" s="637" customFormat="1" x14ac:dyDescent="0.2">
      <c r="A132" s="632" t="s">
        <v>1143</v>
      </c>
      <c r="B132" s="633" t="s">
        <v>729</v>
      </c>
      <c r="C132" s="634">
        <v>244</v>
      </c>
      <c r="D132" s="634">
        <v>225</v>
      </c>
      <c r="E132" s="597">
        <f>SUM(E113:E131)</f>
        <v>548440.88</v>
      </c>
      <c r="F132" s="595">
        <f>'[8]Прилож 4 24 (2)'!$V$11</f>
        <v>0</v>
      </c>
      <c r="G132" s="595">
        <f>'Прилож 4 24'!W134</f>
        <v>0</v>
      </c>
      <c r="H132" s="595">
        <f>'Прилож 4 24'!X134</f>
        <v>548440.88</v>
      </c>
      <c r="I132" s="635"/>
      <c r="J132" s="595">
        <f>'Прилож 4 24'!Z134</f>
        <v>0</v>
      </c>
      <c r="K132" s="595">
        <f>'Прилож 4 24'!AA134</f>
        <v>0</v>
      </c>
      <c r="L132" s="595">
        <f>'Прилож 4 24'!AB134</f>
        <v>0</v>
      </c>
      <c r="M132" s="596">
        <f t="shared" si="19"/>
        <v>1015</v>
      </c>
      <c r="N132" s="597">
        <f t="shared" ref="N132:AB132" si="42">SUM(N113:N131)</f>
        <v>0</v>
      </c>
      <c r="O132" s="597">
        <f t="shared" si="42"/>
        <v>0</v>
      </c>
      <c r="P132" s="597">
        <f t="shared" si="42"/>
        <v>1015</v>
      </c>
      <c r="Q132" s="635"/>
      <c r="R132" s="597">
        <f t="shared" si="42"/>
        <v>0</v>
      </c>
      <c r="S132" s="597">
        <f t="shared" si="42"/>
        <v>0</v>
      </c>
      <c r="T132" s="597">
        <f t="shared" si="42"/>
        <v>0</v>
      </c>
      <c r="U132" s="597">
        <f t="shared" si="42"/>
        <v>549455.88</v>
      </c>
      <c r="V132" s="597">
        <f t="shared" si="42"/>
        <v>0</v>
      </c>
      <c r="W132" s="597">
        <f t="shared" si="42"/>
        <v>0</v>
      </c>
      <c r="X132" s="597">
        <f t="shared" si="42"/>
        <v>549455.88</v>
      </c>
      <c r="Y132" s="635"/>
      <c r="Z132" s="597">
        <f t="shared" si="42"/>
        <v>0</v>
      </c>
      <c r="AA132" s="597">
        <f t="shared" si="42"/>
        <v>0</v>
      </c>
      <c r="AB132" s="597">
        <f t="shared" si="42"/>
        <v>0</v>
      </c>
      <c r="AC132" s="636"/>
    </row>
    <row r="133" spans="1:29" x14ac:dyDescent="0.2">
      <c r="A133" s="618" t="s">
        <v>677</v>
      </c>
      <c r="B133" s="619" t="s">
        <v>691</v>
      </c>
      <c r="C133" s="620">
        <v>244</v>
      </c>
      <c r="D133" s="620">
        <v>225</v>
      </c>
      <c r="E133" s="596">
        <f t="shared" si="30"/>
        <v>15661.8</v>
      </c>
      <c r="F133" s="595">
        <f>'[8]Прилож 4 24 (2)'!$V$11</f>
        <v>0</v>
      </c>
      <c r="G133" s="595">
        <f>'Прилож 4 24'!W135</f>
        <v>0</v>
      </c>
      <c r="H133" s="595">
        <f>'Прилож 4 24'!X135</f>
        <v>13296.74</v>
      </c>
      <c r="I133" s="623"/>
      <c r="J133" s="595">
        <f>'Прилож 4 24'!Z135</f>
        <v>0</v>
      </c>
      <c r="K133" s="595">
        <f>'Прилож 4 24'!AA135</f>
        <v>0</v>
      </c>
      <c r="L133" s="595">
        <f>'Прилож 4 24'!AB135</f>
        <v>2365.06</v>
      </c>
      <c r="M133" s="596">
        <f t="shared" si="19"/>
        <v>0</v>
      </c>
      <c r="N133" s="595"/>
      <c r="O133" s="595"/>
      <c r="P133" s="595"/>
      <c r="Q133" s="621"/>
      <c r="R133" s="595"/>
      <c r="S133" s="595"/>
      <c r="T133" s="595"/>
      <c r="U133" s="596">
        <f t="shared" si="31"/>
        <v>15661.8</v>
      </c>
      <c r="V133" s="595">
        <f t="shared" si="32"/>
        <v>0</v>
      </c>
      <c r="W133" s="595">
        <f t="shared" si="33"/>
        <v>0</v>
      </c>
      <c r="X133" s="595">
        <f t="shared" si="33"/>
        <v>13296.74</v>
      </c>
      <c r="Y133" s="628"/>
      <c r="Z133" s="595">
        <f t="shared" si="34"/>
        <v>0</v>
      </c>
      <c r="AA133" s="595">
        <f t="shared" si="34"/>
        <v>0</v>
      </c>
      <c r="AB133" s="595">
        <f t="shared" si="34"/>
        <v>2365.06</v>
      </c>
      <c r="AC133" s="622"/>
    </row>
    <row r="134" spans="1:29" s="614" customFormat="1" x14ac:dyDescent="0.2">
      <c r="A134" s="630" t="s">
        <v>738</v>
      </c>
      <c r="B134" s="631"/>
      <c r="C134" s="624"/>
      <c r="D134" s="624"/>
      <c r="E134" s="596">
        <f>E133+E132+E112</f>
        <v>826849.56</v>
      </c>
      <c r="F134" s="595">
        <f>'[8]Прилож 4 24 (2)'!$V$11</f>
        <v>0</v>
      </c>
      <c r="G134" s="595">
        <f>'Прилож 4 24'!W136</f>
        <v>0</v>
      </c>
      <c r="H134" s="595">
        <f>'Прилож 4 24'!X136</f>
        <v>824484.5</v>
      </c>
      <c r="I134" s="626"/>
      <c r="J134" s="595">
        <f>'Прилож 4 24'!Z136</f>
        <v>0</v>
      </c>
      <c r="K134" s="595">
        <f>'Прилож 4 24'!AA136</f>
        <v>0</v>
      </c>
      <c r="L134" s="595">
        <f>'Прилож 4 24'!AB136</f>
        <v>2365.06</v>
      </c>
      <c r="M134" s="596">
        <f t="shared" si="19"/>
        <v>86030</v>
      </c>
      <c r="N134" s="596">
        <f t="shared" ref="N134:AB134" si="43">N133+N132+N112</f>
        <v>0</v>
      </c>
      <c r="O134" s="596">
        <f t="shared" si="43"/>
        <v>0</v>
      </c>
      <c r="P134" s="596">
        <f t="shared" si="43"/>
        <v>86030</v>
      </c>
      <c r="Q134" s="626"/>
      <c r="R134" s="596">
        <f t="shared" si="43"/>
        <v>0</v>
      </c>
      <c r="S134" s="596">
        <f t="shared" si="43"/>
        <v>0</v>
      </c>
      <c r="T134" s="596">
        <f t="shared" si="43"/>
        <v>0</v>
      </c>
      <c r="U134" s="596">
        <f t="shared" si="43"/>
        <v>912879.56</v>
      </c>
      <c r="V134" s="596">
        <f t="shared" si="43"/>
        <v>0</v>
      </c>
      <c r="W134" s="596">
        <f t="shared" si="43"/>
        <v>0</v>
      </c>
      <c r="X134" s="596">
        <f t="shared" si="43"/>
        <v>910514.5</v>
      </c>
      <c r="Y134" s="626"/>
      <c r="Z134" s="596">
        <f t="shared" si="43"/>
        <v>0</v>
      </c>
      <c r="AA134" s="596">
        <f t="shared" si="43"/>
        <v>0</v>
      </c>
      <c r="AB134" s="596">
        <f t="shared" si="43"/>
        <v>2365.06</v>
      </c>
      <c r="AC134" s="627"/>
    </row>
    <row r="135" spans="1:29" ht="47.25" x14ac:dyDescent="0.2">
      <c r="A135" s="618" t="s">
        <v>586</v>
      </c>
      <c r="B135" s="619" t="s">
        <v>747</v>
      </c>
      <c r="C135" s="620">
        <v>244</v>
      </c>
      <c r="D135" s="620">
        <v>226</v>
      </c>
      <c r="E135" s="596">
        <f t="shared" si="30"/>
        <v>53845.919999999998</v>
      </c>
      <c r="F135" s="595">
        <f>'[8]Прилож 4 24 (2)'!$V$11</f>
        <v>0</v>
      </c>
      <c r="G135" s="595">
        <f>'Прилож 4 24'!W137</f>
        <v>0</v>
      </c>
      <c r="H135" s="595">
        <f>'Прилож 4 24'!X137</f>
        <v>53845.919999999998</v>
      </c>
      <c r="I135" s="623"/>
      <c r="J135" s="595">
        <f>'Прилож 4 24'!Z137</f>
        <v>0</v>
      </c>
      <c r="K135" s="595">
        <f>'Прилож 4 24'!AA137</f>
        <v>0</v>
      </c>
      <c r="L135" s="595">
        <f>'Прилож 4 24'!AB137</f>
        <v>0</v>
      </c>
      <c r="M135" s="596">
        <f t="shared" si="19"/>
        <v>0</v>
      </c>
      <c r="N135" s="595"/>
      <c r="O135" s="595"/>
      <c r="P135" s="595"/>
      <c r="Q135" s="621"/>
      <c r="R135" s="595"/>
      <c r="S135" s="595"/>
      <c r="T135" s="595"/>
      <c r="U135" s="596">
        <f t="shared" si="31"/>
        <v>53845.919999999998</v>
      </c>
      <c r="V135" s="595">
        <f t="shared" si="32"/>
        <v>0</v>
      </c>
      <c r="W135" s="595">
        <f t="shared" si="33"/>
        <v>0</v>
      </c>
      <c r="X135" s="595">
        <f t="shared" si="33"/>
        <v>53845.919999999998</v>
      </c>
      <c r="Y135" s="628"/>
      <c r="Z135" s="595">
        <f t="shared" si="34"/>
        <v>0</v>
      </c>
      <c r="AA135" s="595">
        <f t="shared" si="34"/>
        <v>0</v>
      </c>
      <c r="AB135" s="595">
        <f t="shared" si="34"/>
        <v>0</v>
      </c>
      <c r="AC135" s="622"/>
    </row>
    <row r="136" spans="1:29" ht="31.5" x14ac:dyDescent="0.2">
      <c r="A136" s="618" t="s">
        <v>154</v>
      </c>
      <c r="B136" s="619" t="s">
        <v>747</v>
      </c>
      <c r="C136" s="620">
        <v>244</v>
      </c>
      <c r="D136" s="620">
        <v>226</v>
      </c>
      <c r="E136" s="596">
        <f t="shared" si="30"/>
        <v>50000</v>
      </c>
      <c r="F136" s="595">
        <f>'[8]Прилож 4 24 (2)'!$V$11</f>
        <v>0</v>
      </c>
      <c r="G136" s="595">
        <f>'Прилож 4 24'!W138</f>
        <v>0</v>
      </c>
      <c r="H136" s="595">
        <f>'Прилож 4 24'!X138</f>
        <v>50000</v>
      </c>
      <c r="I136" s="623"/>
      <c r="J136" s="595">
        <f>'Прилож 4 24'!Z138</f>
        <v>0</v>
      </c>
      <c r="K136" s="595">
        <f>'Прилож 4 24'!AA138</f>
        <v>0</v>
      </c>
      <c r="L136" s="595">
        <f>'Прилож 4 24'!AB138</f>
        <v>0</v>
      </c>
      <c r="M136" s="596">
        <f t="shared" si="19"/>
        <v>0</v>
      </c>
      <c r="N136" s="595"/>
      <c r="O136" s="595"/>
      <c r="P136" s="595"/>
      <c r="Q136" s="621"/>
      <c r="R136" s="595"/>
      <c r="S136" s="595"/>
      <c r="T136" s="595"/>
      <c r="U136" s="596">
        <f t="shared" si="31"/>
        <v>50000</v>
      </c>
      <c r="V136" s="595">
        <f t="shared" si="32"/>
        <v>0</v>
      </c>
      <c r="W136" s="595">
        <f t="shared" si="33"/>
        <v>0</v>
      </c>
      <c r="X136" s="595">
        <f t="shared" si="33"/>
        <v>50000</v>
      </c>
      <c r="Y136" s="628"/>
      <c r="Z136" s="595">
        <f t="shared" si="34"/>
        <v>0</v>
      </c>
      <c r="AA136" s="595">
        <f t="shared" si="34"/>
        <v>0</v>
      </c>
      <c r="AB136" s="595">
        <f t="shared" si="34"/>
        <v>0</v>
      </c>
      <c r="AC136" s="622"/>
    </row>
    <row r="137" spans="1:29" ht="31.5" x14ac:dyDescent="0.2">
      <c r="A137" s="618" t="s">
        <v>642</v>
      </c>
      <c r="B137" s="619" t="s">
        <v>747</v>
      </c>
      <c r="C137" s="620">
        <v>244</v>
      </c>
      <c r="D137" s="620">
        <v>226</v>
      </c>
      <c r="E137" s="596">
        <f t="shared" si="30"/>
        <v>60720</v>
      </c>
      <c r="F137" s="595">
        <f>'[8]Прилож 4 24 (2)'!$V$11</f>
        <v>0</v>
      </c>
      <c r="G137" s="595">
        <f>'Прилож 4 24'!W139</f>
        <v>0</v>
      </c>
      <c r="H137" s="595">
        <f>'Прилож 4 24'!X139</f>
        <v>60720</v>
      </c>
      <c r="I137" s="623"/>
      <c r="J137" s="595">
        <f>'Прилож 4 24'!Z139</f>
        <v>0</v>
      </c>
      <c r="K137" s="595">
        <f>'Прилож 4 24'!AA139</f>
        <v>0</v>
      </c>
      <c r="L137" s="595">
        <f>'Прилож 4 24'!AB139</f>
        <v>0</v>
      </c>
      <c r="M137" s="596">
        <f t="shared" si="19"/>
        <v>0</v>
      </c>
      <c r="N137" s="595"/>
      <c r="O137" s="595"/>
      <c r="P137" s="595"/>
      <c r="Q137" s="621"/>
      <c r="R137" s="595"/>
      <c r="S137" s="595"/>
      <c r="T137" s="595"/>
      <c r="U137" s="596">
        <f t="shared" si="31"/>
        <v>60720</v>
      </c>
      <c r="V137" s="595">
        <f t="shared" si="32"/>
        <v>0</v>
      </c>
      <c r="W137" s="595">
        <f t="shared" si="33"/>
        <v>0</v>
      </c>
      <c r="X137" s="595">
        <f t="shared" si="33"/>
        <v>60720</v>
      </c>
      <c r="Y137" s="628"/>
      <c r="Z137" s="595">
        <f t="shared" si="34"/>
        <v>0</v>
      </c>
      <c r="AA137" s="595">
        <f t="shared" si="34"/>
        <v>0</v>
      </c>
      <c r="AB137" s="595">
        <f t="shared" si="34"/>
        <v>0</v>
      </c>
      <c r="AC137" s="622"/>
    </row>
    <row r="138" spans="1:29" ht="186" customHeight="1" x14ac:dyDescent="0.2">
      <c r="A138" s="618" t="s">
        <v>1243</v>
      </c>
      <c r="B138" s="619" t="s">
        <v>747</v>
      </c>
      <c r="C138" s="620">
        <v>244</v>
      </c>
      <c r="D138" s="620">
        <v>226</v>
      </c>
      <c r="E138" s="596">
        <f t="shared" si="30"/>
        <v>0</v>
      </c>
      <c r="F138" s="595">
        <f>'[8]Прилож 4 24 (2)'!$V$11</f>
        <v>0</v>
      </c>
      <c r="G138" s="595">
        <f>'Прилож 4 24'!W140</f>
        <v>0</v>
      </c>
      <c r="H138" s="595">
        <f>'Прилож 4 24'!X140</f>
        <v>0</v>
      </c>
      <c r="I138" s="623"/>
      <c r="J138" s="595">
        <f>'Прилож 4 24'!Z140</f>
        <v>0</v>
      </c>
      <c r="K138" s="595">
        <f>'Прилож 4 24'!AA140</f>
        <v>0</v>
      </c>
      <c r="L138" s="595">
        <f>'Прилож 4 24'!AB140</f>
        <v>0</v>
      </c>
      <c r="M138" s="596">
        <f t="shared" si="19"/>
        <v>7400</v>
      </c>
      <c r="N138" s="595"/>
      <c r="O138" s="595"/>
      <c r="P138" s="595">
        <v>7400</v>
      </c>
      <c r="Q138" s="621"/>
      <c r="R138" s="595"/>
      <c r="S138" s="595"/>
      <c r="T138" s="595"/>
      <c r="U138" s="596">
        <f t="shared" si="31"/>
        <v>7400</v>
      </c>
      <c r="V138" s="595">
        <f t="shared" si="32"/>
        <v>0</v>
      </c>
      <c r="W138" s="595">
        <f t="shared" si="33"/>
        <v>0</v>
      </c>
      <c r="X138" s="595">
        <f t="shared" si="33"/>
        <v>7400</v>
      </c>
      <c r="Y138" s="628"/>
      <c r="Z138" s="595">
        <f t="shared" si="34"/>
        <v>0</v>
      </c>
      <c r="AA138" s="595">
        <f t="shared" si="34"/>
        <v>0</v>
      </c>
      <c r="AB138" s="595">
        <f t="shared" si="34"/>
        <v>0</v>
      </c>
      <c r="AC138" s="622" t="s">
        <v>1298</v>
      </c>
    </row>
    <row r="139" spans="1:29" x14ac:dyDescent="0.2">
      <c r="A139" s="618" t="s">
        <v>593</v>
      </c>
      <c r="B139" s="619" t="s">
        <v>747</v>
      </c>
      <c r="C139" s="620">
        <v>244</v>
      </c>
      <c r="D139" s="620">
        <v>226</v>
      </c>
      <c r="E139" s="596">
        <f t="shared" si="30"/>
        <v>7430</v>
      </c>
      <c r="F139" s="595">
        <f>'[8]Прилож 4 24 (2)'!$V$11</f>
        <v>0</v>
      </c>
      <c r="G139" s="595">
        <f>'Прилож 4 24'!W141</f>
        <v>0</v>
      </c>
      <c r="H139" s="595">
        <f>'Прилож 4 24'!X141</f>
        <v>7430</v>
      </c>
      <c r="I139" s="623"/>
      <c r="J139" s="595">
        <f>'Прилож 4 24'!Z141</f>
        <v>0</v>
      </c>
      <c r="K139" s="595">
        <f>'Прилож 4 24'!AA141</f>
        <v>0</v>
      </c>
      <c r="L139" s="595">
        <f>'Прилож 4 24'!AB141</f>
        <v>0</v>
      </c>
      <c r="M139" s="596">
        <f t="shared" si="19"/>
        <v>0</v>
      </c>
      <c r="N139" s="595"/>
      <c r="O139" s="595"/>
      <c r="P139" s="595"/>
      <c r="Q139" s="621"/>
      <c r="R139" s="595"/>
      <c r="S139" s="595"/>
      <c r="T139" s="595"/>
      <c r="U139" s="596">
        <f t="shared" si="31"/>
        <v>7430</v>
      </c>
      <c r="V139" s="595">
        <f t="shared" si="32"/>
        <v>0</v>
      </c>
      <c r="W139" s="595">
        <f t="shared" si="33"/>
        <v>0</v>
      </c>
      <c r="X139" s="595">
        <f t="shared" si="33"/>
        <v>7430</v>
      </c>
      <c r="Y139" s="628"/>
      <c r="Z139" s="595">
        <f t="shared" si="34"/>
        <v>0</v>
      </c>
      <c r="AA139" s="595">
        <f t="shared" si="34"/>
        <v>0</v>
      </c>
      <c r="AB139" s="595">
        <f t="shared" si="34"/>
        <v>0</v>
      </c>
      <c r="AC139" s="622"/>
    </row>
    <row r="140" spans="1:29" x14ac:dyDescent="0.2">
      <c r="A140" s="618" t="s">
        <v>1194</v>
      </c>
      <c r="B140" s="619" t="s">
        <v>747</v>
      </c>
      <c r="C140" s="620">
        <v>244</v>
      </c>
      <c r="D140" s="620">
        <v>226</v>
      </c>
      <c r="E140" s="596">
        <f t="shared" si="30"/>
        <v>18900</v>
      </c>
      <c r="F140" s="595">
        <f>'[8]Прилож 4 24 (2)'!$V$11</f>
        <v>0</v>
      </c>
      <c r="G140" s="595">
        <f>'Прилож 4 24'!W142</f>
        <v>0</v>
      </c>
      <c r="H140" s="595">
        <f>'Прилож 4 24'!X142</f>
        <v>18900</v>
      </c>
      <c r="I140" s="623"/>
      <c r="J140" s="595">
        <f>'Прилож 4 24'!Z142</f>
        <v>0</v>
      </c>
      <c r="K140" s="595">
        <f>'Прилож 4 24'!AA142</f>
        <v>0</v>
      </c>
      <c r="L140" s="595">
        <f>'Прилож 4 24'!AB142</f>
        <v>0</v>
      </c>
      <c r="M140" s="596">
        <f t="shared" ref="M140:M206" si="44">N140+P140+R140+S140+T140+O140</f>
        <v>0</v>
      </c>
      <c r="N140" s="595"/>
      <c r="O140" s="595"/>
      <c r="P140" s="595"/>
      <c r="Q140" s="621"/>
      <c r="R140" s="595"/>
      <c r="S140" s="595"/>
      <c r="T140" s="595"/>
      <c r="U140" s="596">
        <f t="shared" si="31"/>
        <v>18900</v>
      </c>
      <c r="V140" s="595">
        <f t="shared" si="32"/>
        <v>0</v>
      </c>
      <c r="W140" s="595">
        <f t="shared" si="33"/>
        <v>0</v>
      </c>
      <c r="X140" s="595">
        <f t="shared" si="33"/>
        <v>18900</v>
      </c>
      <c r="Y140" s="628"/>
      <c r="Z140" s="595">
        <f t="shared" si="34"/>
        <v>0</v>
      </c>
      <c r="AA140" s="595">
        <f t="shared" si="34"/>
        <v>0</v>
      </c>
      <c r="AB140" s="595">
        <f t="shared" si="34"/>
        <v>0</v>
      </c>
      <c r="AC140" s="622"/>
    </row>
    <row r="141" spans="1:29" s="637" customFormat="1" x14ac:dyDescent="0.2">
      <c r="A141" s="632" t="s">
        <v>1143</v>
      </c>
      <c r="B141" s="633" t="s">
        <v>747</v>
      </c>
      <c r="C141" s="634">
        <v>244</v>
      </c>
      <c r="D141" s="634">
        <v>226</v>
      </c>
      <c r="E141" s="598">
        <f>SUM(E135:E140)</f>
        <v>190895.91999999998</v>
      </c>
      <c r="F141" s="595">
        <f>'[8]Прилож 4 24 (2)'!$V$11</f>
        <v>0</v>
      </c>
      <c r="G141" s="595">
        <f>'Прилож 4 24'!W143</f>
        <v>0</v>
      </c>
      <c r="H141" s="595">
        <f>'Прилож 4 24'!X143</f>
        <v>190895.91999999998</v>
      </c>
      <c r="I141" s="640"/>
      <c r="J141" s="595">
        <f>'Прилож 4 24'!Z143</f>
        <v>0</v>
      </c>
      <c r="K141" s="595">
        <f>'Прилож 4 24'!AA143</f>
        <v>0</v>
      </c>
      <c r="L141" s="595">
        <f>'Прилож 4 24'!AB143</f>
        <v>0</v>
      </c>
      <c r="M141" s="596">
        <f t="shared" si="44"/>
        <v>7400</v>
      </c>
      <c r="N141" s="598">
        <f t="shared" ref="N141:P141" si="45">SUM(N135:N140)</f>
        <v>0</v>
      </c>
      <c r="O141" s="598">
        <f t="shared" si="45"/>
        <v>0</v>
      </c>
      <c r="P141" s="598">
        <f t="shared" si="45"/>
        <v>7400</v>
      </c>
      <c r="Q141" s="640"/>
      <c r="R141" s="598">
        <f t="shared" ref="R141:X141" si="46">SUM(R135:R140)</f>
        <v>0</v>
      </c>
      <c r="S141" s="598">
        <f t="shared" si="46"/>
        <v>0</v>
      </c>
      <c r="T141" s="598">
        <f t="shared" si="46"/>
        <v>0</v>
      </c>
      <c r="U141" s="598">
        <f t="shared" si="46"/>
        <v>198295.91999999998</v>
      </c>
      <c r="V141" s="598">
        <f t="shared" si="46"/>
        <v>0</v>
      </c>
      <c r="W141" s="598">
        <f t="shared" si="46"/>
        <v>0</v>
      </c>
      <c r="X141" s="598">
        <f t="shared" si="46"/>
        <v>198295.91999999998</v>
      </c>
      <c r="Y141" s="640"/>
      <c r="Z141" s="598">
        <f>SUM(Z135:Z140)</f>
        <v>0</v>
      </c>
      <c r="AA141" s="598">
        <f>SUM(AA135:AA140)</f>
        <v>0</v>
      </c>
      <c r="AB141" s="598">
        <f>SUM(AB135:AB140)</f>
        <v>0</v>
      </c>
      <c r="AC141" s="636"/>
    </row>
    <row r="142" spans="1:29" ht="47.25" x14ac:dyDescent="0.2">
      <c r="A142" s="618" t="s">
        <v>586</v>
      </c>
      <c r="B142" s="619" t="s">
        <v>729</v>
      </c>
      <c r="C142" s="620">
        <v>244</v>
      </c>
      <c r="D142" s="620">
        <v>226</v>
      </c>
      <c r="E142" s="596">
        <f t="shared" si="30"/>
        <v>53845.919999999998</v>
      </c>
      <c r="F142" s="595">
        <f>'[8]Прилож 4 24 (2)'!$V$11</f>
        <v>0</v>
      </c>
      <c r="G142" s="595">
        <f>'Прилож 4 24'!W144</f>
        <v>0</v>
      </c>
      <c r="H142" s="595">
        <f>'Прилож 4 24'!X144</f>
        <v>53845.919999999998</v>
      </c>
      <c r="I142" s="623"/>
      <c r="J142" s="595">
        <f>'Прилож 4 24'!Z144</f>
        <v>0</v>
      </c>
      <c r="K142" s="595">
        <f>'Прилож 4 24'!AA144</f>
        <v>0</v>
      </c>
      <c r="L142" s="595">
        <f>'Прилож 4 24'!AB144</f>
        <v>0</v>
      </c>
      <c r="M142" s="596">
        <f t="shared" si="44"/>
        <v>0</v>
      </c>
      <c r="N142" s="595"/>
      <c r="O142" s="595"/>
      <c r="P142" s="595"/>
      <c r="Q142" s="621"/>
      <c r="R142" s="595"/>
      <c r="S142" s="595"/>
      <c r="T142" s="595"/>
      <c r="U142" s="596">
        <f t="shared" si="31"/>
        <v>53845.919999999998</v>
      </c>
      <c r="V142" s="595">
        <f t="shared" si="32"/>
        <v>0</v>
      </c>
      <c r="W142" s="595">
        <f t="shared" si="33"/>
        <v>0</v>
      </c>
      <c r="X142" s="595">
        <f t="shared" si="33"/>
        <v>53845.919999999998</v>
      </c>
      <c r="Y142" s="628"/>
      <c r="Z142" s="595">
        <f t="shared" si="34"/>
        <v>0</v>
      </c>
      <c r="AA142" s="595">
        <f t="shared" si="34"/>
        <v>0</v>
      </c>
      <c r="AB142" s="595">
        <f t="shared" si="34"/>
        <v>0</v>
      </c>
      <c r="AC142" s="622"/>
    </row>
    <row r="143" spans="1:29" ht="31.5" x14ac:dyDescent="0.2">
      <c r="A143" s="618" t="s">
        <v>642</v>
      </c>
      <c r="B143" s="619" t="s">
        <v>729</v>
      </c>
      <c r="C143" s="620">
        <v>244</v>
      </c>
      <c r="D143" s="620">
        <v>226</v>
      </c>
      <c r="E143" s="596">
        <f t="shared" si="30"/>
        <v>60720</v>
      </c>
      <c r="F143" s="595">
        <f>'[8]Прилож 4 24 (2)'!$V$11</f>
        <v>0</v>
      </c>
      <c r="G143" s="595">
        <f>'Прилож 4 24'!W145</f>
        <v>0</v>
      </c>
      <c r="H143" s="595">
        <f>'Прилож 4 24'!X145</f>
        <v>60720</v>
      </c>
      <c r="I143" s="623"/>
      <c r="J143" s="595">
        <f>'Прилож 4 24'!Z145</f>
        <v>0</v>
      </c>
      <c r="K143" s="595">
        <f>'Прилож 4 24'!AA145</f>
        <v>0</v>
      </c>
      <c r="L143" s="595">
        <f>'Прилож 4 24'!AB145</f>
        <v>0</v>
      </c>
      <c r="M143" s="596">
        <f t="shared" si="44"/>
        <v>0</v>
      </c>
      <c r="N143" s="595"/>
      <c r="O143" s="595"/>
      <c r="P143" s="595"/>
      <c r="Q143" s="621"/>
      <c r="R143" s="595"/>
      <c r="S143" s="595"/>
      <c r="T143" s="595"/>
      <c r="U143" s="596">
        <f t="shared" si="31"/>
        <v>60720</v>
      </c>
      <c r="V143" s="595">
        <f t="shared" si="32"/>
        <v>0</v>
      </c>
      <c r="W143" s="595">
        <f t="shared" si="33"/>
        <v>0</v>
      </c>
      <c r="X143" s="595">
        <f t="shared" si="33"/>
        <v>60720</v>
      </c>
      <c r="Y143" s="628"/>
      <c r="Z143" s="595">
        <f t="shared" si="34"/>
        <v>0</v>
      </c>
      <c r="AA143" s="595">
        <f t="shared" si="34"/>
        <v>0</v>
      </c>
      <c r="AB143" s="595">
        <f t="shared" si="34"/>
        <v>0</v>
      </c>
      <c r="AC143" s="622"/>
    </row>
    <row r="144" spans="1:29" ht="87.75" customHeight="1" x14ac:dyDescent="0.2">
      <c r="A144" s="618" t="s">
        <v>1244</v>
      </c>
      <c r="B144" s="619" t="s">
        <v>729</v>
      </c>
      <c r="C144" s="620">
        <v>244</v>
      </c>
      <c r="D144" s="620">
        <v>226</v>
      </c>
      <c r="E144" s="596">
        <f t="shared" si="30"/>
        <v>50000</v>
      </c>
      <c r="F144" s="595">
        <f>'[8]Прилож 4 24 (2)'!$V$11</f>
        <v>0</v>
      </c>
      <c r="G144" s="595">
        <f>'Прилож 4 24'!W146</f>
        <v>0</v>
      </c>
      <c r="H144" s="595">
        <f>'Прилож 4 24'!X146</f>
        <v>50000</v>
      </c>
      <c r="I144" s="623"/>
      <c r="J144" s="595">
        <f>'Прилож 4 24'!Z146</f>
        <v>0</v>
      </c>
      <c r="K144" s="595">
        <f>'Прилож 4 24'!AA146</f>
        <v>0</v>
      </c>
      <c r="L144" s="595">
        <f>'Прилож 4 24'!AB146</f>
        <v>0</v>
      </c>
      <c r="M144" s="596">
        <f t="shared" si="44"/>
        <v>-12335</v>
      </c>
      <c r="N144" s="595"/>
      <c r="O144" s="595"/>
      <c r="P144" s="595">
        <v>-12335</v>
      </c>
      <c r="Q144" s="621"/>
      <c r="R144" s="595"/>
      <c r="S144" s="595"/>
      <c r="T144" s="595"/>
      <c r="U144" s="596">
        <f t="shared" si="31"/>
        <v>37665</v>
      </c>
      <c r="V144" s="595">
        <f t="shared" si="32"/>
        <v>0</v>
      </c>
      <c r="W144" s="595">
        <f t="shared" si="33"/>
        <v>0</v>
      </c>
      <c r="X144" s="595">
        <f t="shared" si="33"/>
        <v>37665</v>
      </c>
      <c r="Y144" s="628"/>
      <c r="Z144" s="595">
        <f t="shared" si="34"/>
        <v>0</v>
      </c>
      <c r="AA144" s="595">
        <f t="shared" si="34"/>
        <v>0</v>
      </c>
      <c r="AB144" s="595">
        <f t="shared" si="34"/>
        <v>0</v>
      </c>
      <c r="AC144" s="622" t="s">
        <v>1302</v>
      </c>
    </row>
    <row r="145" spans="1:29" ht="31.5" x14ac:dyDescent="0.2">
      <c r="A145" s="618" t="s">
        <v>752</v>
      </c>
      <c r="B145" s="619" t="s">
        <v>729</v>
      </c>
      <c r="C145" s="620">
        <v>244</v>
      </c>
      <c r="D145" s="620">
        <v>226</v>
      </c>
      <c r="E145" s="596">
        <f t="shared" si="30"/>
        <v>150000</v>
      </c>
      <c r="F145" s="595">
        <f>'[8]Прилож 4 24 (2)'!$V$11</f>
        <v>0</v>
      </c>
      <c r="G145" s="595">
        <f>'Прилож 4 24'!W147</f>
        <v>0</v>
      </c>
      <c r="H145" s="595">
        <f>'Прилож 4 24'!X147</f>
        <v>150000</v>
      </c>
      <c r="I145" s="623"/>
      <c r="J145" s="595">
        <f>'Прилож 4 24'!Z147</f>
        <v>0</v>
      </c>
      <c r="K145" s="595">
        <f>'Прилож 4 24'!AA147</f>
        <v>0</v>
      </c>
      <c r="L145" s="595">
        <f>'Прилож 4 24'!AB147</f>
        <v>0</v>
      </c>
      <c r="M145" s="596">
        <f t="shared" si="44"/>
        <v>0</v>
      </c>
      <c r="N145" s="595"/>
      <c r="O145" s="595"/>
      <c r="P145" s="595"/>
      <c r="Q145" s="621"/>
      <c r="R145" s="595"/>
      <c r="S145" s="595"/>
      <c r="T145" s="595"/>
      <c r="U145" s="596">
        <f t="shared" si="31"/>
        <v>150000</v>
      </c>
      <c r="V145" s="595">
        <f t="shared" si="32"/>
        <v>0</v>
      </c>
      <c r="W145" s="595">
        <f t="shared" si="33"/>
        <v>0</v>
      </c>
      <c r="X145" s="595">
        <f t="shared" si="33"/>
        <v>150000</v>
      </c>
      <c r="Y145" s="628"/>
      <c r="Z145" s="595">
        <f t="shared" si="34"/>
        <v>0</v>
      </c>
      <c r="AA145" s="595">
        <f t="shared" si="34"/>
        <v>0</v>
      </c>
      <c r="AB145" s="595">
        <f t="shared" si="34"/>
        <v>0</v>
      </c>
      <c r="AC145" s="622"/>
    </row>
    <row r="146" spans="1:29" ht="35.25" customHeight="1" x14ac:dyDescent="0.2">
      <c r="A146" s="618" t="s">
        <v>593</v>
      </c>
      <c r="B146" s="619" t="s">
        <v>729</v>
      </c>
      <c r="C146" s="620">
        <v>244</v>
      </c>
      <c r="D146" s="620">
        <v>226</v>
      </c>
      <c r="E146" s="596">
        <f t="shared" si="30"/>
        <v>30000</v>
      </c>
      <c r="F146" s="595">
        <f>'[8]Прилож 4 24 (2)'!$V$11</f>
        <v>0</v>
      </c>
      <c r="G146" s="595">
        <f>'Прилож 4 24'!W148</f>
        <v>0</v>
      </c>
      <c r="H146" s="595">
        <f>'Прилож 4 24'!X148</f>
        <v>30000</v>
      </c>
      <c r="I146" s="623"/>
      <c r="J146" s="595">
        <f>'Прилож 4 24'!Z148</f>
        <v>0</v>
      </c>
      <c r="K146" s="595">
        <f>'Прилож 4 24'!AA148</f>
        <v>0</v>
      </c>
      <c r="L146" s="595">
        <f>'Прилож 4 24'!AB148</f>
        <v>0</v>
      </c>
      <c r="M146" s="596">
        <f t="shared" si="44"/>
        <v>0</v>
      </c>
      <c r="N146" s="595"/>
      <c r="O146" s="595"/>
      <c r="P146" s="595"/>
      <c r="Q146" s="621"/>
      <c r="R146" s="595"/>
      <c r="S146" s="595"/>
      <c r="T146" s="595"/>
      <c r="U146" s="596">
        <f t="shared" si="31"/>
        <v>30000</v>
      </c>
      <c r="V146" s="595">
        <f t="shared" si="32"/>
        <v>0</v>
      </c>
      <c r="W146" s="595">
        <f t="shared" si="33"/>
        <v>0</v>
      </c>
      <c r="X146" s="595">
        <f t="shared" si="33"/>
        <v>30000</v>
      </c>
      <c r="Y146" s="628"/>
      <c r="Z146" s="595">
        <f t="shared" si="34"/>
        <v>0</v>
      </c>
      <c r="AA146" s="595">
        <f t="shared" si="34"/>
        <v>0</v>
      </c>
      <c r="AB146" s="595">
        <f t="shared" si="34"/>
        <v>0</v>
      </c>
      <c r="AC146" s="622"/>
    </row>
    <row r="147" spans="1:29" ht="45" customHeight="1" x14ac:dyDescent="0.2">
      <c r="A147" s="618" t="s">
        <v>914</v>
      </c>
      <c r="B147" s="619" t="s">
        <v>729</v>
      </c>
      <c r="C147" s="620">
        <v>244</v>
      </c>
      <c r="D147" s="620">
        <v>226</v>
      </c>
      <c r="E147" s="596">
        <f t="shared" si="30"/>
        <v>54800</v>
      </c>
      <c r="F147" s="595">
        <f>'[8]Прилож 4 24 (2)'!$V$11</f>
        <v>0</v>
      </c>
      <c r="G147" s="595">
        <f>'Прилож 4 24'!W149</f>
        <v>0</v>
      </c>
      <c r="H147" s="595">
        <f>'Прилож 4 24'!X149</f>
        <v>54800</v>
      </c>
      <c r="I147" s="623"/>
      <c r="J147" s="595">
        <f>'Прилож 4 24'!Z149</f>
        <v>0</v>
      </c>
      <c r="K147" s="595">
        <f>'Прилож 4 24'!AA149</f>
        <v>0</v>
      </c>
      <c r="L147" s="595">
        <f>'Прилож 4 24'!AB149</f>
        <v>0</v>
      </c>
      <c r="M147" s="596">
        <f t="shared" si="44"/>
        <v>0</v>
      </c>
      <c r="N147" s="595"/>
      <c r="O147" s="595"/>
      <c r="P147" s="595"/>
      <c r="Q147" s="621"/>
      <c r="R147" s="595"/>
      <c r="S147" s="595"/>
      <c r="T147" s="595"/>
      <c r="U147" s="596">
        <f t="shared" si="31"/>
        <v>54800</v>
      </c>
      <c r="V147" s="595">
        <f t="shared" si="32"/>
        <v>0</v>
      </c>
      <c r="W147" s="595">
        <f t="shared" si="33"/>
        <v>0</v>
      </c>
      <c r="X147" s="595">
        <f t="shared" si="33"/>
        <v>54800</v>
      </c>
      <c r="Y147" s="628"/>
      <c r="Z147" s="595">
        <f t="shared" si="34"/>
        <v>0</v>
      </c>
      <c r="AA147" s="595">
        <f t="shared" si="34"/>
        <v>0</v>
      </c>
      <c r="AB147" s="595">
        <f t="shared" si="34"/>
        <v>0</v>
      </c>
      <c r="AC147" s="622"/>
    </row>
    <row r="148" spans="1:29" ht="60" customHeight="1" x14ac:dyDescent="0.2">
      <c r="A148" s="618" t="s">
        <v>1245</v>
      </c>
      <c r="B148" s="619" t="s">
        <v>729</v>
      </c>
      <c r="C148" s="620">
        <v>244</v>
      </c>
      <c r="D148" s="620">
        <v>226</v>
      </c>
      <c r="E148" s="596">
        <f t="shared" si="30"/>
        <v>7200</v>
      </c>
      <c r="F148" s="595">
        <f>'[8]Прилож 4 24 (2)'!$V$11</f>
        <v>0</v>
      </c>
      <c r="G148" s="595">
        <f>'Прилож 4 24'!W150</f>
        <v>0</v>
      </c>
      <c r="H148" s="595">
        <f>'Прилож 4 24'!X150</f>
        <v>7200</v>
      </c>
      <c r="I148" s="623"/>
      <c r="J148" s="595">
        <f>'Прилож 4 24'!Z150</f>
        <v>0</v>
      </c>
      <c r="K148" s="595">
        <f>'Прилож 4 24'!AA150</f>
        <v>0</v>
      </c>
      <c r="L148" s="595">
        <f>'Прилож 4 24'!AB150</f>
        <v>0</v>
      </c>
      <c r="M148" s="596">
        <f t="shared" si="44"/>
        <v>0</v>
      </c>
      <c r="N148" s="595"/>
      <c r="O148" s="595"/>
      <c r="P148" s="595"/>
      <c r="Q148" s="621"/>
      <c r="R148" s="595"/>
      <c r="S148" s="595"/>
      <c r="T148" s="595"/>
      <c r="U148" s="596">
        <f t="shared" si="31"/>
        <v>7200</v>
      </c>
      <c r="V148" s="595">
        <f t="shared" si="32"/>
        <v>0</v>
      </c>
      <c r="W148" s="595">
        <f t="shared" si="33"/>
        <v>0</v>
      </c>
      <c r="X148" s="595">
        <f t="shared" si="33"/>
        <v>7200</v>
      </c>
      <c r="Y148" s="628"/>
      <c r="Z148" s="595">
        <f t="shared" si="34"/>
        <v>0</v>
      </c>
      <c r="AA148" s="595">
        <f t="shared" si="34"/>
        <v>0</v>
      </c>
      <c r="AB148" s="595">
        <f t="shared" si="34"/>
        <v>0</v>
      </c>
      <c r="AC148" s="622"/>
    </row>
    <row r="149" spans="1:29" ht="36" customHeight="1" x14ac:dyDescent="0.2">
      <c r="A149" s="618" t="s">
        <v>1185</v>
      </c>
      <c r="B149" s="619" t="s">
        <v>729</v>
      </c>
      <c r="C149" s="620">
        <v>244</v>
      </c>
      <c r="D149" s="620">
        <v>226</v>
      </c>
      <c r="E149" s="596">
        <f t="shared" si="30"/>
        <v>9600</v>
      </c>
      <c r="F149" s="595">
        <f>'[8]Прилож 4 24 (2)'!$V$11</f>
        <v>0</v>
      </c>
      <c r="G149" s="595">
        <f>'Прилож 4 24'!W151</f>
        <v>0</v>
      </c>
      <c r="H149" s="595">
        <f>'Прилож 4 24'!X151</f>
        <v>9600</v>
      </c>
      <c r="I149" s="623"/>
      <c r="J149" s="595">
        <f>'Прилож 4 24'!Z151</f>
        <v>0</v>
      </c>
      <c r="K149" s="595">
        <f>'Прилож 4 24'!AA151</f>
        <v>0</v>
      </c>
      <c r="L149" s="595">
        <f>'Прилож 4 24'!AB151</f>
        <v>0</v>
      </c>
      <c r="M149" s="596">
        <f t="shared" si="44"/>
        <v>0</v>
      </c>
      <c r="N149" s="595"/>
      <c r="O149" s="595"/>
      <c r="P149" s="595"/>
      <c r="Q149" s="621"/>
      <c r="R149" s="595"/>
      <c r="S149" s="595"/>
      <c r="T149" s="595"/>
      <c r="U149" s="596">
        <f t="shared" si="31"/>
        <v>9600</v>
      </c>
      <c r="V149" s="595">
        <f t="shared" si="32"/>
        <v>0</v>
      </c>
      <c r="W149" s="595">
        <f t="shared" si="33"/>
        <v>0</v>
      </c>
      <c r="X149" s="595">
        <f t="shared" si="33"/>
        <v>9600</v>
      </c>
      <c r="Y149" s="621"/>
      <c r="Z149" s="595">
        <f t="shared" si="34"/>
        <v>0</v>
      </c>
      <c r="AA149" s="595">
        <f t="shared" si="34"/>
        <v>0</v>
      </c>
      <c r="AB149" s="595">
        <f t="shared" si="34"/>
        <v>0</v>
      </c>
      <c r="AC149" s="622"/>
    </row>
    <row r="150" spans="1:29" x14ac:dyDescent="0.2">
      <c r="A150" s="618" t="s">
        <v>1194</v>
      </c>
      <c r="B150" s="619" t="s">
        <v>729</v>
      </c>
      <c r="C150" s="620">
        <v>244</v>
      </c>
      <c r="D150" s="620">
        <v>226</v>
      </c>
      <c r="E150" s="596">
        <f t="shared" si="30"/>
        <v>13500</v>
      </c>
      <c r="F150" s="595">
        <f>'[8]Прилож 4 24 (2)'!$V$11</f>
        <v>0</v>
      </c>
      <c r="G150" s="595">
        <f>'Прилож 4 24'!W152</f>
        <v>0</v>
      </c>
      <c r="H150" s="595">
        <f>'Прилож 4 24'!X152</f>
        <v>13500</v>
      </c>
      <c r="I150" s="623"/>
      <c r="J150" s="595">
        <f>'Прилож 4 24'!Z152</f>
        <v>0</v>
      </c>
      <c r="K150" s="595">
        <f>'Прилож 4 24'!AA152</f>
        <v>0</v>
      </c>
      <c r="L150" s="595">
        <f>'Прилож 4 24'!AB152</f>
        <v>0</v>
      </c>
      <c r="M150" s="596">
        <f t="shared" si="44"/>
        <v>0</v>
      </c>
      <c r="N150" s="595"/>
      <c r="O150" s="595"/>
      <c r="P150" s="595"/>
      <c r="Q150" s="621"/>
      <c r="R150" s="595"/>
      <c r="S150" s="595"/>
      <c r="T150" s="595"/>
      <c r="U150" s="596">
        <f t="shared" si="31"/>
        <v>13500</v>
      </c>
      <c r="V150" s="595">
        <f t="shared" si="32"/>
        <v>0</v>
      </c>
      <c r="W150" s="595">
        <f t="shared" si="33"/>
        <v>0</v>
      </c>
      <c r="X150" s="595">
        <f t="shared" si="33"/>
        <v>13500</v>
      </c>
      <c r="Y150" s="621"/>
      <c r="Z150" s="595">
        <f t="shared" si="34"/>
        <v>0</v>
      </c>
      <c r="AA150" s="595">
        <f t="shared" si="34"/>
        <v>0</v>
      </c>
      <c r="AB150" s="595">
        <f t="shared" si="34"/>
        <v>0</v>
      </c>
      <c r="AC150" s="622"/>
    </row>
    <row r="151" spans="1:29" ht="47.25" x14ac:dyDescent="0.2">
      <c r="A151" s="618" t="s">
        <v>1223</v>
      </c>
      <c r="B151" s="619" t="s">
        <v>729</v>
      </c>
      <c r="C151" s="620">
        <v>244</v>
      </c>
      <c r="D151" s="620">
        <v>226</v>
      </c>
      <c r="E151" s="596">
        <f t="shared" ref="E151" si="47">L151+K151+J151+H151+G151+F151</f>
        <v>14900</v>
      </c>
      <c r="F151" s="595">
        <f>'[8]Прилож 4 24 (2)'!$V$11</f>
        <v>0</v>
      </c>
      <c r="G151" s="595">
        <f>'Прилож 4 24'!W152</f>
        <v>0</v>
      </c>
      <c r="H151" s="595">
        <v>14900</v>
      </c>
      <c r="I151" s="623"/>
      <c r="J151" s="595">
        <f>'Прилож 4 24'!Z152</f>
        <v>0</v>
      </c>
      <c r="K151" s="595">
        <f>'Прилож 4 24'!AA152</f>
        <v>0</v>
      </c>
      <c r="L151" s="595">
        <f>'Прилож 4 24'!AB152</f>
        <v>0</v>
      </c>
      <c r="M151" s="596">
        <f t="shared" ref="M151" si="48">N151+P151+R151+S151+T151+O151</f>
        <v>0</v>
      </c>
      <c r="N151" s="595"/>
      <c r="O151" s="595"/>
      <c r="P151" s="595"/>
      <c r="Q151" s="621"/>
      <c r="R151" s="595"/>
      <c r="S151" s="595"/>
      <c r="T151" s="595"/>
      <c r="U151" s="596">
        <f t="shared" ref="U151" si="49">V151+X151+Z151+AA151+AB151+W151</f>
        <v>14900</v>
      </c>
      <c r="V151" s="595">
        <f t="shared" ref="V151" si="50">F151+N151</f>
        <v>0</v>
      </c>
      <c r="W151" s="595">
        <f t="shared" ref="W151" si="51">O151+G151</f>
        <v>0</v>
      </c>
      <c r="X151" s="595">
        <f t="shared" ref="X151" si="52">P151+H151</f>
        <v>14900</v>
      </c>
      <c r="Y151" s="628"/>
      <c r="Z151" s="595">
        <f t="shared" ref="Z151" si="53">R151+J151</f>
        <v>0</v>
      </c>
      <c r="AA151" s="595">
        <f t="shared" ref="AA151" si="54">S151+K151</f>
        <v>0</v>
      </c>
      <c r="AB151" s="595">
        <f t="shared" ref="AB151" si="55">T151+L151</f>
        <v>0</v>
      </c>
      <c r="AC151" s="622"/>
    </row>
    <row r="152" spans="1:29" ht="63" x14ac:dyDescent="0.2">
      <c r="A152" s="618" t="s">
        <v>1289</v>
      </c>
      <c r="B152" s="619" t="s">
        <v>729</v>
      </c>
      <c r="C152" s="620">
        <v>244</v>
      </c>
      <c r="D152" s="620">
        <v>226</v>
      </c>
      <c r="E152" s="596">
        <f t="shared" si="30"/>
        <v>0</v>
      </c>
      <c r="F152" s="595">
        <f>'[8]Прилож 4 24 (2)'!$V$11</f>
        <v>0</v>
      </c>
      <c r="G152" s="595">
        <f>'Прилож 4 24'!W153</f>
        <v>0</v>
      </c>
      <c r="H152" s="595"/>
      <c r="I152" s="623"/>
      <c r="J152" s="595">
        <f>'Прилож 4 24'!Z153</f>
        <v>0</v>
      </c>
      <c r="K152" s="595">
        <f>'Прилож 4 24'!AA153</f>
        <v>0</v>
      </c>
      <c r="L152" s="595">
        <f>'Прилож 4 24'!AB153</f>
        <v>0</v>
      </c>
      <c r="M152" s="596">
        <f t="shared" si="44"/>
        <v>11320</v>
      </c>
      <c r="N152" s="595"/>
      <c r="O152" s="595"/>
      <c r="P152" s="595">
        <v>11320</v>
      </c>
      <c r="Q152" s="621"/>
      <c r="R152" s="595"/>
      <c r="S152" s="595"/>
      <c r="T152" s="595"/>
      <c r="U152" s="596">
        <f t="shared" si="31"/>
        <v>11320</v>
      </c>
      <c r="V152" s="595">
        <f t="shared" si="32"/>
        <v>0</v>
      </c>
      <c r="W152" s="595">
        <f t="shared" si="33"/>
        <v>0</v>
      </c>
      <c r="X152" s="595">
        <f t="shared" si="33"/>
        <v>11320</v>
      </c>
      <c r="Y152" s="628"/>
      <c r="Z152" s="595">
        <f t="shared" si="34"/>
        <v>0</v>
      </c>
      <c r="AA152" s="595">
        <f t="shared" si="34"/>
        <v>0</v>
      </c>
      <c r="AB152" s="595">
        <f t="shared" si="34"/>
        <v>0</v>
      </c>
      <c r="AC152" s="622" t="s">
        <v>1111</v>
      </c>
    </row>
    <row r="153" spans="1:29" s="637" customFormat="1" x14ac:dyDescent="0.2">
      <c r="A153" s="632" t="s">
        <v>1143</v>
      </c>
      <c r="B153" s="633" t="s">
        <v>729</v>
      </c>
      <c r="C153" s="634">
        <v>244</v>
      </c>
      <c r="D153" s="634">
        <v>226</v>
      </c>
      <c r="E153" s="597">
        <f>SUM(E142:E152)</f>
        <v>444565.92</v>
      </c>
      <c r="F153" s="595">
        <f>'[8]Прилож 4 24 (2)'!$V$11</f>
        <v>0</v>
      </c>
      <c r="G153" s="595">
        <f>'Прилож 4 24'!W154</f>
        <v>0</v>
      </c>
      <c r="H153" s="595">
        <f>'Прилож 4 24'!X154</f>
        <v>444565.92</v>
      </c>
      <c r="I153" s="635"/>
      <c r="J153" s="595">
        <f>'Прилож 4 24'!Z154</f>
        <v>0</v>
      </c>
      <c r="K153" s="595">
        <f>'Прилож 4 24'!AA154</f>
        <v>0</v>
      </c>
      <c r="L153" s="595">
        <f>'Прилож 4 24'!AB154</f>
        <v>0</v>
      </c>
      <c r="M153" s="596">
        <f t="shared" si="44"/>
        <v>-1015</v>
      </c>
      <c r="N153" s="597">
        <f>SUM(N142:N152)</f>
        <v>0</v>
      </c>
      <c r="O153" s="597">
        <f>SUM(O142:O152)</f>
        <v>0</v>
      </c>
      <c r="P153" s="597">
        <f>SUM(P142:P152)</f>
        <v>-1015</v>
      </c>
      <c r="Q153" s="635"/>
      <c r="R153" s="597">
        <f t="shared" ref="R153:X153" si="56">SUM(R142:R152)</f>
        <v>0</v>
      </c>
      <c r="S153" s="597">
        <f t="shared" si="56"/>
        <v>0</v>
      </c>
      <c r="T153" s="597">
        <f t="shared" si="56"/>
        <v>0</v>
      </c>
      <c r="U153" s="597">
        <f t="shared" si="56"/>
        <v>443550.92</v>
      </c>
      <c r="V153" s="597">
        <f t="shared" si="56"/>
        <v>0</v>
      </c>
      <c r="W153" s="597">
        <f t="shared" si="56"/>
        <v>0</v>
      </c>
      <c r="X153" s="597">
        <f t="shared" si="56"/>
        <v>443550.92</v>
      </c>
      <c r="Y153" s="635"/>
      <c r="Z153" s="597">
        <f>SUM(Z142:Z152)</f>
        <v>0</v>
      </c>
      <c r="AA153" s="597">
        <f>SUM(AA142:AA152)</f>
        <v>0</v>
      </c>
      <c r="AB153" s="597">
        <f>SUM(AB142:AB152)</f>
        <v>0</v>
      </c>
      <c r="AC153" s="636"/>
    </row>
    <row r="154" spans="1:29" x14ac:dyDescent="0.2">
      <c r="A154" s="618" t="s">
        <v>753</v>
      </c>
      <c r="B154" s="619" t="s">
        <v>691</v>
      </c>
      <c r="C154" s="620">
        <v>244</v>
      </c>
      <c r="D154" s="620">
        <v>226</v>
      </c>
      <c r="E154" s="596">
        <f t="shared" si="30"/>
        <v>157971.22999999998</v>
      </c>
      <c r="F154" s="595">
        <f>'[8]Прилож 4 24 (2)'!$V$11</f>
        <v>0</v>
      </c>
      <c r="G154" s="595">
        <f>'Прилож 4 24'!W155</f>
        <v>0</v>
      </c>
      <c r="H154" s="595">
        <f>'Прилож 4 24'!X155</f>
        <v>109128.84</v>
      </c>
      <c r="I154" s="623"/>
      <c r="J154" s="595">
        <f>'Прилож 4 24'!Z155</f>
        <v>0</v>
      </c>
      <c r="K154" s="595">
        <f>'Прилож 4 24'!AA155</f>
        <v>0</v>
      </c>
      <c r="L154" s="595">
        <f>'Прилож 4 24'!AB155</f>
        <v>48842.39</v>
      </c>
      <c r="M154" s="596">
        <f t="shared" si="44"/>
        <v>32288.77</v>
      </c>
      <c r="N154" s="595">
        <v>32288.77</v>
      </c>
      <c r="O154" s="595"/>
      <c r="P154" s="595"/>
      <c r="Q154" s="621"/>
      <c r="R154" s="595"/>
      <c r="S154" s="595"/>
      <c r="T154" s="595"/>
      <c r="U154" s="596">
        <f t="shared" si="31"/>
        <v>190260</v>
      </c>
      <c r="V154" s="595">
        <f t="shared" si="32"/>
        <v>32288.77</v>
      </c>
      <c r="W154" s="595">
        <f t="shared" si="33"/>
        <v>0</v>
      </c>
      <c r="X154" s="595">
        <f t="shared" si="33"/>
        <v>109128.84</v>
      </c>
      <c r="Y154" s="628"/>
      <c r="Z154" s="595">
        <f t="shared" si="34"/>
        <v>0</v>
      </c>
      <c r="AA154" s="595">
        <f t="shared" si="34"/>
        <v>0</v>
      </c>
      <c r="AB154" s="595">
        <f t="shared" si="34"/>
        <v>48842.39</v>
      </c>
      <c r="AC154" s="622"/>
    </row>
    <row r="155" spans="1:29" x14ac:dyDescent="0.2">
      <c r="A155" s="618" t="s">
        <v>754</v>
      </c>
      <c r="B155" s="619" t="s">
        <v>691</v>
      </c>
      <c r="C155" s="620">
        <v>244</v>
      </c>
      <c r="D155" s="620">
        <v>226</v>
      </c>
      <c r="E155" s="596">
        <f t="shared" si="30"/>
        <v>74560.5</v>
      </c>
      <c r="F155" s="595">
        <f>'[8]Прилож 4 24 (2)'!$V$11</f>
        <v>0</v>
      </c>
      <c r="G155" s="595">
        <f>'Прилож 4 24'!W156</f>
        <v>0</v>
      </c>
      <c r="H155" s="595">
        <f>'Прилож 4 24'!X156</f>
        <v>63301.25</v>
      </c>
      <c r="I155" s="623"/>
      <c r="J155" s="595">
        <f>'Прилож 4 24'!Z156</f>
        <v>0</v>
      </c>
      <c r="K155" s="595">
        <f>'Прилож 4 24'!AA156</f>
        <v>0</v>
      </c>
      <c r="L155" s="595">
        <f>'Прилож 4 24'!AB156</f>
        <v>11259.25</v>
      </c>
      <c r="M155" s="596">
        <f t="shared" si="44"/>
        <v>0</v>
      </c>
      <c r="N155" s="595"/>
      <c r="O155" s="595"/>
      <c r="P155" s="595"/>
      <c r="Q155" s="621"/>
      <c r="R155" s="595"/>
      <c r="S155" s="595"/>
      <c r="T155" s="595"/>
      <c r="U155" s="596">
        <f t="shared" si="31"/>
        <v>74560.5</v>
      </c>
      <c r="V155" s="595">
        <f t="shared" si="32"/>
        <v>0</v>
      </c>
      <c r="W155" s="595">
        <f t="shared" si="33"/>
        <v>0</v>
      </c>
      <c r="X155" s="595">
        <f t="shared" si="33"/>
        <v>63301.25</v>
      </c>
      <c r="Y155" s="628"/>
      <c r="Z155" s="595">
        <f t="shared" si="34"/>
        <v>0</v>
      </c>
      <c r="AA155" s="595">
        <f t="shared" si="34"/>
        <v>0</v>
      </c>
      <c r="AB155" s="595">
        <f t="shared" si="34"/>
        <v>11259.25</v>
      </c>
      <c r="AC155" s="622"/>
    </row>
    <row r="156" spans="1:29" ht="73.5" customHeight="1" x14ac:dyDescent="0.2">
      <c r="A156" s="618" t="s">
        <v>712</v>
      </c>
      <c r="B156" s="619" t="s">
        <v>691</v>
      </c>
      <c r="C156" s="620">
        <v>244</v>
      </c>
      <c r="D156" s="620">
        <v>226</v>
      </c>
      <c r="E156" s="596">
        <f t="shared" si="30"/>
        <v>35305.199999999997</v>
      </c>
      <c r="F156" s="595">
        <f>'[8]Прилож 4 24 (2)'!$V$11</f>
        <v>0</v>
      </c>
      <c r="G156" s="595">
        <f>'Прилож 4 24'!W157</f>
        <v>0</v>
      </c>
      <c r="H156" s="595">
        <f>'Прилож 4 24'!X157</f>
        <v>35305.199999999997</v>
      </c>
      <c r="I156" s="623"/>
      <c r="J156" s="595">
        <f>'Прилож 4 24'!Z157</f>
        <v>0</v>
      </c>
      <c r="K156" s="595">
        <f>'Прилож 4 24'!AA157</f>
        <v>0</v>
      </c>
      <c r="L156" s="595">
        <f>'Прилож 4 24'!AB157</f>
        <v>0</v>
      </c>
      <c r="M156" s="596">
        <f t="shared" si="44"/>
        <v>0</v>
      </c>
      <c r="N156" s="595"/>
      <c r="O156" s="595"/>
      <c r="P156" s="595"/>
      <c r="Q156" s="621"/>
      <c r="R156" s="595"/>
      <c r="S156" s="595"/>
      <c r="T156" s="595"/>
      <c r="U156" s="596">
        <f t="shared" si="31"/>
        <v>35305.199999999997</v>
      </c>
      <c r="V156" s="595">
        <f t="shared" si="32"/>
        <v>0</v>
      </c>
      <c r="W156" s="595">
        <f t="shared" si="33"/>
        <v>0</v>
      </c>
      <c r="X156" s="595">
        <f t="shared" si="33"/>
        <v>35305.199999999997</v>
      </c>
      <c r="Y156" s="628"/>
      <c r="Z156" s="595">
        <f t="shared" si="34"/>
        <v>0</v>
      </c>
      <c r="AA156" s="595">
        <f t="shared" si="34"/>
        <v>0</v>
      </c>
      <c r="AB156" s="595">
        <f t="shared" si="34"/>
        <v>0</v>
      </c>
      <c r="AC156" s="622"/>
    </row>
    <row r="157" spans="1:29" x14ac:dyDescent="0.2">
      <c r="A157" s="618" t="s">
        <v>755</v>
      </c>
      <c r="B157" s="619" t="s">
        <v>691</v>
      </c>
      <c r="C157" s="620">
        <v>244</v>
      </c>
      <c r="D157" s="620">
        <v>226</v>
      </c>
      <c r="E157" s="596">
        <f t="shared" ref="E157:E209" si="57">L157+K157+J157+H157+G157+F157</f>
        <v>9002.7000000000007</v>
      </c>
      <c r="F157" s="595">
        <f>'[8]Прилож 4 24 (2)'!$V$11</f>
        <v>0</v>
      </c>
      <c r="G157" s="595">
        <f>'Прилож 4 24'!W158</f>
        <v>0</v>
      </c>
      <c r="H157" s="595">
        <f>'Прилож 4 24'!X158</f>
        <v>7643.22</v>
      </c>
      <c r="I157" s="623"/>
      <c r="J157" s="595">
        <f>'Прилож 4 24'!Z158</f>
        <v>0</v>
      </c>
      <c r="K157" s="595">
        <f>'Прилож 4 24'!AA158</f>
        <v>0</v>
      </c>
      <c r="L157" s="595">
        <f>'Прилож 4 24'!AB158</f>
        <v>1359.48</v>
      </c>
      <c r="M157" s="596">
        <f t="shared" si="44"/>
        <v>0</v>
      </c>
      <c r="N157" s="595"/>
      <c r="O157" s="595"/>
      <c r="P157" s="595"/>
      <c r="Q157" s="621"/>
      <c r="R157" s="595"/>
      <c r="S157" s="595"/>
      <c r="T157" s="595"/>
      <c r="U157" s="596">
        <f t="shared" si="31"/>
        <v>9002.7000000000007</v>
      </c>
      <c r="V157" s="595">
        <f t="shared" si="32"/>
        <v>0</v>
      </c>
      <c r="W157" s="595">
        <f t="shared" si="33"/>
        <v>0</v>
      </c>
      <c r="X157" s="595">
        <f t="shared" si="33"/>
        <v>7643.22</v>
      </c>
      <c r="Y157" s="628"/>
      <c r="Z157" s="595">
        <f t="shared" si="34"/>
        <v>0</v>
      </c>
      <c r="AA157" s="595">
        <f t="shared" si="34"/>
        <v>0</v>
      </c>
      <c r="AB157" s="595">
        <f t="shared" si="34"/>
        <v>1359.48</v>
      </c>
      <c r="AC157" s="622"/>
    </row>
    <row r="158" spans="1:29" ht="55.5" customHeight="1" x14ac:dyDescent="0.2">
      <c r="A158" s="618" t="s">
        <v>756</v>
      </c>
      <c r="B158" s="619" t="s">
        <v>691</v>
      </c>
      <c r="C158" s="620">
        <v>244</v>
      </c>
      <c r="D158" s="620">
        <v>226</v>
      </c>
      <c r="E158" s="596">
        <f t="shared" si="57"/>
        <v>19139.400000000001</v>
      </c>
      <c r="F158" s="595">
        <f>'[8]Прилож 4 24 (2)'!$V$11</f>
        <v>0</v>
      </c>
      <c r="G158" s="595">
        <f>'Прилож 4 24'!W159</f>
        <v>0</v>
      </c>
      <c r="H158" s="595">
        <f>'Прилож 4 24'!X159</f>
        <v>16249.23</v>
      </c>
      <c r="I158" s="623"/>
      <c r="J158" s="595">
        <f>'Прилож 4 24'!Z159</f>
        <v>0</v>
      </c>
      <c r="K158" s="595">
        <f>'Прилож 4 24'!AA159</f>
        <v>0</v>
      </c>
      <c r="L158" s="595">
        <f>'Прилож 4 24'!AB159</f>
        <v>2890.17</v>
      </c>
      <c r="M158" s="596">
        <f t="shared" si="44"/>
        <v>0</v>
      </c>
      <c r="N158" s="595"/>
      <c r="O158" s="595"/>
      <c r="P158" s="595"/>
      <c r="Q158" s="621"/>
      <c r="R158" s="595"/>
      <c r="S158" s="595"/>
      <c r="T158" s="595"/>
      <c r="U158" s="596">
        <f t="shared" ref="U158:U210" si="58">V158+X158+Z158+AA158+AB158+W158</f>
        <v>19139.400000000001</v>
      </c>
      <c r="V158" s="595">
        <f t="shared" si="32"/>
        <v>0</v>
      </c>
      <c r="W158" s="595">
        <f t="shared" si="33"/>
        <v>0</v>
      </c>
      <c r="X158" s="595">
        <f t="shared" si="33"/>
        <v>16249.23</v>
      </c>
      <c r="Y158" s="628"/>
      <c r="Z158" s="595">
        <f t="shared" si="34"/>
        <v>0</v>
      </c>
      <c r="AA158" s="595">
        <f t="shared" si="34"/>
        <v>0</v>
      </c>
      <c r="AB158" s="595">
        <f t="shared" si="34"/>
        <v>2890.17</v>
      </c>
      <c r="AC158" s="622"/>
    </row>
    <row r="159" spans="1:29" x14ac:dyDescent="0.2">
      <c r="A159" s="618" t="s">
        <v>706</v>
      </c>
      <c r="B159" s="619" t="s">
        <v>691</v>
      </c>
      <c r="C159" s="620">
        <v>244</v>
      </c>
      <c r="D159" s="620">
        <v>226</v>
      </c>
      <c r="E159" s="596">
        <f t="shared" si="57"/>
        <v>926.1</v>
      </c>
      <c r="F159" s="595">
        <f>'[8]Прилож 4 24 (2)'!$V$11</f>
        <v>0</v>
      </c>
      <c r="G159" s="595">
        <f>'Прилож 4 24'!W160</f>
        <v>0</v>
      </c>
      <c r="H159" s="595">
        <f>'Прилож 4 24'!X160</f>
        <v>786.25</v>
      </c>
      <c r="I159" s="623"/>
      <c r="J159" s="595">
        <f>'Прилож 4 24'!Z160</f>
        <v>0</v>
      </c>
      <c r="K159" s="595">
        <f>'Прилож 4 24'!AA160</f>
        <v>0</v>
      </c>
      <c r="L159" s="595">
        <f>'Прилож 4 24'!AB160</f>
        <v>139.85</v>
      </c>
      <c r="M159" s="596">
        <f t="shared" si="44"/>
        <v>0</v>
      </c>
      <c r="N159" s="595"/>
      <c r="O159" s="595"/>
      <c r="P159" s="595"/>
      <c r="Q159" s="621"/>
      <c r="R159" s="595"/>
      <c r="S159" s="595"/>
      <c r="T159" s="595"/>
      <c r="U159" s="596">
        <f t="shared" si="58"/>
        <v>926.1</v>
      </c>
      <c r="V159" s="595">
        <f t="shared" si="32"/>
        <v>0</v>
      </c>
      <c r="W159" s="595">
        <f t="shared" si="33"/>
        <v>0</v>
      </c>
      <c r="X159" s="595">
        <f t="shared" si="33"/>
        <v>786.25</v>
      </c>
      <c r="Y159" s="628"/>
      <c r="Z159" s="595">
        <f t="shared" si="34"/>
        <v>0</v>
      </c>
      <c r="AA159" s="595">
        <f t="shared" si="34"/>
        <v>0</v>
      </c>
      <c r="AB159" s="595">
        <f t="shared" si="34"/>
        <v>139.85</v>
      </c>
      <c r="AC159" s="622"/>
    </row>
    <row r="160" spans="1:29" s="637" customFormat="1" x14ac:dyDescent="0.2">
      <c r="A160" s="632" t="s">
        <v>1143</v>
      </c>
      <c r="B160" s="633" t="s">
        <v>691</v>
      </c>
      <c r="C160" s="634">
        <v>244</v>
      </c>
      <c r="D160" s="634">
        <v>226</v>
      </c>
      <c r="E160" s="597">
        <f>SUM(E154:E159)</f>
        <v>296905.13</v>
      </c>
      <c r="F160" s="595">
        <f>'[8]Прилож 4 24 (2)'!$V$11</f>
        <v>0</v>
      </c>
      <c r="G160" s="595">
        <f>'Прилож 4 24'!W161</f>
        <v>0</v>
      </c>
      <c r="H160" s="595">
        <f>'Прилож 4 24'!X161</f>
        <v>232413.99</v>
      </c>
      <c r="I160" s="635"/>
      <c r="J160" s="595">
        <f>'Прилож 4 24'!Z161</f>
        <v>0</v>
      </c>
      <c r="K160" s="595">
        <f>'Прилож 4 24'!AA161</f>
        <v>0</v>
      </c>
      <c r="L160" s="595">
        <f>'Прилож 4 24'!AB161</f>
        <v>64491.14</v>
      </c>
      <c r="M160" s="596">
        <f t="shared" si="44"/>
        <v>32288.77</v>
      </c>
      <c r="N160" s="597">
        <f t="shared" ref="N160:AB160" si="59">SUM(N154:N159)</f>
        <v>32288.77</v>
      </c>
      <c r="O160" s="597">
        <f t="shared" si="59"/>
        <v>0</v>
      </c>
      <c r="P160" s="597">
        <f t="shared" si="59"/>
        <v>0</v>
      </c>
      <c r="Q160" s="635"/>
      <c r="R160" s="597">
        <f t="shared" si="59"/>
        <v>0</v>
      </c>
      <c r="S160" s="597">
        <f t="shared" si="59"/>
        <v>0</v>
      </c>
      <c r="T160" s="597">
        <f t="shared" si="59"/>
        <v>0</v>
      </c>
      <c r="U160" s="597">
        <f t="shared" si="59"/>
        <v>329193.90000000002</v>
      </c>
      <c r="V160" s="597">
        <f t="shared" si="59"/>
        <v>32288.77</v>
      </c>
      <c r="W160" s="597">
        <f t="shared" si="59"/>
        <v>0</v>
      </c>
      <c r="X160" s="597">
        <f t="shared" si="59"/>
        <v>232413.99</v>
      </c>
      <c r="Y160" s="635"/>
      <c r="Z160" s="597">
        <f t="shared" si="59"/>
        <v>0</v>
      </c>
      <c r="AA160" s="597">
        <f t="shared" si="59"/>
        <v>0</v>
      </c>
      <c r="AB160" s="597">
        <f t="shared" si="59"/>
        <v>64491.14</v>
      </c>
      <c r="AC160" s="636"/>
    </row>
    <row r="161" spans="1:29" s="614" customFormat="1" x14ac:dyDescent="0.2">
      <c r="A161" s="630" t="s">
        <v>739</v>
      </c>
      <c r="B161" s="631"/>
      <c r="C161" s="624"/>
      <c r="D161" s="624"/>
      <c r="E161" s="596">
        <f>E160+E153+E141</f>
        <v>932366.97</v>
      </c>
      <c r="F161" s="595">
        <f>'[8]Прилож 4 24 (2)'!$V$11</f>
        <v>0</v>
      </c>
      <c r="G161" s="595">
        <f>'Прилож 4 24'!W162</f>
        <v>0</v>
      </c>
      <c r="H161" s="595">
        <f>'Прилож 4 24'!X162</f>
        <v>867875.82999999984</v>
      </c>
      <c r="I161" s="626"/>
      <c r="J161" s="595">
        <f>'Прилож 4 24'!Z162</f>
        <v>0</v>
      </c>
      <c r="K161" s="595">
        <f>'Прилож 4 24'!AA162</f>
        <v>0</v>
      </c>
      <c r="L161" s="595">
        <f>'Прилож 4 24'!AB162</f>
        <v>64491.14</v>
      </c>
      <c r="M161" s="596">
        <f t="shared" si="44"/>
        <v>38673.770000000004</v>
      </c>
      <c r="N161" s="596">
        <f>N160+N153+N141</f>
        <v>32288.77</v>
      </c>
      <c r="O161" s="596">
        <f>O160+O153+O141</f>
        <v>0</v>
      </c>
      <c r="P161" s="596">
        <f>P160+P153+P141</f>
        <v>6385</v>
      </c>
      <c r="Q161" s="626"/>
      <c r="R161" s="596">
        <f t="shared" ref="R161:X161" si="60">R160+R153+R141</f>
        <v>0</v>
      </c>
      <c r="S161" s="596">
        <f t="shared" si="60"/>
        <v>0</v>
      </c>
      <c r="T161" s="596">
        <f t="shared" si="60"/>
        <v>0</v>
      </c>
      <c r="U161" s="596">
        <f t="shared" si="60"/>
        <v>971040.74</v>
      </c>
      <c r="V161" s="596">
        <f t="shared" si="60"/>
        <v>32288.77</v>
      </c>
      <c r="W161" s="596">
        <f t="shared" si="60"/>
        <v>0</v>
      </c>
      <c r="X161" s="596">
        <f t="shared" si="60"/>
        <v>874260.82999999984</v>
      </c>
      <c r="Y161" s="626"/>
      <c r="Z161" s="596">
        <f>Z160+Z153+Z141</f>
        <v>0</v>
      </c>
      <c r="AA161" s="596">
        <f>AA160+AA153+AA141</f>
        <v>0</v>
      </c>
      <c r="AB161" s="596">
        <f>AB160+AB153+AB141</f>
        <v>64491.14</v>
      </c>
      <c r="AC161" s="627"/>
    </row>
    <row r="162" spans="1:29" ht="34.5" customHeight="1" x14ac:dyDescent="0.2">
      <c r="A162" s="618" t="s">
        <v>637</v>
      </c>
      <c r="B162" s="619" t="s">
        <v>729</v>
      </c>
      <c r="C162" s="620">
        <v>244</v>
      </c>
      <c r="D162" s="620">
        <v>227</v>
      </c>
      <c r="E162" s="596">
        <f t="shared" si="57"/>
        <v>10000</v>
      </c>
      <c r="F162" s="595">
        <f>'[8]Прилож 4 24 (2)'!$V$11</f>
        <v>0</v>
      </c>
      <c r="G162" s="595">
        <f>'Прилож 4 24'!W163</f>
        <v>0</v>
      </c>
      <c r="H162" s="595">
        <f>'Прилож 4 24'!X163</f>
        <v>10000</v>
      </c>
      <c r="I162" s="623"/>
      <c r="J162" s="595">
        <f>'Прилож 4 24'!Z163</f>
        <v>0</v>
      </c>
      <c r="K162" s="595">
        <f>'Прилож 4 24'!AA163</f>
        <v>0</v>
      </c>
      <c r="L162" s="595">
        <f>'Прилож 4 24'!AB163</f>
        <v>0</v>
      </c>
      <c r="M162" s="596">
        <f t="shared" si="44"/>
        <v>0</v>
      </c>
      <c r="N162" s="595"/>
      <c r="O162" s="595"/>
      <c r="P162" s="595"/>
      <c r="Q162" s="621"/>
      <c r="R162" s="595"/>
      <c r="S162" s="595"/>
      <c r="T162" s="595"/>
      <c r="U162" s="596">
        <f t="shared" si="58"/>
        <v>10000</v>
      </c>
      <c r="V162" s="595">
        <f t="shared" si="32"/>
        <v>0</v>
      </c>
      <c r="W162" s="595">
        <f t="shared" si="33"/>
        <v>0</v>
      </c>
      <c r="X162" s="595">
        <f t="shared" si="33"/>
        <v>10000</v>
      </c>
      <c r="Y162" s="628"/>
      <c r="Z162" s="595">
        <f t="shared" si="34"/>
        <v>0</v>
      </c>
      <c r="AA162" s="595">
        <f t="shared" si="34"/>
        <v>0</v>
      </c>
      <c r="AB162" s="595">
        <f t="shared" si="34"/>
        <v>0</v>
      </c>
      <c r="AC162" s="622"/>
    </row>
    <row r="163" spans="1:29" ht="25.5" customHeight="1" x14ac:dyDescent="0.2">
      <c r="A163" s="618" t="s">
        <v>678</v>
      </c>
      <c r="B163" s="619" t="s">
        <v>691</v>
      </c>
      <c r="C163" s="620">
        <v>244</v>
      </c>
      <c r="D163" s="620">
        <v>227</v>
      </c>
      <c r="E163" s="596">
        <f t="shared" si="57"/>
        <v>1827</v>
      </c>
      <c r="F163" s="595">
        <f>'[8]Прилож 4 24 (2)'!$V$11</f>
        <v>0</v>
      </c>
      <c r="G163" s="595">
        <f>'Прилож 4 24'!W164</f>
        <v>0</v>
      </c>
      <c r="H163" s="595">
        <f>'Прилож 4 24'!X164</f>
        <v>1551.11</v>
      </c>
      <c r="I163" s="623"/>
      <c r="J163" s="595">
        <f>'Прилож 4 24'!Z164</f>
        <v>0</v>
      </c>
      <c r="K163" s="595">
        <f>'Прилож 4 24'!AA164</f>
        <v>0</v>
      </c>
      <c r="L163" s="595">
        <f>'Прилож 4 24'!AB164</f>
        <v>275.89</v>
      </c>
      <c r="M163" s="596">
        <f t="shared" si="44"/>
        <v>0</v>
      </c>
      <c r="N163" s="595"/>
      <c r="O163" s="595"/>
      <c r="P163" s="595"/>
      <c r="Q163" s="621"/>
      <c r="R163" s="595"/>
      <c r="S163" s="595"/>
      <c r="T163" s="595"/>
      <c r="U163" s="596">
        <f t="shared" si="58"/>
        <v>1827</v>
      </c>
      <c r="V163" s="595">
        <f t="shared" si="32"/>
        <v>0</v>
      </c>
      <c r="W163" s="595">
        <f t="shared" si="33"/>
        <v>0</v>
      </c>
      <c r="X163" s="595">
        <f t="shared" si="33"/>
        <v>1551.11</v>
      </c>
      <c r="Y163" s="628"/>
      <c r="Z163" s="595">
        <f t="shared" si="34"/>
        <v>0</v>
      </c>
      <c r="AA163" s="595">
        <f t="shared" si="34"/>
        <v>0</v>
      </c>
      <c r="AB163" s="595">
        <f t="shared" si="34"/>
        <v>275.89</v>
      </c>
      <c r="AC163" s="622"/>
    </row>
    <row r="164" spans="1:29" s="614" customFormat="1" x14ac:dyDescent="0.2">
      <c r="A164" s="630" t="s">
        <v>740</v>
      </c>
      <c r="B164" s="631"/>
      <c r="C164" s="624"/>
      <c r="D164" s="624"/>
      <c r="E164" s="596">
        <f>SUM(E162:E163)</f>
        <v>11827</v>
      </c>
      <c r="F164" s="595">
        <f>'[8]Прилож 4 24 (2)'!$V$11</f>
        <v>0</v>
      </c>
      <c r="G164" s="595">
        <f>'Прилож 4 24'!W165</f>
        <v>0</v>
      </c>
      <c r="H164" s="595">
        <f>'Прилож 4 24'!X165</f>
        <v>11551.11</v>
      </c>
      <c r="I164" s="626">
        <f t="shared" ref="I164:AB164" si="61">SUM(I162:I163)</f>
        <v>0</v>
      </c>
      <c r="J164" s="595">
        <f>'Прилож 4 24'!Z165</f>
        <v>0</v>
      </c>
      <c r="K164" s="595">
        <f>'Прилож 4 24'!AA165</f>
        <v>0</v>
      </c>
      <c r="L164" s="595">
        <f>'Прилож 4 24'!AB165</f>
        <v>275.89</v>
      </c>
      <c r="M164" s="596">
        <f t="shared" si="44"/>
        <v>0</v>
      </c>
      <c r="N164" s="596">
        <f t="shared" si="61"/>
        <v>0</v>
      </c>
      <c r="O164" s="596">
        <f t="shared" si="61"/>
        <v>0</v>
      </c>
      <c r="P164" s="596">
        <f t="shared" si="61"/>
        <v>0</v>
      </c>
      <c r="Q164" s="626"/>
      <c r="R164" s="596">
        <f t="shared" si="61"/>
        <v>0</v>
      </c>
      <c r="S164" s="596">
        <f t="shared" si="61"/>
        <v>0</v>
      </c>
      <c r="T164" s="596">
        <f t="shared" si="61"/>
        <v>0</v>
      </c>
      <c r="U164" s="596">
        <f t="shared" si="61"/>
        <v>11827</v>
      </c>
      <c r="V164" s="596">
        <f t="shared" si="61"/>
        <v>0</v>
      </c>
      <c r="W164" s="596">
        <f t="shared" si="61"/>
        <v>0</v>
      </c>
      <c r="X164" s="596">
        <f t="shared" si="61"/>
        <v>11551.11</v>
      </c>
      <c r="Y164" s="626"/>
      <c r="Z164" s="596">
        <f t="shared" si="61"/>
        <v>0</v>
      </c>
      <c r="AA164" s="596">
        <f t="shared" si="61"/>
        <v>0</v>
      </c>
      <c r="AB164" s="596">
        <f t="shared" si="61"/>
        <v>275.89</v>
      </c>
      <c r="AC164" s="627"/>
    </row>
    <row r="165" spans="1:29" x14ac:dyDescent="0.2">
      <c r="A165" s="618" t="s">
        <v>1227</v>
      </c>
      <c r="B165" s="619" t="s">
        <v>747</v>
      </c>
      <c r="C165" s="620">
        <v>244</v>
      </c>
      <c r="D165" s="620">
        <v>310</v>
      </c>
      <c r="E165" s="596">
        <f>L165+K165+J165+H165+G165+F165</f>
        <v>4025</v>
      </c>
      <c r="F165" s="595">
        <f>'[8]Прилож 4 24 (2)'!$V$11</f>
        <v>0</v>
      </c>
      <c r="G165" s="595">
        <f>'Прилож 4 24'!W166</f>
        <v>0</v>
      </c>
      <c r="H165" s="595">
        <f>'Прилож 4 24'!X166</f>
        <v>0</v>
      </c>
      <c r="I165" s="621" t="s">
        <v>1250</v>
      </c>
      <c r="J165" s="595">
        <f>'Прилож 4 24'!Z166</f>
        <v>0</v>
      </c>
      <c r="K165" s="595">
        <f>'Прилож 4 24'!AA166</f>
        <v>4025</v>
      </c>
      <c r="L165" s="595">
        <f>'Прилож 4 24'!AB166</f>
        <v>0</v>
      </c>
      <c r="M165" s="596">
        <f t="shared" si="44"/>
        <v>0</v>
      </c>
      <c r="N165" s="595"/>
      <c r="O165" s="595"/>
      <c r="P165" s="595"/>
      <c r="Q165" s="621"/>
      <c r="R165" s="595"/>
      <c r="S165" s="595"/>
      <c r="T165" s="595"/>
      <c r="U165" s="596">
        <f t="shared" si="58"/>
        <v>4025</v>
      </c>
      <c r="V165" s="595">
        <f t="shared" ref="V165:V210" si="62">F165+N165</f>
        <v>0</v>
      </c>
      <c r="W165" s="595">
        <f t="shared" ref="W165:X210" si="63">O165+G165</f>
        <v>0</v>
      </c>
      <c r="X165" s="595">
        <f t="shared" si="63"/>
        <v>0</v>
      </c>
      <c r="Y165" s="621" t="s">
        <v>1250</v>
      </c>
      <c r="Z165" s="595">
        <f t="shared" ref="Z165:AB210" si="64">R165+J165</f>
        <v>0</v>
      </c>
      <c r="AA165" s="595">
        <f t="shared" si="64"/>
        <v>4025</v>
      </c>
      <c r="AB165" s="595">
        <f t="shared" si="64"/>
        <v>0</v>
      </c>
      <c r="AC165" s="622"/>
    </row>
    <row r="166" spans="1:29" ht="47.25" x14ac:dyDescent="0.2">
      <c r="A166" s="618" t="s">
        <v>1228</v>
      </c>
      <c r="B166" s="619" t="s">
        <v>747</v>
      </c>
      <c r="C166" s="620">
        <v>244</v>
      </c>
      <c r="D166" s="620">
        <v>310</v>
      </c>
      <c r="E166" s="596">
        <f t="shared" si="57"/>
        <v>4638</v>
      </c>
      <c r="F166" s="595">
        <f>'[8]Прилож 4 24 (2)'!$V$11</f>
        <v>0</v>
      </c>
      <c r="G166" s="595">
        <f>'Прилож 4 24'!W167</f>
        <v>0</v>
      </c>
      <c r="H166" s="595">
        <f>'Прилож 4 24'!X167</f>
        <v>0</v>
      </c>
      <c r="I166" s="621" t="s">
        <v>1250</v>
      </c>
      <c r="J166" s="595">
        <f>'Прилож 4 24'!Z167</f>
        <v>0</v>
      </c>
      <c r="K166" s="595">
        <f>'Прилож 4 24'!AA167</f>
        <v>4638</v>
      </c>
      <c r="L166" s="595">
        <f>'Прилож 4 24'!AB167</f>
        <v>0</v>
      </c>
      <c r="M166" s="596">
        <f t="shared" si="44"/>
        <v>0</v>
      </c>
      <c r="N166" s="595"/>
      <c r="O166" s="595"/>
      <c r="P166" s="595"/>
      <c r="Q166" s="621"/>
      <c r="R166" s="595"/>
      <c r="S166" s="595"/>
      <c r="T166" s="595"/>
      <c r="U166" s="596">
        <f t="shared" si="58"/>
        <v>4638</v>
      </c>
      <c r="V166" s="595">
        <f t="shared" si="62"/>
        <v>0</v>
      </c>
      <c r="W166" s="595">
        <f t="shared" si="63"/>
        <v>0</v>
      </c>
      <c r="X166" s="595">
        <f t="shared" si="63"/>
        <v>0</v>
      </c>
      <c r="Y166" s="621" t="s">
        <v>1250</v>
      </c>
      <c r="Z166" s="595">
        <f t="shared" si="64"/>
        <v>0</v>
      </c>
      <c r="AA166" s="595">
        <f t="shared" si="64"/>
        <v>4638</v>
      </c>
      <c r="AB166" s="595">
        <f t="shared" si="64"/>
        <v>0</v>
      </c>
      <c r="AC166" s="622"/>
    </row>
    <row r="167" spans="1:29" ht="31.5" x14ac:dyDescent="0.2">
      <c r="A167" s="618" t="s">
        <v>1229</v>
      </c>
      <c r="B167" s="619" t="s">
        <v>747</v>
      </c>
      <c r="C167" s="620">
        <v>244</v>
      </c>
      <c r="D167" s="620">
        <v>310</v>
      </c>
      <c r="E167" s="596">
        <f t="shared" si="57"/>
        <v>93768</v>
      </c>
      <c r="F167" s="595">
        <f>'[8]Прилож 4 24 (2)'!$V$11</f>
        <v>0</v>
      </c>
      <c r="G167" s="595">
        <f>'Прилож 4 24'!W168</f>
        <v>0</v>
      </c>
      <c r="H167" s="595">
        <f>'Прилож 4 24'!X168</f>
        <v>0</v>
      </c>
      <c r="I167" s="621" t="s">
        <v>1250</v>
      </c>
      <c r="J167" s="595">
        <f>'Прилож 4 24'!Z168</f>
        <v>0</v>
      </c>
      <c r="K167" s="595">
        <f>'Прилож 4 24'!AA168</f>
        <v>93768</v>
      </c>
      <c r="L167" s="595">
        <f>'Прилож 4 24'!AB168</f>
        <v>0</v>
      </c>
      <c r="M167" s="596">
        <f t="shared" si="44"/>
        <v>0</v>
      </c>
      <c r="N167" s="595"/>
      <c r="O167" s="595"/>
      <c r="P167" s="595"/>
      <c r="Q167" s="621"/>
      <c r="R167" s="595"/>
      <c r="S167" s="595"/>
      <c r="T167" s="595"/>
      <c r="U167" s="596">
        <f t="shared" si="58"/>
        <v>93768</v>
      </c>
      <c r="V167" s="595">
        <f t="shared" si="62"/>
        <v>0</v>
      </c>
      <c r="W167" s="595"/>
      <c r="X167" s="595"/>
      <c r="Y167" s="621" t="s">
        <v>1250</v>
      </c>
      <c r="Z167" s="595"/>
      <c r="AA167" s="595">
        <f t="shared" si="64"/>
        <v>93768</v>
      </c>
      <c r="AB167" s="595"/>
      <c r="AC167" s="622"/>
    </row>
    <row r="168" spans="1:29" x14ac:dyDescent="0.2">
      <c r="A168" s="618" t="s">
        <v>1284</v>
      </c>
      <c r="B168" s="619" t="s">
        <v>747</v>
      </c>
      <c r="C168" s="620">
        <v>244</v>
      </c>
      <c r="D168" s="620">
        <v>310</v>
      </c>
      <c r="E168" s="596"/>
      <c r="F168" s="595">
        <f>'[8]Прилож 4 24 (2)'!$V$11</f>
        <v>0</v>
      </c>
      <c r="G168" s="595"/>
      <c r="H168" s="595"/>
      <c r="I168" s="621"/>
      <c r="J168" s="595"/>
      <c r="K168" s="595"/>
      <c r="L168" s="597">
        <f t="shared" ref="L168" si="65">SUM(L165:L167)</f>
        <v>0</v>
      </c>
      <c r="M168" s="596">
        <f t="shared" ref="M168" si="66">N168+P168+R168+S168+T168+O168</f>
        <v>18000</v>
      </c>
      <c r="N168" s="595">
        <v>18000</v>
      </c>
      <c r="O168" s="595"/>
      <c r="P168" s="595"/>
      <c r="Q168" s="621"/>
      <c r="R168" s="595"/>
      <c r="S168" s="595"/>
      <c r="T168" s="595"/>
      <c r="U168" s="596">
        <f>V168</f>
        <v>18000</v>
      </c>
      <c r="V168" s="597">
        <f>N168</f>
        <v>18000</v>
      </c>
      <c r="W168" s="595"/>
      <c r="X168" s="595"/>
      <c r="Y168" s="621"/>
      <c r="Z168" s="595"/>
      <c r="AA168" s="595"/>
      <c r="AB168" s="595"/>
      <c r="AC168" s="622" t="s">
        <v>1111</v>
      </c>
    </row>
    <row r="169" spans="1:29" s="637" customFormat="1" x14ac:dyDescent="0.2">
      <c r="A169" s="632" t="s">
        <v>783</v>
      </c>
      <c r="B169" s="633"/>
      <c r="C169" s="634"/>
      <c r="D169" s="634"/>
      <c r="E169" s="597">
        <f t="shared" ref="E169:J169" si="67">SUM(E165:E167)</f>
        <v>102431</v>
      </c>
      <c r="F169" s="595">
        <f>'[8]Прилож 4 24 (2)'!$V$11</f>
        <v>0</v>
      </c>
      <c r="G169" s="597">
        <f t="shared" si="67"/>
        <v>0</v>
      </c>
      <c r="H169" s="597">
        <f t="shared" si="67"/>
        <v>0</v>
      </c>
      <c r="I169" s="597">
        <f t="shared" si="67"/>
        <v>0</v>
      </c>
      <c r="J169" s="597">
        <f t="shared" si="67"/>
        <v>0</v>
      </c>
      <c r="K169" s="597">
        <f>SUM(K165:K168)</f>
        <v>102431</v>
      </c>
      <c r="L169" s="597">
        <f t="shared" ref="L169:AB169" si="68">SUM(L165:L168)</f>
        <v>0</v>
      </c>
      <c r="M169" s="597">
        <f t="shared" si="68"/>
        <v>18000</v>
      </c>
      <c r="N169" s="597">
        <f t="shared" si="68"/>
        <v>18000</v>
      </c>
      <c r="O169" s="597">
        <f t="shared" si="68"/>
        <v>0</v>
      </c>
      <c r="P169" s="597">
        <f t="shared" si="68"/>
        <v>0</v>
      </c>
      <c r="Q169" s="597">
        <f t="shared" si="68"/>
        <v>0</v>
      </c>
      <c r="R169" s="597">
        <f t="shared" si="68"/>
        <v>0</v>
      </c>
      <c r="S169" s="597">
        <f t="shared" si="68"/>
        <v>0</v>
      </c>
      <c r="T169" s="597">
        <f t="shared" si="68"/>
        <v>0</v>
      </c>
      <c r="U169" s="597">
        <f t="shared" si="68"/>
        <v>120431</v>
      </c>
      <c r="V169" s="597">
        <f t="shared" si="68"/>
        <v>18000</v>
      </c>
      <c r="W169" s="597">
        <f t="shared" si="68"/>
        <v>0</v>
      </c>
      <c r="X169" s="597">
        <f t="shared" si="68"/>
        <v>0</v>
      </c>
      <c r="Y169" s="597">
        <f t="shared" si="68"/>
        <v>0</v>
      </c>
      <c r="Z169" s="597">
        <f t="shared" si="68"/>
        <v>0</v>
      </c>
      <c r="AA169" s="597">
        <f t="shared" si="68"/>
        <v>102431</v>
      </c>
      <c r="AB169" s="597">
        <f t="shared" si="68"/>
        <v>0</v>
      </c>
      <c r="AC169" s="636"/>
    </row>
    <row r="170" spans="1:29" ht="31.5" x14ac:dyDescent="0.2">
      <c r="A170" s="618" t="s">
        <v>1281</v>
      </c>
      <c r="B170" s="619" t="s">
        <v>729</v>
      </c>
      <c r="C170" s="620">
        <v>244</v>
      </c>
      <c r="D170" s="620">
        <v>310</v>
      </c>
      <c r="E170" s="596"/>
      <c r="F170" s="595">
        <f>'[8]Прилож 4 24 (2)'!$V$11</f>
        <v>0</v>
      </c>
      <c r="G170" s="595"/>
      <c r="H170" s="595"/>
      <c r="I170" s="621"/>
      <c r="J170" s="595"/>
      <c r="K170" s="595"/>
      <c r="L170" s="597">
        <f>SUM(L166:L169)</f>
        <v>0</v>
      </c>
      <c r="M170" s="596">
        <f t="shared" si="44"/>
        <v>50000</v>
      </c>
      <c r="N170" s="595">
        <v>50000</v>
      </c>
      <c r="O170" s="595"/>
      <c r="P170" s="595"/>
      <c r="Q170" s="621"/>
      <c r="R170" s="595"/>
      <c r="S170" s="595"/>
      <c r="T170" s="595"/>
      <c r="U170" s="596">
        <f>V170</f>
        <v>50000</v>
      </c>
      <c r="V170" s="597">
        <f>N170</f>
        <v>50000</v>
      </c>
      <c r="W170" s="595"/>
      <c r="X170" s="595"/>
      <c r="Y170" s="621"/>
      <c r="Z170" s="595"/>
      <c r="AA170" s="595"/>
      <c r="AB170" s="595"/>
      <c r="AC170" s="622"/>
    </row>
    <row r="171" spans="1:29" x14ac:dyDescent="0.2">
      <c r="A171" s="618" t="s">
        <v>1282</v>
      </c>
      <c r="B171" s="619" t="s">
        <v>729</v>
      </c>
      <c r="C171" s="620">
        <v>244</v>
      </c>
      <c r="D171" s="620">
        <v>310</v>
      </c>
      <c r="E171" s="596"/>
      <c r="F171" s="595">
        <f>'[8]Прилож 4 24 (2)'!$V$11</f>
        <v>0</v>
      </c>
      <c r="G171" s="595"/>
      <c r="H171" s="595"/>
      <c r="I171" s="621"/>
      <c r="J171" s="595"/>
      <c r="K171" s="595"/>
      <c r="L171" s="597">
        <f>SUM(L167:L170)</f>
        <v>0</v>
      </c>
      <c r="M171" s="596">
        <f t="shared" si="44"/>
        <v>680000</v>
      </c>
      <c r="N171" s="595">
        <v>680000</v>
      </c>
      <c r="O171" s="595"/>
      <c r="P171" s="595"/>
      <c r="Q171" s="621"/>
      <c r="R171" s="595"/>
      <c r="S171" s="595"/>
      <c r="T171" s="595"/>
      <c r="U171" s="596">
        <f>V171</f>
        <v>680000</v>
      </c>
      <c r="V171" s="597">
        <f>N171</f>
        <v>680000</v>
      </c>
      <c r="W171" s="595"/>
      <c r="X171" s="595"/>
      <c r="Y171" s="621"/>
      <c r="Z171" s="595"/>
      <c r="AA171" s="595"/>
      <c r="AB171" s="595"/>
      <c r="AC171" s="622"/>
    </row>
    <row r="172" spans="1:29" x14ac:dyDescent="0.2">
      <c r="A172" s="618" t="s">
        <v>1284</v>
      </c>
      <c r="B172" s="619" t="s">
        <v>729</v>
      </c>
      <c r="C172" s="620">
        <v>244</v>
      </c>
      <c r="D172" s="620">
        <v>310</v>
      </c>
      <c r="E172" s="596"/>
      <c r="F172" s="595">
        <f>'[8]Прилож 4 24 (2)'!$V$11</f>
        <v>0</v>
      </c>
      <c r="G172" s="595"/>
      <c r="H172" s="595"/>
      <c r="I172" s="621"/>
      <c r="J172" s="595"/>
      <c r="K172" s="595"/>
      <c r="L172" s="597">
        <f t="shared" ref="L172" si="69">SUM(L169:L171)</f>
        <v>0</v>
      </c>
      <c r="M172" s="596">
        <f t="shared" si="44"/>
        <v>27000</v>
      </c>
      <c r="N172" s="595">
        <v>27000</v>
      </c>
      <c r="O172" s="595"/>
      <c r="P172" s="595"/>
      <c r="Q172" s="621"/>
      <c r="R172" s="595"/>
      <c r="S172" s="595"/>
      <c r="T172" s="595"/>
      <c r="U172" s="596">
        <f>V172</f>
        <v>27000</v>
      </c>
      <c r="V172" s="597">
        <f>N172</f>
        <v>27000</v>
      </c>
      <c r="W172" s="595"/>
      <c r="X172" s="595"/>
      <c r="Y172" s="621"/>
      <c r="Z172" s="595"/>
      <c r="AA172" s="595"/>
      <c r="AB172" s="595"/>
      <c r="AC172" s="622"/>
    </row>
    <row r="173" spans="1:29" x14ac:dyDescent="0.2">
      <c r="A173" s="618" t="s">
        <v>1287</v>
      </c>
      <c r="B173" s="619"/>
      <c r="C173" s="620"/>
      <c r="D173" s="620"/>
      <c r="E173" s="596"/>
      <c r="F173" s="595">
        <f>'[8]Прилож 4 24 (2)'!$V$11</f>
        <v>0</v>
      </c>
      <c r="G173" s="595"/>
      <c r="H173" s="595"/>
      <c r="I173" s="621"/>
      <c r="J173" s="595"/>
      <c r="K173" s="595"/>
      <c r="L173" s="597"/>
      <c r="M173" s="596">
        <f t="shared" si="44"/>
        <v>757000</v>
      </c>
      <c r="N173" s="596">
        <f t="shared" ref="N173:AC173" si="70">SUM(N170:N172)</f>
        <v>757000</v>
      </c>
      <c r="O173" s="596">
        <f t="shared" si="70"/>
        <v>0</v>
      </c>
      <c r="P173" s="596">
        <f t="shared" si="70"/>
        <v>0</v>
      </c>
      <c r="Q173" s="596">
        <f t="shared" si="70"/>
        <v>0</v>
      </c>
      <c r="R173" s="596">
        <f t="shared" si="70"/>
        <v>0</v>
      </c>
      <c r="S173" s="596">
        <f t="shared" si="70"/>
        <v>0</v>
      </c>
      <c r="T173" s="596">
        <f t="shared" si="70"/>
        <v>0</v>
      </c>
      <c r="U173" s="596">
        <f t="shared" si="70"/>
        <v>757000</v>
      </c>
      <c r="V173" s="596">
        <f t="shared" si="70"/>
        <v>757000</v>
      </c>
      <c r="W173" s="596">
        <f t="shared" si="70"/>
        <v>0</v>
      </c>
      <c r="X173" s="596">
        <f t="shared" si="70"/>
        <v>0</v>
      </c>
      <c r="Y173" s="596">
        <f t="shared" si="70"/>
        <v>0</v>
      </c>
      <c r="Z173" s="596">
        <f t="shared" si="70"/>
        <v>0</v>
      </c>
      <c r="AA173" s="596">
        <f t="shared" si="70"/>
        <v>0</v>
      </c>
      <c r="AB173" s="596">
        <f t="shared" si="70"/>
        <v>0</v>
      </c>
      <c r="AC173" s="596">
        <f t="shared" si="70"/>
        <v>0</v>
      </c>
    </row>
    <row r="174" spans="1:29" s="614" customFormat="1" ht="29.25" customHeight="1" x14ac:dyDescent="0.2">
      <c r="A174" s="630" t="s">
        <v>741</v>
      </c>
      <c r="B174" s="631"/>
      <c r="C174" s="624"/>
      <c r="D174" s="624"/>
      <c r="E174" s="596">
        <f>SUM(E165:E167)</f>
        <v>102431</v>
      </c>
      <c r="F174" s="595">
        <f>'[8]Прилож 4 24 (2)'!$V$11</f>
        <v>0</v>
      </c>
      <c r="G174" s="595">
        <f>'Прилож 4 24'!W169</f>
        <v>0</v>
      </c>
      <c r="H174" s="595">
        <f>'Прилож 4 24'!X169</f>
        <v>0</v>
      </c>
      <c r="I174" s="626">
        <f>SUM(I165:I167)</f>
        <v>0</v>
      </c>
      <c r="J174" s="595">
        <f>'Прилож 4 24'!Z169</f>
        <v>0</v>
      </c>
      <c r="K174" s="595">
        <f>'Прилож 4 24'!AA169</f>
        <v>102431</v>
      </c>
      <c r="L174" s="595">
        <f>'Прилож 4 24'!AB169</f>
        <v>0</v>
      </c>
      <c r="M174" s="596">
        <f t="shared" si="44"/>
        <v>775000</v>
      </c>
      <c r="N174" s="596">
        <f t="shared" ref="N174:AC174" si="71">N173+N169</f>
        <v>775000</v>
      </c>
      <c r="O174" s="596">
        <f t="shared" si="71"/>
        <v>0</v>
      </c>
      <c r="P174" s="596">
        <f t="shared" si="71"/>
        <v>0</v>
      </c>
      <c r="Q174" s="596">
        <f t="shared" si="71"/>
        <v>0</v>
      </c>
      <c r="R174" s="596">
        <f t="shared" si="71"/>
        <v>0</v>
      </c>
      <c r="S174" s="596">
        <f t="shared" si="71"/>
        <v>0</v>
      </c>
      <c r="T174" s="596">
        <f t="shared" si="71"/>
        <v>0</v>
      </c>
      <c r="U174" s="596">
        <f>U173+U169</f>
        <v>877431</v>
      </c>
      <c r="V174" s="596">
        <f t="shared" si="71"/>
        <v>775000</v>
      </c>
      <c r="W174" s="596">
        <f t="shared" si="71"/>
        <v>0</v>
      </c>
      <c r="X174" s="596">
        <f t="shared" si="71"/>
        <v>0</v>
      </c>
      <c r="Y174" s="596">
        <f t="shared" si="71"/>
        <v>0</v>
      </c>
      <c r="Z174" s="596">
        <f t="shared" si="71"/>
        <v>0</v>
      </c>
      <c r="AA174" s="596">
        <f t="shared" si="71"/>
        <v>102431</v>
      </c>
      <c r="AB174" s="596">
        <f t="shared" si="71"/>
        <v>0</v>
      </c>
      <c r="AC174" s="596">
        <f t="shared" si="71"/>
        <v>0</v>
      </c>
    </row>
    <row r="175" spans="1:29" x14ac:dyDescent="0.2">
      <c r="A175" s="618" t="s">
        <v>588</v>
      </c>
      <c r="B175" s="619" t="s">
        <v>747</v>
      </c>
      <c r="C175" s="620">
        <v>244</v>
      </c>
      <c r="D175" s="620">
        <v>341</v>
      </c>
      <c r="E175" s="596">
        <f t="shared" si="57"/>
        <v>14035</v>
      </c>
      <c r="F175" s="595">
        <f>'[8]Прилож 4 24 (2)'!$V$11</f>
        <v>0</v>
      </c>
      <c r="G175" s="595">
        <f>'Прилож 4 24'!W170</f>
        <v>0</v>
      </c>
      <c r="H175" s="595">
        <f>'Прилож 4 24'!X170</f>
        <v>0</v>
      </c>
      <c r="I175" s="623" t="s">
        <v>1250</v>
      </c>
      <c r="J175" s="595">
        <f>'Прилож 4 24'!Z170</f>
        <v>0</v>
      </c>
      <c r="K175" s="595">
        <f>'Прилож 4 24'!AA170</f>
        <v>14035</v>
      </c>
      <c r="L175" s="595">
        <f>'Прилож 4 24'!AB170</f>
        <v>0</v>
      </c>
      <c r="M175" s="596">
        <f t="shared" si="44"/>
        <v>0</v>
      </c>
      <c r="N175" s="595"/>
      <c r="O175" s="595"/>
      <c r="P175" s="595"/>
      <c r="Q175" s="621"/>
      <c r="R175" s="595"/>
      <c r="S175" s="595"/>
      <c r="T175" s="595"/>
      <c r="U175" s="596">
        <f t="shared" si="58"/>
        <v>14035</v>
      </c>
      <c r="V175" s="595">
        <f t="shared" si="62"/>
        <v>0</v>
      </c>
      <c r="W175" s="595">
        <f t="shared" si="63"/>
        <v>0</v>
      </c>
      <c r="X175" s="595">
        <f t="shared" si="63"/>
        <v>0</v>
      </c>
      <c r="Y175" s="621" t="s">
        <v>1250</v>
      </c>
      <c r="Z175" s="595">
        <f t="shared" si="64"/>
        <v>0</v>
      </c>
      <c r="AA175" s="595">
        <f t="shared" si="64"/>
        <v>14035</v>
      </c>
      <c r="AB175" s="595">
        <f t="shared" si="64"/>
        <v>0</v>
      </c>
      <c r="AC175" s="622"/>
    </row>
    <row r="176" spans="1:29" x14ac:dyDescent="0.2">
      <c r="A176" s="618" t="s">
        <v>588</v>
      </c>
      <c r="B176" s="619" t="s">
        <v>729</v>
      </c>
      <c r="C176" s="620">
        <v>244</v>
      </c>
      <c r="D176" s="620">
        <v>341</v>
      </c>
      <c r="E176" s="596">
        <f t="shared" si="57"/>
        <v>10000</v>
      </c>
      <c r="F176" s="595">
        <f>'[8]Прилож 4 24 (2)'!$V$11</f>
        <v>0</v>
      </c>
      <c r="G176" s="595">
        <f>'Прилож 4 24'!W171</f>
        <v>0</v>
      </c>
      <c r="H176" s="595">
        <f>'Прилож 4 24'!X171</f>
        <v>10000</v>
      </c>
      <c r="I176" s="623"/>
      <c r="J176" s="595">
        <f>'Прилож 4 24'!Z171</f>
        <v>0</v>
      </c>
      <c r="K176" s="595">
        <f>'Прилож 4 24'!AA171</f>
        <v>0</v>
      </c>
      <c r="L176" s="595">
        <f>'Прилож 4 24'!AB171</f>
        <v>0</v>
      </c>
      <c r="M176" s="596">
        <f t="shared" si="44"/>
        <v>0</v>
      </c>
      <c r="N176" s="595"/>
      <c r="O176" s="595"/>
      <c r="P176" s="595"/>
      <c r="Q176" s="621"/>
      <c r="R176" s="595"/>
      <c r="S176" s="595"/>
      <c r="T176" s="595"/>
      <c r="U176" s="596">
        <f t="shared" si="58"/>
        <v>10000</v>
      </c>
      <c r="V176" s="595">
        <f t="shared" si="62"/>
        <v>0</v>
      </c>
      <c r="W176" s="595">
        <f t="shared" si="63"/>
        <v>0</v>
      </c>
      <c r="X176" s="595">
        <f t="shared" si="63"/>
        <v>10000</v>
      </c>
      <c r="Y176" s="628"/>
      <c r="Z176" s="595">
        <f t="shared" si="64"/>
        <v>0</v>
      </c>
      <c r="AA176" s="595">
        <f t="shared" si="64"/>
        <v>0</v>
      </c>
      <c r="AB176" s="595">
        <f t="shared" si="64"/>
        <v>0</v>
      </c>
      <c r="AC176" s="622"/>
    </row>
    <row r="177" spans="1:29" s="614" customFormat="1" ht="26.25" customHeight="1" x14ac:dyDescent="0.2">
      <c r="A177" s="630" t="s">
        <v>742</v>
      </c>
      <c r="B177" s="631"/>
      <c r="C177" s="624"/>
      <c r="D177" s="624"/>
      <c r="E177" s="596">
        <f>SUM(E175:E176)</f>
        <v>24035</v>
      </c>
      <c r="F177" s="595">
        <f>'[8]Прилож 4 24 (2)'!$V$11</f>
        <v>0</v>
      </c>
      <c r="G177" s="595">
        <f>'Прилож 4 24'!W172</f>
        <v>0</v>
      </c>
      <c r="H177" s="595">
        <f>'Прилож 4 24'!X172</f>
        <v>10000</v>
      </c>
      <c r="I177" s="626">
        <f t="shared" ref="I177:AB177" si="72">SUM(I175:I176)</f>
        <v>0</v>
      </c>
      <c r="J177" s="595">
        <f>'Прилож 4 24'!Z172</f>
        <v>0</v>
      </c>
      <c r="K177" s="595">
        <f>'Прилож 4 24'!AA172</f>
        <v>14035</v>
      </c>
      <c r="L177" s="595">
        <f>'Прилож 4 24'!AB172</f>
        <v>0</v>
      </c>
      <c r="M177" s="596">
        <f t="shared" si="44"/>
        <v>0</v>
      </c>
      <c r="N177" s="596">
        <f t="shared" si="72"/>
        <v>0</v>
      </c>
      <c r="O177" s="596">
        <f t="shared" si="72"/>
        <v>0</v>
      </c>
      <c r="P177" s="596">
        <f t="shared" si="72"/>
        <v>0</v>
      </c>
      <c r="Q177" s="626"/>
      <c r="R177" s="596">
        <f t="shared" si="72"/>
        <v>0</v>
      </c>
      <c r="S177" s="596">
        <f t="shared" si="72"/>
        <v>0</v>
      </c>
      <c r="T177" s="596">
        <f t="shared" si="72"/>
        <v>0</v>
      </c>
      <c r="U177" s="596">
        <f t="shared" si="72"/>
        <v>24035</v>
      </c>
      <c r="V177" s="596">
        <f t="shared" si="72"/>
        <v>0</v>
      </c>
      <c r="W177" s="596">
        <f t="shared" si="72"/>
        <v>0</v>
      </c>
      <c r="X177" s="596">
        <f t="shared" si="72"/>
        <v>10000</v>
      </c>
      <c r="Y177" s="626"/>
      <c r="Z177" s="596">
        <f t="shared" si="72"/>
        <v>0</v>
      </c>
      <c r="AA177" s="596">
        <f t="shared" si="72"/>
        <v>14035</v>
      </c>
      <c r="AB177" s="596">
        <f t="shared" si="72"/>
        <v>0</v>
      </c>
      <c r="AC177" s="627"/>
    </row>
    <row r="178" spans="1:29" ht="64.5" customHeight="1" x14ac:dyDescent="0.2">
      <c r="A178" s="618" t="s">
        <v>788</v>
      </c>
      <c r="B178" s="619" t="s">
        <v>747</v>
      </c>
      <c r="C178" s="620">
        <v>244</v>
      </c>
      <c r="D178" s="620">
        <v>342</v>
      </c>
      <c r="E178" s="596">
        <f>L178+K178+J178+H178+G178+F178</f>
        <v>2608650</v>
      </c>
      <c r="F178" s="595">
        <f>'[8]Прилож 4 24 (2)'!$V$11</f>
        <v>0</v>
      </c>
      <c r="G178" s="595">
        <f>'Прилож 4 24'!W173</f>
        <v>0</v>
      </c>
      <c r="H178" s="595">
        <f>'Прилож 4 24'!X173</f>
        <v>851020</v>
      </c>
      <c r="I178" s="623"/>
      <c r="J178" s="595">
        <f>'Прилож 4 24'!Z173</f>
        <v>0</v>
      </c>
      <c r="K178" s="595">
        <f>'Прилож 4 24'!AA173</f>
        <v>0</v>
      </c>
      <c r="L178" s="595">
        <f>'Прилож 4 24'!AB173</f>
        <v>1757630</v>
      </c>
      <c r="M178" s="596">
        <f t="shared" si="44"/>
        <v>-600000</v>
      </c>
      <c r="N178" s="595"/>
      <c r="O178" s="595"/>
      <c r="P178" s="595"/>
      <c r="Q178" s="621"/>
      <c r="R178" s="595"/>
      <c r="S178" s="595"/>
      <c r="T178" s="595">
        <v>-600000</v>
      </c>
      <c r="U178" s="596">
        <f t="shared" si="58"/>
        <v>2008650</v>
      </c>
      <c r="V178" s="595">
        <f t="shared" si="62"/>
        <v>0</v>
      </c>
      <c r="W178" s="595">
        <f t="shared" si="63"/>
        <v>0</v>
      </c>
      <c r="X178" s="595">
        <f t="shared" si="63"/>
        <v>851020</v>
      </c>
      <c r="Y178" s="628"/>
      <c r="Z178" s="595">
        <f t="shared" si="64"/>
        <v>0</v>
      </c>
      <c r="AA178" s="595">
        <f t="shared" si="64"/>
        <v>0</v>
      </c>
      <c r="AB178" s="595">
        <f t="shared" si="64"/>
        <v>1157630</v>
      </c>
      <c r="AC178" s="622" t="s">
        <v>1300</v>
      </c>
    </row>
    <row r="179" spans="1:29" s="614" customFormat="1" ht="26.25" customHeight="1" x14ac:dyDescent="0.2">
      <c r="A179" s="630" t="s">
        <v>786</v>
      </c>
      <c r="B179" s="631"/>
      <c r="C179" s="624"/>
      <c r="D179" s="624"/>
      <c r="E179" s="596">
        <f>SUM(E178)</f>
        <v>2608650</v>
      </c>
      <c r="F179" s="595">
        <f>'[8]Прилож 4 24 (2)'!$V$11</f>
        <v>0</v>
      </c>
      <c r="G179" s="595">
        <f>'Прилож 4 24'!W174</f>
        <v>0</v>
      </c>
      <c r="H179" s="595">
        <f>'Прилож 4 24'!X174</f>
        <v>851020</v>
      </c>
      <c r="I179" s="626">
        <f t="shared" ref="I179:AB179" si="73">SUM(I178)</f>
        <v>0</v>
      </c>
      <c r="J179" s="595">
        <f>'Прилож 4 24'!Z174</f>
        <v>0</v>
      </c>
      <c r="K179" s="595">
        <f>'Прилож 4 24'!AA174</f>
        <v>0</v>
      </c>
      <c r="L179" s="595">
        <f>'Прилож 4 24'!AB174</f>
        <v>1757630</v>
      </c>
      <c r="M179" s="596">
        <f t="shared" si="44"/>
        <v>-600000</v>
      </c>
      <c r="N179" s="596">
        <f t="shared" si="73"/>
        <v>0</v>
      </c>
      <c r="O179" s="596">
        <f t="shared" si="73"/>
        <v>0</v>
      </c>
      <c r="P179" s="596">
        <f t="shared" si="73"/>
        <v>0</v>
      </c>
      <c r="Q179" s="626"/>
      <c r="R179" s="596">
        <f t="shared" si="73"/>
        <v>0</v>
      </c>
      <c r="S179" s="596">
        <f t="shared" si="73"/>
        <v>0</v>
      </c>
      <c r="T179" s="596">
        <f t="shared" si="73"/>
        <v>-600000</v>
      </c>
      <c r="U179" s="596">
        <f t="shared" si="73"/>
        <v>2008650</v>
      </c>
      <c r="V179" s="596">
        <f t="shared" si="73"/>
        <v>0</v>
      </c>
      <c r="W179" s="596">
        <f t="shared" si="73"/>
        <v>0</v>
      </c>
      <c r="X179" s="596">
        <f t="shared" si="73"/>
        <v>851020</v>
      </c>
      <c r="Y179" s="626">
        <f t="shared" si="73"/>
        <v>0</v>
      </c>
      <c r="Z179" s="596">
        <f t="shared" si="73"/>
        <v>0</v>
      </c>
      <c r="AA179" s="596">
        <f t="shared" si="73"/>
        <v>0</v>
      </c>
      <c r="AB179" s="596">
        <f t="shared" si="73"/>
        <v>1157630</v>
      </c>
      <c r="AC179" s="627"/>
    </row>
    <row r="180" spans="1:29" ht="47.25" x14ac:dyDescent="0.2">
      <c r="A180" s="618" t="s">
        <v>793</v>
      </c>
      <c r="B180" s="619" t="s">
        <v>791</v>
      </c>
      <c r="C180" s="620">
        <v>244</v>
      </c>
      <c r="D180" s="620">
        <v>342</v>
      </c>
      <c r="E180" s="596">
        <f t="shared" si="57"/>
        <v>0</v>
      </c>
      <c r="F180" s="595">
        <f>'[8]Прилож 4 24 (2)'!$V$11</f>
        <v>0</v>
      </c>
      <c r="G180" s="595">
        <f>'Прилож 4 24'!W175</f>
        <v>0</v>
      </c>
      <c r="H180" s="595">
        <f>'Прилож 4 24'!X175</f>
        <v>0</v>
      </c>
      <c r="I180" s="623"/>
      <c r="J180" s="595">
        <f>'Прилож 4 24'!Z175</f>
        <v>0</v>
      </c>
      <c r="K180" s="595">
        <f>'Прилож 4 24'!AA175</f>
        <v>0</v>
      </c>
      <c r="L180" s="595">
        <f>'Прилож 4 24'!AB175</f>
        <v>0</v>
      </c>
      <c r="M180" s="596">
        <f t="shared" si="44"/>
        <v>600000</v>
      </c>
      <c r="N180" s="595">
        <v>600000</v>
      </c>
      <c r="O180" s="595"/>
      <c r="P180" s="595"/>
      <c r="Q180" s="621"/>
      <c r="R180" s="595"/>
      <c r="S180" s="595"/>
      <c r="T180" s="595"/>
      <c r="U180" s="596">
        <f t="shared" si="58"/>
        <v>600000</v>
      </c>
      <c r="V180" s="595">
        <f t="shared" si="62"/>
        <v>600000</v>
      </c>
      <c r="W180" s="595">
        <f t="shared" si="63"/>
        <v>0</v>
      </c>
      <c r="X180" s="595">
        <f t="shared" si="63"/>
        <v>0</v>
      </c>
      <c r="Y180" s="628"/>
      <c r="Z180" s="595">
        <f t="shared" si="64"/>
        <v>0</v>
      </c>
      <c r="AA180" s="595">
        <f t="shared" si="64"/>
        <v>0</v>
      </c>
      <c r="AB180" s="595">
        <f t="shared" si="64"/>
        <v>0</v>
      </c>
      <c r="AC180" s="622" t="s">
        <v>1300</v>
      </c>
    </row>
    <row r="181" spans="1:29" s="614" customFormat="1" x14ac:dyDescent="0.2">
      <c r="A181" s="630" t="s">
        <v>786</v>
      </c>
      <c r="B181" s="631"/>
      <c r="C181" s="624"/>
      <c r="D181" s="624"/>
      <c r="E181" s="596">
        <f t="shared" si="57"/>
        <v>0</v>
      </c>
      <c r="F181" s="595">
        <f>'[8]Прилож 4 24 (2)'!$V$11</f>
        <v>0</v>
      </c>
      <c r="G181" s="595">
        <f>'Прилож 4 24'!W176</f>
        <v>0</v>
      </c>
      <c r="H181" s="595">
        <f>'Прилож 4 24'!X176</f>
        <v>0</v>
      </c>
      <c r="I181" s="626">
        <f t="shared" ref="I181:Y181" si="74">I180</f>
        <v>0</v>
      </c>
      <c r="J181" s="595">
        <f>'Прилож 4 24'!Z176</f>
        <v>0</v>
      </c>
      <c r="K181" s="595">
        <f>'Прилож 4 24'!AA176</f>
        <v>0</v>
      </c>
      <c r="L181" s="595">
        <f>'Прилож 4 24'!AB176</f>
        <v>0</v>
      </c>
      <c r="M181" s="596">
        <f t="shared" si="44"/>
        <v>600000</v>
      </c>
      <c r="N181" s="596">
        <f t="shared" si="74"/>
        <v>600000</v>
      </c>
      <c r="O181" s="596">
        <f t="shared" si="74"/>
        <v>0</v>
      </c>
      <c r="P181" s="596">
        <f t="shared" si="74"/>
        <v>0</v>
      </c>
      <c r="Q181" s="626"/>
      <c r="R181" s="596">
        <f t="shared" si="74"/>
        <v>0</v>
      </c>
      <c r="S181" s="596">
        <f t="shared" si="74"/>
        <v>0</v>
      </c>
      <c r="T181" s="596">
        <f t="shared" si="74"/>
        <v>0</v>
      </c>
      <c r="U181" s="596">
        <f t="shared" si="58"/>
        <v>600000</v>
      </c>
      <c r="V181" s="596">
        <f t="shared" si="62"/>
        <v>600000</v>
      </c>
      <c r="W181" s="596">
        <f t="shared" si="63"/>
        <v>0</v>
      </c>
      <c r="X181" s="596">
        <f t="shared" si="63"/>
        <v>0</v>
      </c>
      <c r="Y181" s="626">
        <f t="shared" si="74"/>
        <v>0</v>
      </c>
      <c r="Z181" s="596">
        <f t="shared" si="64"/>
        <v>0</v>
      </c>
      <c r="AA181" s="596">
        <f t="shared" si="64"/>
        <v>0</v>
      </c>
      <c r="AB181" s="596">
        <f t="shared" si="64"/>
        <v>0</v>
      </c>
      <c r="AC181" s="627"/>
    </row>
    <row r="182" spans="1:29" x14ac:dyDescent="0.2">
      <c r="A182" s="618" t="s">
        <v>621</v>
      </c>
      <c r="B182" s="619" t="s">
        <v>747</v>
      </c>
      <c r="C182" s="620">
        <v>244</v>
      </c>
      <c r="D182" s="620">
        <v>343</v>
      </c>
      <c r="E182" s="596">
        <f t="shared" si="57"/>
        <v>1000</v>
      </c>
      <c r="F182" s="595">
        <f>'[8]Прилож 4 24 (2)'!$V$11</f>
        <v>0</v>
      </c>
      <c r="G182" s="595">
        <f>'Прилож 4 24'!W177</f>
        <v>0</v>
      </c>
      <c r="H182" s="595">
        <f>'Прилож 4 24'!X177</f>
        <v>1000</v>
      </c>
      <c r="I182" s="623"/>
      <c r="J182" s="595">
        <f>'Прилож 4 24'!Z177</f>
        <v>0</v>
      </c>
      <c r="K182" s="595">
        <f>'Прилож 4 24'!AA177</f>
        <v>0</v>
      </c>
      <c r="L182" s="595">
        <f>'Прилож 4 24'!AB177</f>
        <v>0</v>
      </c>
      <c r="M182" s="596">
        <f t="shared" si="44"/>
        <v>0</v>
      </c>
      <c r="N182" s="595"/>
      <c r="O182" s="595"/>
      <c r="P182" s="595"/>
      <c r="Q182" s="621"/>
      <c r="R182" s="595"/>
      <c r="S182" s="595"/>
      <c r="T182" s="595"/>
      <c r="U182" s="596">
        <f t="shared" si="58"/>
        <v>1000</v>
      </c>
      <c r="V182" s="595">
        <f t="shared" si="62"/>
        <v>0</v>
      </c>
      <c r="W182" s="595">
        <f t="shared" si="63"/>
        <v>0</v>
      </c>
      <c r="X182" s="595">
        <f t="shared" si="63"/>
        <v>1000</v>
      </c>
      <c r="Y182" s="628"/>
      <c r="Z182" s="595">
        <f t="shared" si="64"/>
        <v>0</v>
      </c>
      <c r="AA182" s="595">
        <f t="shared" si="64"/>
        <v>0</v>
      </c>
      <c r="AB182" s="595">
        <f t="shared" si="64"/>
        <v>0</v>
      </c>
      <c r="AC182" s="622"/>
    </row>
    <row r="183" spans="1:29" x14ac:dyDescent="0.2">
      <c r="A183" s="618" t="s">
        <v>1145</v>
      </c>
      <c r="B183" s="619" t="s">
        <v>729</v>
      </c>
      <c r="C183" s="620">
        <v>244</v>
      </c>
      <c r="D183" s="620">
        <v>343</v>
      </c>
      <c r="E183" s="596">
        <f t="shared" si="57"/>
        <v>10000</v>
      </c>
      <c r="F183" s="595">
        <f>'[8]Прилож 4 24 (2)'!$V$11</f>
        <v>0</v>
      </c>
      <c r="G183" s="595">
        <f>'Прилож 4 24'!W178</f>
        <v>0</v>
      </c>
      <c r="H183" s="595">
        <f>'Прилож 4 24'!X178</f>
        <v>10000</v>
      </c>
      <c r="I183" s="623"/>
      <c r="J183" s="595">
        <f>'Прилож 4 24'!Z178</f>
        <v>0</v>
      </c>
      <c r="K183" s="595">
        <f>'Прилож 4 24'!AA178</f>
        <v>0</v>
      </c>
      <c r="L183" s="595">
        <f>'Прилож 4 24'!AB178</f>
        <v>0</v>
      </c>
      <c r="M183" s="596">
        <f t="shared" si="44"/>
        <v>200000</v>
      </c>
      <c r="N183" s="595">
        <v>200000</v>
      </c>
      <c r="O183" s="595"/>
      <c r="P183" s="595"/>
      <c r="Q183" s="621"/>
      <c r="R183" s="595"/>
      <c r="S183" s="595"/>
      <c r="T183" s="595"/>
      <c r="U183" s="596">
        <f t="shared" si="58"/>
        <v>210000</v>
      </c>
      <c r="V183" s="595">
        <f t="shared" si="62"/>
        <v>200000</v>
      </c>
      <c r="W183" s="595">
        <f t="shared" si="63"/>
        <v>0</v>
      </c>
      <c r="X183" s="595">
        <f t="shared" si="63"/>
        <v>10000</v>
      </c>
      <c r="Y183" s="628"/>
      <c r="Z183" s="595">
        <f t="shared" si="64"/>
        <v>0</v>
      </c>
      <c r="AA183" s="595">
        <f t="shared" si="64"/>
        <v>0</v>
      </c>
      <c r="AB183" s="595">
        <f t="shared" si="64"/>
        <v>0</v>
      </c>
      <c r="AC183" s="622" t="s">
        <v>1111</v>
      </c>
    </row>
    <row r="184" spans="1:29" s="614" customFormat="1" x14ac:dyDescent="0.2">
      <c r="A184" s="630" t="s">
        <v>879</v>
      </c>
      <c r="B184" s="631"/>
      <c r="C184" s="624"/>
      <c r="D184" s="624"/>
      <c r="E184" s="596">
        <f>SUM(E182:E183)</f>
        <v>11000</v>
      </c>
      <c r="F184" s="595">
        <f>'[8]Прилож 4 24 (2)'!$V$11</f>
        <v>0</v>
      </c>
      <c r="G184" s="595">
        <f>'Прилож 4 24'!W179</f>
        <v>0</v>
      </c>
      <c r="H184" s="595">
        <f>'Прилож 4 24'!X179</f>
        <v>11000</v>
      </c>
      <c r="I184" s="626">
        <f t="shared" ref="I184:AB184" si="75">SUM(I182:I183)</f>
        <v>0</v>
      </c>
      <c r="J184" s="595">
        <f>'Прилож 4 24'!Z179</f>
        <v>0</v>
      </c>
      <c r="K184" s="595">
        <f>'Прилож 4 24'!AA179</f>
        <v>0</v>
      </c>
      <c r="L184" s="595">
        <f>'Прилож 4 24'!AB179</f>
        <v>0</v>
      </c>
      <c r="M184" s="596">
        <f t="shared" si="44"/>
        <v>200000</v>
      </c>
      <c r="N184" s="596">
        <f t="shared" si="75"/>
        <v>200000</v>
      </c>
      <c r="O184" s="596">
        <f t="shared" si="75"/>
        <v>0</v>
      </c>
      <c r="P184" s="596">
        <f t="shared" si="75"/>
        <v>0</v>
      </c>
      <c r="Q184" s="626"/>
      <c r="R184" s="596">
        <f t="shared" si="75"/>
        <v>0</v>
      </c>
      <c r="S184" s="596">
        <f t="shared" si="75"/>
        <v>0</v>
      </c>
      <c r="T184" s="596">
        <f t="shared" si="75"/>
        <v>0</v>
      </c>
      <c r="U184" s="596">
        <f t="shared" si="75"/>
        <v>211000</v>
      </c>
      <c r="V184" s="596">
        <f t="shared" si="75"/>
        <v>200000</v>
      </c>
      <c r="W184" s="596">
        <f t="shared" si="75"/>
        <v>0</v>
      </c>
      <c r="X184" s="596">
        <f t="shared" si="75"/>
        <v>11000</v>
      </c>
      <c r="Y184" s="626">
        <f t="shared" si="75"/>
        <v>0</v>
      </c>
      <c r="Z184" s="596">
        <f t="shared" si="75"/>
        <v>0</v>
      </c>
      <c r="AA184" s="596">
        <f t="shared" si="75"/>
        <v>0</v>
      </c>
      <c r="AB184" s="596">
        <f t="shared" si="75"/>
        <v>0</v>
      </c>
      <c r="AC184" s="627"/>
    </row>
    <row r="185" spans="1:29" s="614" customFormat="1" x14ac:dyDescent="0.2">
      <c r="A185" s="618" t="s">
        <v>941</v>
      </c>
      <c r="B185" s="619" t="s">
        <v>729</v>
      </c>
      <c r="C185" s="620">
        <v>244</v>
      </c>
      <c r="D185" s="620">
        <v>344</v>
      </c>
      <c r="E185" s="596">
        <f t="shared" si="57"/>
        <v>20000</v>
      </c>
      <c r="F185" s="595">
        <f>'[8]Прилож 4 24 (2)'!$V$11</f>
        <v>0</v>
      </c>
      <c r="G185" s="595">
        <f>'Прилож 4 24'!W180</f>
        <v>0</v>
      </c>
      <c r="H185" s="595">
        <f>'Прилож 4 24'!X180</f>
        <v>20000</v>
      </c>
      <c r="I185" s="628"/>
      <c r="J185" s="595">
        <f>'Прилож 4 24'!Z180</f>
        <v>0</v>
      </c>
      <c r="K185" s="595">
        <f>'Прилож 4 24'!AA180</f>
        <v>0</v>
      </c>
      <c r="L185" s="595">
        <f>'Прилож 4 24'!AB180</f>
        <v>0</v>
      </c>
      <c r="M185" s="596">
        <f t="shared" si="44"/>
        <v>0</v>
      </c>
      <c r="N185" s="596"/>
      <c r="O185" s="596"/>
      <c r="P185" s="595"/>
      <c r="Q185" s="628"/>
      <c r="R185" s="596"/>
      <c r="S185" s="596"/>
      <c r="T185" s="595"/>
      <c r="U185" s="596">
        <f t="shared" si="58"/>
        <v>20000</v>
      </c>
      <c r="V185" s="595">
        <f t="shared" si="62"/>
        <v>0</v>
      </c>
      <c r="W185" s="595">
        <f t="shared" si="63"/>
        <v>0</v>
      </c>
      <c r="X185" s="595">
        <f t="shared" si="63"/>
        <v>20000</v>
      </c>
      <c r="Y185" s="628"/>
      <c r="Z185" s="595">
        <f t="shared" si="64"/>
        <v>0</v>
      </c>
      <c r="AA185" s="595">
        <f t="shared" si="64"/>
        <v>0</v>
      </c>
      <c r="AB185" s="595">
        <f t="shared" si="64"/>
        <v>0</v>
      </c>
      <c r="AC185" s="622"/>
    </row>
    <row r="186" spans="1:29" s="614" customFormat="1" x14ac:dyDescent="0.2">
      <c r="A186" s="630" t="s">
        <v>942</v>
      </c>
      <c r="B186" s="631"/>
      <c r="C186" s="624"/>
      <c r="D186" s="624"/>
      <c r="E186" s="596">
        <f>SUM(E185)</f>
        <v>20000</v>
      </c>
      <c r="F186" s="595">
        <f>'[8]Прилож 4 24 (2)'!$V$11</f>
        <v>0</v>
      </c>
      <c r="G186" s="595">
        <f>'Прилож 4 24'!W181</f>
        <v>0</v>
      </c>
      <c r="H186" s="595">
        <f>'Прилож 4 24'!X181</f>
        <v>20000</v>
      </c>
      <c r="I186" s="626">
        <f t="shared" ref="I186:AB186" si="76">SUM(I185)</f>
        <v>0</v>
      </c>
      <c r="J186" s="595">
        <f>'Прилож 4 24'!Z181</f>
        <v>0</v>
      </c>
      <c r="K186" s="595">
        <f>'Прилож 4 24'!AA181</f>
        <v>0</v>
      </c>
      <c r="L186" s="595">
        <f>'Прилож 4 24'!AB181</f>
        <v>0</v>
      </c>
      <c r="M186" s="596">
        <f t="shared" si="44"/>
        <v>0</v>
      </c>
      <c r="N186" s="596">
        <f t="shared" si="76"/>
        <v>0</v>
      </c>
      <c r="O186" s="596">
        <f t="shared" si="76"/>
        <v>0</v>
      </c>
      <c r="P186" s="596">
        <f t="shared" si="76"/>
        <v>0</v>
      </c>
      <c r="Q186" s="626"/>
      <c r="R186" s="596">
        <f t="shared" si="76"/>
        <v>0</v>
      </c>
      <c r="S186" s="596">
        <f t="shared" si="76"/>
        <v>0</v>
      </c>
      <c r="T186" s="596">
        <f t="shared" si="76"/>
        <v>0</v>
      </c>
      <c r="U186" s="596">
        <f t="shared" si="76"/>
        <v>20000</v>
      </c>
      <c r="V186" s="596">
        <f t="shared" si="76"/>
        <v>0</v>
      </c>
      <c r="W186" s="596">
        <f t="shared" si="76"/>
        <v>0</v>
      </c>
      <c r="X186" s="596">
        <f t="shared" si="76"/>
        <v>20000</v>
      </c>
      <c r="Y186" s="626">
        <f t="shared" si="76"/>
        <v>0</v>
      </c>
      <c r="Z186" s="596">
        <f t="shared" si="76"/>
        <v>0</v>
      </c>
      <c r="AA186" s="596">
        <f t="shared" si="76"/>
        <v>0</v>
      </c>
      <c r="AB186" s="596">
        <f t="shared" si="76"/>
        <v>0</v>
      </c>
      <c r="AC186" s="627"/>
    </row>
    <row r="187" spans="1:29" ht="47.25" x14ac:dyDescent="0.2">
      <c r="A187" s="618" t="s">
        <v>169</v>
      </c>
      <c r="B187" s="619" t="s">
        <v>747</v>
      </c>
      <c r="C187" s="620">
        <v>244</v>
      </c>
      <c r="D187" s="620">
        <v>345</v>
      </c>
      <c r="E187" s="596">
        <f t="shared" si="57"/>
        <v>0</v>
      </c>
      <c r="F187" s="595">
        <f>'[8]Прилож 4 24 (2)'!$V$11</f>
        <v>0</v>
      </c>
      <c r="G187" s="595">
        <f>'Прилож 4 24'!W182</f>
        <v>0</v>
      </c>
      <c r="H187" s="595">
        <f>'Прилож 4 24'!X182</f>
        <v>0</v>
      </c>
      <c r="I187" s="623"/>
      <c r="J187" s="595">
        <f>'Прилож 4 24'!Z182</f>
        <v>0</v>
      </c>
      <c r="K187" s="595">
        <f>'Прилож 4 24'!AA182</f>
        <v>0</v>
      </c>
      <c r="L187" s="595">
        <f>'Прилож 4 24'!AB182</f>
        <v>0</v>
      </c>
      <c r="M187" s="596">
        <f>N187+P187+R187+S187+T187+O187</f>
        <v>20000</v>
      </c>
      <c r="N187" s="595"/>
      <c r="O187" s="595"/>
      <c r="P187" s="595"/>
      <c r="Q187" s="621"/>
      <c r="R187" s="595"/>
      <c r="S187" s="595"/>
      <c r="T187" s="595">
        <v>20000</v>
      </c>
      <c r="U187" s="596">
        <f t="shared" si="58"/>
        <v>20000</v>
      </c>
      <c r="V187" s="595">
        <f t="shared" si="62"/>
        <v>0</v>
      </c>
      <c r="W187" s="595">
        <f t="shared" si="63"/>
        <v>0</v>
      </c>
      <c r="X187" s="595">
        <f t="shared" si="63"/>
        <v>0</v>
      </c>
      <c r="Y187" s="628"/>
      <c r="Z187" s="595">
        <f t="shared" si="64"/>
        <v>0</v>
      </c>
      <c r="AA187" s="595">
        <f t="shared" si="64"/>
        <v>0</v>
      </c>
      <c r="AB187" s="595">
        <f t="shared" si="64"/>
        <v>20000</v>
      </c>
      <c r="AC187" s="622" t="s">
        <v>1298</v>
      </c>
    </row>
    <row r="188" spans="1:29" s="614" customFormat="1" ht="30" customHeight="1" x14ac:dyDescent="0.2">
      <c r="A188" s="630" t="s">
        <v>743</v>
      </c>
      <c r="B188" s="631"/>
      <c r="C188" s="624"/>
      <c r="D188" s="624"/>
      <c r="E188" s="596">
        <f>SUM(E187)</f>
        <v>0</v>
      </c>
      <c r="F188" s="595">
        <f>'[8]Прилож 4 24 (2)'!$V$11</f>
        <v>0</v>
      </c>
      <c r="G188" s="595">
        <f>'Прилож 4 24'!W183</f>
        <v>0</v>
      </c>
      <c r="H188" s="595">
        <f>'Прилож 4 24'!X183</f>
        <v>0</v>
      </c>
      <c r="I188" s="626">
        <f t="shared" ref="I188:AB188" si="77">SUM(I187)</f>
        <v>0</v>
      </c>
      <c r="J188" s="595">
        <f>'Прилож 4 24'!Z183</f>
        <v>0</v>
      </c>
      <c r="K188" s="595">
        <f>'Прилож 4 24'!AA183</f>
        <v>0</v>
      </c>
      <c r="L188" s="595">
        <f>'Прилож 4 24'!AB183</f>
        <v>0</v>
      </c>
      <c r="M188" s="596">
        <f>N188+P188+R188+S188+T188+O188</f>
        <v>20000</v>
      </c>
      <c r="N188" s="596">
        <f t="shared" si="77"/>
        <v>0</v>
      </c>
      <c r="O188" s="596">
        <f t="shared" si="77"/>
        <v>0</v>
      </c>
      <c r="P188" s="596">
        <f t="shared" si="77"/>
        <v>0</v>
      </c>
      <c r="Q188" s="626"/>
      <c r="R188" s="596">
        <f t="shared" si="77"/>
        <v>0</v>
      </c>
      <c r="S188" s="596">
        <f t="shared" si="77"/>
        <v>0</v>
      </c>
      <c r="T188" s="596">
        <f t="shared" si="77"/>
        <v>20000</v>
      </c>
      <c r="U188" s="596">
        <f t="shared" si="77"/>
        <v>20000</v>
      </c>
      <c r="V188" s="596">
        <f t="shared" si="77"/>
        <v>0</v>
      </c>
      <c r="W188" s="596">
        <f t="shared" si="77"/>
        <v>0</v>
      </c>
      <c r="X188" s="596">
        <f t="shared" si="77"/>
        <v>0</v>
      </c>
      <c r="Y188" s="626">
        <f t="shared" si="77"/>
        <v>0</v>
      </c>
      <c r="Z188" s="596">
        <f t="shared" si="77"/>
        <v>0</v>
      </c>
      <c r="AA188" s="596">
        <f t="shared" si="77"/>
        <v>0</v>
      </c>
      <c r="AB188" s="596">
        <f t="shared" si="77"/>
        <v>20000</v>
      </c>
      <c r="AC188" s="627"/>
    </row>
    <row r="189" spans="1:29" ht="42.75" customHeight="1" x14ac:dyDescent="0.2">
      <c r="A189" s="618" t="s">
        <v>1301</v>
      </c>
      <c r="B189" s="619" t="s">
        <v>747</v>
      </c>
      <c r="C189" s="620">
        <v>244</v>
      </c>
      <c r="D189" s="620">
        <v>346</v>
      </c>
      <c r="E189" s="596">
        <f t="shared" si="57"/>
        <v>14163.81</v>
      </c>
      <c r="F189" s="595">
        <f>'[8]Прилож 4 24 (2)'!$V$11</f>
        <v>0</v>
      </c>
      <c r="G189" s="595">
        <f>'Прилож 4 24'!W184</f>
        <v>0</v>
      </c>
      <c r="H189" s="595">
        <f>'Прилож 4 24'!X184</f>
        <v>14163.81</v>
      </c>
      <c r="I189" s="623"/>
      <c r="J189" s="595">
        <f>'Прилож 4 24'!Z184</f>
        <v>0</v>
      </c>
      <c r="K189" s="595">
        <f>'Прилож 4 24'!AA184</f>
        <v>0</v>
      </c>
      <c r="L189" s="595">
        <f>'Прилож 4 24'!AB184</f>
        <v>0</v>
      </c>
      <c r="M189" s="596">
        <f>N189+P189+R189+S189+T189+O189</f>
        <v>65632.800000000003</v>
      </c>
      <c r="N189" s="595"/>
      <c r="O189" s="595"/>
      <c r="P189" s="595">
        <v>20485.09</v>
      </c>
      <c r="Q189" s="621"/>
      <c r="R189" s="595"/>
      <c r="S189" s="595"/>
      <c r="T189" s="595">
        <v>45147.71</v>
      </c>
      <c r="U189" s="596">
        <f t="shared" si="58"/>
        <v>79796.61</v>
      </c>
      <c r="V189" s="595">
        <f t="shared" si="62"/>
        <v>0</v>
      </c>
      <c r="W189" s="595">
        <f t="shared" si="63"/>
        <v>0</v>
      </c>
      <c r="X189" s="595">
        <f t="shared" si="63"/>
        <v>34648.9</v>
      </c>
      <c r="Y189" s="621"/>
      <c r="Z189" s="595">
        <f t="shared" si="64"/>
        <v>0</v>
      </c>
      <c r="AA189" s="595">
        <f t="shared" si="64"/>
        <v>0</v>
      </c>
      <c r="AB189" s="595">
        <f t="shared" si="64"/>
        <v>45147.71</v>
      </c>
      <c r="AC189" s="622" t="s">
        <v>1298</v>
      </c>
    </row>
    <row r="190" spans="1:29" ht="103.5" customHeight="1" x14ac:dyDescent="0.2">
      <c r="A190" s="618" t="s">
        <v>1311</v>
      </c>
      <c r="B190" s="619" t="s">
        <v>747</v>
      </c>
      <c r="C190" s="620">
        <v>244</v>
      </c>
      <c r="D190" s="620">
        <v>346</v>
      </c>
      <c r="E190" s="596">
        <f t="shared" si="57"/>
        <v>0</v>
      </c>
      <c r="F190" s="595">
        <f>'[8]Прилож 4 24 (2)'!$V$11</f>
        <v>0</v>
      </c>
      <c r="G190" s="595">
        <f>'Прилож 4 24'!W184</f>
        <v>0</v>
      </c>
      <c r="H190" s="595"/>
      <c r="I190" s="623"/>
      <c r="J190" s="595">
        <f>'Прилож 4 24'!Z184</f>
        <v>0</v>
      </c>
      <c r="K190" s="595">
        <f>'Прилож 4 24'!AA184</f>
        <v>0</v>
      </c>
      <c r="L190" s="595">
        <f>'Прилож 4 24'!AB184</f>
        <v>0</v>
      </c>
      <c r="M190" s="596">
        <f t="shared" si="44"/>
        <v>989218.6</v>
      </c>
      <c r="N190" s="595">
        <f>1007218.6-18000</f>
        <v>989218.6</v>
      </c>
      <c r="O190" s="595"/>
      <c r="P190" s="595"/>
      <c r="Q190" s="621"/>
      <c r="R190" s="595"/>
      <c r="S190" s="595"/>
      <c r="T190" s="595"/>
      <c r="U190" s="596">
        <f t="shared" si="58"/>
        <v>989218.6</v>
      </c>
      <c r="V190" s="595">
        <f t="shared" si="62"/>
        <v>989218.6</v>
      </c>
      <c r="W190" s="595">
        <f t="shared" si="63"/>
        <v>0</v>
      </c>
      <c r="X190" s="595">
        <f t="shared" si="63"/>
        <v>0</v>
      </c>
      <c r="Y190" s="621"/>
      <c r="Z190" s="595">
        <f t="shared" si="64"/>
        <v>0</v>
      </c>
      <c r="AA190" s="595">
        <f t="shared" si="64"/>
        <v>0</v>
      </c>
      <c r="AB190" s="595">
        <f t="shared" si="64"/>
        <v>0</v>
      </c>
      <c r="AC190" s="622" t="s">
        <v>1111</v>
      </c>
    </row>
    <row r="191" spans="1:29" ht="42.75" customHeight="1" x14ac:dyDescent="0.2">
      <c r="A191" s="618" t="s">
        <v>1293</v>
      </c>
      <c r="B191" s="619" t="s">
        <v>747</v>
      </c>
      <c r="C191" s="620">
        <v>244</v>
      </c>
      <c r="D191" s="620">
        <v>346</v>
      </c>
      <c r="E191" s="596">
        <f t="shared" ref="E191" si="78">L191+K191+J191+H191+G191+F191</f>
        <v>0</v>
      </c>
      <c r="F191" s="595">
        <f>'[8]Прилож 4 24 (2)'!$V$11</f>
        <v>0</v>
      </c>
      <c r="G191" s="595">
        <f>'Прилож 4 24'!W185</f>
        <v>0</v>
      </c>
      <c r="H191" s="595"/>
      <c r="I191" s="623"/>
      <c r="J191" s="595">
        <f>'Прилож 4 24'!Z185</f>
        <v>0</v>
      </c>
      <c r="K191" s="595">
        <f>'Прилож 4 24'!AA185</f>
        <v>0</v>
      </c>
      <c r="L191" s="595">
        <f>'Прилож 4 24'!AB185</f>
        <v>0</v>
      </c>
      <c r="M191" s="596">
        <f t="shared" si="44"/>
        <v>12000</v>
      </c>
      <c r="N191" s="595"/>
      <c r="O191" s="595"/>
      <c r="P191" s="595"/>
      <c r="Q191" s="621"/>
      <c r="R191" s="595"/>
      <c r="S191" s="595"/>
      <c r="T191" s="595">
        <v>12000</v>
      </c>
      <c r="U191" s="596">
        <f t="shared" ref="U191" si="79">V191+X191+Z191+AA191+AB191+W191</f>
        <v>12000</v>
      </c>
      <c r="V191" s="595">
        <f t="shared" ref="V191" si="80">F191+N191</f>
        <v>0</v>
      </c>
      <c r="W191" s="595">
        <f t="shared" ref="W191" si="81">O191+G191</f>
        <v>0</v>
      </c>
      <c r="X191" s="595">
        <f t="shared" ref="X191" si="82">P191+H191</f>
        <v>0</v>
      </c>
      <c r="Y191" s="621"/>
      <c r="Z191" s="595">
        <f t="shared" ref="Z191" si="83">R191+J191</f>
        <v>0</v>
      </c>
      <c r="AA191" s="595">
        <f t="shared" ref="AA191" si="84">S191+K191</f>
        <v>0</v>
      </c>
      <c r="AB191" s="595">
        <f t="shared" ref="AB191" si="85">T191+L191</f>
        <v>12000</v>
      </c>
      <c r="AC191" s="622" t="s">
        <v>1298</v>
      </c>
    </row>
    <row r="192" spans="1:29" s="637" customFormat="1" ht="19.5" customHeight="1" x14ac:dyDescent="0.2">
      <c r="A192" s="632" t="s">
        <v>1143</v>
      </c>
      <c r="B192" s="633" t="s">
        <v>747</v>
      </c>
      <c r="C192" s="634">
        <v>244</v>
      </c>
      <c r="D192" s="634">
        <v>346</v>
      </c>
      <c r="E192" s="597">
        <f>SUM(E189:E189)</f>
        <v>14163.81</v>
      </c>
      <c r="F192" s="595">
        <f>'[8]Прилож 4 24 (2)'!$V$11</f>
        <v>0</v>
      </c>
      <c r="G192" s="595">
        <f>'Прилож 4 24'!W185</f>
        <v>0</v>
      </c>
      <c r="H192" s="595">
        <f>'Прилож 4 24'!X185</f>
        <v>14163.81</v>
      </c>
      <c r="I192" s="635"/>
      <c r="J192" s="595">
        <f>'Прилож 4 24'!Z185</f>
        <v>0</v>
      </c>
      <c r="K192" s="595">
        <f>'Прилож 4 24'!AA185</f>
        <v>0</v>
      </c>
      <c r="L192" s="595">
        <f>'Прилож 4 24'!AB185</f>
        <v>0</v>
      </c>
      <c r="M192" s="596">
        <f>SUM(M189:M191)</f>
        <v>1066851.3999999999</v>
      </c>
      <c r="N192" s="596">
        <f t="shared" ref="N192:T192" si="86">SUM(N189:N191)</f>
        <v>989218.6</v>
      </c>
      <c r="O192" s="596">
        <f t="shared" si="86"/>
        <v>0</v>
      </c>
      <c r="P192" s="596">
        <f t="shared" si="86"/>
        <v>20485.09</v>
      </c>
      <c r="Q192" s="596">
        <f t="shared" si="86"/>
        <v>0</v>
      </c>
      <c r="R192" s="596">
        <f t="shared" si="86"/>
        <v>0</v>
      </c>
      <c r="S192" s="596">
        <f t="shared" si="86"/>
        <v>0</v>
      </c>
      <c r="T192" s="596">
        <f t="shared" si="86"/>
        <v>57147.71</v>
      </c>
      <c r="U192" s="597">
        <f t="shared" ref="U192:AB192" si="87">SUM(U189:U191)</f>
        <v>1081015.21</v>
      </c>
      <c r="V192" s="597">
        <f t="shared" si="87"/>
        <v>989218.6</v>
      </c>
      <c r="W192" s="597">
        <f t="shared" si="87"/>
        <v>0</v>
      </c>
      <c r="X192" s="597">
        <f t="shared" si="87"/>
        <v>34648.9</v>
      </c>
      <c r="Y192" s="597">
        <f t="shared" si="87"/>
        <v>0</v>
      </c>
      <c r="Z192" s="597">
        <f t="shared" si="87"/>
        <v>0</v>
      </c>
      <c r="AA192" s="597">
        <f t="shared" si="87"/>
        <v>0</v>
      </c>
      <c r="AB192" s="597">
        <f t="shared" si="87"/>
        <v>57147.71</v>
      </c>
      <c r="AC192" s="636"/>
    </row>
    <row r="193" spans="1:29" ht="46.5" customHeight="1" x14ac:dyDescent="0.2">
      <c r="A193" s="618" t="s">
        <v>618</v>
      </c>
      <c r="B193" s="619" t="s">
        <v>729</v>
      </c>
      <c r="C193" s="620">
        <v>244</v>
      </c>
      <c r="D193" s="620">
        <v>346</v>
      </c>
      <c r="E193" s="596">
        <f t="shared" si="57"/>
        <v>121955.3</v>
      </c>
      <c r="F193" s="595">
        <f>'[8]Прилож 4 24 (2)'!$V$11</f>
        <v>0</v>
      </c>
      <c r="G193" s="595">
        <f>'Прилож 4 24'!W186</f>
        <v>0</v>
      </c>
      <c r="H193" s="595">
        <f>'Прилож 4 24'!X186</f>
        <v>121955.3</v>
      </c>
      <c r="I193" s="623"/>
      <c r="J193" s="595">
        <f>'Прилож 4 24'!Z186</f>
        <v>0</v>
      </c>
      <c r="K193" s="595">
        <f>'Прилож 4 24'!AA186</f>
        <v>0</v>
      </c>
      <c r="L193" s="595">
        <f>'Прилож 4 24'!AB186</f>
        <v>0</v>
      </c>
      <c r="M193" s="596">
        <f t="shared" si="44"/>
        <v>-1026.4000000000001</v>
      </c>
      <c r="N193" s="595"/>
      <c r="O193" s="595"/>
      <c r="P193" s="595">
        <v>-1026.4000000000001</v>
      </c>
      <c r="Q193" s="621"/>
      <c r="R193" s="595"/>
      <c r="S193" s="595"/>
      <c r="T193" s="595"/>
      <c r="U193" s="596">
        <f t="shared" si="58"/>
        <v>120928.90000000001</v>
      </c>
      <c r="V193" s="595">
        <f t="shared" si="62"/>
        <v>0</v>
      </c>
      <c r="W193" s="595">
        <f t="shared" si="63"/>
        <v>0</v>
      </c>
      <c r="X193" s="595">
        <f t="shared" si="63"/>
        <v>120928.90000000001</v>
      </c>
      <c r="Y193" s="621"/>
      <c r="Z193" s="595">
        <f t="shared" si="64"/>
        <v>0</v>
      </c>
      <c r="AA193" s="595">
        <f t="shared" si="64"/>
        <v>0</v>
      </c>
      <c r="AB193" s="595">
        <f t="shared" si="64"/>
        <v>0</v>
      </c>
      <c r="AC193" s="622" t="s">
        <v>1302</v>
      </c>
    </row>
    <row r="194" spans="1:29" ht="26.25" customHeight="1" x14ac:dyDescent="0.2">
      <c r="A194" s="618" t="s">
        <v>617</v>
      </c>
      <c r="B194" s="619" t="s">
        <v>729</v>
      </c>
      <c r="C194" s="620">
        <v>244</v>
      </c>
      <c r="D194" s="620">
        <v>346</v>
      </c>
      <c r="E194" s="596">
        <f t="shared" si="57"/>
        <v>10000</v>
      </c>
      <c r="F194" s="595">
        <f>'[8]Прилож 4 24 (2)'!$V$11</f>
        <v>0</v>
      </c>
      <c r="G194" s="595">
        <f>'Прилож 4 24'!W187</f>
        <v>0</v>
      </c>
      <c r="H194" s="595">
        <f>'Прилож 4 24'!X187</f>
        <v>10000</v>
      </c>
      <c r="I194" s="623"/>
      <c r="J194" s="595">
        <f>'Прилож 4 24'!Z187</f>
        <v>0</v>
      </c>
      <c r="K194" s="595">
        <f>'Прилож 4 24'!AA187</f>
        <v>0</v>
      </c>
      <c r="L194" s="595">
        <f>'Прилож 4 24'!AB187</f>
        <v>0</v>
      </c>
      <c r="M194" s="596">
        <f t="shared" si="44"/>
        <v>0</v>
      </c>
      <c r="N194" s="595"/>
      <c r="O194" s="595"/>
      <c r="P194" s="595"/>
      <c r="Q194" s="621"/>
      <c r="R194" s="595"/>
      <c r="S194" s="595"/>
      <c r="T194" s="595"/>
      <c r="U194" s="596">
        <f t="shared" si="58"/>
        <v>10000</v>
      </c>
      <c r="V194" s="595">
        <f t="shared" si="62"/>
        <v>0</v>
      </c>
      <c r="W194" s="595">
        <f t="shared" si="63"/>
        <v>0</v>
      </c>
      <c r="X194" s="595">
        <f t="shared" si="63"/>
        <v>10000</v>
      </c>
      <c r="Y194" s="621"/>
      <c r="Z194" s="595">
        <f t="shared" si="64"/>
        <v>0</v>
      </c>
      <c r="AA194" s="595">
        <f t="shared" si="64"/>
        <v>0</v>
      </c>
      <c r="AB194" s="595">
        <f t="shared" si="64"/>
        <v>0</v>
      </c>
      <c r="AC194" s="622"/>
    </row>
    <row r="195" spans="1:29" ht="34.5" customHeight="1" x14ac:dyDescent="0.2">
      <c r="A195" s="618" t="s">
        <v>1288</v>
      </c>
      <c r="B195" s="619" t="s">
        <v>729</v>
      </c>
      <c r="C195" s="620">
        <v>244</v>
      </c>
      <c r="D195" s="620">
        <v>346</v>
      </c>
      <c r="E195" s="596"/>
      <c r="F195" s="595">
        <f>'[8]Прилож 4 24 (2)'!$V$11</f>
        <v>0</v>
      </c>
      <c r="G195" s="595"/>
      <c r="H195" s="595"/>
      <c r="I195" s="623"/>
      <c r="J195" s="595"/>
      <c r="K195" s="595"/>
      <c r="L195" s="595"/>
      <c r="M195" s="596">
        <f t="shared" si="44"/>
        <v>10000</v>
      </c>
      <c r="N195" s="595">
        <v>10000</v>
      </c>
      <c r="O195" s="595"/>
      <c r="P195" s="595"/>
      <c r="Q195" s="621"/>
      <c r="R195" s="595"/>
      <c r="S195" s="595"/>
      <c r="T195" s="595"/>
      <c r="U195" s="596">
        <f>V195</f>
        <v>10000</v>
      </c>
      <c r="V195" s="595">
        <v>10000</v>
      </c>
      <c r="W195" s="595"/>
      <c r="X195" s="595"/>
      <c r="Y195" s="621"/>
      <c r="Z195" s="595"/>
      <c r="AA195" s="595"/>
      <c r="AB195" s="595"/>
      <c r="AC195" s="622" t="s">
        <v>1303</v>
      </c>
    </row>
    <row r="196" spans="1:29" ht="39" customHeight="1" x14ac:dyDescent="0.2">
      <c r="A196" s="618" t="s">
        <v>1285</v>
      </c>
      <c r="B196" s="619" t="s">
        <v>729</v>
      </c>
      <c r="C196" s="620">
        <v>244</v>
      </c>
      <c r="D196" s="620">
        <v>346</v>
      </c>
      <c r="E196" s="596"/>
      <c r="F196" s="595">
        <f>'[8]Прилож 4 24 (2)'!$V$11</f>
        <v>0</v>
      </c>
      <c r="G196" s="595"/>
      <c r="H196" s="595"/>
      <c r="I196" s="623"/>
      <c r="J196" s="595"/>
      <c r="K196" s="595"/>
      <c r="L196" s="595"/>
      <c r="M196" s="596">
        <f t="shared" si="44"/>
        <v>50000</v>
      </c>
      <c r="N196" s="595">
        <v>50000</v>
      </c>
      <c r="O196" s="595"/>
      <c r="P196" s="595"/>
      <c r="Q196" s="621"/>
      <c r="R196" s="595"/>
      <c r="S196" s="595"/>
      <c r="T196" s="595"/>
      <c r="U196" s="596">
        <f>V196</f>
        <v>50000</v>
      </c>
      <c r="V196" s="595">
        <v>50000</v>
      </c>
      <c r="W196" s="595"/>
      <c r="X196" s="595"/>
      <c r="Y196" s="621"/>
      <c r="Z196" s="595"/>
      <c r="AA196" s="595"/>
      <c r="AB196" s="595"/>
      <c r="AC196" s="622" t="s">
        <v>1303</v>
      </c>
    </row>
    <row r="197" spans="1:29" ht="45.75" customHeight="1" x14ac:dyDescent="0.2">
      <c r="A197" s="618" t="s">
        <v>1286</v>
      </c>
      <c r="B197" s="619" t="s">
        <v>729</v>
      </c>
      <c r="C197" s="620">
        <v>244</v>
      </c>
      <c r="D197" s="620">
        <v>346</v>
      </c>
      <c r="E197" s="596"/>
      <c r="F197" s="595">
        <f>'[8]Прилож 4 24 (2)'!$V$11</f>
        <v>0</v>
      </c>
      <c r="G197" s="595"/>
      <c r="H197" s="595"/>
      <c r="I197" s="623"/>
      <c r="J197" s="595"/>
      <c r="K197" s="595"/>
      <c r="L197" s="595"/>
      <c r="M197" s="596">
        <f t="shared" si="44"/>
        <v>12303.79</v>
      </c>
      <c r="N197" s="595">
        <v>12303.79</v>
      </c>
      <c r="O197" s="595"/>
      <c r="P197" s="595"/>
      <c r="Q197" s="621"/>
      <c r="R197" s="595"/>
      <c r="S197" s="595"/>
      <c r="T197" s="595"/>
      <c r="U197" s="596">
        <f>V197</f>
        <v>12303.79</v>
      </c>
      <c r="V197" s="595">
        <v>12303.79</v>
      </c>
      <c r="W197" s="595"/>
      <c r="X197" s="595"/>
      <c r="Y197" s="621"/>
      <c r="Z197" s="595"/>
      <c r="AA197" s="595"/>
      <c r="AB197" s="595"/>
      <c r="AC197" s="622" t="s">
        <v>1303</v>
      </c>
    </row>
    <row r="198" spans="1:29" s="637" customFormat="1" ht="26.25" customHeight="1" x14ac:dyDescent="0.2">
      <c r="A198" s="632" t="s">
        <v>1143</v>
      </c>
      <c r="B198" s="633"/>
      <c r="C198" s="634"/>
      <c r="D198" s="634"/>
      <c r="E198" s="597">
        <f>SUM(E193:E197)</f>
        <v>131955.29999999999</v>
      </c>
      <c r="F198" s="595">
        <f>'[8]Прилож 4 24 (2)'!$V$11</f>
        <v>0</v>
      </c>
      <c r="G198" s="597">
        <f t="shared" ref="G198:AB198" si="88">SUM(G193:G197)</f>
        <v>0</v>
      </c>
      <c r="H198" s="597">
        <f t="shared" si="88"/>
        <v>131955.29999999999</v>
      </c>
      <c r="I198" s="597">
        <f t="shared" si="88"/>
        <v>0</v>
      </c>
      <c r="J198" s="597">
        <f t="shared" si="88"/>
        <v>0</v>
      </c>
      <c r="K198" s="597">
        <f t="shared" si="88"/>
        <v>0</v>
      </c>
      <c r="L198" s="597">
        <f t="shared" si="88"/>
        <v>0</v>
      </c>
      <c r="M198" s="596">
        <f>SUM(M193:M197)</f>
        <v>71277.39</v>
      </c>
      <c r="N198" s="596">
        <f t="shared" ref="N198:T198" si="89">SUM(N193:N197)</f>
        <v>72303.790000000008</v>
      </c>
      <c r="O198" s="596">
        <f t="shared" si="89"/>
        <v>0</v>
      </c>
      <c r="P198" s="596">
        <f t="shared" si="89"/>
        <v>-1026.4000000000001</v>
      </c>
      <c r="Q198" s="596">
        <f t="shared" si="89"/>
        <v>0</v>
      </c>
      <c r="R198" s="596">
        <f t="shared" si="89"/>
        <v>0</v>
      </c>
      <c r="S198" s="596">
        <f t="shared" si="89"/>
        <v>0</v>
      </c>
      <c r="T198" s="596">
        <f t="shared" si="89"/>
        <v>0</v>
      </c>
      <c r="U198" s="597">
        <f t="shared" si="88"/>
        <v>203232.69000000003</v>
      </c>
      <c r="V198" s="597">
        <f t="shared" si="88"/>
        <v>72303.790000000008</v>
      </c>
      <c r="W198" s="597">
        <f t="shared" si="88"/>
        <v>0</v>
      </c>
      <c r="X198" s="597">
        <f t="shared" si="88"/>
        <v>130928.90000000001</v>
      </c>
      <c r="Y198" s="597">
        <f t="shared" si="88"/>
        <v>0</v>
      </c>
      <c r="Z198" s="597">
        <f t="shared" si="88"/>
        <v>0</v>
      </c>
      <c r="AA198" s="597">
        <f t="shared" si="88"/>
        <v>0</v>
      </c>
      <c r="AB198" s="597">
        <f t="shared" si="88"/>
        <v>0</v>
      </c>
      <c r="AC198" s="636"/>
    </row>
    <row r="199" spans="1:29" ht="22.5" customHeight="1" x14ac:dyDescent="0.2">
      <c r="A199" s="618" t="s">
        <v>67</v>
      </c>
      <c r="B199" s="619" t="s">
        <v>64</v>
      </c>
      <c r="C199" s="620">
        <v>244</v>
      </c>
      <c r="D199" s="620">
        <v>346</v>
      </c>
      <c r="E199" s="596">
        <f t="shared" si="57"/>
        <v>3200</v>
      </c>
      <c r="F199" s="595">
        <f>'[8]Прилож 4 24 (2)'!$V$11</f>
        <v>0</v>
      </c>
      <c r="G199" s="595">
        <f>'Прилож 4 24'!W189</f>
        <v>0</v>
      </c>
      <c r="H199" s="595">
        <f>'Прилож 4 24'!X189</f>
        <v>0</v>
      </c>
      <c r="I199" s="623" t="s">
        <v>1235</v>
      </c>
      <c r="J199" s="595">
        <f>'Прилож 4 24'!Z189</f>
        <v>0</v>
      </c>
      <c r="K199" s="595">
        <f>'Прилож 4 24'!AA189</f>
        <v>3200</v>
      </c>
      <c r="L199" s="595">
        <f>'Прилож 4 24'!AB189</f>
        <v>0</v>
      </c>
      <c r="M199" s="596">
        <f t="shared" si="44"/>
        <v>0</v>
      </c>
      <c r="N199" s="595"/>
      <c r="O199" s="595"/>
      <c r="P199" s="595"/>
      <c r="Q199" s="621"/>
      <c r="R199" s="595"/>
      <c r="S199" s="595"/>
      <c r="T199" s="595"/>
      <c r="U199" s="596">
        <f t="shared" si="58"/>
        <v>3200</v>
      </c>
      <c r="V199" s="595">
        <f t="shared" si="62"/>
        <v>0</v>
      </c>
      <c r="W199" s="595">
        <f t="shared" si="63"/>
        <v>0</v>
      </c>
      <c r="X199" s="595">
        <f t="shared" si="63"/>
        <v>0</v>
      </c>
      <c r="Y199" s="621" t="s">
        <v>1235</v>
      </c>
      <c r="Z199" s="595">
        <f t="shared" si="64"/>
        <v>0</v>
      </c>
      <c r="AA199" s="595">
        <f t="shared" si="64"/>
        <v>3200</v>
      </c>
      <c r="AB199" s="595">
        <f t="shared" si="64"/>
        <v>0</v>
      </c>
      <c r="AC199" s="622"/>
    </row>
    <row r="200" spans="1:29" s="637" customFormat="1" ht="22.5" customHeight="1" x14ac:dyDescent="0.2">
      <c r="A200" s="632" t="s">
        <v>1143</v>
      </c>
      <c r="B200" s="633"/>
      <c r="C200" s="634"/>
      <c r="D200" s="634"/>
      <c r="E200" s="597"/>
      <c r="F200" s="595">
        <f>'[8]Прилож 4 24 (2)'!$V$11</f>
        <v>0</v>
      </c>
      <c r="G200" s="598"/>
      <c r="H200" s="598"/>
      <c r="I200" s="643"/>
      <c r="J200" s="598"/>
      <c r="K200" s="598"/>
      <c r="L200" s="598"/>
      <c r="M200" s="597">
        <f>+M199</f>
        <v>0</v>
      </c>
      <c r="N200" s="597">
        <f t="shared" ref="N200:AB200" si="90">+N199</f>
        <v>0</v>
      </c>
      <c r="O200" s="597">
        <f t="shared" si="90"/>
        <v>0</v>
      </c>
      <c r="P200" s="597">
        <f t="shared" si="90"/>
        <v>0</v>
      </c>
      <c r="Q200" s="597">
        <f t="shared" si="90"/>
        <v>0</v>
      </c>
      <c r="R200" s="597">
        <f t="shared" si="90"/>
        <v>0</v>
      </c>
      <c r="S200" s="597">
        <f t="shared" si="90"/>
        <v>0</v>
      </c>
      <c r="T200" s="597">
        <f t="shared" si="90"/>
        <v>0</v>
      </c>
      <c r="U200" s="597">
        <f t="shared" si="90"/>
        <v>3200</v>
      </c>
      <c r="V200" s="597">
        <f t="shared" si="90"/>
        <v>0</v>
      </c>
      <c r="W200" s="597">
        <f t="shared" si="90"/>
        <v>0</v>
      </c>
      <c r="X200" s="597">
        <f t="shared" si="90"/>
        <v>0</v>
      </c>
      <c r="Y200" s="597" t="str">
        <f t="shared" si="90"/>
        <v>963324097</v>
      </c>
      <c r="Z200" s="597">
        <f t="shared" si="90"/>
        <v>0</v>
      </c>
      <c r="AA200" s="597">
        <f t="shared" si="90"/>
        <v>3200</v>
      </c>
      <c r="AB200" s="597">
        <f t="shared" si="90"/>
        <v>0</v>
      </c>
      <c r="AC200" s="636"/>
    </row>
    <row r="201" spans="1:29" ht="55.5" customHeight="1" x14ac:dyDescent="0.2">
      <c r="A201" s="618" t="s">
        <v>710</v>
      </c>
      <c r="B201" s="619" t="s">
        <v>691</v>
      </c>
      <c r="C201" s="620">
        <v>244</v>
      </c>
      <c r="D201" s="620">
        <v>346</v>
      </c>
      <c r="E201" s="596">
        <f t="shared" si="57"/>
        <v>5670</v>
      </c>
      <c r="F201" s="595">
        <f>'[8]Прилож 4 24 (2)'!$V$11</f>
        <v>0</v>
      </c>
      <c r="G201" s="595">
        <f>'Прилож 4 24'!W190</f>
        <v>0</v>
      </c>
      <c r="H201" s="595">
        <f>'Прилож 4 24'!X190</f>
        <v>4813.78</v>
      </c>
      <c r="I201" s="623"/>
      <c r="J201" s="595">
        <f>'Прилож 4 24'!Z190</f>
        <v>0</v>
      </c>
      <c r="K201" s="595">
        <f>'Прилож 4 24'!AA190</f>
        <v>0</v>
      </c>
      <c r="L201" s="595">
        <f>'Прилож 4 24'!AB190</f>
        <v>856.22</v>
      </c>
      <c r="M201" s="596">
        <f t="shared" si="44"/>
        <v>0</v>
      </c>
      <c r="N201" s="595"/>
      <c r="O201" s="595"/>
      <c r="P201" s="595"/>
      <c r="Q201" s="621"/>
      <c r="R201" s="595"/>
      <c r="S201" s="595"/>
      <c r="T201" s="595"/>
      <c r="U201" s="596">
        <f t="shared" si="58"/>
        <v>5670</v>
      </c>
      <c r="V201" s="595">
        <f t="shared" si="62"/>
        <v>0</v>
      </c>
      <c r="W201" s="595">
        <f t="shared" si="63"/>
        <v>0</v>
      </c>
      <c r="X201" s="595">
        <f t="shared" si="63"/>
        <v>4813.78</v>
      </c>
      <c r="Y201" s="621"/>
      <c r="Z201" s="595">
        <f t="shared" si="64"/>
        <v>0</v>
      </c>
      <c r="AA201" s="595">
        <f t="shared" si="64"/>
        <v>0</v>
      </c>
      <c r="AB201" s="595">
        <f t="shared" si="64"/>
        <v>856.22</v>
      </c>
      <c r="AC201" s="622"/>
    </row>
    <row r="202" spans="1:29" ht="68.25" customHeight="1" x14ac:dyDescent="0.2">
      <c r="A202" s="618" t="s">
        <v>709</v>
      </c>
      <c r="B202" s="619" t="s">
        <v>691</v>
      </c>
      <c r="C202" s="620">
        <v>244</v>
      </c>
      <c r="D202" s="620">
        <v>346</v>
      </c>
      <c r="E202" s="596">
        <f t="shared" si="57"/>
        <v>4410</v>
      </c>
      <c r="F202" s="595">
        <f>'[8]Прилож 4 24 (2)'!$V$11</f>
        <v>0</v>
      </c>
      <c r="G202" s="595">
        <f>'Прилож 4 24'!W191</f>
        <v>0</v>
      </c>
      <c r="H202" s="595">
        <f>'Прилож 4 24'!X191</f>
        <v>3744.05</v>
      </c>
      <c r="I202" s="623"/>
      <c r="J202" s="595">
        <f>'Прилож 4 24'!Z191</f>
        <v>0</v>
      </c>
      <c r="K202" s="595">
        <f>'Прилож 4 24'!AA191</f>
        <v>0</v>
      </c>
      <c r="L202" s="595">
        <f>'Прилож 4 24'!AB191</f>
        <v>665.95</v>
      </c>
      <c r="M202" s="596">
        <f t="shared" si="44"/>
        <v>0</v>
      </c>
      <c r="N202" s="595"/>
      <c r="O202" s="595"/>
      <c r="P202" s="595"/>
      <c r="Q202" s="621"/>
      <c r="R202" s="595"/>
      <c r="S202" s="595"/>
      <c r="T202" s="595"/>
      <c r="U202" s="596">
        <f t="shared" si="58"/>
        <v>4410</v>
      </c>
      <c r="V202" s="595">
        <f t="shared" si="62"/>
        <v>0</v>
      </c>
      <c r="W202" s="595">
        <f t="shared" si="63"/>
        <v>0</v>
      </c>
      <c r="X202" s="595">
        <f t="shared" si="63"/>
        <v>3744.05</v>
      </c>
      <c r="Y202" s="621"/>
      <c r="Z202" s="595">
        <f t="shared" si="64"/>
        <v>0</v>
      </c>
      <c r="AA202" s="595">
        <f t="shared" si="64"/>
        <v>0</v>
      </c>
      <c r="AB202" s="595">
        <f t="shared" si="64"/>
        <v>665.95</v>
      </c>
      <c r="AC202" s="622"/>
    </row>
    <row r="203" spans="1:29" s="637" customFormat="1" ht="25.5" customHeight="1" x14ac:dyDescent="0.2">
      <c r="A203" s="632" t="s">
        <v>1143</v>
      </c>
      <c r="B203" s="633" t="s">
        <v>691</v>
      </c>
      <c r="C203" s="634">
        <v>244</v>
      </c>
      <c r="D203" s="634">
        <v>346</v>
      </c>
      <c r="E203" s="597">
        <f>SUM(E201:E202)</f>
        <v>10080</v>
      </c>
      <c r="F203" s="595">
        <f>'[8]Прилож 4 24 (2)'!$V$11</f>
        <v>0</v>
      </c>
      <c r="G203" s="595">
        <f>'Прилож 4 24'!W192</f>
        <v>0</v>
      </c>
      <c r="H203" s="595">
        <f>'Прилож 4 24'!X192</f>
        <v>8557.83</v>
      </c>
      <c r="I203" s="635"/>
      <c r="J203" s="595">
        <f>'Прилож 4 24'!Z192</f>
        <v>0</v>
      </c>
      <c r="K203" s="595">
        <f>'Прилож 4 24'!AA192</f>
        <v>0</v>
      </c>
      <c r="L203" s="595">
        <f>'Прилож 4 24'!AB192</f>
        <v>1522.17</v>
      </c>
      <c r="M203" s="596">
        <f>SUM(M201:M202)</f>
        <v>0</v>
      </c>
      <c r="N203" s="597">
        <f t="shared" ref="N203:AB203" si="91">SUM(N201:N202)</f>
        <v>0</v>
      </c>
      <c r="O203" s="597">
        <f t="shared" si="91"/>
        <v>0</v>
      </c>
      <c r="P203" s="597">
        <f t="shared" si="91"/>
        <v>0</v>
      </c>
      <c r="Q203" s="635"/>
      <c r="R203" s="597">
        <f t="shared" si="91"/>
        <v>0</v>
      </c>
      <c r="S203" s="597">
        <f t="shared" si="91"/>
        <v>0</v>
      </c>
      <c r="T203" s="597">
        <f t="shared" si="91"/>
        <v>0</v>
      </c>
      <c r="U203" s="597">
        <f t="shared" si="91"/>
        <v>10080</v>
      </c>
      <c r="V203" s="597">
        <f t="shared" si="91"/>
        <v>0</v>
      </c>
      <c r="W203" s="597">
        <f t="shared" si="91"/>
        <v>0</v>
      </c>
      <c r="X203" s="597">
        <f t="shared" si="91"/>
        <v>8557.83</v>
      </c>
      <c r="Y203" s="635"/>
      <c r="Z203" s="597">
        <f t="shared" si="91"/>
        <v>0</v>
      </c>
      <c r="AA203" s="597">
        <f t="shared" si="91"/>
        <v>0</v>
      </c>
      <c r="AB203" s="597">
        <f t="shared" si="91"/>
        <v>1522.17</v>
      </c>
      <c r="AC203" s="636"/>
    </row>
    <row r="204" spans="1:29" s="614" customFormat="1" ht="27.75" customHeight="1" x14ac:dyDescent="0.2">
      <c r="A204" s="630" t="s">
        <v>744</v>
      </c>
      <c r="B204" s="631"/>
      <c r="C204" s="624"/>
      <c r="D204" s="624"/>
      <c r="E204" s="596">
        <f>E203+E199+E198+E192</f>
        <v>159399.10999999999</v>
      </c>
      <c r="F204" s="595">
        <f>'[8]Прилож 4 24 (2)'!$V$11</f>
        <v>0</v>
      </c>
      <c r="G204" s="595">
        <f>'Прилож 4 24'!W193</f>
        <v>0</v>
      </c>
      <c r="H204" s="595">
        <f>'Прилож 4 24'!X193</f>
        <v>154676.93999999997</v>
      </c>
      <c r="I204" s="626"/>
      <c r="J204" s="595">
        <f>'Прилож 4 24'!Z193</f>
        <v>0</v>
      </c>
      <c r="K204" s="595">
        <f>'Прилож 4 24'!AA193</f>
        <v>3200</v>
      </c>
      <c r="L204" s="595">
        <f>'Прилож 4 24'!AB193</f>
        <v>1522.17</v>
      </c>
      <c r="M204" s="596">
        <f>N204+P204+R204+S204+T204+O204</f>
        <v>1138128.7899999998</v>
      </c>
      <c r="N204" s="596">
        <f>N192+N203+N198+N200</f>
        <v>1061522.3899999999</v>
      </c>
      <c r="O204" s="596">
        <f t="shared" ref="O204:AB204" si="92">O192+O203+O198+O200</f>
        <v>0</v>
      </c>
      <c r="P204" s="596">
        <f t="shared" si="92"/>
        <v>19458.689999999999</v>
      </c>
      <c r="Q204" s="596">
        <f t="shared" si="92"/>
        <v>0</v>
      </c>
      <c r="R204" s="596">
        <f t="shared" si="92"/>
        <v>0</v>
      </c>
      <c r="S204" s="596">
        <f t="shared" si="92"/>
        <v>0</v>
      </c>
      <c r="T204" s="596">
        <f t="shared" si="92"/>
        <v>57147.71</v>
      </c>
      <c r="U204" s="596">
        <f t="shared" si="92"/>
        <v>1297527.8999999999</v>
      </c>
      <c r="V204" s="596">
        <f t="shared" si="92"/>
        <v>1061522.3899999999</v>
      </c>
      <c r="W204" s="596">
        <f t="shared" si="92"/>
        <v>0</v>
      </c>
      <c r="X204" s="596">
        <f t="shared" si="92"/>
        <v>174135.63</v>
      </c>
      <c r="Y204" s="596"/>
      <c r="Z204" s="596">
        <f t="shared" si="92"/>
        <v>0</v>
      </c>
      <c r="AA204" s="596">
        <f t="shared" si="92"/>
        <v>3200</v>
      </c>
      <c r="AB204" s="596">
        <f t="shared" si="92"/>
        <v>58669.88</v>
      </c>
      <c r="AC204" s="627"/>
    </row>
    <row r="205" spans="1:29" ht="46.5" customHeight="1" x14ac:dyDescent="0.2">
      <c r="A205" s="618" t="s">
        <v>948</v>
      </c>
      <c r="B205" s="619" t="s">
        <v>729</v>
      </c>
      <c r="C205" s="620">
        <v>244</v>
      </c>
      <c r="D205" s="620">
        <v>349</v>
      </c>
      <c r="E205" s="596">
        <f t="shared" si="57"/>
        <v>0</v>
      </c>
      <c r="F205" s="595">
        <f>'[8]Прилож 4 24 (2)'!$V$11</f>
        <v>0</v>
      </c>
      <c r="G205" s="595">
        <f>'Прилож 4 24'!W194</f>
        <v>0</v>
      </c>
      <c r="H205" s="595">
        <f>'Прилож 4 24'!X194</f>
        <v>0</v>
      </c>
      <c r="I205" s="626"/>
      <c r="J205" s="595">
        <f>'Прилож 4 24'!Z194</f>
        <v>0</v>
      </c>
      <c r="K205" s="595">
        <f>'Прилож 4 24'!AA194</f>
        <v>0</v>
      </c>
      <c r="L205" s="595">
        <f>'Прилож 4 24'!AB194</f>
        <v>0</v>
      </c>
      <c r="M205" s="596">
        <f t="shared" si="44"/>
        <v>6000</v>
      </c>
      <c r="N205" s="595">
        <v>6000</v>
      </c>
      <c r="O205" s="596"/>
      <c r="P205" s="596"/>
      <c r="Q205" s="626"/>
      <c r="R205" s="596"/>
      <c r="S205" s="596"/>
      <c r="T205" s="595"/>
      <c r="U205" s="596">
        <f t="shared" si="58"/>
        <v>6000</v>
      </c>
      <c r="V205" s="595">
        <f t="shared" si="62"/>
        <v>6000</v>
      </c>
      <c r="W205" s="595">
        <f t="shared" si="63"/>
        <v>0</v>
      </c>
      <c r="X205" s="595">
        <f t="shared" si="63"/>
        <v>0</v>
      </c>
      <c r="Y205" s="626"/>
      <c r="Z205" s="595">
        <f t="shared" si="64"/>
        <v>0</v>
      </c>
      <c r="AA205" s="595">
        <f t="shared" si="64"/>
        <v>0</v>
      </c>
      <c r="AB205" s="595">
        <f t="shared" si="64"/>
        <v>0</v>
      </c>
      <c r="AC205" s="622"/>
    </row>
    <row r="206" spans="1:29" s="614" customFormat="1" ht="27.75" customHeight="1" x14ac:dyDescent="0.2">
      <c r="A206" s="630" t="s">
        <v>949</v>
      </c>
      <c r="B206" s="631"/>
      <c r="C206" s="624"/>
      <c r="D206" s="624"/>
      <c r="E206" s="596"/>
      <c r="F206" s="595">
        <f>'[8]Прилож 4 24 (2)'!$V$11</f>
        <v>0</v>
      </c>
      <c r="G206" s="595">
        <f>'Прилож 4 24'!W195</f>
        <v>0</v>
      </c>
      <c r="H206" s="595">
        <f>'Прилож 4 24'!X195</f>
        <v>0</v>
      </c>
      <c r="I206" s="626"/>
      <c r="J206" s="595">
        <f>'Прилож 4 24'!Z195</f>
        <v>0</v>
      </c>
      <c r="K206" s="595">
        <f>'Прилож 4 24'!AA195</f>
        <v>0</v>
      </c>
      <c r="L206" s="595">
        <f>'Прилож 4 24'!AB195</f>
        <v>0</v>
      </c>
      <c r="M206" s="596">
        <f t="shared" si="44"/>
        <v>6000</v>
      </c>
      <c r="N206" s="596">
        <f>N205</f>
        <v>6000</v>
      </c>
      <c r="O206" s="596"/>
      <c r="P206" s="596"/>
      <c r="Q206" s="626"/>
      <c r="R206" s="596"/>
      <c r="S206" s="596"/>
      <c r="T206" s="596"/>
      <c r="U206" s="596">
        <f t="shared" si="58"/>
        <v>6000</v>
      </c>
      <c r="V206" s="596">
        <f t="shared" si="62"/>
        <v>6000</v>
      </c>
      <c r="W206" s="596">
        <f t="shared" si="63"/>
        <v>0</v>
      </c>
      <c r="X206" s="596">
        <f t="shared" si="63"/>
        <v>0</v>
      </c>
      <c r="Y206" s="626"/>
      <c r="Z206" s="596">
        <f t="shared" si="64"/>
        <v>0</v>
      </c>
      <c r="AA206" s="596">
        <f t="shared" si="64"/>
        <v>0</v>
      </c>
      <c r="AB206" s="596">
        <f t="shared" si="64"/>
        <v>0</v>
      </c>
      <c r="AC206" s="627"/>
    </row>
    <row r="207" spans="1:29" s="614" customFormat="1" x14ac:dyDescent="0.2">
      <c r="A207" s="624" t="s">
        <v>745</v>
      </c>
      <c r="B207" s="631"/>
      <c r="C207" s="624"/>
      <c r="D207" s="624"/>
      <c r="E207" s="596">
        <f>E206+E204+E188+E186+E184+E181+E179+E177+E174+E164+E161+E134+E90+E73+E52+E43+E37+E35+E32+E92</f>
        <v>51098851.750000007</v>
      </c>
      <c r="F207" s="595">
        <f>'[8]Прилож 4 24 (2)'!$V$11</f>
        <v>0</v>
      </c>
      <c r="G207" s="595">
        <f>'Прилож 4 24'!W196</f>
        <v>0</v>
      </c>
      <c r="H207" s="595">
        <f>'Прилож 4 24'!X196</f>
        <v>11205022.930000002</v>
      </c>
      <c r="I207" s="626"/>
      <c r="J207" s="595">
        <f>'Прилож 4 24'!Z196</f>
        <v>0</v>
      </c>
      <c r="K207" s="595">
        <f>'Прилож 4 24'!AA196</f>
        <v>7981281.0800000001</v>
      </c>
      <c r="L207" s="595">
        <f>'Прилож 4 24'!AB196</f>
        <v>1837709.9999999995</v>
      </c>
      <c r="M207" s="596">
        <f>N207+P207+R207+S207+T207+O207</f>
        <v>41632497.700000003</v>
      </c>
      <c r="N207" s="596">
        <f t="shared" ref="N207:AB207" si="93">N206+N204+N188+N186+N184+N181+N179+N174++N164+N161+N134+N92+N90+N73+N52+N43+N37+N35+N32+N177</f>
        <v>40711421.810000002</v>
      </c>
      <c r="O207" s="596">
        <f>O206+O204+O188+O186+O184+O181+O179+O174++O164+O161+O134+O92+O90+O73+O52+O43+O37+O35+O32+O177</f>
        <v>1331028.0899999999</v>
      </c>
      <c r="P207" s="596">
        <f t="shared" si="93"/>
        <v>112900.09</v>
      </c>
      <c r="Q207" s="596">
        <f t="shared" si="93"/>
        <v>0</v>
      </c>
      <c r="R207" s="596">
        <f t="shared" si="93"/>
        <v>0</v>
      </c>
      <c r="S207" s="596">
        <f t="shared" si="93"/>
        <v>0</v>
      </c>
      <c r="T207" s="596">
        <f t="shared" si="93"/>
        <v>-522852.29000000004</v>
      </c>
      <c r="U207" s="596">
        <f t="shared" si="93"/>
        <v>62656511.710000001</v>
      </c>
      <c r="V207" s="596">
        <f t="shared" si="93"/>
        <v>40711421.810000002</v>
      </c>
      <c r="W207" s="596">
        <f t="shared" si="93"/>
        <v>1331028.0899999999</v>
      </c>
      <c r="X207" s="596">
        <f t="shared" si="93"/>
        <v>11317923.020000001</v>
      </c>
      <c r="Y207" s="596">
        <f t="shared" si="93"/>
        <v>0</v>
      </c>
      <c r="Z207" s="596">
        <f t="shared" si="93"/>
        <v>0</v>
      </c>
      <c r="AA207" s="596">
        <f t="shared" si="93"/>
        <v>7981281.0800000001</v>
      </c>
      <c r="AB207" s="596">
        <f t="shared" si="93"/>
        <v>1314857.7099999995</v>
      </c>
      <c r="AC207" s="627"/>
    </row>
    <row r="208" spans="1:29" ht="25.5" customHeight="1" x14ac:dyDescent="0.2">
      <c r="A208" s="618" t="s">
        <v>946</v>
      </c>
      <c r="B208" s="619"/>
      <c r="C208" s="620"/>
      <c r="D208" s="620">
        <v>189</v>
      </c>
      <c r="E208" s="596">
        <f t="shared" si="57"/>
        <v>-12500</v>
      </c>
      <c r="F208" s="595">
        <f>'Прилож 4 24'!V197</f>
        <v>0</v>
      </c>
      <c r="G208" s="595">
        <f>'Прилож 4 24'!W197</f>
        <v>0</v>
      </c>
      <c r="H208" s="595">
        <f>'Прилож 4 24'!X197</f>
        <v>0</v>
      </c>
      <c r="I208" s="621"/>
      <c r="J208" s="595">
        <f>'Прилож 4 24'!Z197</f>
        <v>0</v>
      </c>
      <c r="K208" s="595">
        <f>'Прилож 4 24'!AA197</f>
        <v>0</v>
      </c>
      <c r="L208" s="595">
        <f>'Прилож 4 24'!AB197</f>
        <v>-12500</v>
      </c>
      <c r="M208" s="596">
        <f t="shared" ref="M208:M210" si="94">N208+P208+R208+S208+T208+O208</f>
        <v>0</v>
      </c>
      <c r="N208" s="595"/>
      <c r="O208" s="595"/>
      <c r="P208" s="595"/>
      <c r="Q208" s="621"/>
      <c r="R208" s="595"/>
      <c r="S208" s="595"/>
      <c r="T208" s="595"/>
      <c r="U208" s="596">
        <f t="shared" si="58"/>
        <v>-12500</v>
      </c>
      <c r="V208" s="595">
        <f t="shared" si="62"/>
        <v>0</v>
      </c>
      <c r="W208" s="595">
        <f t="shared" si="63"/>
        <v>0</v>
      </c>
      <c r="X208" s="595">
        <f t="shared" si="63"/>
        <v>0</v>
      </c>
      <c r="Y208" s="621"/>
      <c r="Z208" s="595">
        <f t="shared" si="64"/>
        <v>0</v>
      </c>
      <c r="AA208" s="595">
        <f t="shared" si="64"/>
        <v>0</v>
      </c>
      <c r="AB208" s="595">
        <f>T208+L208</f>
        <v>-12500</v>
      </c>
      <c r="AC208" s="622"/>
    </row>
    <row r="209" spans="1:29" s="614" customFormat="1" ht="31.5" x14ac:dyDescent="0.2">
      <c r="A209" s="630" t="s">
        <v>746</v>
      </c>
      <c r="B209" s="624"/>
      <c r="C209" s="624"/>
      <c r="D209" s="624"/>
      <c r="E209" s="596">
        <f t="shared" si="57"/>
        <v>-12500</v>
      </c>
      <c r="F209" s="595">
        <f>'Прилож 4 24'!V198</f>
        <v>0</v>
      </c>
      <c r="G209" s="595">
        <f>'Прилож 4 24'!W198</f>
        <v>0</v>
      </c>
      <c r="H209" s="595">
        <f>'Прилож 4 24'!X198</f>
        <v>0</v>
      </c>
      <c r="I209" s="626"/>
      <c r="J209" s="595">
        <f>'Прилож 4 24'!Z198</f>
        <v>0</v>
      </c>
      <c r="K209" s="595">
        <f>'Прилож 4 24'!AA198</f>
        <v>0</v>
      </c>
      <c r="L209" s="595">
        <f>'Прилож 4 24'!AB198</f>
        <v>-12500</v>
      </c>
      <c r="M209" s="596">
        <f t="shared" si="94"/>
        <v>0</v>
      </c>
      <c r="N209" s="596">
        <f t="shared" ref="N209:Y210" si="95">N208</f>
        <v>0</v>
      </c>
      <c r="O209" s="596">
        <f t="shared" si="95"/>
        <v>0</v>
      </c>
      <c r="P209" s="596">
        <f t="shared" si="95"/>
        <v>0</v>
      </c>
      <c r="Q209" s="626"/>
      <c r="R209" s="596">
        <f t="shared" si="95"/>
        <v>0</v>
      </c>
      <c r="S209" s="596">
        <f t="shared" si="95"/>
        <v>0</v>
      </c>
      <c r="T209" s="596">
        <f t="shared" si="95"/>
        <v>0</v>
      </c>
      <c r="U209" s="596">
        <f t="shared" si="58"/>
        <v>-12500</v>
      </c>
      <c r="V209" s="595">
        <f t="shared" si="62"/>
        <v>0</v>
      </c>
      <c r="W209" s="595">
        <f t="shared" si="63"/>
        <v>0</v>
      </c>
      <c r="X209" s="595">
        <f t="shared" si="63"/>
        <v>0</v>
      </c>
      <c r="Y209" s="626">
        <f t="shared" si="95"/>
        <v>0</v>
      </c>
      <c r="Z209" s="595">
        <f t="shared" si="64"/>
        <v>0</v>
      </c>
      <c r="AA209" s="595">
        <f t="shared" si="64"/>
        <v>0</v>
      </c>
      <c r="AB209" s="595">
        <f>T209+L209</f>
        <v>-12500</v>
      </c>
      <c r="AC209" s="622"/>
    </row>
    <row r="210" spans="1:29" s="614" customFormat="1" ht="31.5" x14ac:dyDescent="0.2">
      <c r="A210" s="630" t="s">
        <v>950</v>
      </c>
      <c r="B210" s="631" t="s">
        <v>747</v>
      </c>
      <c r="C210" s="624"/>
      <c r="D210" s="624">
        <v>610</v>
      </c>
      <c r="E210" s="596">
        <f>L210+K210+J210+H210+G210+F210</f>
        <v>0</v>
      </c>
      <c r="F210" s="595">
        <f>'Прилож 4 24'!V199</f>
        <v>0</v>
      </c>
      <c r="G210" s="595">
        <f>'Прилож 4 24'!W199</f>
        <v>0</v>
      </c>
      <c r="H210" s="595">
        <f>'Прилож 4 24'!X199</f>
        <v>0</v>
      </c>
      <c r="I210" s="626"/>
      <c r="J210" s="595">
        <f>'Прилож 4 24'!Z199</f>
        <v>0</v>
      </c>
      <c r="K210" s="595">
        <f>'Прилож 4 24'!AA199</f>
        <v>0</v>
      </c>
      <c r="L210" s="595">
        <f>'Прилож 4 24'!AB199</f>
        <v>0</v>
      </c>
      <c r="M210" s="596">
        <f t="shared" si="94"/>
        <v>142385.88</v>
      </c>
      <c r="N210" s="596">
        <f t="shared" si="95"/>
        <v>0</v>
      </c>
      <c r="O210" s="596">
        <f t="shared" si="95"/>
        <v>0</v>
      </c>
      <c r="P210" s="596">
        <v>142385.88</v>
      </c>
      <c r="Q210" s="626"/>
      <c r="R210" s="596">
        <f t="shared" si="95"/>
        <v>0</v>
      </c>
      <c r="S210" s="596">
        <f t="shared" si="95"/>
        <v>0</v>
      </c>
      <c r="T210" s="596"/>
      <c r="U210" s="596">
        <f t="shared" si="58"/>
        <v>142385.88</v>
      </c>
      <c r="V210" s="595">
        <f t="shared" si="62"/>
        <v>0</v>
      </c>
      <c r="W210" s="595">
        <f t="shared" si="63"/>
        <v>0</v>
      </c>
      <c r="X210" s="595">
        <f t="shared" si="63"/>
        <v>142385.88</v>
      </c>
      <c r="Y210" s="626">
        <f t="shared" si="95"/>
        <v>0</v>
      </c>
      <c r="Z210" s="595">
        <f t="shared" si="64"/>
        <v>0</v>
      </c>
      <c r="AA210" s="595">
        <f t="shared" si="64"/>
        <v>0</v>
      </c>
      <c r="AB210" s="595">
        <f t="shared" si="64"/>
        <v>0</v>
      </c>
      <c r="AC210" s="622"/>
    </row>
    <row r="211" spans="1:29" x14ac:dyDescent="0.2">
      <c r="A211" s="610" t="s">
        <v>991</v>
      </c>
      <c r="E211" s="644">
        <f t="shared" ref="E211:AB211" si="96">E11+E26-E207+E209-E210</f>
        <v>11367612.159999996</v>
      </c>
      <c r="F211" s="644">
        <f t="shared" si="96"/>
        <v>40711421.810000002</v>
      </c>
      <c r="G211" s="644">
        <f t="shared" si="96"/>
        <v>1331028.0900000001</v>
      </c>
      <c r="H211" s="644">
        <f t="shared" si="96"/>
        <v>-1.862645149230957E-9</v>
      </c>
      <c r="I211" s="641">
        <f t="shared" si="96"/>
        <v>0</v>
      </c>
      <c r="J211" s="644">
        <f t="shared" si="96"/>
        <v>0</v>
      </c>
      <c r="K211" s="644">
        <f t="shared" si="96"/>
        <v>0</v>
      </c>
      <c r="L211" s="644">
        <f t="shared" si="96"/>
        <v>-599999.99999999953</v>
      </c>
      <c r="M211" s="644">
        <f t="shared" si="96"/>
        <v>2.6775524020195007E-9</v>
      </c>
      <c r="N211" s="644">
        <f t="shared" si="96"/>
        <v>0</v>
      </c>
      <c r="O211" s="644">
        <f>O11+O26-O207+O209-O210</f>
        <v>2.3283064365386963E-10</v>
      </c>
      <c r="P211" s="644">
        <f t="shared" si="96"/>
        <v>0</v>
      </c>
      <c r="Q211" s="644">
        <f t="shared" si="96"/>
        <v>0</v>
      </c>
      <c r="R211" s="644">
        <f t="shared" si="96"/>
        <v>0</v>
      </c>
      <c r="S211" s="644">
        <f t="shared" si="96"/>
        <v>0</v>
      </c>
      <c r="T211" s="644">
        <f t="shared" si="96"/>
        <v>5.8207660913467407E-11</v>
      </c>
      <c r="U211" s="644">
        <f t="shared" si="96"/>
        <v>2.6775524020195007E-9</v>
      </c>
      <c r="V211" s="644">
        <f t="shared" si="96"/>
        <v>0</v>
      </c>
      <c r="W211" s="644">
        <f>W11+W26-W207+W209-W210</f>
        <v>2.3283064365386963E-10</v>
      </c>
      <c r="X211" s="644">
        <f t="shared" si="96"/>
        <v>-1.0477378964424133E-9</v>
      </c>
      <c r="Y211" s="644">
        <f t="shared" si="96"/>
        <v>0</v>
      </c>
      <c r="Z211" s="644">
        <f t="shared" si="96"/>
        <v>0</v>
      </c>
      <c r="AA211" s="644">
        <f t="shared" si="96"/>
        <v>0</v>
      </c>
      <c r="AB211" s="644">
        <f t="shared" si="96"/>
        <v>4.6566128730773926E-10</v>
      </c>
      <c r="AC211" s="644"/>
    </row>
    <row r="212" spans="1:29" x14ac:dyDescent="0.2">
      <c r="A212" s="624" t="s">
        <v>1266</v>
      </c>
      <c r="B212" s="620"/>
      <c r="C212" s="620"/>
      <c r="D212" s="620"/>
      <c r="E212" s="596"/>
      <c r="F212" s="595">
        <f>SUM(F27:F32)</f>
        <v>58105085.480000004</v>
      </c>
      <c r="G212" s="595"/>
      <c r="H212" s="595"/>
    </row>
    <row r="213" spans="1:29" x14ac:dyDescent="0.2">
      <c r="A213" s="624" t="s">
        <v>1268</v>
      </c>
      <c r="B213" s="620"/>
      <c r="C213" s="620"/>
      <c r="D213" s="620"/>
      <c r="E213" s="596"/>
      <c r="F213" s="595"/>
      <c r="G213" s="595"/>
      <c r="H213" s="595"/>
    </row>
    <row r="214" spans="1:29" x14ac:dyDescent="0.2">
      <c r="A214" s="620" t="s">
        <v>1265</v>
      </c>
      <c r="B214" s="619" t="s">
        <v>747</v>
      </c>
      <c r="C214" s="620">
        <v>247</v>
      </c>
      <c r="D214" s="620">
        <v>223</v>
      </c>
      <c r="E214" s="596"/>
      <c r="F214" s="595"/>
      <c r="G214" s="595"/>
      <c r="H214" s="595">
        <v>97172.91</v>
      </c>
    </row>
    <row r="215" spans="1:29" x14ac:dyDescent="0.2">
      <c r="A215" s="620" t="s">
        <v>1265</v>
      </c>
      <c r="B215" s="619" t="s">
        <v>729</v>
      </c>
      <c r="C215" s="620">
        <v>247</v>
      </c>
      <c r="D215" s="620">
        <v>223</v>
      </c>
      <c r="E215" s="596"/>
      <c r="F215" s="595"/>
      <c r="G215" s="595"/>
      <c r="H215" s="595">
        <v>149284.57</v>
      </c>
    </row>
    <row r="216" spans="1:29" x14ac:dyDescent="0.2">
      <c r="A216" s="620"/>
      <c r="B216" s="620"/>
      <c r="C216" s="620"/>
      <c r="D216" s="620"/>
      <c r="E216" s="596"/>
      <c r="F216" s="595"/>
      <c r="G216" s="595"/>
      <c r="H216" s="595">
        <f>SUM(H214:H215)</f>
        <v>246457.48</v>
      </c>
    </row>
    <row r="217" spans="1:29" x14ac:dyDescent="0.2">
      <c r="A217" s="624" t="s">
        <v>1269</v>
      </c>
      <c r="B217" s="620"/>
      <c r="C217" s="620"/>
      <c r="D217" s="620"/>
      <c r="E217" s="596"/>
      <c r="F217" s="595"/>
      <c r="G217" s="595"/>
      <c r="H217" s="595"/>
    </row>
    <row r="218" spans="1:29" x14ac:dyDescent="0.2">
      <c r="A218" s="620" t="s">
        <v>735</v>
      </c>
      <c r="B218" s="619" t="s">
        <v>747</v>
      </c>
      <c r="C218" s="620">
        <v>244</v>
      </c>
      <c r="D218" s="620">
        <v>223</v>
      </c>
      <c r="E218" s="596"/>
      <c r="F218" s="595"/>
      <c r="G218" s="595"/>
      <c r="H218" s="595">
        <v>28336.69</v>
      </c>
    </row>
    <row r="219" spans="1:29" x14ac:dyDescent="0.2">
      <c r="A219" s="620" t="s">
        <v>1267</v>
      </c>
      <c r="B219" s="619" t="s">
        <v>747</v>
      </c>
      <c r="C219" s="620">
        <v>247</v>
      </c>
      <c r="D219" s="620">
        <v>223</v>
      </c>
      <c r="E219" s="596"/>
      <c r="F219" s="595"/>
      <c r="G219" s="595"/>
      <c r="H219" s="595">
        <v>19716.62</v>
      </c>
    </row>
    <row r="220" spans="1:29" x14ac:dyDescent="0.2">
      <c r="A220" s="620" t="s">
        <v>1267</v>
      </c>
      <c r="B220" s="619" t="s">
        <v>729</v>
      </c>
      <c r="C220" s="620">
        <v>247</v>
      </c>
      <c r="D220" s="620">
        <v>223</v>
      </c>
      <c r="E220" s="596"/>
      <c r="F220" s="595"/>
      <c r="G220" s="595"/>
      <c r="H220" s="595">
        <v>105588.85</v>
      </c>
    </row>
    <row r="221" spans="1:29" x14ac:dyDescent="0.2">
      <c r="A221" s="620"/>
      <c r="B221" s="620"/>
      <c r="C221" s="620"/>
      <c r="D221" s="620"/>
      <c r="E221" s="596"/>
      <c r="F221" s="595"/>
      <c r="G221" s="595"/>
      <c r="H221" s="595">
        <f>SUM(H218:H220)</f>
        <v>153642.16</v>
      </c>
    </row>
  </sheetData>
  <mergeCells count="28">
    <mergeCell ref="A7:A10"/>
    <mergeCell ref="B7:B10"/>
    <mergeCell ref="C7:C10"/>
    <mergeCell ref="D7:D10"/>
    <mergeCell ref="E7:L7"/>
    <mergeCell ref="E8:E10"/>
    <mergeCell ref="F8:L8"/>
    <mergeCell ref="F9:H9"/>
    <mergeCell ref="I9:K9"/>
    <mergeCell ref="L9:L10"/>
    <mergeCell ref="Z1:AB1"/>
    <mergeCell ref="Z2:AB2"/>
    <mergeCell ref="A3:X3"/>
    <mergeCell ref="A4:X4"/>
    <mergeCell ref="D5:P5"/>
    <mergeCell ref="AC7:AC10"/>
    <mergeCell ref="V8:AB8"/>
    <mergeCell ref="Y9:AA9"/>
    <mergeCell ref="AB9:AB10"/>
    <mergeCell ref="M8:M10"/>
    <mergeCell ref="N8:T8"/>
    <mergeCell ref="U8:U10"/>
    <mergeCell ref="T9:T10"/>
    <mergeCell ref="N9:P9"/>
    <mergeCell ref="Q9:S9"/>
    <mergeCell ref="V9:X9"/>
    <mergeCell ref="M7:T7"/>
    <mergeCell ref="U7:AB7"/>
  </mergeCells>
  <pageMargins left="0.25" right="0.25" top="0.75" bottom="0.75" header="0.3" footer="0.3"/>
  <pageSetup paperSize="9" scale="25"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F235"/>
  <sheetViews>
    <sheetView view="pageBreakPreview" zoomScale="55" zoomScaleNormal="56" zoomScaleSheetLayoutView="55" workbookViewId="0">
      <pane xSplit="1" ySplit="10" topLeftCell="B216" activePane="bottomRight" state="frozen"/>
      <selection pane="topRight" activeCell="B1" sqref="B1"/>
      <selection pane="bottomLeft" activeCell="A11" sqref="A11"/>
      <selection pane="bottomRight" activeCell="G217" sqref="G217:H227"/>
    </sheetView>
  </sheetViews>
  <sheetFormatPr defaultColWidth="9.140625" defaultRowHeight="15.75" x14ac:dyDescent="0.2"/>
  <cols>
    <col min="1" max="1" width="36.85546875" style="610" customWidth="1"/>
    <col min="2" max="2" width="11.5703125" style="610" customWidth="1"/>
    <col min="3" max="3" width="9.42578125" style="610" customWidth="1"/>
    <col min="4" max="4" width="11.7109375" style="610" customWidth="1"/>
    <col min="5" max="5" width="24.140625" style="644" customWidth="1"/>
    <col min="6" max="6" width="19.42578125" style="645" customWidth="1"/>
    <col min="7" max="7" width="17.5703125" style="645" customWidth="1"/>
    <col min="8" max="8" width="26.28515625" style="645" customWidth="1"/>
    <col min="9" max="9" width="14.42578125" style="611" customWidth="1"/>
    <col min="10" max="10" width="17.5703125" style="645" customWidth="1"/>
    <col min="11" max="11" width="20.140625" style="645" customWidth="1"/>
    <col min="12" max="12" width="20.42578125" style="645" customWidth="1"/>
    <col min="13" max="13" width="24.85546875" style="644" customWidth="1"/>
    <col min="14" max="14" width="21.7109375" style="645" customWidth="1"/>
    <col min="15" max="15" width="23.42578125" style="645" customWidth="1"/>
    <col min="16" max="16" width="18.5703125" style="645" customWidth="1"/>
    <col min="17" max="17" width="18.5703125" style="611" customWidth="1"/>
    <col min="18" max="18" width="11.5703125" style="645" customWidth="1"/>
    <col min="19" max="19" width="25.85546875" style="645" customWidth="1"/>
    <col min="20" max="20" width="22.140625" style="645" customWidth="1"/>
    <col min="21" max="21" width="21" style="644" customWidth="1"/>
    <col min="22" max="22" width="20.42578125" style="645" customWidth="1"/>
    <col min="23" max="23" width="26.42578125" style="645" customWidth="1"/>
    <col min="24" max="24" width="24.5703125" style="645" customWidth="1"/>
    <col min="25" max="25" width="14.85546875" style="611" customWidth="1"/>
    <col min="26" max="26" width="12.28515625" style="645" customWidth="1"/>
    <col min="27" max="27" width="19" style="645" customWidth="1"/>
    <col min="28" max="28" width="22.42578125" style="645" customWidth="1"/>
    <col min="29" max="29" width="17.42578125" style="612" customWidth="1"/>
    <col min="30" max="30" width="19.28515625" style="610" customWidth="1"/>
    <col min="31" max="31" width="18" style="610" customWidth="1"/>
    <col min="32" max="32" width="17.5703125" style="610" bestFit="1" customWidth="1"/>
    <col min="33" max="16384" width="9.140625" style="610"/>
  </cols>
  <sheetData>
    <row r="1" spans="1:29" ht="51.75" customHeight="1" x14ac:dyDescent="0.2">
      <c r="Z1" s="1572" t="s">
        <v>721</v>
      </c>
      <c r="AA1" s="1573"/>
      <c r="AB1" s="1573"/>
    </row>
    <row r="2" spans="1:29" ht="31.9" customHeight="1" x14ac:dyDescent="0.2">
      <c r="Z2" s="1573" t="s">
        <v>722</v>
      </c>
      <c r="AA2" s="1573"/>
      <c r="AB2" s="1573"/>
    </row>
    <row r="3" spans="1:29" s="614" customFormat="1" ht="24.75" customHeight="1" x14ac:dyDescent="0.2">
      <c r="A3" s="1574" t="s">
        <v>1249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613"/>
      <c r="Z3" s="644"/>
      <c r="AA3" s="644"/>
      <c r="AB3" s="644"/>
      <c r="AC3" s="612"/>
    </row>
    <row r="4" spans="1:29" s="614" customFormat="1" ht="25.5" customHeight="1" x14ac:dyDescent="0.2">
      <c r="A4" s="1574" t="s">
        <v>1331</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613"/>
      <c r="Z4" s="644"/>
      <c r="AA4" s="644"/>
      <c r="AB4" s="644"/>
      <c r="AC4" s="612"/>
    </row>
    <row r="5" spans="1:29" x14ac:dyDescent="0.2">
      <c r="A5" s="610" t="s">
        <v>723</v>
      </c>
      <c r="D5" s="1575" t="s">
        <v>204</v>
      </c>
      <c r="E5" s="1576"/>
      <c r="F5" s="1576"/>
      <c r="G5" s="1576"/>
      <c r="H5" s="1576"/>
      <c r="I5" s="1576"/>
      <c r="J5" s="1576"/>
      <c r="K5" s="1576"/>
      <c r="L5" s="1576"/>
      <c r="M5" s="1576"/>
      <c r="N5" s="1576"/>
      <c r="O5" s="1576"/>
      <c r="P5" s="1576"/>
    </row>
    <row r="7" spans="1:29" s="614" customFormat="1" ht="37.5" customHeight="1" x14ac:dyDescent="0.2">
      <c r="A7" s="1565" t="s">
        <v>724</v>
      </c>
      <c r="B7" s="1566" t="s">
        <v>577</v>
      </c>
      <c r="C7" s="1566" t="s">
        <v>578</v>
      </c>
      <c r="D7" s="1566" t="s">
        <v>579</v>
      </c>
      <c r="E7" s="1567" t="s">
        <v>725</v>
      </c>
      <c r="F7" s="1567"/>
      <c r="G7" s="1567"/>
      <c r="H7" s="1567"/>
      <c r="I7" s="1567"/>
      <c r="J7" s="1567"/>
      <c r="K7" s="1567"/>
      <c r="L7" s="1567"/>
      <c r="M7" s="1567" t="s">
        <v>726</v>
      </c>
      <c r="N7" s="1567"/>
      <c r="O7" s="1567"/>
      <c r="P7" s="1567"/>
      <c r="Q7" s="1567"/>
      <c r="R7" s="1567"/>
      <c r="S7" s="1567"/>
      <c r="T7" s="1567"/>
      <c r="U7" s="1567" t="s">
        <v>727</v>
      </c>
      <c r="V7" s="1567"/>
      <c r="W7" s="1567"/>
      <c r="X7" s="1567"/>
      <c r="Y7" s="1567"/>
      <c r="Z7" s="1567"/>
      <c r="AA7" s="1567"/>
      <c r="AB7" s="1567"/>
      <c r="AC7" s="2299" t="s">
        <v>1178</v>
      </c>
    </row>
    <row r="8" spans="1:29" s="616" customFormat="1" ht="39.75" customHeight="1" x14ac:dyDescent="0.2">
      <c r="A8" s="1565"/>
      <c r="B8" s="1566"/>
      <c r="C8" s="1566"/>
      <c r="D8" s="1566"/>
      <c r="E8" s="1568" t="s">
        <v>6</v>
      </c>
      <c r="F8" s="1569" t="s">
        <v>52</v>
      </c>
      <c r="G8" s="1569"/>
      <c r="H8" s="1569"/>
      <c r="I8" s="1569"/>
      <c r="J8" s="1569"/>
      <c r="K8" s="1569"/>
      <c r="L8" s="1569"/>
      <c r="M8" s="1578" t="s">
        <v>6</v>
      </c>
      <c r="N8" s="1569" t="s">
        <v>52</v>
      </c>
      <c r="O8" s="1569"/>
      <c r="P8" s="1569"/>
      <c r="Q8" s="1569"/>
      <c r="R8" s="1569"/>
      <c r="S8" s="1569"/>
      <c r="T8" s="1569"/>
      <c r="U8" s="1578" t="s">
        <v>6</v>
      </c>
      <c r="V8" s="1569" t="s">
        <v>52</v>
      </c>
      <c r="W8" s="1569"/>
      <c r="X8" s="1569"/>
      <c r="Y8" s="1569"/>
      <c r="Z8" s="1569"/>
      <c r="AA8" s="1569"/>
      <c r="AB8" s="1569"/>
      <c r="AC8" s="2299"/>
    </row>
    <row r="9" spans="1:29" s="616" customFormat="1" ht="39.75" customHeight="1" x14ac:dyDescent="0.2">
      <c r="A9" s="1565"/>
      <c r="B9" s="1566"/>
      <c r="C9" s="1566"/>
      <c r="D9" s="1566"/>
      <c r="E9" s="1568"/>
      <c r="F9" s="1570" t="s">
        <v>35</v>
      </c>
      <c r="G9" s="1570"/>
      <c r="H9" s="1570"/>
      <c r="I9" s="1570" t="s">
        <v>45</v>
      </c>
      <c r="J9" s="1570"/>
      <c r="K9" s="1570"/>
      <c r="L9" s="1571" t="s">
        <v>46</v>
      </c>
      <c r="M9" s="1578"/>
      <c r="N9" s="1570" t="s">
        <v>35</v>
      </c>
      <c r="O9" s="1570"/>
      <c r="P9" s="1570"/>
      <c r="Q9" s="1570" t="s">
        <v>45</v>
      </c>
      <c r="R9" s="1570"/>
      <c r="S9" s="1570"/>
      <c r="T9" s="1571" t="s">
        <v>46</v>
      </c>
      <c r="U9" s="1578"/>
      <c r="V9" s="1570" t="s">
        <v>35</v>
      </c>
      <c r="W9" s="1570"/>
      <c r="X9" s="1570"/>
      <c r="Y9" s="1570" t="s">
        <v>45</v>
      </c>
      <c r="Z9" s="1570"/>
      <c r="AA9" s="1570"/>
      <c r="AB9" s="1571" t="s">
        <v>46</v>
      </c>
      <c r="AC9" s="2299"/>
    </row>
    <row r="10" spans="1:29" s="616" customFormat="1" ht="69" customHeight="1" x14ac:dyDescent="0.2">
      <c r="A10" s="1565"/>
      <c r="B10" s="1566"/>
      <c r="C10" s="1566"/>
      <c r="D10" s="1566"/>
      <c r="E10" s="1568"/>
      <c r="F10" s="642" t="s">
        <v>43</v>
      </c>
      <c r="G10" s="642" t="s">
        <v>592</v>
      </c>
      <c r="H10" s="642" t="s">
        <v>44</v>
      </c>
      <c r="I10" s="617" t="s">
        <v>55</v>
      </c>
      <c r="J10" s="642" t="s">
        <v>43</v>
      </c>
      <c r="K10" s="642" t="s">
        <v>44</v>
      </c>
      <c r="L10" s="1571"/>
      <c r="M10" s="1578"/>
      <c r="N10" s="642" t="s">
        <v>43</v>
      </c>
      <c r="O10" s="642" t="s">
        <v>592</v>
      </c>
      <c r="P10" s="642" t="s">
        <v>44</v>
      </c>
      <c r="Q10" s="617" t="s">
        <v>55</v>
      </c>
      <c r="R10" s="642" t="s">
        <v>43</v>
      </c>
      <c r="S10" s="642" t="s">
        <v>44</v>
      </c>
      <c r="T10" s="1571"/>
      <c r="U10" s="1578"/>
      <c r="V10" s="642" t="s">
        <v>43</v>
      </c>
      <c r="W10" s="642" t="s">
        <v>592</v>
      </c>
      <c r="X10" s="642" t="s">
        <v>44</v>
      </c>
      <c r="Y10" s="617" t="s">
        <v>55</v>
      </c>
      <c r="Z10" s="642" t="s">
        <v>43</v>
      </c>
      <c r="AA10" s="642" t="s">
        <v>44</v>
      </c>
      <c r="AB10" s="1571"/>
      <c r="AC10" s="2299"/>
    </row>
    <row r="11" spans="1:29" ht="31.5" x14ac:dyDescent="0.2">
      <c r="A11" s="618" t="s">
        <v>909</v>
      </c>
      <c r="B11" s="619" t="s">
        <v>747</v>
      </c>
      <c r="C11" s="620"/>
      <c r="D11" s="620">
        <v>510</v>
      </c>
      <c r="E11" s="596">
        <f>L11+K11+J11+H11+G11+F11</f>
        <v>332433.68</v>
      </c>
      <c r="F11" s="595">
        <f>'Прилож 4 24 (2)'!V11</f>
        <v>0</v>
      </c>
      <c r="G11" s="595">
        <f>'Прилож 4 24 (2)'!W11</f>
        <v>0</v>
      </c>
      <c r="H11" s="595">
        <f>'Прилож 4 24 (2)'!X11</f>
        <v>255285.97</v>
      </c>
      <c r="I11" s="621"/>
      <c r="J11" s="595">
        <f>'Прилож 4 24 (2)'!Z11</f>
        <v>0</v>
      </c>
      <c r="K11" s="595">
        <f>'Прилож 4 24 (2)'!AA11</f>
        <v>0</v>
      </c>
      <c r="L11" s="595">
        <f>'Прилож 4 24 (2)'!AB11</f>
        <v>77147.710000000006</v>
      </c>
      <c r="M11" s="596">
        <f>N11+P11+R11+S11+T11+O11</f>
        <v>0</v>
      </c>
      <c r="N11" s="595"/>
      <c r="O11" s="595"/>
      <c r="P11" s="595"/>
      <c r="Q11" s="621"/>
      <c r="R11" s="595"/>
      <c r="S11" s="595"/>
      <c r="T11" s="595"/>
      <c r="U11" s="596">
        <f>X11+AB11</f>
        <v>332433.68</v>
      </c>
      <c r="V11" s="595">
        <f>F11+N11</f>
        <v>0</v>
      </c>
      <c r="W11" s="595">
        <f>O11+G11</f>
        <v>0</v>
      </c>
      <c r="X11" s="595">
        <f>P11+H11</f>
        <v>255285.97</v>
      </c>
      <c r="Y11" s="621"/>
      <c r="Z11" s="595">
        <f>R11+J11</f>
        <v>0</v>
      </c>
      <c r="AA11" s="595">
        <f>S11+K11</f>
        <v>0</v>
      </c>
      <c r="AB11" s="595">
        <f>T11+L11</f>
        <v>77147.710000000006</v>
      </c>
      <c r="AC11" s="622"/>
    </row>
    <row r="12" spans="1:29" ht="109.5" customHeight="1" x14ac:dyDescent="0.2">
      <c r="A12" s="618" t="s">
        <v>728</v>
      </c>
      <c r="B12" s="619" t="s">
        <v>747</v>
      </c>
      <c r="C12" s="620">
        <v>130</v>
      </c>
      <c r="D12" s="620">
        <v>131</v>
      </c>
      <c r="E12" s="596">
        <f t="shared" ref="E12:E98" si="0">L12+K12+J12+H12+G12+F12</f>
        <v>23228700</v>
      </c>
      <c r="F12" s="595">
        <f>'Прилож 4 24 (2)'!V12</f>
        <v>16891100</v>
      </c>
      <c r="G12" s="595">
        <f>'Прилож 4 24 (2)'!W12</f>
        <v>0</v>
      </c>
      <c r="H12" s="595">
        <f>'Прилож 4 24 (2)'!X12</f>
        <v>6337600</v>
      </c>
      <c r="I12" s="621"/>
      <c r="J12" s="595">
        <f>'Прилож 4 24 (2)'!Z12</f>
        <v>0</v>
      </c>
      <c r="K12" s="595">
        <f>'Прилож 4 24 (2)'!AA12</f>
        <v>0</v>
      </c>
      <c r="L12" s="595">
        <f>'Прилож 4 24 (2)'!AB12</f>
        <v>0</v>
      </c>
      <c r="M12" s="596">
        <f t="shared" ref="M12:M80" si="1">N12+P12+R12+S12+T12+O12</f>
        <v>0</v>
      </c>
      <c r="N12" s="595"/>
      <c r="O12" s="595"/>
      <c r="P12" s="595"/>
      <c r="Q12" s="621"/>
      <c r="R12" s="595"/>
      <c r="S12" s="595"/>
      <c r="T12" s="595"/>
      <c r="U12" s="596">
        <f>V12+X12+Z12+AA12+AB12+W12</f>
        <v>23228700</v>
      </c>
      <c r="V12" s="595">
        <f t="shared" ref="V12:V77" si="2">F12+N12</f>
        <v>16891100</v>
      </c>
      <c r="W12" s="595">
        <f t="shared" ref="W12:W77" si="3">O12+G12</f>
        <v>0</v>
      </c>
      <c r="X12" s="595">
        <f t="shared" ref="X12:X77" si="4">P12+H12</f>
        <v>6337600</v>
      </c>
      <c r="Y12" s="621"/>
      <c r="Z12" s="595">
        <f t="shared" ref="Z12:Z77" si="5">R12+J12</f>
        <v>0</v>
      </c>
      <c r="AA12" s="595">
        <f t="shared" ref="AA12:AA77" si="6">S12+K12</f>
        <v>0</v>
      </c>
      <c r="AB12" s="595">
        <f t="shared" ref="AB12:AB77" si="7">T12+L12</f>
        <v>0</v>
      </c>
      <c r="AC12" s="622"/>
    </row>
    <row r="13" spans="1:29" ht="58.5" customHeight="1" x14ac:dyDescent="0.2">
      <c r="A13" s="618" t="s">
        <v>580</v>
      </c>
      <c r="B13" s="619" t="s">
        <v>729</v>
      </c>
      <c r="C13" s="620">
        <v>130</v>
      </c>
      <c r="D13" s="620">
        <v>131</v>
      </c>
      <c r="E13" s="596">
        <f t="shared" si="0"/>
        <v>926500</v>
      </c>
      <c r="F13" s="595">
        <f>'Прилож 4 24 (2)'!V13</f>
        <v>0</v>
      </c>
      <c r="G13" s="595">
        <f>'Прилож 4 24 (2)'!W13</f>
        <v>0</v>
      </c>
      <c r="H13" s="595">
        <f>'Прилож 4 24 (2)'!X13</f>
        <v>926500</v>
      </c>
      <c r="I13" s="621"/>
      <c r="J13" s="595">
        <f>'Прилож 4 24 (2)'!Z13</f>
        <v>0</v>
      </c>
      <c r="K13" s="595">
        <f>'Прилож 4 24 (2)'!AA13</f>
        <v>0</v>
      </c>
      <c r="L13" s="595">
        <f>'Прилож 4 24 (2)'!AB13</f>
        <v>0</v>
      </c>
      <c r="M13" s="596">
        <f t="shared" si="1"/>
        <v>0</v>
      </c>
      <c r="N13" s="595"/>
      <c r="O13" s="595"/>
      <c r="P13" s="595"/>
      <c r="Q13" s="621"/>
      <c r="R13" s="595"/>
      <c r="S13" s="595"/>
      <c r="T13" s="595"/>
      <c r="U13" s="596">
        <f t="shared" ref="U13:U99" si="8">V13+X13+Z13+AA13+AB13+W13</f>
        <v>926500</v>
      </c>
      <c r="V13" s="595">
        <f t="shared" si="2"/>
        <v>0</v>
      </c>
      <c r="W13" s="595">
        <f t="shared" si="3"/>
        <v>0</v>
      </c>
      <c r="X13" s="595">
        <f t="shared" si="4"/>
        <v>926500</v>
      </c>
      <c r="Y13" s="621"/>
      <c r="Z13" s="595">
        <f t="shared" si="5"/>
        <v>0</v>
      </c>
      <c r="AA13" s="595">
        <f t="shared" si="6"/>
        <v>0</v>
      </c>
      <c r="AB13" s="595">
        <f t="shared" si="7"/>
        <v>0</v>
      </c>
      <c r="AC13" s="622"/>
    </row>
    <row r="14" spans="1:29" ht="106.5" customHeight="1" x14ac:dyDescent="0.2">
      <c r="A14" s="618" t="s">
        <v>728</v>
      </c>
      <c r="B14" s="619" t="s">
        <v>729</v>
      </c>
      <c r="C14" s="620">
        <v>130</v>
      </c>
      <c r="D14" s="620">
        <v>131</v>
      </c>
      <c r="E14" s="596">
        <f t="shared" si="0"/>
        <v>27785676</v>
      </c>
      <c r="F14" s="595">
        <f>'Прилож 4 24 (2)'!V14</f>
        <v>23071130</v>
      </c>
      <c r="G14" s="595">
        <f>'Прилож 4 24 (2)'!W14</f>
        <v>1093680</v>
      </c>
      <c r="H14" s="595">
        <f>'Прилож 4 24 (2)'!X14</f>
        <v>3620866</v>
      </c>
      <c r="I14" s="621"/>
      <c r="J14" s="595">
        <f>'Прилож 4 24 (2)'!Z14</f>
        <v>0</v>
      </c>
      <c r="K14" s="595">
        <f>'Прилож 4 24 (2)'!AA14</f>
        <v>0</v>
      </c>
      <c r="L14" s="595">
        <f>'Прилож 4 24 (2)'!AB14</f>
        <v>0</v>
      </c>
      <c r="M14" s="596">
        <f t="shared" si="1"/>
        <v>0</v>
      </c>
      <c r="N14" s="595"/>
      <c r="O14" s="595"/>
      <c r="P14" s="595"/>
      <c r="Q14" s="621"/>
      <c r="R14" s="595"/>
      <c r="S14" s="595"/>
      <c r="T14" s="595"/>
      <c r="U14" s="596">
        <f t="shared" si="8"/>
        <v>27785676</v>
      </c>
      <c r="V14" s="595">
        <f t="shared" si="2"/>
        <v>23071130</v>
      </c>
      <c r="W14" s="595">
        <f t="shared" si="3"/>
        <v>1093680</v>
      </c>
      <c r="X14" s="595">
        <f t="shared" si="4"/>
        <v>3620866</v>
      </c>
      <c r="Y14" s="621"/>
      <c r="Z14" s="595">
        <f t="shared" si="5"/>
        <v>0</v>
      </c>
      <c r="AA14" s="595">
        <f t="shared" si="6"/>
        <v>0</v>
      </c>
      <c r="AB14" s="595">
        <f t="shared" si="7"/>
        <v>0</v>
      </c>
      <c r="AC14" s="622"/>
    </row>
    <row r="15" spans="1:29" ht="118.5" customHeight="1" x14ac:dyDescent="0.2">
      <c r="A15" s="618" t="s">
        <v>945</v>
      </c>
      <c r="B15" s="619" t="s">
        <v>729</v>
      </c>
      <c r="C15" s="620">
        <v>130</v>
      </c>
      <c r="D15" s="620">
        <v>131</v>
      </c>
      <c r="E15" s="596">
        <f t="shared" si="0"/>
        <v>354251.13</v>
      </c>
      <c r="F15" s="595">
        <f>'Прилож 4 24 (2)'!V15</f>
        <v>116903.03999999999</v>
      </c>
      <c r="G15" s="595">
        <f>'Прилож 4 24 (2)'!W15</f>
        <v>237348.09</v>
      </c>
      <c r="H15" s="595">
        <f>'Прилож 4 24 (2)'!X15</f>
        <v>0</v>
      </c>
      <c r="I15" s="621"/>
      <c r="J15" s="595">
        <f>'Прилож 4 24 (2)'!Z15</f>
        <v>0</v>
      </c>
      <c r="K15" s="595">
        <f>'Прилож 4 24 (2)'!AA15</f>
        <v>0</v>
      </c>
      <c r="L15" s="595">
        <f>'Прилож 4 24 (2)'!AB15</f>
        <v>0</v>
      </c>
      <c r="M15" s="596">
        <f t="shared" si="1"/>
        <v>0</v>
      </c>
      <c r="N15" s="595"/>
      <c r="O15" s="595"/>
      <c r="P15" s="595"/>
      <c r="Q15" s="621"/>
      <c r="R15" s="595"/>
      <c r="S15" s="595"/>
      <c r="T15" s="595"/>
      <c r="U15" s="596">
        <f t="shared" si="8"/>
        <v>354251.13</v>
      </c>
      <c r="V15" s="595">
        <f t="shared" si="2"/>
        <v>116903.03999999999</v>
      </c>
      <c r="W15" s="595">
        <f t="shared" si="3"/>
        <v>237348.09</v>
      </c>
      <c r="X15" s="595">
        <f t="shared" si="4"/>
        <v>0</v>
      </c>
      <c r="Y15" s="621"/>
      <c r="Z15" s="595">
        <f t="shared" si="5"/>
        <v>0</v>
      </c>
      <c r="AA15" s="595">
        <f t="shared" si="6"/>
        <v>0</v>
      </c>
      <c r="AB15" s="595">
        <f t="shared" si="7"/>
        <v>0</v>
      </c>
      <c r="AC15" s="622"/>
    </row>
    <row r="16" spans="1:29" ht="57" customHeight="1" x14ac:dyDescent="0.2">
      <c r="A16" s="618" t="s">
        <v>582</v>
      </c>
      <c r="B16" s="619" t="s">
        <v>691</v>
      </c>
      <c r="C16" s="620">
        <v>130</v>
      </c>
      <c r="D16" s="620">
        <v>131</v>
      </c>
      <c r="E16" s="596">
        <f t="shared" si="0"/>
        <v>352345.7</v>
      </c>
      <c r="F16" s="595">
        <f>'Прилож 4 24 (2)'!V16</f>
        <v>32288.77</v>
      </c>
      <c r="G16" s="595">
        <f>'Прилож 4 24 (2)'!W16</f>
        <v>0</v>
      </c>
      <c r="H16" s="595">
        <f>'Прилож 4 24 (2)'!X16</f>
        <v>320056.93</v>
      </c>
      <c r="I16" s="621"/>
      <c r="J16" s="595">
        <f>'Прилож 4 24 (2)'!Z16</f>
        <v>0</v>
      </c>
      <c r="K16" s="595">
        <f>'Прилож 4 24 (2)'!AA16</f>
        <v>0</v>
      </c>
      <c r="L16" s="595">
        <f>'Прилож 4 24 (2)'!AB16</f>
        <v>0</v>
      </c>
      <c r="M16" s="596">
        <f t="shared" si="1"/>
        <v>0</v>
      </c>
      <c r="N16" s="595"/>
      <c r="O16" s="595"/>
      <c r="P16" s="595"/>
      <c r="Q16" s="621"/>
      <c r="R16" s="595"/>
      <c r="S16" s="595"/>
      <c r="T16" s="595"/>
      <c r="U16" s="596">
        <f t="shared" si="8"/>
        <v>352345.7</v>
      </c>
      <c r="V16" s="595">
        <f t="shared" si="2"/>
        <v>32288.77</v>
      </c>
      <c r="W16" s="595">
        <f t="shared" si="3"/>
        <v>0</v>
      </c>
      <c r="X16" s="595">
        <f t="shared" si="4"/>
        <v>320056.93</v>
      </c>
      <c r="Y16" s="621"/>
      <c r="Z16" s="595">
        <f t="shared" si="5"/>
        <v>0</v>
      </c>
      <c r="AA16" s="595">
        <f t="shared" si="6"/>
        <v>0</v>
      </c>
      <c r="AB16" s="595">
        <f t="shared" si="7"/>
        <v>0</v>
      </c>
      <c r="AC16" s="622"/>
    </row>
    <row r="17" spans="1:32" ht="62.25" customHeight="1" x14ac:dyDescent="0.2">
      <c r="A17" s="618" t="s">
        <v>283</v>
      </c>
      <c r="B17" s="619" t="s">
        <v>729</v>
      </c>
      <c r="C17" s="620">
        <v>130</v>
      </c>
      <c r="D17" s="620">
        <v>131</v>
      </c>
      <c r="E17" s="596">
        <f t="shared" si="0"/>
        <v>80080</v>
      </c>
      <c r="F17" s="595">
        <f>'Прилож 4 24 (2)'!V17</f>
        <v>0</v>
      </c>
      <c r="G17" s="595">
        <f>'Прилож 4 24 (2)'!W17</f>
        <v>0</v>
      </c>
      <c r="H17" s="595">
        <f>'Прилож 4 24 (2)'!X17</f>
        <v>0</v>
      </c>
      <c r="I17" s="621"/>
      <c r="J17" s="595">
        <f>'Прилож 4 24 (2)'!Z17</f>
        <v>0</v>
      </c>
      <c r="K17" s="595">
        <f>'Прилож 4 24 (2)'!AA17</f>
        <v>0</v>
      </c>
      <c r="L17" s="595">
        <f>'Прилож 4 24 (2)'!AB17</f>
        <v>80080</v>
      </c>
      <c r="M17" s="596">
        <f t="shared" si="1"/>
        <v>0</v>
      </c>
      <c r="N17" s="595"/>
      <c r="O17" s="595"/>
      <c r="P17" s="595"/>
      <c r="Q17" s="621"/>
      <c r="R17" s="595"/>
      <c r="S17" s="595"/>
      <c r="T17" s="595"/>
      <c r="U17" s="596">
        <f t="shared" si="8"/>
        <v>80080</v>
      </c>
      <c r="V17" s="595">
        <f t="shared" si="2"/>
        <v>0</v>
      </c>
      <c r="W17" s="595">
        <f t="shared" si="3"/>
        <v>0</v>
      </c>
      <c r="X17" s="595">
        <f t="shared" si="4"/>
        <v>0</v>
      </c>
      <c r="Y17" s="621"/>
      <c r="Z17" s="595">
        <f t="shared" si="5"/>
        <v>0</v>
      </c>
      <c r="AA17" s="595">
        <f t="shared" si="6"/>
        <v>0</v>
      </c>
      <c r="AB17" s="595">
        <f t="shared" si="7"/>
        <v>80080</v>
      </c>
      <c r="AC17" s="622"/>
    </row>
    <row r="18" spans="1:32" ht="63.75" customHeight="1" x14ac:dyDescent="0.2">
      <c r="A18" s="618" t="s">
        <v>282</v>
      </c>
      <c r="B18" s="619" t="s">
        <v>729</v>
      </c>
      <c r="C18" s="620">
        <v>130</v>
      </c>
      <c r="D18" s="620">
        <v>131</v>
      </c>
      <c r="E18" s="596">
        <f t="shared" si="0"/>
        <v>0</v>
      </c>
      <c r="F18" s="595">
        <f>'Прилож 4 24 (2)'!V18</f>
        <v>0</v>
      </c>
      <c r="G18" s="595">
        <f>'Прилож 4 24 (2)'!W18</f>
        <v>0</v>
      </c>
      <c r="H18" s="595">
        <f>'Прилож 4 24 (2)'!X18</f>
        <v>0</v>
      </c>
      <c r="I18" s="621"/>
      <c r="J18" s="595">
        <f>'Прилож 4 24 (2)'!Z18</f>
        <v>0</v>
      </c>
      <c r="K18" s="595">
        <f>'Прилож 4 24 (2)'!AA18</f>
        <v>0</v>
      </c>
      <c r="L18" s="595">
        <f>'Прилож 4 24 (2)'!AB18</f>
        <v>0</v>
      </c>
      <c r="M18" s="596">
        <f t="shared" si="1"/>
        <v>0</v>
      </c>
      <c r="N18" s="595"/>
      <c r="O18" s="595"/>
      <c r="P18" s="595"/>
      <c r="Q18" s="621"/>
      <c r="R18" s="595"/>
      <c r="S18" s="595"/>
      <c r="T18" s="595"/>
      <c r="U18" s="596">
        <f t="shared" si="8"/>
        <v>0</v>
      </c>
      <c r="V18" s="595">
        <f t="shared" si="2"/>
        <v>0</v>
      </c>
      <c r="W18" s="595">
        <f t="shared" si="3"/>
        <v>0</v>
      </c>
      <c r="X18" s="595">
        <f t="shared" si="4"/>
        <v>0</v>
      </c>
      <c r="Y18" s="621"/>
      <c r="Z18" s="595">
        <f t="shared" si="5"/>
        <v>0</v>
      </c>
      <c r="AA18" s="595">
        <f t="shared" si="6"/>
        <v>0</v>
      </c>
      <c r="AB18" s="595">
        <f t="shared" si="7"/>
        <v>0</v>
      </c>
      <c r="AC18" s="622"/>
    </row>
    <row r="19" spans="1:32" ht="52.5" customHeight="1" x14ac:dyDescent="0.2">
      <c r="A19" s="618" t="s">
        <v>273</v>
      </c>
      <c r="B19" s="619" t="s">
        <v>729</v>
      </c>
      <c r="C19" s="620">
        <v>130</v>
      </c>
      <c r="D19" s="620">
        <v>131</v>
      </c>
      <c r="E19" s="596">
        <f t="shared" si="0"/>
        <v>0</v>
      </c>
      <c r="F19" s="595">
        <f>'Прилож 4 24 (2)'!V19</f>
        <v>0</v>
      </c>
      <c r="G19" s="595">
        <f>'Прилож 4 24 (2)'!W19</f>
        <v>0</v>
      </c>
      <c r="H19" s="595">
        <f>'Прилож 4 24 (2)'!X19</f>
        <v>0</v>
      </c>
      <c r="I19" s="621"/>
      <c r="J19" s="595">
        <f>'Прилож 4 24 (2)'!Z19</f>
        <v>0</v>
      </c>
      <c r="K19" s="595">
        <f>'Прилож 4 24 (2)'!AA19</f>
        <v>0</v>
      </c>
      <c r="L19" s="595">
        <f>'Прилож 4 24 (2)'!AB19</f>
        <v>0</v>
      </c>
      <c r="M19" s="596">
        <f t="shared" si="1"/>
        <v>0</v>
      </c>
      <c r="N19" s="595"/>
      <c r="O19" s="595"/>
      <c r="P19" s="595"/>
      <c r="Q19" s="621"/>
      <c r="R19" s="595"/>
      <c r="S19" s="595"/>
      <c r="T19" s="595"/>
      <c r="U19" s="596">
        <f t="shared" si="8"/>
        <v>0</v>
      </c>
      <c r="V19" s="595">
        <f t="shared" si="2"/>
        <v>0</v>
      </c>
      <c r="W19" s="595">
        <f t="shared" si="3"/>
        <v>0</v>
      </c>
      <c r="X19" s="595">
        <f t="shared" si="4"/>
        <v>0</v>
      </c>
      <c r="Y19" s="621"/>
      <c r="Z19" s="595">
        <f t="shared" si="5"/>
        <v>0</v>
      </c>
      <c r="AA19" s="595">
        <f t="shared" si="6"/>
        <v>0</v>
      </c>
      <c r="AB19" s="595">
        <f t="shared" si="7"/>
        <v>0</v>
      </c>
      <c r="AC19" s="622"/>
    </row>
    <row r="20" spans="1:32" ht="31.5" x14ac:dyDescent="0.2">
      <c r="A20" s="618" t="s">
        <v>789</v>
      </c>
      <c r="B20" s="619" t="s">
        <v>747</v>
      </c>
      <c r="C20" s="620">
        <v>130</v>
      </c>
      <c r="D20" s="620">
        <v>131</v>
      </c>
      <c r="E20" s="596">
        <f t="shared" si="0"/>
        <v>1170130</v>
      </c>
      <c r="F20" s="595">
        <f>'Прилож 4 24 (2)'!V20</f>
        <v>0</v>
      </c>
      <c r="G20" s="595">
        <f>'Прилож 4 24 (2)'!W20</f>
        <v>0</v>
      </c>
      <c r="H20" s="595">
        <f>'Прилож 4 24 (2)'!X20</f>
        <v>0</v>
      </c>
      <c r="I20" s="621"/>
      <c r="J20" s="595">
        <f>'Прилож 4 24 (2)'!Z20</f>
        <v>0</v>
      </c>
      <c r="K20" s="595">
        <f>'Прилож 4 24 (2)'!AA20</f>
        <v>0</v>
      </c>
      <c r="L20" s="595">
        <f>'Прилож 4 24 (2)'!AB20</f>
        <v>1170130</v>
      </c>
      <c r="M20" s="596">
        <f t="shared" si="1"/>
        <v>0</v>
      </c>
      <c r="N20" s="595"/>
      <c r="O20" s="595"/>
      <c r="P20" s="595"/>
      <c r="Q20" s="621"/>
      <c r="R20" s="595"/>
      <c r="S20" s="595"/>
      <c r="T20" s="595"/>
      <c r="U20" s="596">
        <f t="shared" si="8"/>
        <v>1170130</v>
      </c>
      <c r="V20" s="595">
        <f t="shared" si="2"/>
        <v>0</v>
      </c>
      <c r="W20" s="595">
        <f t="shared" si="3"/>
        <v>0</v>
      </c>
      <c r="X20" s="595">
        <f t="shared" si="4"/>
        <v>0</v>
      </c>
      <c r="Y20" s="621"/>
      <c r="Z20" s="595">
        <f t="shared" si="5"/>
        <v>0</v>
      </c>
      <c r="AA20" s="595">
        <f t="shared" si="6"/>
        <v>0</v>
      </c>
      <c r="AB20" s="595">
        <f t="shared" si="7"/>
        <v>1170130</v>
      </c>
      <c r="AC20" s="622"/>
    </row>
    <row r="21" spans="1:32" ht="111.75" customHeight="1" x14ac:dyDescent="0.2">
      <c r="A21" s="618" t="s">
        <v>1237</v>
      </c>
      <c r="B21" s="619" t="s">
        <v>747</v>
      </c>
      <c r="C21" s="620">
        <v>150</v>
      </c>
      <c r="D21" s="620">
        <v>152</v>
      </c>
      <c r="E21" s="596">
        <f t="shared" si="0"/>
        <v>116466</v>
      </c>
      <c r="F21" s="595">
        <f>'Прилож 4 24 (2)'!V21</f>
        <v>0</v>
      </c>
      <c r="G21" s="595">
        <f>'Прилож 4 24 (2)'!W21</f>
        <v>0</v>
      </c>
      <c r="H21" s="595">
        <f>'Прилож 4 24 (2)'!X21</f>
        <v>0</v>
      </c>
      <c r="I21" s="623" t="s">
        <v>1250</v>
      </c>
      <c r="J21" s="595">
        <f>'Прилож 4 24 (2)'!Z21</f>
        <v>0</v>
      </c>
      <c r="K21" s="595">
        <f>'Прилож 4 24 (2)'!AA21</f>
        <v>116466</v>
      </c>
      <c r="L21" s="595">
        <f>'Прилож 4 24 (2)'!AB21</f>
        <v>0</v>
      </c>
      <c r="M21" s="596">
        <f t="shared" si="1"/>
        <v>-116466</v>
      </c>
      <c r="N21" s="595"/>
      <c r="O21" s="595"/>
      <c r="P21" s="595"/>
      <c r="Q21" s="621" t="s">
        <v>1250</v>
      </c>
      <c r="R21" s="595"/>
      <c r="S21" s="595">
        <v>-116466</v>
      </c>
      <c r="T21" s="595"/>
      <c r="U21" s="596">
        <f t="shared" si="8"/>
        <v>0</v>
      </c>
      <c r="V21" s="595">
        <f t="shared" si="2"/>
        <v>0</v>
      </c>
      <c r="W21" s="595">
        <f t="shared" si="3"/>
        <v>0</v>
      </c>
      <c r="X21" s="595">
        <f t="shared" si="4"/>
        <v>0</v>
      </c>
      <c r="Y21" s="621"/>
      <c r="Z21" s="595">
        <f t="shared" si="5"/>
        <v>0</v>
      </c>
      <c r="AA21" s="595">
        <f t="shared" si="6"/>
        <v>0</v>
      </c>
      <c r="AB21" s="595">
        <f t="shared" si="7"/>
        <v>0</v>
      </c>
      <c r="AC21" s="622" t="s">
        <v>1326</v>
      </c>
    </row>
    <row r="22" spans="1:32" ht="111.75" customHeight="1" x14ac:dyDescent="0.2">
      <c r="A22" s="618" t="s">
        <v>1321</v>
      </c>
      <c r="B22" s="619" t="s">
        <v>729</v>
      </c>
      <c r="C22" s="620">
        <v>150</v>
      </c>
      <c r="D22" s="620">
        <v>152</v>
      </c>
      <c r="E22" s="596"/>
      <c r="F22" s="595"/>
      <c r="G22" s="595">
        <f>'Прилож 4 24 (2)'!W22</f>
        <v>0</v>
      </c>
      <c r="H22" s="595"/>
      <c r="I22" s="623"/>
      <c r="J22" s="595"/>
      <c r="K22" s="595"/>
      <c r="L22" s="595"/>
      <c r="M22" s="596">
        <f t="shared" si="1"/>
        <v>116466</v>
      </c>
      <c r="N22" s="595"/>
      <c r="O22" s="595"/>
      <c r="P22" s="595"/>
      <c r="Q22" s="621" t="s">
        <v>1226</v>
      </c>
      <c r="R22" s="595"/>
      <c r="S22" s="595">
        <v>116466</v>
      </c>
      <c r="T22" s="595"/>
      <c r="U22" s="596">
        <f t="shared" si="8"/>
        <v>116466</v>
      </c>
      <c r="V22" s="595">
        <f t="shared" si="2"/>
        <v>0</v>
      </c>
      <c r="W22" s="595">
        <f t="shared" si="3"/>
        <v>0</v>
      </c>
      <c r="X22" s="595">
        <f t="shared" si="4"/>
        <v>0</v>
      </c>
      <c r="Y22" s="621" t="s">
        <v>1226</v>
      </c>
      <c r="Z22" s="595">
        <f t="shared" si="5"/>
        <v>0</v>
      </c>
      <c r="AA22" s="595">
        <f t="shared" si="6"/>
        <v>116466</v>
      </c>
      <c r="AB22" s="595">
        <f t="shared" si="7"/>
        <v>0</v>
      </c>
      <c r="AC22" s="622" t="s">
        <v>1326</v>
      </c>
    </row>
    <row r="23" spans="1:32" ht="111.75" customHeight="1" x14ac:dyDescent="0.2">
      <c r="A23" s="618" t="s">
        <v>297</v>
      </c>
      <c r="B23" s="619" t="s">
        <v>729</v>
      </c>
      <c r="C23" s="620">
        <v>150</v>
      </c>
      <c r="D23" s="620">
        <v>152</v>
      </c>
      <c r="E23" s="596">
        <f t="shared" si="0"/>
        <v>0</v>
      </c>
      <c r="F23" s="595"/>
      <c r="G23" s="595">
        <f>'Прилож 4 24 (2)'!W23</f>
        <v>0</v>
      </c>
      <c r="H23" s="595"/>
      <c r="I23" s="623"/>
      <c r="J23" s="595"/>
      <c r="K23" s="595"/>
      <c r="L23" s="595"/>
      <c r="M23" s="596">
        <f t="shared" si="1"/>
        <v>5491259.7999999998</v>
      </c>
      <c r="N23" s="595"/>
      <c r="O23" s="595"/>
      <c r="P23" s="595"/>
      <c r="Q23" s="621" t="s">
        <v>1314</v>
      </c>
      <c r="R23" s="595"/>
      <c r="S23" s="595">
        <v>5491259.7999999998</v>
      </c>
      <c r="T23" s="595"/>
      <c r="U23" s="596">
        <f t="shared" si="8"/>
        <v>5491259.7999999998</v>
      </c>
      <c r="V23" s="595">
        <f t="shared" si="2"/>
        <v>0</v>
      </c>
      <c r="W23" s="595">
        <f t="shared" si="3"/>
        <v>0</v>
      </c>
      <c r="X23" s="595">
        <f t="shared" si="4"/>
        <v>0</v>
      </c>
      <c r="Y23" s="621" t="s">
        <v>1314</v>
      </c>
      <c r="Z23" s="595">
        <f t="shared" si="5"/>
        <v>0</v>
      </c>
      <c r="AA23" s="595">
        <f t="shared" si="6"/>
        <v>5491259.7999999998</v>
      </c>
      <c r="AB23" s="595">
        <f t="shared" si="7"/>
        <v>0</v>
      </c>
      <c r="AC23" s="622" t="s">
        <v>1323</v>
      </c>
    </row>
    <row r="24" spans="1:32" ht="111.75" customHeight="1" x14ac:dyDescent="0.2">
      <c r="A24" s="618" t="s">
        <v>1253</v>
      </c>
      <c r="B24" s="619" t="s">
        <v>747</v>
      </c>
      <c r="C24" s="620">
        <v>150</v>
      </c>
      <c r="D24" s="620">
        <v>152</v>
      </c>
      <c r="E24" s="596">
        <f t="shared" si="0"/>
        <v>0</v>
      </c>
      <c r="F24" s="595"/>
      <c r="G24" s="595">
        <f>'Прилож 4 24 (2)'!W24</f>
        <v>0</v>
      </c>
      <c r="H24" s="595"/>
      <c r="I24" s="623"/>
      <c r="J24" s="595"/>
      <c r="K24" s="595"/>
      <c r="L24" s="595"/>
      <c r="M24" s="596">
        <f t="shared" si="1"/>
        <v>814122.4</v>
      </c>
      <c r="N24" s="595"/>
      <c r="O24" s="595"/>
      <c r="P24" s="595"/>
      <c r="Q24" s="621" t="s">
        <v>1322</v>
      </c>
      <c r="R24" s="595"/>
      <c r="S24" s="595">
        <v>814122.4</v>
      </c>
      <c r="T24" s="595"/>
      <c r="U24" s="596">
        <f t="shared" si="8"/>
        <v>814122.4</v>
      </c>
      <c r="V24" s="595">
        <f t="shared" si="2"/>
        <v>0</v>
      </c>
      <c r="W24" s="595">
        <f t="shared" si="3"/>
        <v>0</v>
      </c>
      <c r="X24" s="595">
        <f t="shared" si="4"/>
        <v>0</v>
      </c>
      <c r="Y24" s="621" t="s">
        <v>1322</v>
      </c>
      <c r="Z24" s="595">
        <f t="shared" si="5"/>
        <v>0</v>
      </c>
      <c r="AA24" s="595">
        <f t="shared" si="6"/>
        <v>814122.4</v>
      </c>
      <c r="AB24" s="595">
        <f t="shared" si="7"/>
        <v>0</v>
      </c>
      <c r="AC24" s="622" t="s">
        <v>1324</v>
      </c>
    </row>
    <row r="25" spans="1:32" ht="32.25" customHeight="1" x14ac:dyDescent="0.2">
      <c r="A25" s="618" t="s">
        <v>581</v>
      </c>
      <c r="B25" s="619" t="s">
        <v>64</v>
      </c>
      <c r="C25" s="620">
        <v>150</v>
      </c>
      <c r="D25" s="620">
        <v>152</v>
      </c>
      <c r="E25" s="596">
        <f t="shared" si="0"/>
        <v>87037.3</v>
      </c>
      <c r="F25" s="595">
        <f>'Прилож 4 24 (2)'!V22</f>
        <v>0</v>
      </c>
      <c r="G25" s="595">
        <f>'Прилож 4 24 (2)'!W25</f>
        <v>0</v>
      </c>
      <c r="H25" s="595">
        <f>'Прилож 4 24 (2)'!X22</f>
        <v>0</v>
      </c>
      <c r="I25" s="623" t="s">
        <v>1235</v>
      </c>
      <c r="J25" s="595">
        <f>'Прилож 4 24 (2)'!Z22</f>
        <v>0</v>
      </c>
      <c r="K25" s="595">
        <f>'Прилож 4 24 (2)'!AA22</f>
        <v>87037.3</v>
      </c>
      <c r="L25" s="595">
        <f>'Прилож 4 24 (2)'!AB22</f>
        <v>0</v>
      </c>
      <c r="M25" s="596">
        <f t="shared" si="1"/>
        <v>0</v>
      </c>
      <c r="N25" s="595"/>
      <c r="O25" s="595"/>
      <c r="P25" s="595"/>
      <c r="Q25" s="621"/>
      <c r="R25" s="595"/>
      <c r="S25" s="595"/>
      <c r="T25" s="595"/>
      <c r="U25" s="596">
        <f t="shared" si="8"/>
        <v>87037.3</v>
      </c>
      <c r="V25" s="595">
        <f t="shared" si="2"/>
        <v>0</v>
      </c>
      <c r="W25" s="595">
        <f t="shared" si="3"/>
        <v>0</v>
      </c>
      <c r="X25" s="595">
        <f t="shared" si="4"/>
        <v>0</v>
      </c>
      <c r="Y25" s="621"/>
      <c r="Z25" s="595">
        <f t="shared" si="5"/>
        <v>0</v>
      </c>
      <c r="AA25" s="595">
        <f t="shared" si="6"/>
        <v>87037.3</v>
      </c>
      <c r="AB25" s="595">
        <f t="shared" si="7"/>
        <v>0</v>
      </c>
      <c r="AC25" s="622"/>
    </row>
    <row r="26" spans="1:32" ht="84" customHeight="1" x14ac:dyDescent="0.2">
      <c r="A26" s="618" t="s">
        <v>790</v>
      </c>
      <c r="B26" s="619" t="s">
        <v>791</v>
      </c>
      <c r="C26" s="620">
        <v>130</v>
      </c>
      <c r="D26" s="620">
        <v>131</v>
      </c>
      <c r="E26" s="596">
        <f t="shared" si="0"/>
        <v>600000</v>
      </c>
      <c r="F26" s="595">
        <f>'Прилож 4 24 (2)'!V23</f>
        <v>600000</v>
      </c>
      <c r="G26" s="595"/>
      <c r="H26" s="595">
        <f>'Прилож 4 24 (2)'!X23</f>
        <v>0</v>
      </c>
      <c r="I26" s="623"/>
      <c r="J26" s="595">
        <f>'Прилож 4 24 (2)'!Z23</f>
        <v>0</v>
      </c>
      <c r="K26" s="595">
        <f>'Прилож 4 24 (2)'!AA23</f>
        <v>0</v>
      </c>
      <c r="L26" s="595">
        <f>'Прилож 4 24 (2)'!AB23</f>
        <v>0</v>
      </c>
      <c r="M26" s="596">
        <f t="shared" si="1"/>
        <v>0</v>
      </c>
      <c r="N26" s="595"/>
      <c r="O26" s="595"/>
      <c r="P26" s="595"/>
      <c r="Q26" s="621"/>
      <c r="R26" s="595"/>
      <c r="S26" s="595"/>
      <c r="T26" s="595"/>
      <c r="U26" s="596">
        <f t="shared" si="8"/>
        <v>600000</v>
      </c>
      <c r="V26" s="595">
        <f t="shared" si="2"/>
        <v>600000</v>
      </c>
      <c r="W26" s="595">
        <f t="shared" si="3"/>
        <v>0</v>
      </c>
      <c r="X26" s="595">
        <f t="shared" si="4"/>
        <v>0</v>
      </c>
      <c r="Y26" s="621"/>
      <c r="Z26" s="595">
        <f t="shared" si="5"/>
        <v>0</v>
      </c>
      <c r="AA26" s="595">
        <f t="shared" si="6"/>
        <v>0</v>
      </c>
      <c r="AB26" s="595">
        <f t="shared" si="7"/>
        <v>0</v>
      </c>
      <c r="AC26" s="622"/>
    </row>
    <row r="27" spans="1:32" ht="109.5" customHeight="1" x14ac:dyDescent="0.2">
      <c r="A27" s="618" t="s">
        <v>1236</v>
      </c>
      <c r="B27" s="619" t="s">
        <v>729</v>
      </c>
      <c r="C27" s="620">
        <v>150</v>
      </c>
      <c r="D27" s="620">
        <v>152</v>
      </c>
      <c r="E27" s="596">
        <f t="shared" si="0"/>
        <v>7777777.7800000003</v>
      </c>
      <c r="F27" s="595">
        <f>'Прилож 4 24 (2)'!V24</f>
        <v>0</v>
      </c>
      <c r="G27" s="595">
        <f>'Прилож 4 24 (2)'!W27</f>
        <v>0</v>
      </c>
      <c r="H27" s="595">
        <f>'Прилож 4 24 (2)'!X24</f>
        <v>0</v>
      </c>
      <c r="I27" s="623" t="s">
        <v>1251</v>
      </c>
      <c r="J27" s="595">
        <f>'Прилож 4 24 (2)'!Z24</f>
        <v>0</v>
      </c>
      <c r="K27" s="595">
        <f>'Прилож 4 24 (2)'!AA24</f>
        <v>7777777.7800000003</v>
      </c>
      <c r="L27" s="595">
        <f>'Прилож 4 24 (2)'!AB24</f>
        <v>0</v>
      </c>
      <c r="M27" s="596">
        <f t="shared" si="1"/>
        <v>-7777777.7800000003</v>
      </c>
      <c r="N27" s="595"/>
      <c r="O27" s="595"/>
      <c r="P27" s="595"/>
      <c r="Q27" s="623" t="s">
        <v>1251</v>
      </c>
      <c r="R27" s="595"/>
      <c r="S27" s="595">
        <v>-7777777.7800000003</v>
      </c>
      <c r="T27" s="595"/>
      <c r="U27" s="596">
        <f t="shared" si="8"/>
        <v>0</v>
      </c>
      <c r="V27" s="595">
        <f t="shared" si="2"/>
        <v>0</v>
      </c>
      <c r="W27" s="595">
        <f t="shared" si="3"/>
        <v>0</v>
      </c>
      <c r="X27" s="595">
        <f t="shared" si="4"/>
        <v>0</v>
      </c>
      <c r="Y27" s="621"/>
      <c r="Z27" s="595">
        <f t="shared" si="5"/>
        <v>0</v>
      </c>
      <c r="AA27" s="595">
        <f t="shared" si="6"/>
        <v>0</v>
      </c>
      <c r="AB27" s="595">
        <f t="shared" si="7"/>
        <v>0</v>
      </c>
      <c r="AC27" s="622" t="s">
        <v>1325</v>
      </c>
    </row>
    <row r="28" spans="1:32" ht="60" customHeight="1" x14ac:dyDescent="0.2">
      <c r="A28" s="618" t="s">
        <v>284</v>
      </c>
      <c r="B28" s="619" t="s">
        <v>691</v>
      </c>
      <c r="C28" s="620">
        <v>130</v>
      </c>
      <c r="D28" s="620">
        <v>131</v>
      </c>
      <c r="E28" s="596">
        <f t="shared" si="0"/>
        <v>0</v>
      </c>
      <c r="F28" s="595">
        <f>'Прилож 4 24 (2)'!V25</f>
        <v>0</v>
      </c>
      <c r="G28" s="595">
        <f>'Прилож 4 24 (2)'!W25</f>
        <v>0</v>
      </c>
      <c r="H28" s="595">
        <f>'Прилож 4 24 (2)'!X25</f>
        <v>0</v>
      </c>
      <c r="I28" s="623"/>
      <c r="J28" s="595">
        <f>'Прилож 4 24 (2)'!Z25</f>
        <v>0</v>
      </c>
      <c r="K28" s="595">
        <f>'Прилож 4 24 (2)'!AA25</f>
        <v>0</v>
      </c>
      <c r="L28" s="595">
        <f>'Прилож 4 24 (2)'!AB25</f>
        <v>0</v>
      </c>
      <c r="M28" s="596">
        <f t="shared" si="1"/>
        <v>0</v>
      </c>
      <c r="N28" s="595"/>
      <c r="O28" s="595"/>
      <c r="P28" s="595"/>
      <c r="Q28" s="621"/>
      <c r="R28" s="595"/>
      <c r="S28" s="595"/>
      <c r="T28" s="595"/>
      <c r="U28" s="596">
        <f t="shared" si="8"/>
        <v>0</v>
      </c>
      <c r="V28" s="595">
        <f t="shared" si="2"/>
        <v>0</v>
      </c>
      <c r="W28" s="595">
        <f t="shared" si="3"/>
        <v>0</v>
      </c>
      <c r="X28" s="595">
        <f t="shared" si="4"/>
        <v>0</v>
      </c>
      <c r="Y28" s="621"/>
      <c r="Z28" s="595">
        <f t="shared" si="5"/>
        <v>0</v>
      </c>
      <c r="AA28" s="595">
        <f t="shared" si="6"/>
        <v>0</v>
      </c>
      <c r="AB28" s="595">
        <f t="shared" si="7"/>
        <v>0</v>
      </c>
      <c r="AC28" s="622"/>
    </row>
    <row r="29" spans="1:32" s="614" customFormat="1" ht="28.5" customHeight="1" x14ac:dyDescent="0.2">
      <c r="A29" s="624" t="s">
        <v>730</v>
      </c>
      <c r="B29" s="596">
        <f>SUM(B12:B28)</f>
        <v>0</v>
      </c>
      <c r="C29" s="596"/>
      <c r="D29" s="596"/>
      <c r="E29" s="596">
        <f>SUM(E12:E28)</f>
        <v>62478963.910000004</v>
      </c>
      <c r="F29" s="595">
        <f>'Прилож 4 24 (2)'!V26</f>
        <v>40711421.810000002</v>
      </c>
      <c r="G29" s="595">
        <f>'Прилож 4 24 (2)'!W26</f>
        <v>1331028.0900000001</v>
      </c>
      <c r="H29" s="595">
        <f>'Прилож 4 24 (2)'!X26</f>
        <v>11205022.93</v>
      </c>
      <c r="I29" s="596">
        <f>SUM(I12:I28)</f>
        <v>0</v>
      </c>
      <c r="J29" s="595">
        <f>'Прилож 4 24 (2)'!Z26</f>
        <v>0</v>
      </c>
      <c r="K29" s="595">
        <f>'Прилож 4 24 (2)'!AA26</f>
        <v>7981281.0800000001</v>
      </c>
      <c r="L29" s="595">
        <f>'Прилож 4 24 (2)'!AB26</f>
        <v>1250210</v>
      </c>
      <c r="M29" s="596">
        <f>SUM(M12:M28)</f>
        <v>-1472395.58</v>
      </c>
      <c r="N29" s="596">
        <f t="shared" ref="N29:T29" si="9">SUM(N12:N28)</f>
        <v>0</v>
      </c>
      <c r="O29" s="596">
        <f t="shared" si="9"/>
        <v>0</v>
      </c>
      <c r="P29" s="596">
        <f t="shared" si="9"/>
        <v>0</v>
      </c>
      <c r="Q29" s="596">
        <f t="shared" si="9"/>
        <v>0</v>
      </c>
      <c r="R29" s="596">
        <f t="shared" si="9"/>
        <v>0</v>
      </c>
      <c r="S29" s="596">
        <f>SUM(S12:S28)</f>
        <v>-1472395.58</v>
      </c>
      <c r="T29" s="596">
        <f t="shared" si="9"/>
        <v>0</v>
      </c>
      <c r="U29" s="596">
        <f>V29+X29+Z29+AA29+AB29+W29</f>
        <v>61006568.330000006</v>
      </c>
      <c r="V29" s="595">
        <f t="shared" si="2"/>
        <v>40711421.810000002</v>
      </c>
      <c r="W29" s="595">
        <f t="shared" si="3"/>
        <v>1331028.0900000001</v>
      </c>
      <c r="X29" s="595">
        <f t="shared" si="4"/>
        <v>11205022.93</v>
      </c>
      <c r="Y29" s="596">
        <f t="shared" ref="Y29" si="10">SUM(Y12:Y28)</f>
        <v>0</v>
      </c>
      <c r="Z29" s="595">
        <f t="shared" si="5"/>
        <v>0</v>
      </c>
      <c r="AA29" s="595">
        <f t="shared" si="6"/>
        <v>6508885.5</v>
      </c>
      <c r="AB29" s="595">
        <f t="shared" si="7"/>
        <v>1250210</v>
      </c>
      <c r="AC29" s="627"/>
      <c r="AD29" s="818">
        <f>V29+W29+X29</f>
        <v>53247472.830000006</v>
      </c>
    </row>
    <row r="30" spans="1:32" x14ac:dyDescent="0.2">
      <c r="A30" s="620" t="s">
        <v>731</v>
      </c>
      <c r="B30" s="619" t="s">
        <v>747</v>
      </c>
      <c r="C30" s="620">
        <v>111</v>
      </c>
      <c r="D30" s="620">
        <v>211</v>
      </c>
      <c r="E30" s="596">
        <f t="shared" si="0"/>
        <v>14441714.18</v>
      </c>
      <c r="F30" s="595">
        <f>'Прилож 4 24 (2)'!V27</f>
        <v>12099601.689999999</v>
      </c>
      <c r="G30" s="595">
        <f>'Прилож 4 24 (2)'!W27</f>
        <v>0</v>
      </c>
      <c r="H30" s="595">
        <f>'Прилож 4 24 (2)'!X27</f>
        <v>2342112.4900000002</v>
      </c>
      <c r="I30" s="623"/>
      <c r="J30" s="595">
        <f>'Прилож 4 24 (2)'!Z27</f>
        <v>0</v>
      </c>
      <c r="K30" s="595">
        <f>'Прилож 4 24 (2)'!AA27</f>
        <v>0</v>
      </c>
      <c r="L30" s="595">
        <f>'Прилож 4 24 (2)'!AB27</f>
        <v>0</v>
      </c>
      <c r="M30" s="596">
        <f t="shared" si="1"/>
        <v>0</v>
      </c>
      <c r="N30" s="595"/>
      <c r="O30" s="595"/>
      <c r="P30" s="595"/>
      <c r="Q30" s="621"/>
      <c r="R30" s="595"/>
      <c r="S30" s="595"/>
      <c r="T30" s="595"/>
      <c r="U30" s="596">
        <f t="shared" si="8"/>
        <v>14441714.18</v>
      </c>
      <c r="V30" s="595">
        <f>F30+N30</f>
        <v>12099601.689999999</v>
      </c>
      <c r="W30" s="595">
        <f t="shared" si="3"/>
        <v>0</v>
      </c>
      <c r="X30" s="595">
        <f>P30+H30</f>
        <v>2342112.4900000002</v>
      </c>
      <c r="Y30" s="621"/>
      <c r="Z30" s="595">
        <f t="shared" si="5"/>
        <v>0</v>
      </c>
      <c r="AA30" s="595">
        <f t="shared" si="6"/>
        <v>0</v>
      </c>
      <c r="AB30" s="595">
        <f t="shared" si="7"/>
        <v>0</v>
      </c>
      <c r="AC30" s="622"/>
      <c r="AD30" s="820"/>
      <c r="AF30" s="820">
        <f>X30+X31+X34</f>
        <v>3101271.0900000003</v>
      </c>
    </row>
    <row r="31" spans="1:32" x14ac:dyDescent="0.2">
      <c r="A31" s="620" t="s">
        <v>731</v>
      </c>
      <c r="B31" s="619" t="s">
        <v>729</v>
      </c>
      <c r="C31" s="620">
        <v>111</v>
      </c>
      <c r="D31" s="620">
        <v>211</v>
      </c>
      <c r="E31" s="596">
        <f t="shared" si="0"/>
        <v>18414753.77</v>
      </c>
      <c r="F31" s="595">
        <f>'Прилож 4 24 (2)'!V28</f>
        <v>16863153.77</v>
      </c>
      <c r="G31" s="595">
        <f>'Прилож 4 24 (2)'!W28</f>
        <v>840000</v>
      </c>
      <c r="H31" s="595">
        <f>'Прилож 4 24 (2)'!X28</f>
        <v>711600</v>
      </c>
      <c r="I31" s="623"/>
      <c r="J31" s="595">
        <f>'Прилож 4 24 (2)'!Z28</f>
        <v>0</v>
      </c>
      <c r="K31" s="595">
        <f>'Прилож 4 24 (2)'!AA28</f>
        <v>0</v>
      </c>
      <c r="L31" s="595">
        <f>'Прилож 4 24 (2)'!AB28</f>
        <v>0</v>
      </c>
      <c r="M31" s="596">
        <f t="shared" si="1"/>
        <v>0</v>
      </c>
      <c r="N31" s="595"/>
      <c r="O31" s="595"/>
      <c r="P31" s="595"/>
      <c r="Q31" s="621"/>
      <c r="R31" s="595"/>
      <c r="S31" s="595"/>
      <c r="T31" s="595"/>
      <c r="U31" s="596">
        <f>V31+X31+Z31+AA31+AB31+W31</f>
        <v>18414753.77</v>
      </c>
      <c r="V31" s="595">
        <f t="shared" si="2"/>
        <v>16863153.77</v>
      </c>
      <c r="W31" s="595">
        <f t="shared" si="3"/>
        <v>840000</v>
      </c>
      <c r="X31" s="595">
        <f t="shared" si="4"/>
        <v>711600</v>
      </c>
      <c r="Y31" s="621"/>
      <c r="Z31" s="595">
        <f t="shared" si="5"/>
        <v>0</v>
      </c>
      <c r="AA31" s="595">
        <f t="shared" si="6"/>
        <v>0</v>
      </c>
      <c r="AB31" s="595">
        <f t="shared" si="7"/>
        <v>0</v>
      </c>
      <c r="AD31" s="820"/>
    </row>
    <row r="32" spans="1:32" x14ac:dyDescent="0.2">
      <c r="A32" s="620" t="s">
        <v>943</v>
      </c>
      <c r="B32" s="619" t="s">
        <v>729</v>
      </c>
      <c r="C32" s="620">
        <v>111</v>
      </c>
      <c r="D32" s="620">
        <v>211</v>
      </c>
      <c r="E32" s="596">
        <f t="shared" si="0"/>
        <v>272082.28000000003</v>
      </c>
      <c r="F32" s="595">
        <f>'Прилож 4 24 (2)'!V29</f>
        <v>89787.28</v>
      </c>
      <c r="G32" s="595">
        <f>'Прилож 4 24 (2)'!W29</f>
        <v>182295</v>
      </c>
      <c r="H32" s="595">
        <f>'Прилож 4 24 (2)'!X29</f>
        <v>0</v>
      </c>
      <c r="I32" s="623"/>
      <c r="J32" s="595">
        <f>'Прилож 4 24 (2)'!Z29</f>
        <v>0</v>
      </c>
      <c r="K32" s="595">
        <f>'Прилож 4 24 (2)'!AA29</f>
        <v>0</v>
      </c>
      <c r="L32" s="595">
        <f>'Прилож 4 24 (2)'!AB29</f>
        <v>0</v>
      </c>
      <c r="M32" s="596">
        <f t="shared" si="1"/>
        <v>0</v>
      </c>
      <c r="N32" s="595"/>
      <c r="O32" s="595"/>
      <c r="P32" s="595"/>
      <c r="Q32" s="621"/>
      <c r="R32" s="595"/>
      <c r="S32" s="595"/>
      <c r="T32" s="595"/>
      <c r="U32" s="596">
        <f t="shared" si="8"/>
        <v>272082.28000000003</v>
      </c>
      <c r="V32" s="595">
        <f t="shared" si="2"/>
        <v>89787.28</v>
      </c>
      <c r="W32" s="595">
        <f t="shared" si="3"/>
        <v>182295</v>
      </c>
      <c r="X32" s="595">
        <f t="shared" si="4"/>
        <v>0</v>
      </c>
      <c r="Y32" s="621"/>
      <c r="Z32" s="595">
        <f t="shared" si="5"/>
        <v>0</v>
      </c>
      <c r="AA32" s="595">
        <f t="shared" si="6"/>
        <v>0</v>
      </c>
      <c r="AB32" s="595">
        <f t="shared" si="7"/>
        <v>0</v>
      </c>
      <c r="AC32" s="622"/>
      <c r="AD32" s="820"/>
    </row>
    <row r="33" spans="1:30" x14ac:dyDescent="0.2">
      <c r="A33" s="620" t="s">
        <v>731</v>
      </c>
      <c r="B33" s="619" t="s">
        <v>64</v>
      </c>
      <c r="C33" s="620">
        <v>111</v>
      </c>
      <c r="D33" s="620">
        <v>211</v>
      </c>
      <c r="E33" s="596">
        <f t="shared" si="0"/>
        <v>64391.3</v>
      </c>
      <c r="F33" s="595">
        <f>'Прилож 4 24 (2)'!V30</f>
        <v>0</v>
      </c>
      <c r="G33" s="595">
        <f>'Прилож 4 24 (2)'!W33</f>
        <v>0</v>
      </c>
      <c r="H33" s="595">
        <f>'Прилож 4 24 (2)'!X30</f>
        <v>0</v>
      </c>
      <c r="I33" s="623" t="s">
        <v>1235</v>
      </c>
      <c r="J33" s="595">
        <f>'Прилож 4 24 (2)'!Z30</f>
        <v>0</v>
      </c>
      <c r="K33" s="595">
        <f>'Прилож 4 24 (2)'!AA30</f>
        <v>64391.3</v>
      </c>
      <c r="L33" s="595">
        <f>'Прилож 4 24 (2)'!AB30</f>
        <v>0</v>
      </c>
      <c r="M33" s="596">
        <f t="shared" si="1"/>
        <v>0</v>
      </c>
      <c r="N33" s="595"/>
      <c r="O33" s="595"/>
      <c r="P33" s="595"/>
      <c r="Q33" s="621"/>
      <c r="R33" s="595"/>
      <c r="S33" s="595"/>
      <c r="T33" s="595"/>
      <c r="U33" s="596">
        <f t="shared" si="8"/>
        <v>64391.3</v>
      </c>
      <c r="V33" s="595">
        <f t="shared" si="2"/>
        <v>0</v>
      </c>
      <c r="W33" s="595">
        <f t="shared" si="3"/>
        <v>0</v>
      </c>
      <c r="X33" s="595">
        <f t="shared" si="4"/>
        <v>0</v>
      </c>
      <c r="Y33" s="621"/>
      <c r="Z33" s="595">
        <f t="shared" si="5"/>
        <v>0</v>
      </c>
      <c r="AA33" s="595">
        <f t="shared" si="6"/>
        <v>64391.3</v>
      </c>
      <c r="AB33" s="595">
        <f t="shared" si="7"/>
        <v>0</v>
      </c>
      <c r="AC33" s="622"/>
      <c r="AD33" s="820"/>
    </row>
    <row r="34" spans="1:30" x14ac:dyDescent="0.2">
      <c r="A34" s="620" t="s">
        <v>731</v>
      </c>
      <c r="B34" s="619" t="s">
        <v>691</v>
      </c>
      <c r="C34" s="620">
        <v>111</v>
      </c>
      <c r="D34" s="620">
        <v>211</v>
      </c>
      <c r="E34" s="596">
        <f t="shared" si="0"/>
        <v>56017.74</v>
      </c>
      <c r="F34" s="595">
        <f>'Прилож 4 24 (2)'!V31</f>
        <v>0</v>
      </c>
      <c r="G34" s="595">
        <f>'Прилож 4 24 (2)'!W34</f>
        <v>0</v>
      </c>
      <c r="H34" s="595">
        <f>'Прилож 4 24 (2)'!X31</f>
        <v>47558.6</v>
      </c>
      <c r="I34" s="623"/>
      <c r="J34" s="595">
        <f>'Прилож 4 24 (2)'!Z31</f>
        <v>0</v>
      </c>
      <c r="K34" s="595">
        <f>'Прилож 4 24 (2)'!AA31</f>
        <v>0</v>
      </c>
      <c r="L34" s="595">
        <f>'Прилож 4 24 (2)'!AB31</f>
        <v>8459.14</v>
      </c>
      <c r="M34" s="596">
        <f t="shared" si="1"/>
        <v>0</v>
      </c>
      <c r="N34" s="595"/>
      <c r="O34" s="595"/>
      <c r="P34" s="595"/>
      <c r="Q34" s="621"/>
      <c r="R34" s="595"/>
      <c r="S34" s="595"/>
      <c r="T34" s="595"/>
      <c r="U34" s="596">
        <f t="shared" si="8"/>
        <v>56017.74</v>
      </c>
      <c r="V34" s="595">
        <f t="shared" si="2"/>
        <v>0</v>
      </c>
      <c r="W34" s="595">
        <f t="shared" si="3"/>
        <v>0</v>
      </c>
      <c r="X34" s="595">
        <f t="shared" si="4"/>
        <v>47558.6</v>
      </c>
      <c r="Y34" s="621"/>
      <c r="Z34" s="595">
        <f t="shared" si="5"/>
        <v>0</v>
      </c>
      <c r="AA34" s="595">
        <f t="shared" si="6"/>
        <v>0</v>
      </c>
      <c r="AB34" s="595">
        <f t="shared" si="7"/>
        <v>8459.14</v>
      </c>
      <c r="AC34" s="622"/>
      <c r="AD34" s="820"/>
    </row>
    <row r="35" spans="1:30" s="614" customFormat="1" x14ac:dyDescent="0.2">
      <c r="A35" s="624" t="s">
        <v>732</v>
      </c>
      <c r="B35" s="624"/>
      <c r="C35" s="624"/>
      <c r="D35" s="624"/>
      <c r="E35" s="596">
        <f t="shared" si="0"/>
        <v>33248959.270000003</v>
      </c>
      <c r="F35" s="595">
        <f>'Прилож 4 24 (2)'!V32</f>
        <v>29052542.740000002</v>
      </c>
      <c r="G35" s="595">
        <f>'Прилож 4 24 (2)'!W32</f>
        <v>1022295</v>
      </c>
      <c r="H35" s="595">
        <f>'Прилож 4 24 (2)'!X32</f>
        <v>3101271.0900000003</v>
      </c>
      <c r="I35" s="625"/>
      <c r="J35" s="595">
        <f>'Прилож 4 24 (2)'!Z32</f>
        <v>0</v>
      </c>
      <c r="K35" s="595">
        <f>'Прилож 4 24 (2)'!AA32</f>
        <v>64391.3</v>
      </c>
      <c r="L35" s="595">
        <f>'Прилож 4 24 (2)'!AB32</f>
        <v>8459.14</v>
      </c>
      <c r="M35" s="596">
        <f t="shared" si="1"/>
        <v>0</v>
      </c>
      <c r="N35" s="596">
        <f>SUM(N30:N34)</f>
        <v>0</v>
      </c>
      <c r="O35" s="596">
        <f t="shared" ref="O35:T35" si="11">SUM(O30:O34)</f>
        <v>0</v>
      </c>
      <c r="P35" s="596">
        <f t="shared" si="11"/>
        <v>0</v>
      </c>
      <c r="Q35" s="626"/>
      <c r="R35" s="596">
        <f t="shared" si="11"/>
        <v>0</v>
      </c>
      <c r="S35" s="596">
        <f t="shared" si="11"/>
        <v>0</v>
      </c>
      <c r="T35" s="596">
        <f t="shared" si="11"/>
        <v>0</v>
      </c>
      <c r="U35" s="596">
        <f>V35+X35+Z35+AA35+AB35+W35</f>
        <v>33248959.270000003</v>
      </c>
      <c r="V35" s="595">
        <f t="shared" si="2"/>
        <v>29052542.740000002</v>
      </c>
      <c r="W35" s="595">
        <f t="shared" si="3"/>
        <v>1022295</v>
      </c>
      <c r="X35" s="595">
        <f>P35+H35</f>
        <v>3101271.0900000003</v>
      </c>
      <c r="Y35" s="626"/>
      <c r="Z35" s="595">
        <f t="shared" si="5"/>
        <v>0</v>
      </c>
      <c r="AA35" s="595">
        <f t="shared" si="6"/>
        <v>64391.3</v>
      </c>
      <c r="AB35" s="595">
        <f t="shared" si="7"/>
        <v>8459.14</v>
      </c>
      <c r="AC35" s="627"/>
      <c r="AD35" s="820"/>
    </row>
    <row r="36" spans="1:30" s="614" customFormat="1" ht="119.45" customHeight="1" x14ac:dyDescent="0.2">
      <c r="A36" s="618" t="s">
        <v>1339</v>
      </c>
      <c r="B36" s="620">
        <v>701</v>
      </c>
      <c r="C36" s="620">
        <v>321</v>
      </c>
      <c r="D36" s="620">
        <v>264</v>
      </c>
      <c r="E36" s="595"/>
      <c r="F36" s="595"/>
      <c r="G36" s="595"/>
      <c r="H36" s="595"/>
      <c r="I36" s="625"/>
      <c r="J36" s="595"/>
      <c r="K36" s="595"/>
      <c r="L36" s="595"/>
      <c r="M36" s="595">
        <f t="shared" si="1"/>
        <v>88171.02</v>
      </c>
      <c r="N36" s="595">
        <v>88171.02</v>
      </c>
      <c r="O36" s="595"/>
      <c r="P36" s="595"/>
      <c r="Q36" s="625"/>
      <c r="R36" s="595"/>
      <c r="S36" s="595"/>
      <c r="T36" s="595"/>
      <c r="U36" s="596">
        <f t="shared" ref="U36" si="12">V36+X36+Z36+AA36+AB36+W36</f>
        <v>88171.02</v>
      </c>
      <c r="V36" s="595">
        <f t="shared" si="2"/>
        <v>88171.02</v>
      </c>
      <c r="W36" s="595">
        <f t="shared" si="3"/>
        <v>0</v>
      </c>
      <c r="X36" s="595">
        <f>P36+H36</f>
        <v>0</v>
      </c>
      <c r="Y36" s="625"/>
      <c r="Z36" s="595">
        <f t="shared" si="5"/>
        <v>0</v>
      </c>
      <c r="AA36" s="595">
        <f t="shared" si="6"/>
        <v>0</v>
      </c>
      <c r="AB36" s="595">
        <f t="shared" si="7"/>
        <v>0</v>
      </c>
      <c r="AC36" s="622" t="s">
        <v>1343</v>
      </c>
      <c r="AD36" s="820"/>
    </row>
    <row r="37" spans="1:30" s="614" customFormat="1" x14ac:dyDescent="0.2">
      <c r="A37" s="624" t="s">
        <v>1342</v>
      </c>
      <c r="B37" s="624"/>
      <c r="C37" s="624"/>
      <c r="D37" s="624"/>
      <c r="E37" s="596"/>
      <c r="F37" s="595"/>
      <c r="G37" s="595"/>
      <c r="H37" s="595"/>
      <c r="I37" s="625"/>
      <c r="J37" s="595"/>
      <c r="K37" s="595"/>
      <c r="L37" s="595"/>
      <c r="M37" s="596">
        <f>N37+O37+P37+R37+T37</f>
        <v>88171.02</v>
      </c>
      <c r="N37" s="596">
        <f>N36</f>
        <v>88171.02</v>
      </c>
      <c r="O37" s="596"/>
      <c r="P37" s="596"/>
      <c r="Q37" s="626"/>
      <c r="R37" s="596"/>
      <c r="S37" s="596"/>
      <c r="T37" s="596"/>
      <c r="U37" s="596">
        <f>U36</f>
        <v>88171.02</v>
      </c>
      <c r="V37" s="595">
        <f>V36</f>
        <v>88171.02</v>
      </c>
      <c r="W37" s="595">
        <f t="shared" si="3"/>
        <v>0</v>
      </c>
      <c r="X37" s="595">
        <f>P37+H37</f>
        <v>0</v>
      </c>
      <c r="Y37" s="626"/>
      <c r="Z37" s="595">
        <f t="shared" si="5"/>
        <v>0</v>
      </c>
      <c r="AA37" s="595">
        <f t="shared" si="6"/>
        <v>0</v>
      </c>
      <c r="AB37" s="595">
        <f t="shared" si="7"/>
        <v>0</v>
      </c>
      <c r="AC37" s="627"/>
      <c r="AD37" s="820"/>
    </row>
    <row r="38" spans="1:30" ht="74.45" customHeight="1" x14ac:dyDescent="0.2">
      <c r="A38" s="618" t="s">
        <v>845</v>
      </c>
      <c r="B38" s="619" t="s">
        <v>747</v>
      </c>
      <c r="C38" s="620">
        <v>111</v>
      </c>
      <c r="D38" s="620">
        <v>266</v>
      </c>
      <c r="E38" s="596">
        <f t="shared" si="0"/>
        <v>100000</v>
      </c>
      <c r="F38" s="595">
        <f>'Прилож 4 24 (2)'!V33</f>
        <v>100000</v>
      </c>
      <c r="G38" s="595">
        <f>'Прилож 4 24 (2)'!W36</f>
        <v>0</v>
      </c>
      <c r="H38" s="595">
        <f>'Прилож 4 24 (2)'!X33</f>
        <v>0</v>
      </c>
      <c r="I38" s="623"/>
      <c r="J38" s="595">
        <f>'Прилож 4 24 (2)'!Z33</f>
        <v>0</v>
      </c>
      <c r="K38" s="595">
        <f>'Прилож 4 24 (2)'!AA33</f>
        <v>0</v>
      </c>
      <c r="L38" s="595">
        <f>'Прилож 4 24 (2)'!AB33</f>
        <v>0</v>
      </c>
      <c r="M38" s="596">
        <f t="shared" si="1"/>
        <v>0</v>
      </c>
      <c r="N38" s="595"/>
      <c r="O38" s="595"/>
      <c r="P38" s="595"/>
      <c r="Q38" s="621"/>
      <c r="R38" s="595"/>
      <c r="S38" s="595"/>
      <c r="T38" s="595"/>
      <c r="U38" s="596">
        <f t="shared" si="8"/>
        <v>100000</v>
      </c>
      <c r="V38" s="595">
        <f t="shared" si="2"/>
        <v>100000</v>
      </c>
      <c r="W38" s="595">
        <f t="shared" si="3"/>
        <v>0</v>
      </c>
      <c r="X38" s="595">
        <f t="shared" si="4"/>
        <v>0</v>
      </c>
      <c r="Y38" s="621"/>
      <c r="Z38" s="595">
        <f t="shared" si="5"/>
        <v>0</v>
      </c>
      <c r="AA38" s="595">
        <f t="shared" si="6"/>
        <v>0</v>
      </c>
      <c r="AB38" s="595">
        <f t="shared" si="7"/>
        <v>0</v>
      </c>
      <c r="AC38" s="622"/>
    </row>
    <row r="39" spans="1:30" ht="51.75" customHeight="1" x14ac:dyDescent="0.2">
      <c r="A39" s="618" t="s">
        <v>845</v>
      </c>
      <c r="B39" s="619" t="s">
        <v>729</v>
      </c>
      <c r="C39" s="620">
        <v>111</v>
      </c>
      <c r="D39" s="620">
        <v>266</v>
      </c>
      <c r="E39" s="596">
        <f t="shared" si="0"/>
        <v>80000</v>
      </c>
      <c r="F39" s="595">
        <f>'Прилож 4 24 (2)'!V34</f>
        <v>80000</v>
      </c>
      <c r="G39" s="595">
        <f>'Прилож 4 24 (2)'!W37</f>
        <v>0</v>
      </c>
      <c r="H39" s="595">
        <f>'Прилож 4 24 (2)'!X34</f>
        <v>0</v>
      </c>
      <c r="I39" s="623"/>
      <c r="J39" s="595">
        <f>'Прилож 4 24 (2)'!Z34</f>
        <v>0</v>
      </c>
      <c r="K39" s="595">
        <f>'Прилож 4 24 (2)'!AA34</f>
        <v>0</v>
      </c>
      <c r="L39" s="595">
        <f>'Прилож 4 24 (2)'!AB34</f>
        <v>0</v>
      </c>
      <c r="M39" s="596">
        <f t="shared" si="1"/>
        <v>0</v>
      </c>
      <c r="N39" s="595"/>
      <c r="O39" s="595"/>
      <c r="P39" s="595"/>
      <c r="Q39" s="621"/>
      <c r="R39" s="595"/>
      <c r="S39" s="595"/>
      <c r="T39" s="595"/>
      <c r="U39" s="596">
        <f t="shared" si="8"/>
        <v>80000</v>
      </c>
      <c r="V39" s="595">
        <f t="shared" si="2"/>
        <v>80000</v>
      </c>
      <c r="W39" s="595">
        <f t="shared" si="3"/>
        <v>0</v>
      </c>
      <c r="X39" s="595">
        <f t="shared" si="4"/>
        <v>0</v>
      </c>
      <c r="Y39" s="621"/>
      <c r="Z39" s="595">
        <f t="shared" si="5"/>
        <v>0</v>
      </c>
      <c r="AA39" s="595">
        <f t="shared" si="6"/>
        <v>0</v>
      </c>
      <c r="AB39" s="595">
        <f t="shared" si="7"/>
        <v>0</v>
      </c>
      <c r="AC39" s="622"/>
    </row>
    <row r="40" spans="1:30" s="614" customFormat="1" x14ac:dyDescent="0.2">
      <c r="A40" s="624" t="s">
        <v>847</v>
      </c>
      <c r="B40" s="624"/>
      <c r="C40" s="624"/>
      <c r="D40" s="624"/>
      <c r="E40" s="596">
        <f>L40+K40+J40+H40+G40+F40</f>
        <v>180000</v>
      </c>
      <c r="F40" s="595">
        <f>'Прилож 4 24 (2)'!V35</f>
        <v>180000</v>
      </c>
      <c r="G40" s="595">
        <f>'Прилож 4 24 (2)'!W38</f>
        <v>0</v>
      </c>
      <c r="H40" s="595">
        <f>'Прилож 4 24 (2)'!X35</f>
        <v>0</v>
      </c>
      <c r="I40" s="626"/>
      <c r="J40" s="595">
        <f>'Прилож 4 24 (2)'!Z35</f>
        <v>0</v>
      </c>
      <c r="K40" s="595">
        <f>'Прилож 4 24 (2)'!AA35</f>
        <v>0</v>
      </c>
      <c r="L40" s="595">
        <f>'Прилож 4 24 (2)'!AB35</f>
        <v>0</v>
      </c>
      <c r="M40" s="596">
        <f t="shared" si="1"/>
        <v>0</v>
      </c>
      <c r="N40" s="596">
        <f>SUM(N38:N39)</f>
        <v>0</v>
      </c>
      <c r="O40" s="596">
        <f t="shared" ref="O40:T40" si="13">SUM(O38:O39)</f>
        <v>0</v>
      </c>
      <c r="P40" s="596">
        <f t="shared" si="13"/>
        <v>0</v>
      </c>
      <c r="Q40" s="626"/>
      <c r="R40" s="596">
        <f t="shared" si="13"/>
        <v>0</v>
      </c>
      <c r="S40" s="596">
        <f t="shared" si="13"/>
        <v>0</v>
      </c>
      <c r="T40" s="596">
        <f t="shared" si="13"/>
        <v>0</v>
      </c>
      <c r="U40" s="596">
        <f>V40+X40+Z40+AA40+AB40+W40</f>
        <v>180000</v>
      </c>
      <c r="V40" s="595">
        <f t="shared" si="2"/>
        <v>180000</v>
      </c>
      <c r="W40" s="595">
        <f t="shared" si="3"/>
        <v>0</v>
      </c>
      <c r="X40" s="595">
        <f t="shared" si="4"/>
        <v>0</v>
      </c>
      <c r="Y40" s="626">
        <f t="shared" ref="Y40:Y42" si="14">SUM(Y38:Y39)</f>
        <v>0</v>
      </c>
      <c r="Z40" s="595">
        <f t="shared" si="5"/>
        <v>0</v>
      </c>
      <c r="AA40" s="595">
        <f t="shared" si="6"/>
        <v>0</v>
      </c>
      <c r="AB40" s="595">
        <f t="shared" si="7"/>
        <v>0</v>
      </c>
      <c r="AC40" s="627"/>
    </row>
    <row r="41" spans="1:30" ht="66.75" customHeight="1" x14ac:dyDescent="0.2">
      <c r="A41" s="618" t="s">
        <v>1270</v>
      </c>
      <c r="B41" s="619" t="s">
        <v>691</v>
      </c>
      <c r="C41" s="620">
        <v>112</v>
      </c>
      <c r="D41" s="620">
        <v>222</v>
      </c>
      <c r="E41" s="596">
        <f t="shared" si="0"/>
        <v>2727.9</v>
      </c>
      <c r="F41" s="595">
        <f>'Прилож 4 24 (2)'!V36</f>
        <v>0</v>
      </c>
      <c r="G41" s="595"/>
      <c r="H41" s="595">
        <f>'Прилож 4 24 (2)'!X36</f>
        <v>2315.96</v>
      </c>
      <c r="I41" s="623"/>
      <c r="J41" s="595">
        <f>'Прилож 4 24 (2)'!Z36</f>
        <v>0</v>
      </c>
      <c r="K41" s="595">
        <f>'Прилож 4 24 (2)'!AA36</f>
        <v>0</v>
      </c>
      <c r="L41" s="595">
        <f>'Прилож 4 24 (2)'!AB36</f>
        <v>411.94</v>
      </c>
      <c r="M41" s="596">
        <f t="shared" si="1"/>
        <v>0</v>
      </c>
      <c r="N41" s="595"/>
      <c r="O41" s="595"/>
      <c r="P41" s="595"/>
      <c r="Q41" s="621"/>
      <c r="R41" s="595"/>
      <c r="S41" s="595"/>
      <c r="T41" s="595"/>
      <c r="U41" s="596">
        <f t="shared" si="8"/>
        <v>2727.9</v>
      </c>
      <c r="V41" s="595">
        <f t="shared" si="2"/>
        <v>0</v>
      </c>
      <c r="W41" s="595">
        <f t="shared" si="3"/>
        <v>0</v>
      </c>
      <c r="X41" s="595">
        <f t="shared" si="4"/>
        <v>2315.96</v>
      </c>
      <c r="Y41" s="621"/>
      <c r="Z41" s="595">
        <f t="shared" si="5"/>
        <v>0</v>
      </c>
      <c r="AA41" s="595">
        <f t="shared" si="6"/>
        <v>0</v>
      </c>
      <c r="AB41" s="595">
        <f t="shared" si="7"/>
        <v>411.94</v>
      </c>
      <c r="AC41" s="622"/>
    </row>
    <row r="42" spans="1:30" s="614" customFormat="1" x14ac:dyDescent="0.2">
      <c r="A42" s="624" t="s">
        <v>1264</v>
      </c>
      <c r="B42" s="624"/>
      <c r="C42" s="624"/>
      <c r="D42" s="624"/>
      <c r="E42" s="596">
        <f>SUM(E41)</f>
        <v>2727.9</v>
      </c>
      <c r="F42" s="595">
        <f>'Прилож 4 24 (2)'!V37</f>
        <v>0</v>
      </c>
      <c r="G42" s="595"/>
      <c r="H42" s="595">
        <f>'Прилож 4 24 (2)'!X37</f>
        <v>2315.96</v>
      </c>
      <c r="I42" s="626"/>
      <c r="J42" s="595">
        <f>'Прилож 4 24 (2)'!Z37</f>
        <v>0</v>
      </c>
      <c r="K42" s="595">
        <f>'Прилож 4 24 (2)'!AA37</f>
        <v>0</v>
      </c>
      <c r="L42" s="595">
        <f>'Прилож 4 24 (2)'!AB37</f>
        <v>411.94</v>
      </c>
      <c r="M42" s="596">
        <f t="shared" si="1"/>
        <v>0</v>
      </c>
      <c r="N42" s="596">
        <f>SUM(N41)</f>
        <v>0</v>
      </c>
      <c r="O42" s="596">
        <f t="shared" ref="O42:T42" si="15">SUM(O40:O41)</f>
        <v>0</v>
      </c>
      <c r="P42" s="596">
        <f t="shared" si="15"/>
        <v>0</v>
      </c>
      <c r="Q42" s="626"/>
      <c r="R42" s="596">
        <f t="shared" si="15"/>
        <v>0</v>
      </c>
      <c r="S42" s="596">
        <f t="shared" si="15"/>
        <v>0</v>
      </c>
      <c r="T42" s="596">
        <f t="shared" si="15"/>
        <v>0</v>
      </c>
      <c r="U42" s="596">
        <f t="shared" si="8"/>
        <v>2727.9</v>
      </c>
      <c r="V42" s="595">
        <f t="shared" si="2"/>
        <v>0</v>
      </c>
      <c r="W42" s="595">
        <f t="shared" si="3"/>
        <v>0</v>
      </c>
      <c r="X42" s="595">
        <f t="shared" si="4"/>
        <v>2315.96</v>
      </c>
      <c r="Y42" s="626">
        <f t="shared" si="14"/>
        <v>0</v>
      </c>
      <c r="Z42" s="595">
        <f t="shared" si="5"/>
        <v>0</v>
      </c>
      <c r="AA42" s="595">
        <f t="shared" si="6"/>
        <v>0</v>
      </c>
      <c r="AB42" s="595">
        <f t="shared" si="7"/>
        <v>411.94</v>
      </c>
      <c r="AC42" s="627"/>
    </row>
    <row r="43" spans="1:30" s="614" customFormat="1" ht="78.75" x14ac:dyDescent="0.2">
      <c r="A43" s="618" t="s">
        <v>748</v>
      </c>
      <c r="B43" s="619" t="s">
        <v>747</v>
      </c>
      <c r="C43" s="620">
        <v>119</v>
      </c>
      <c r="D43" s="620">
        <v>213</v>
      </c>
      <c r="E43" s="596">
        <f t="shared" si="0"/>
        <v>4391597.68</v>
      </c>
      <c r="F43" s="595">
        <f>'Прилож 4 24 (2)'!V38</f>
        <v>3684279.71</v>
      </c>
      <c r="G43" s="595">
        <f>'Прилож 4 24 (2)'!W41</f>
        <v>0</v>
      </c>
      <c r="H43" s="595">
        <f>'Прилож 4 24 (2)'!X38</f>
        <v>707317.97</v>
      </c>
      <c r="I43" s="628"/>
      <c r="J43" s="595">
        <f>'Прилож 4 24 (2)'!Z38</f>
        <v>0</v>
      </c>
      <c r="K43" s="595">
        <f>'Прилож 4 24 (2)'!AA38</f>
        <v>0</v>
      </c>
      <c r="L43" s="595">
        <f>'Прилож 4 24 (2)'!AB38</f>
        <v>0</v>
      </c>
      <c r="M43" s="596">
        <f t="shared" si="1"/>
        <v>0</v>
      </c>
      <c r="N43" s="595"/>
      <c r="O43" s="595"/>
      <c r="P43" s="595"/>
      <c r="Q43" s="628"/>
      <c r="R43" s="595"/>
      <c r="S43" s="595"/>
      <c r="T43" s="595"/>
      <c r="U43" s="596">
        <f>V43+X43+Z43+AA43+AB43+W43</f>
        <v>4391597.68</v>
      </c>
      <c r="V43" s="595">
        <f>F43+N43</f>
        <v>3684279.71</v>
      </c>
      <c r="W43" s="595">
        <f t="shared" si="3"/>
        <v>0</v>
      </c>
      <c r="X43" s="595">
        <f t="shared" si="4"/>
        <v>707317.97</v>
      </c>
      <c r="Y43" s="628"/>
      <c r="Z43" s="595">
        <f t="shared" si="5"/>
        <v>0</v>
      </c>
      <c r="AA43" s="595">
        <f t="shared" si="6"/>
        <v>0</v>
      </c>
      <c r="AB43" s="595">
        <f t="shared" si="7"/>
        <v>0</v>
      </c>
      <c r="AC43" s="622"/>
    </row>
    <row r="44" spans="1:30" s="614" customFormat="1" ht="78.75" x14ac:dyDescent="0.2">
      <c r="A44" s="618" t="s">
        <v>748</v>
      </c>
      <c r="B44" s="619" t="s">
        <v>729</v>
      </c>
      <c r="C44" s="620">
        <v>119</v>
      </c>
      <c r="D44" s="620">
        <v>213</v>
      </c>
      <c r="E44" s="596">
        <f t="shared" si="0"/>
        <v>5561252.4400000004</v>
      </c>
      <c r="F44" s="595">
        <f>'Прилож 4 24 (2)'!V39</f>
        <v>5092672.4400000004</v>
      </c>
      <c r="G44" s="595">
        <f>'Прилож 4 24 (2)'!W39</f>
        <v>253680</v>
      </c>
      <c r="H44" s="595">
        <f>'Прилож 4 24 (2)'!X39</f>
        <v>214900</v>
      </c>
      <c r="I44" s="628"/>
      <c r="J44" s="595">
        <f>'Прилож 4 24 (2)'!Z39</f>
        <v>0</v>
      </c>
      <c r="K44" s="595">
        <f>'Прилож 4 24 (2)'!AA39</f>
        <v>0</v>
      </c>
      <c r="L44" s="595">
        <f>'Прилож 4 24 (2)'!AB39</f>
        <v>0</v>
      </c>
      <c r="M44" s="596">
        <f t="shared" si="1"/>
        <v>0</v>
      </c>
      <c r="N44" s="595"/>
      <c r="O44" s="595"/>
      <c r="P44" s="595"/>
      <c r="Q44" s="628"/>
      <c r="R44" s="595"/>
      <c r="S44" s="595"/>
      <c r="T44" s="595"/>
      <c r="U44" s="596">
        <f>V44+X44+Z44+AA44+AB44+W44</f>
        <v>5561252.4400000004</v>
      </c>
      <c r="V44" s="595">
        <f t="shared" si="2"/>
        <v>5092672.4400000004</v>
      </c>
      <c r="W44" s="595">
        <f t="shared" si="3"/>
        <v>253680</v>
      </c>
      <c r="X44" s="595">
        <f t="shared" si="4"/>
        <v>214900</v>
      </c>
      <c r="Y44" s="628"/>
      <c r="Z44" s="595">
        <f t="shared" si="5"/>
        <v>0</v>
      </c>
      <c r="AA44" s="595">
        <f t="shared" si="6"/>
        <v>0</v>
      </c>
      <c r="AB44" s="595">
        <f t="shared" si="7"/>
        <v>0</v>
      </c>
      <c r="AC44" s="622"/>
    </row>
    <row r="45" spans="1:30" s="614" customFormat="1" ht="94.5" x14ac:dyDescent="0.2">
      <c r="A45" s="618" t="s">
        <v>944</v>
      </c>
      <c r="B45" s="619" t="s">
        <v>729</v>
      </c>
      <c r="C45" s="620">
        <v>119</v>
      </c>
      <c r="D45" s="620">
        <v>213</v>
      </c>
      <c r="E45" s="596">
        <f t="shared" si="0"/>
        <v>82168.849999999991</v>
      </c>
      <c r="F45" s="595">
        <f>'Прилож 4 24 (2)'!V40</f>
        <v>27115.759999999998</v>
      </c>
      <c r="G45" s="595">
        <f>'Прилож 4 24 (2)'!W40</f>
        <v>55053.09</v>
      </c>
      <c r="H45" s="595">
        <f>'Прилож 4 24 (2)'!X40</f>
        <v>0</v>
      </c>
      <c r="I45" s="628"/>
      <c r="J45" s="595">
        <f>'Прилож 4 24 (2)'!Z40</f>
        <v>0</v>
      </c>
      <c r="K45" s="595">
        <f>'Прилож 4 24 (2)'!AA40</f>
        <v>0</v>
      </c>
      <c r="L45" s="595">
        <f>'Прилож 4 24 (2)'!AB40</f>
        <v>0</v>
      </c>
      <c r="M45" s="596">
        <f t="shared" si="1"/>
        <v>0</v>
      </c>
      <c r="N45" s="595"/>
      <c r="O45" s="595"/>
      <c r="P45" s="595"/>
      <c r="Q45" s="628"/>
      <c r="R45" s="595"/>
      <c r="S45" s="595"/>
      <c r="T45" s="595"/>
      <c r="U45" s="596">
        <f>V45+X45+Z45+AA45+AB45+W45</f>
        <v>82168.849999999991</v>
      </c>
      <c r="V45" s="595">
        <f t="shared" si="2"/>
        <v>27115.759999999998</v>
      </c>
      <c r="W45" s="595">
        <f t="shared" si="3"/>
        <v>55053.09</v>
      </c>
      <c r="X45" s="595">
        <f t="shared" si="4"/>
        <v>0</v>
      </c>
      <c r="Y45" s="628"/>
      <c r="Z45" s="595">
        <f t="shared" si="5"/>
        <v>0</v>
      </c>
      <c r="AA45" s="595">
        <f t="shared" si="6"/>
        <v>0</v>
      </c>
      <c r="AB45" s="595">
        <f t="shared" si="7"/>
        <v>0</v>
      </c>
      <c r="AC45" s="622"/>
    </row>
    <row r="46" spans="1:30" s="614" customFormat="1" ht="78.75" x14ac:dyDescent="0.2">
      <c r="A46" s="618" t="s">
        <v>748</v>
      </c>
      <c r="B46" s="619" t="s">
        <v>64</v>
      </c>
      <c r="C46" s="620">
        <v>119</v>
      </c>
      <c r="D46" s="620">
        <v>213</v>
      </c>
      <c r="E46" s="596">
        <f t="shared" si="0"/>
        <v>19446</v>
      </c>
      <c r="F46" s="595">
        <f>'Прилож 4 24 (2)'!V41</f>
        <v>0</v>
      </c>
      <c r="G46" s="595">
        <f>'Прилож 4 24 (2)'!W44</f>
        <v>0</v>
      </c>
      <c r="H46" s="595">
        <f>'Прилож 4 24 (2)'!X41</f>
        <v>0</v>
      </c>
      <c r="I46" s="623" t="s">
        <v>1235</v>
      </c>
      <c r="J46" s="595">
        <f>'Прилож 4 24 (2)'!Z41</f>
        <v>0</v>
      </c>
      <c r="K46" s="595">
        <f>'Прилож 4 24 (2)'!AA41</f>
        <v>19446</v>
      </c>
      <c r="L46" s="595">
        <f>'Прилож 4 24 (2)'!AB41</f>
        <v>0</v>
      </c>
      <c r="M46" s="596">
        <f t="shared" si="1"/>
        <v>0</v>
      </c>
      <c r="N46" s="595"/>
      <c r="O46" s="595"/>
      <c r="P46" s="595"/>
      <c r="Q46" s="628"/>
      <c r="R46" s="595"/>
      <c r="S46" s="595"/>
      <c r="T46" s="595"/>
      <c r="U46" s="596">
        <f t="shared" si="8"/>
        <v>19446</v>
      </c>
      <c r="V46" s="595">
        <f t="shared" si="2"/>
        <v>0</v>
      </c>
      <c r="W46" s="595">
        <f t="shared" si="3"/>
        <v>0</v>
      </c>
      <c r="X46" s="595">
        <f t="shared" si="4"/>
        <v>0</v>
      </c>
      <c r="Y46" s="621"/>
      <c r="Z46" s="595">
        <f t="shared" si="5"/>
        <v>0</v>
      </c>
      <c r="AA46" s="595">
        <f t="shared" si="6"/>
        <v>19446</v>
      </c>
      <c r="AB46" s="595">
        <f t="shared" si="7"/>
        <v>0</v>
      </c>
      <c r="AC46" s="622"/>
    </row>
    <row r="47" spans="1:30" s="614" customFormat="1" ht="78.75" x14ac:dyDescent="0.2">
      <c r="A47" s="618" t="s">
        <v>748</v>
      </c>
      <c r="B47" s="619" t="s">
        <v>691</v>
      </c>
      <c r="C47" s="620">
        <v>119</v>
      </c>
      <c r="D47" s="620">
        <v>213</v>
      </c>
      <c r="E47" s="596">
        <f t="shared" si="0"/>
        <v>16917.36</v>
      </c>
      <c r="F47" s="595">
        <f>'Прилож 4 24 (2)'!V42</f>
        <v>0</v>
      </c>
      <c r="G47" s="595">
        <f>'Прилож 4 24 (2)'!W45</f>
        <v>0</v>
      </c>
      <c r="H47" s="595">
        <f>'Прилож 4 24 (2)'!X42</f>
        <v>14362.7</v>
      </c>
      <c r="I47" s="629"/>
      <c r="J47" s="595">
        <f>'Прилож 4 24 (2)'!Z42</f>
        <v>0</v>
      </c>
      <c r="K47" s="595">
        <f>'Прилож 4 24 (2)'!AA42</f>
        <v>0</v>
      </c>
      <c r="L47" s="595">
        <f>'Прилож 4 24 (2)'!AB42</f>
        <v>2554.66</v>
      </c>
      <c r="M47" s="596">
        <f t="shared" si="1"/>
        <v>0</v>
      </c>
      <c r="N47" s="595"/>
      <c r="O47" s="595"/>
      <c r="P47" s="595"/>
      <c r="Q47" s="628"/>
      <c r="R47" s="595"/>
      <c r="S47" s="595"/>
      <c r="T47" s="595"/>
      <c r="U47" s="596">
        <f t="shared" si="8"/>
        <v>16917.36</v>
      </c>
      <c r="V47" s="595">
        <f t="shared" si="2"/>
        <v>0</v>
      </c>
      <c r="W47" s="595">
        <f t="shared" si="3"/>
        <v>0</v>
      </c>
      <c r="X47" s="595">
        <f t="shared" si="4"/>
        <v>14362.7</v>
      </c>
      <c r="Y47" s="628"/>
      <c r="Z47" s="595">
        <f t="shared" si="5"/>
        <v>0</v>
      </c>
      <c r="AA47" s="595">
        <f t="shared" si="6"/>
        <v>0</v>
      </c>
      <c r="AB47" s="595">
        <f t="shared" si="7"/>
        <v>2554.66</v>
      </c>
      <c r="AC47" s="622"/>
    </row>
    <row r="48" spans="1:30" s="614" customFormat="1" x14ac:dyDescent="0.2">
      <c r="A48" s="630" t="s">
        <v>733</v>
      </c>
      <c r="B48" s="631"/>
      <c r="C48" s="624"/>
      <c r="D48" s="624"/>
      <c r="E48" s="596">
        <f>L48+K48+J48+H48+G48+F48</f>
        <v>10071382.33</v>
      </c>
      <c r="F48" s="595">
        <f>'Прилож 4 24 (2)'!V43</f>
        <v>8804067.9100000001</v>
      </c>
      <c r="G48" s="595">
        <f>'Прилож 4 24 (2)'!W43</f>
        <v>308733.08999999997</v>
      </c>
      <c r="H48" s="595">
        <f>'Прилож 4 24 (2)'!X43</f>
        <v>936580.66999999993</v>
      </c>
      <c r="I48" s="626"/>
      <c r="J48" s="595">
        <f>'Прилож 4 24 (2)'!Z43</f>
        <v>0</v>
      </c>
      <c r="K48" s="595">
        <f>'Прилож 4 24 (2)'!AA43</f>
        <v>19446</v>
      </c>
      <c r="L48" s="595">
        <f>'Прилож 4 24 (2)'!AB43</f>
        <v>2554.66</v>
      </c>
      <c r="M48" s="596">
        <f t="shared" si="1"/>
        <v>0</v>
      </c>
      <c r="N48" s="596">
        <f>SUM(N43:N47)</f>
        <v>0</v>
      </c>
      <c r="O48" s="596">
        <f t="shared" ref="O48:T48" si="16">SUM(O43:O47)</f>
        <v>0</v>
      </c>
      <c r="P48" s="596">
        <f t="shared" si="16"/>
        <v>0</v>
      </c>
      <c r="Q48" s="626"/>
      <c r="R48" s="596">
        <f t="shared" si="16"/>
        <v>0</v>
      </c>
      <c r="S48" s="596">
        <f t="shared" si="16"/>
        <v>0</v>
      </c>
      <c r="T48" s="596">
        <f t="shared" si="16"/>
        <v>0</v>
      </c>
      <c r="U48" s="596">
        <f>V48+X48+Z48+AA48+AB48+W48</f>
        <v>10071382.33</v>
      </c>
      <c r="V48" s="595">
        <f>F48+N48</f>
        <v>8804067.9100000001</v>
      </c>
      <c r="W48" s="595">
        <f t="shared" si="3"/>
        <v>308733.08999999997</v>
      </c>
      <c r="X48" s="595">
        <f>P48+H48</f>
        <v>936580.66999999993</v>
      </c>
      <c r="Y48" s="626"/>
      <c r="Z48" s="595">
        <f t="shared" si="5"/>
        <v>0</v>
      </c>
      <c r="AA48" s="595">
        <f t="shared" si="6"/>
        <v>19446</v>
      </c>
      <c r="AB48" s="595">
        <f t="shared" si="7"/>
        <v>2554.66</v>
      </c>
      <c r="AC48" s="627"/>
      <c r="AD48" s="818"/>
    </row>
    <row r="49" spans="1:29" ht="31.5" x14ac:dyDescent="0.2">
      <c r="A49" s="618" t="s">
        <v>1183</v>
      </c>
      <c r="B49" s="619" t="s">
        <v>747</v>
      </c>
      <c r="C49" s="620">
        <v>244</v>
      </c>
      <c r="D49" s="620">
        <v>221</v>
      </c>
      <c r="E49" s="596">
        <f t="shared" si="0"/>
        <v>14452.3</v>
      </c>
      <c r="F49" s="595">
        <f>'Прилож 4 24 (2)'!V44</f>
        <v>0</v>
      </c>
      <c r="G49" s="595">
        <f>'Прилож 4 24 (2)'!W47</f>
        <v>0</v>
      </c>
      <c r="H49" s="595">
        <f>'Прилож 4 24 (2)'!X44</f>
        <v>14452.3</v>
      </c>
      <c r="I49" s="628"/>
      <c r="J49" s="595">
        <f>'Прилож 4 24 (2)'!Z44</f>
        <v>0</v>
      </c>
      <c r="K49" s="595">
        <f>'Прилож 4 24 (2)'!AA44</f>
        <v>0</v>
      </c>
      <c r="L49" s="595">
        <f>'Прилож 4 24 (2)'!AB44</f>
        <v>0</v>
      </c>
      <c r="M49" s="596">
        <f t="shared" si="1"/>
        <v>0</v>
      </c>
      <c r="N49" s="595"/>
      <c r="O49" s="595"/>
      <c r="P49" s="595"/>
      <c r="Q49" s="621"/>
      <c r="R49" s="595"/>
      <c r="S49" s="595"/>
      <c r="T49" s="595"/>
      <c r="U49" s="596">
        <f t="shared" si="8"/>
        <v>14452.3</v>
      </c>
      <c r="V49" s="595">
        <f t="shared" si="2"/>
        <v>0</v>
      </c>
      <c r="W49" s="595">
        <f t="shared" si="3"/>
        <v>0</v>
      </c>
      <c r="X49" s="595">
        <f t="shared" si="4"/>
        <v>14452.3</v>
      </c>
      <c r="Y49" s="628"/>
      <c r="Z49" s="595">
        <f t="shared" si="5"/>
        <v>0</v>
      </c>
      <c r="AA49" s="595">
        <f t="shared" si="6"/>
        <v>0</v>
      </c>
      <c r="AB49" s="595">
        <f t="shared" si="7"/>
        <v>0</v>
      </c>
      <c r="AC49" s="622"/>
    </row>
    <row r="50" spans="1:29" x14ac:dyDescent="0.2">
      <c r="A50" s="618" t="s">
        <v>1184</v>
      </c>
      <c r="B50" s="619" t="s">
        <v>747</v>
      </c>
      <c r="C50" s="620">
        <v>244</v>
      </c>
      <c r="D50" s="620">
        <v>221</v>
      </c>
      <c r="E50" s="596">
        <f t="shared" si="0"/>
        <v>36000</v>
      </c>
      <c r="F50" s="595">
        <f>'Прилож 4 24 (2)'!V45</f>
        <v>0</v>
      </c>
      <c r="G50" s="595">
        <f>'Прилож 4 24 (2)'!W48</f>
        <v>0</v>
      </c>
      <c r="H50" s="595">
        <f>'Прилож 4 24 (2)'!X45</f>
        <v>36000</v>
      </c>
      <c r="I50" s="628"/>
      <c r="J50" s="595">
        <f>'Прилож 4 24 (2)'!Z45</f>
        <v>0</v>
      </c>
      <c r="K50" s="595">
        <f>'Прилож 4 24 (2)'!AA45</f>
        <v>0</v>
      </c>
      <c r="L50" s="595">
        <f>'Прилож 4 24 (2)'!AB45</f>
        <v>0</v>
      </c>
      <c r="M50" s="596">
        <f t="shared" si="1"/>
        <v>0</v>
      </c>
      <c r="N50" s="595"/>
      <c r="O50" s="595"/>
      <c r="P50" s="595"/>
      <c r="Q50" s="621"/>
      <c r="R50" s="595"/>
      <c r="S50" s="595"/>
      <c r="T50" s="595"/>
      <c r="U50" s="596">
        <f t="shared" si="8"/>
        <v>36000</v>
      </c>
      <c r="V50" s="595">
        <f t="shared" si="2"/>
        <v>0</v>
      </c>
      <c r="W50" s="595">
        <f t="shared" si="3"/>
        <v>0</v>
      </c>
      <c r="X50" s="595">
        <f t="shared" si="4"/>
        <v>36000</v>
      </c>
      <c r="Y50" s="628"/>
      <c r="Z50" s="595">
        <f t="shared" si="5"/>
        <v>0</v>
      </c>
      <c r="AA50" s="595">
        <f t="shared" si="6"/>
        <v>0</v>
      </c>
      <c r="AB50" s="595">
        <f t="shared" si="7"/>
        <v>0</v>
      </c>
      <c r="AC50" s="622"/>
    </row>
    <row r="51" spans="1:29" ht="31.5" x14ac:dyDescent="0.2">
      <c r="A51" s="618" t="s">
        <v>158</v>
      </c>
      <c r="B51" s="619" t="s">
        <v>747</v>
      </c>
      <c r="C51" s="620">
        <v>244</v>
      </c>
      <c r="D51" s="620">
        <v>221</v>
      </c>
      <c r="E51" s="596">
        <f t="shared" si="0"/>
        <v>6600</v>
      </c>
      <c r="F51" s="595">
        <f>'Прилож 4 24 (2)'!V46</f>
        <v>0</v>
      </c>
      <c r="G51" s="595">
        <f>'Прилож 4 24 (2)'!W49</f>
        <v>0</v>
      </c>
      <c r="H51" s="595">
        <f>'Прилож 4 24 (2)'!X46</f>
        <v>6600</v>
      </c>
      <c r="I51" s="628"/>
      <c r="J51" s="595">
        <f>'Прилож 4 24 (2)'!Z46</f>
        <v>0</v>
      </c>
      <c r="K51" s="595">
        <f>'Прилож 4 24 (2)'!AA46</f>
        <v>0</v>
      </c>
      <c r="L51" s="595">
        <f>'Прилож 4 24 (2)'!AB46</f>
        <v>0</v>
      </c>
      <c r="M51" s="596">
        <f t="shared" si="1"/>
        <v>0</v>
      </c>
      <c r="N51" s="595"/>
      <c r="O51" s="595"/>
      <c r="P51" s="595"/>
      <c r="Q51" s="621"/>
      <c r="R51" s="595"/>
      <c r="S51" s="595"/>
      <c r="T51" s="595"/>
      <c r="U51" s="596">
        <f t="shared" si="8"/>
        <v>6600</v>
      </c>
      <c r="V51" s="595">
        <f t="shared" si="2"/>
        <v>0</v>
      </c>
      <c r="W51" s="595">
        <f t="shared" si="3"/>
        <v>0</v>
      </c>
      <c r="X51" s="595">
        <f t="shared" si="4"/>
        <v>6600</v>
      </c>
      <c r="Y51" s="628"/>
      <c r="Z51" s="595">
        <f t="shared" si="5"/>
        <v>0</v>
      </c>
      <c r="AA51" s="595">
        <f t="shared" si="6"/>
        <v>0</v>
      </c>
      <c r="AB51" s="595">
        <f t="shared" si="7"/>
        <v>0</v>
      </c>
      <c r="AC51" s="622"/>
    </row>
    <row r="52" spans="1:29" s="637" customFormat="1" x14ac:dyDescent="0.2">
      <c r="A52" s="632" t="s">
        <v>1143</v>
      </c>
      <c r="B52" s="633" t="s">
        <v>747</v>
      </c>
      <c r="C52" s="634">
        <v>244</v>
      </c>
      <c r="D52" s="634">
        <v>221</v>
      </c>
      <c r="E52" s="597">
        <f>SUM(E49:E51)</f>
        <v>57052.3</v>
      </c>
      <c r="F52" s="595">
        <f>'Прилож 4 24 (2)'!V47</f>
        <v>0</v>
      </c>
      <c r="G52" s="595">
        <f>'Прилож 4 24 (2)'!W50</f>
        <v>0</v>
      </c>
      <c r="H52" s="595">
        <f>'Прилож 4 24 (2)'!X47</f>
        <v>57052.3</v>
      </c>
      <c r="I52" s="635"/>
      <c r="J52" s="595">
        <f>'Прилож 4 24 (2)'!Z47</f>
        <v>0</v>
      </c>
      <c r="K52" s="595">
        <f>'Прилож 4 24 (2)'!AA47</f>
        <v>0</v>
      </c>
      <c r="L52" s="595">
        <f>'Прилож 4 24 (2)'!AB47</f>
        <v>0</v>
      </c>
      <c r="M52" s="596">
        <f t="shared" si="1"/>
        <v>0</v>
      </c>
      <c r="N52" s="597">
        <f t="shared" ref="N52:T52" si="17">SUM(N49:N51)</f>
        <v>0</v>
      </c>
      <c r="O52" s="597">
        <f t="shared" si="17"/>
        <v>0</v>
      </c>
      <c r="P52" s="597">
        <f t="shared" si="17"/>
        <v>0</v>
      </c>
      <c r="Q52" s="635"/>
      <c r="R52" s="597">
        <f t="shared" si="17"/>
        <v>0</v>
      </c>
      <c r="S52" s="597">
        <f t="shared" si="17"/>
        <v>0</v>
      </c>
      <c r="T52" s="597">
        <f t="shared" si="17"/>
        <v>0</v>
      </c>
      <c r="U52" s="597">
        <f>SUM(U49:U51)</f>
        <v>57052.3</v>
      </c>
      <c r="V52" s="595">
        <f t="shared" si="2"/>
        <v>0</v>
      </c>
      <c r="W52" s="595">
        <f t="shared" si="3"/>
        <v>0</v>
      </c>
      <c r="X52" s="595">
        <f>P52+H52</f>
        <v>57052.3</v>
      </c>
      <c r="Y52" s="635"/>
      <c r="Z52" s="595">
        <f t="shared" si="5"/>
        <v>0</v>
      </c>
      <c r="AA52" s="595">
        <f t="shared" si="6"/>
        <v>0</v>
      </c>
      <c r="AB52" s="595">
        <f t="shared" si="7"/>
        <v>0</v>
      </c>
      <c r="AC52" s="636"/>
    </row>
    <row r="53" spans="1:29" ht="31.5" x14ac:dyDescent="0.2">
      <c r="A53" s="618" t="s">
        <v>1183</v>
      </c>
      <c r="B53" s="619" t="s">
        <v>729</v>
      </c>
      <c r="C53" s="620">
        <v>244</v>
      </c>
      <c r="D53" s="620">
        <v>221</v>
      </c>
      <c r="E53" s="596">
        <f t="shared" si="0"/>
        <v>44560.93</v>
      </c>
      <c r="F53" s="595">
        <f>'Прилож 4 24 (2)'!V48</f>
        <v>0</v>
      </c>
      <c r="G53" s="595">
        <f>'Прилож 4 24 (2)'!W51</f>
        <v>0</v>
      </c>
      <c r="H53" s="595">
        <f>'Прилож 4 24 (2)'!X48</f>
        <v>44560.93</v>
      </c>
      <c r="I53" s="628"/>
      <c r="J53" s="595">
        <f>'Прилож 4 24 (2)'!Z48</f>
        <v>0</v>
      </c>
      <c r="K53" s="595">
        <f>'Прилож 4 24 (2)'!AA48</f>
        <v>0</v>
      </c>
      <c r="L53" s="595">
        <f>'Прилож 4 24 (2)'!AB48</f>
        <v>0</v>
      </c>
      <c r="M53" s="596">
        <f t="shared" si="1"/>
        <v>0</v>
      </c>
      <c r="N53" s="595"/>
      <c r="O53" s="595"/>
      <c r="P53" s="595"/>
      <c r="Q53" s="621"/>
      <c r="R53" s="595"/>
      <c r="S53" s="595"/>
      <c r="T53" s="595"/>
      <c r="U53" s="596">
        <f t="shared" si="8"/>
        <v>44560.93</v>
      </c>
      <c r="V53" s="595">
        <f t="shared" si="2"/>
        <v>0</v>
      </c>
      <c r="W53" s="595">
        <f t="shared" si="3"/>
        <v>0</v>
      </c>
      <c r="X53" s="595">
        <f t="shared" si="4"/>
        <v>44560.93</v>
      </c>
      <c r="Y53" s="628"/>
      <c r="Z53" s="595">
        <f t="shared" si="5"/>
        <v>0</v>
      </c>
      <c r="AA53" s="595">
        <f t="shared" si="6"/>
        <v>0</v>
      </c>
      <c r="AB53" s="595">
        <f t="shared" si="7"/>
        <v>0</v>
      </c>
      <c r="AC53" s="622"/>
    </row>
    <row r="54" spans="1:29" x14ac:dyDescent="0.2">
      <c r="A54" s="618" t="s">
        <v>597</v>
      </c>
      <c r="B54" s="619" t="s">
        <v>729</v>
      </c>
      <c r="C54" s="620">
        <v>244</v>
      </c>
      <c r="D54" s="620">
        <v>221</v>
      </c>
      <c r="E54" s="596">
        <f t="shared" si="0"/>
        <v>34080</v>
      </c>
      <c r="F54" s="595">
        <f>'Прилож 4 24 (2)'!V49</f>
        <v>0</v>
      </c>
      <c r="G54" s="595">
        <f>'Прилож 4 24 (2)'!W52</f>
        <v>0</v>
      </c>
      <c r="H54" s="595">
        <f>'Прилож 4 24 (2)'!X49</f>
        <v>34080</v>
      </c>
      <c r="I54" s="628"/>
      <c r="J54" s="595">
        <f>'Прилож 4 24 (2)'!Z49</f>
        <v>0</v>
      </c>
      <c r="K54" s="595">
        <f>'Прилож 4 24 (2)'!AA49</f>
        <v>0</v>
      </c>
      <c r="L54" s="595">
        <f>'Прилож 4 24 (2)'!AB49</f>
        <v>0</v>
      </c>
      <c r="M54" s="596">
        <f t="shared" si="1"/>
        <v>0</v>
      </c>
      <c r="N54" s="595"/>
      <c r="O54" s="595"/>
      <c r="P54" s="595"/>
      <c r="Q54" s="621"/>
      <c r="R54" s="595"/>
      <c r="S54" s="595"/>
      <c r="T54" s="595"/>
      <c r="U54" s="596">
        <f t="shared" si="8"/>
        <v>34080</v>
      </c>
      <c r="V54" s="595">
        <f t="shared" si="2"/>
        <v>0</v>
      </c>
      <c r="W54" s="595">
        <f t="shared" si="3"/>
        <v>0</v>
      </c>
      <c r="X54" s="595">
        <f t="shared" si="4"/>
        <v>34080</v>
      </c>
      <c r="Y54" s="628"/>
      <c r="Z54" s="595">
        <f t="shared" si="5"/>
        <v>0</v>
      </c>
      <c r="AA54" s="595">
        <f t="shared" si="6"/>
        <v>0</v>
      </c>
      <c r="AB54" s="595">
        <f t="shared" si="7"/>
        <v>0</v>
      </c>
      <c r="AC54" s="622"/>
    </row>
    <row r="55" spans="1:29" ht="31.5" x14ac:dyDescent="0.2">
      <c r="A55" s="618" t="s">
        <v>158</v>
      </c>
      <c r="B55" s="619" t="s">
        <v>729</v>
      </c>
      <c r="C55" s="620">
        <v>244</v>
      </c>
      <c r="D55" s="620">
        <v>221</v>
      </c>
      <c r="E55" s="596">
        <f t="shared" si="0"/>
        <v>6600</v>
      </c>
      <c r="F55" s="595">
        <f>'Прилож 4 24 (2)'!V50</f>
        <v>0</v>
      </c>
      <c r="G55" s="595">
        <f>'Прилож 4 24 (2)'!W53</f>
        <v>0</v>
      </c>
      <c r="H55" s="595">
        <f>'Прилож 4 24 (2)'!X50</f>
        <v>6600</v>
      </c>
      <c r="I55" s="628"/>
      <c r="J55" s="595">
        <f>'Прилож 4 24 (2)'!Z50</f>
        <v>0</v>
      </c>
      <c r="K55" s="595">
        <f>'Прилож 4 24 (2)'!AA50</f>
        <v>0</v>
      </c>
      <c r="L55" s="595">
        <f>'Прилож 4 24 (2)'!AB50</f>
        <v>0</v>
      </c>
      <c r="M55" s="596">
        <f t="shared" si="1"/>
        <v>0</v>
      </c>
      <c r="N55" s="595"/>
      <c r="O55" s="595"/>
      <c r="P55" s="595"/>
      <c r="Q55" s="621"/>
      <c r="R55" s="595"/>
      <c r="S55" s="595"/>
      <c r="T55" s="595"/>
      <c r="U55" s="596">
        <f t="shared" si="8"/>
        <v>6600</v>
      </c>
      <c r="V55" s="595">
        <f t="shared" si="2"/>
        <v>0</v>
      </c>
      <c r="W55" s="595">
        <f t="shared" si="3"/>
        <v>0</v>
      </c>
      <c r="X55" s="595">
        <f t="shared" si="4"/>
        <v>6600</v>
      </c>
      <c r="Y55" s="628"/>
      <c r="Z55" s="595">
        <f t="shared" si="5"/>
        <v>0</v>
      </c>
      <c r="AA55" s="595">
        <f t="shared" si="6"/>
        <v>0</v>
      </c>
      <c r="AB55" s="595">
        <f t="shared" si="7"/>
        <v>0</v>
      </c>
      <c r="AC55" s="622"/>
    </row>
    <row r="56" spans="1:29" s="637" customFormat="1" x14ac:dyDescent="0.2">
      <c r="A56" s="632" t="s">
        <v>1143</v>
      </c>
      <c r="B56" s="633" t="s">
        <v>729</v>
      </c>
      <c r="C56" s="634">
        <v>244</v>
      </c>
      <c r="D56" s="634">
        <v>221</v>
      </c>
      <c r="E56" s="597">
        <f>SUM(E53:E55)</f>
        <v>85240.93</v>
      </c>
      <c r="F56" s="595">
        <f>'Прилож 4 24 (2)'!V51</f>
        <v>0</v>
      </c>
      <c r="G56" s="595">
        <f>'Прилож 4 24 (2)'!W54</f>
        <v>0</v>
      </c>
      <c r="H56" s="595">
        <f>'Прилож 4 24 (2)'!X51</f>
        <v>85240.93</v>
      </c>
      <c r="I56" s="635"/>
      <c r="J56" s="595">
        <f>'Прилож 4 24 (2)'!Z51</f>
        <v>0</v>
      </c>
      <c r="K56" s="595">
        <f>'Прилож 4 24 (2)'!AA51</f>
        <v>0</v>
      </c>
      <c r="L56" s="595">
        <f>'Прилож 4 24 (2)'!AB51</f>
        <v>0</v>
      </c>
      <c r="M56" s="596">
        <f t="shared" si="1"/>
        <v>0</v>
      </c>
      <c r="N56" s="597">
        <f t="shared" ref="N56:U56" si="18">SUM(N53:N55)</f>
        <v>0</v>
      </c>
      <c r="O56" s="597">
        <f t="shared" si="18"/>
        <v>0</v>
      </c>
      <c r="P56" s="597">
        <f t="shared" si="18"/>
        <v>0</v>
      </c>
      <c r="Q56" s="635"/>
      <c r="R56" s="597">
        <f t="shared" si="18"/>
        <v>0</v>
      </c>
      <c r="S56" s="597">
        <f t="shared" si="18"/>
        <v>0</v>
      </c>
      <c r="T56" s="597">
        <f t="shared" si="18"/>
        <v>0</v>
      </c>
      <c r="U56" s="597">
        <f t="shared" si="18"/>
        <v>85240.93</v>
      </c>
      <c r="V56" s="595">
        <f t="shared" si="2"/>
        <v>0</v>
      </c>
      <c r="W56" s="595">
        <f t="shared" si="3"/>
        <v>0</v>
      </c>
      <c r="X56" s="595">
        <f t="shared" si="4"/>
        <v>85240.93</v>
      </c>
      <c r="Y56" s="635"/>
      <c r="Z56" s="595">
        <f t="shared" si="5"/>
        <v>0</v>
      </c>
      <c r="AA56" s="595">
        <f t="shared" si="6"/>
        <v>0</v>
      </c>
      <c r="AB56" s="595">
        <f t="shared" si="7"/>
        <v>0</v>
      </c>
      <c r="AC56" s="636"/>
    </row>
    <row r="57" spans="1:29" s="614" customFormat="1" x14ac:dyDescent="0.2">
      <c r="A57" s="630" t="s">
        <v>734</v>
      </c>
      <c r="B57" s="631"/>
      <c r="C57" s="624"/>
      <c r="D57" s="624"/>
      <c r="E57" s="596">
        <f>E56+E52</f>
        <v>142293.22999999998</v>
      </c>
      <c r="F57" s="595">
        <f>'Прилож 4 24 (2)'!V52</f>
        <v>0</v>
      </c>
      <c r="G57" s="595">
        <f>'Прилож 4 24 (2)'!W55</f>
        <v>0</v>
      </c>
      <c r="H57" s="595">
        <f>'Прилож 4 24 (2)'!X52</f>
        <v>142293.22999999998</v>
      </c>
      <c r="I57" s="626"/>
      <c r="J57" s="595">
        <f>'Прилож 4 24 (2)'!Z52</f>
        <v>0</v>
      </c>
      <c r="K57" s="595">
        <f>'Прилож 4 24 (2)'!AA52</f>
        <v>0</v>
      </c>
      <c r="L57" s="595">
        <f>'Прилож 4 24 (2)'!AB52</f>
        <v>0</v>
      </c>
      <c r="M57" s="596">
        <f t="shared" si="1"/>
        <v>0</v>
      </c>
      <c r="N57" s="596">
        <f t="shared" ref="N57:T57" si="19">N56+N52</f>
        <v>0</v>
      </c>
      <c r="O57" s="596">
        <f t="shared" si="19"/>
        <v>0</v>
      </c>
      <c r="P57" s="596">
        <f t="shared" si="19"/>
        <v>0</v>
      </c>
      <c r="Q57" s="626"/>
      <c r="R57" s="596">
        <f t="shared" si="19"/>
        <v>0</v>
      </c>
      <c r="S57" s="596">
        <f t="shared" si="19"/>
        <v>0</v>
      </c>
      <c r="T57" s="596">
        <f t="shared" si="19"/>
        <v>0</v>
      </c>
      <c r="U57" s="596">
        <f>U56+U52</f>
        <v>142293.22999999998</v>
      </c>
      <c r="V57" s="595">
        <f t="shared" si="2"/>
        <v>0</v>
      </c>
      <c r="W57" s="595">
        <f t="shared" si="3"/>
        <v>0</v>
      </c>
      <c r="X57" s="595">
        <f t="shared" si="4"/>
        <v>142293.22999999998</v>
      </c>
      <c r="Y57" s="626"/>
      <c r="Z57" s="595">
        <f t="shared" si="5"/>
        <v>0</v>
      </c>
      <c r="AA57" s="595">
        <f t="shared" si="6"/>
        <v>0</v>
      </c>
      <c r="AB57" s="595">
        <f t="shared" si="7"/>
        <v>0</v>
      </c>
      <c r="AC57" s="627"/>
    </row>
    <row r="58" spans="1:29" x14ac:dyDescent="0.2">
      <c r="A58" s="618" t="s">
        <v>126</v>
      </c>
      <c r="B58" s="619" t="s">
        <v>747</v>
      </c>
      <c r="C58" s="620">
        <v>244</v>
      </c>
      <c r="D58" s="620">
        <v>223</v>
      </c>
      <c r="E58" s="596">
        <f t="shared" si="0"/>
        <v>30113.4</v>
      </c>
      <c r="F58" s="595">
        <f>'Прилож 4 24 (2)'!V53</f>
        <v>0</v>
      </c>
      <c r="G58" s="595">
        <f>'Прилож 4 24 (2)'!W56</f>
        <v>0</v>
      </c>
      <c r="H58" s="595">
        <f>'Прилож 4 24 (2)'!X53</f>
        <v>30113.4</v>
      </c>
      <c r="I58" s="628"/>
      <c r="J58" s="595">
        <f>'Прилож 4 24 (2)'!Z53</f>
        <v>0</v>
      </c>
      <c r="K58" s="595">
        <f>'Прилож 4 24 (2)'!AA53</f>
        <v>0</v>
      </c>
      <c r="L58" s="595">
        <f>'Прилож 4 24 (2)'!AB53</f>
        <v>0</v>
      </c>
      <c r="M58" s="596">
        <f t="shared" si="1"/>
        <v>0</v>
      </c>
      <c r="N58" s="595"/>
      <c r="O58" s="595"/>
      <c r="P58" s="595"/>
      <c r="Q58" s="621"/>
      <c r="R58" s="595"/>
      <c r="S58" s="595"/>
      <c r="T58" s="595"/>
      <c r="U58" s="596">
        <f t="shared" si="8"/>
        <v>30113.4</v>
      </c>
      <c r="V58" s="595">
        <f t="shared" si="2"/>
        <v>0</v>
      </c>
      <c r="W58" s="595">
        <f t="shared" si="3"/>
        <v>0</v>
      </c>
      <c r="X58" s="595">
        <f t="shared" si="4"/>
        <v>30113.4</v>
      </c>
      <c r="Y58" s="628"/>
      <c r="Z58" s="595">
        <f t="shared" si="5"/>
        <v>0</v>
      </c>
      <c r="AA58" s="595">
        <f t="shared" si="6"/>
        <v>0</v>
      </c>
      <c r="AB58" s="595">
        <f t="shared" si="7"/>
        <v>0</v>
      </c>
      <c r="AC58" s="622"/>
    </row>
    <row r="59" spans="1:29" x14ac:dyDescent="0.2">
      <c r="A59" s="618" t="s">
        <v>1261</v>
      </c>
      <c r="B59" s="619" t="s">
        <v>747</v>
      </c>
      <c r="C59" s="620">
        <v>244</v>
      </c>
      <c r="D59" s="620">
        <v>223</v>
      </c>
      <c r="E59" s="596">
        <f t="shared" si="0"/>
        <v>40636.9</v>
      </c>
      <c r="F59" s="595">
        <f>'Прилож 4 24 (2)'!V54</f>
        <v>0</v>
      </c>
      <c r="G59" s="595">
        <f>'Прилож 4 24 (2)'!W57</f>
        <v>0</v>
      </c>
      <c r="H59" s="595">
        <f>'Прилож 4 24 (2)'!X54</f>
        <v>40636.9</v>
      </c>
      <c r="I59" s="628"/>
      <c r="J59" s="595">
        <f>'Прилож 4 24 (2)'!Z54</f>
        <v>0</v>
      </c>
      <c r="K59" s="595">
        <f>'Прилож 4 24 (2)'!AA54</f>
        <v>0</v>
      </c>
      <c r="L59" s="595">
        <f>'Прилож 4 24 (2)'!AB54</f>
        <v>0</v>
      </c>
      <c r="M59" s="596">
        <f t="shared" si="1"/>
        <v>0</v>
      </c>
      <c r="N59" s="595"/>
      <c r="O59" s="595"/>
      <c r="P59" s="595"/>
      <c r="Q59" s="621"/>
      <c r="R59" s="595"/>
      <c r="S59" s="595"/>
      <c r="T59" s="595"/>
      <c r="U59" s="596">
        <f t="shared" si="8"/>
        <v>40636.9</v>
      </c>
      <c r="V59" s="595">
        <f t="shared" si="2"/>
        <v>0</v>
      </c>
      <c r="W59" s="595">
        <f t="shared" si="3"/>
        <v>0</v>
      </c>
      <c r="X59" s="595">
        <f t="shared" si="4"/>
        <v>40636.9</v>
      </c>
      <c r="Y59" s="628"/>
      <c r="Z59" s="595">
        <f t="shared" si="5"/>
        <v>0</v>
      </c>
      <c r="AA59" s="595">
        <f t="shared" si="6"/>
        <v>0</v>
      </c>
      <c r="AB59" s="595">
        <f t="shared" si="7"/>
        <v>0</v>
      </c>
      <c r="AC59" s="622"/>
    </row>
    <row r="60" spans="1:29" x14ac:dyDescent="0.2">
      <c r="A60" s="618" t="s">
        <v>128</v>
      </c>
      <c r="B60" s="619" t="s">
        <v>747</v>
      </c>
      <c r="C60" s="620">
        <v>244</v>
      </c>
      <c r="D60" s="620">
        <v>223</v>
      </c>
      <c r="E60" s="596">
        <f t="shared" si="0"/>
        <v>75941.84</v>
      </c>
      <c r="F60" s="595">
        <f>'Прилож 4 24 (2)'!V55</f>
        <v>0</v>
      </c>
      <c r="G60" s="595">
        <f>'Прилож 4 24 (2)'!W58</f>
        <v>0</v>
      </c>
      <c r="H60" s="595">
        <f>'Прилож 4 24 (2)'!X55</f>
        <v>75941.84</v>
      </c>
      <c r="I60" s="628"/>
      <c r="J60" s="595">
        <f>'Прилож 4 24 (2)'!Z55</f>
        <v>0</v>
      </c>
      <c r="K60" s="595">
        <f>'Прилож 4 24 (2)'!AA55</f>
        <v>0</v>
      </c>
      <c r="L60" s="595">
        <f>'Прилож 4 24 (2)'!AB55</f>
        <v>0</v>
      </c>
      <c r="M60" s="596">
        <f t="shared" si="1"/>
        <v>0</v>
      </c>
      <c r="N60" s="595"/>
      <c r="O60" s="595"/>
      <c r="P60" s="595"/>
      <c r="Q60" s="621"/>
      <c r="R60" s="595"/>
      <c r="S60" s="595"/>
      <c r="T60" s="595"/>
      <c r="U60" s="596">
        <f t="shared" si="8"/>
        <v>75941.84</v>
      </c>
      <c r="V60" s="595">
        <f t="shared" si="2"/>
        <v>0</v>
      </c>
      <c r="W60" s="595">
        <f t="shared" si="3"/>
        <v>0</v>
      </c>
      <c r="X60" s="595">
        <f t="shared" si="4"/>
        <v>75941.84</v>
      </c>
      <c r="Y60" s="628"/>
      <c r="Z60" s="595">
        <f t="shared" si="5"/>
        <v>0</v>
      </c>
      <c r="AA60" s="595">
        <f t="shared" si="6"/>
        <v>0</v>
      </c>
      <c r="AB60" s="595">
        <f t="shared" si="7"/>
        <v>0</v>
      </c>
      <c r="AC60" s="622"/>
    </row>
    <row r="61" spans="1:29" x14ac:dyDescent="0.2">
      <c r="A61" s="618" t="s">
        <v>1259</v>
      </c>
      <c r="B61" s="619" t="s">
        <v>747</v>
      </c>
      <c r="C61" s="620">
        <v>244</v>
      </c>
      <c r="D61" s="620">
        <v>223</v>
      </c>
      <c r="E61" s="596">
        <f t="shared" si="0"/>
        <v>78343.55</v>
      </c>
      <c r="F61" s="595">
        <f>'Прилож 4 24 (2)'!V56</f>
        <v>0</v>
      </c>
      <c r="G61" s="595">
        <f>'Прилож 4 24 (2)'!W59</f>
        <v>0</v>
      </c>
      <c r="H61" s="595">
        <f>'Прилож 4 24 (2)'!X56</f>
        <v>78343.55</v>
      </c>
      <c r="I61" s="628"/>
      <c r="J61" s="595">
        <f>'Прилож 4 24 (2)'!Z56</f>
        <v>0</v>
      </c>
      <c r="K61" s="595">
        <f>'Прилож 4 24 (2)'!AA56</f>
        <v>0</v>
      </c>
      <c r="L61" s="595">
        <f>'Прилож 4 24 (2)'!AB56</f>
        <v>0</v>
      </c>
      <c r="M61" s="596">
        <f t="shared" si="1"/>
        <v>0</v>
      </c>
      <c r="N61" s="595"/>
      <c r="O61" s="595"/>
      <c r="P61" s="595"/>
      <c r="Q61" s="621"/>
      <c r="R61" s="595"/>
      <c r="S61" s="595"/>
      <c r="T61" s="595"/>
      <c r="U61" s="596">
        <f t="shared" si="8"/>
        <v>78343.55</v>
      </c>
      <c r="V61" s="595">
        <f t="shared" si="2"/>
        <v>0</v>
      </c>
      <c r="W61" s="595">
        <f t="shared" si="3"/>
        <v>0</v>
      </c>
      <c r="X61" s="595">
        <f t="shared" si="4"/>
        <v>78343.55</v>
      </c>
      <c r="Y61" s="628"/>
      <c r="Z61" s="595">
        <f t="shared" si="5"/>
        <v>0</v>
      </c>
      <c r="AA61" s="595">
        <f t="shared" si="6"/>
        <v>0</v>
      </c>
      <c r="AB61" s="595">
        <f t="shared" si="7"/>
        <v>0</v>
      </c>
      <c r="AC61" s="622"/>
    </row>
    <row r="62" spans="1:29" ht="31.5" x14ac:dyDescent="0.2">
      <c r="A62" s="618" t="s">
        <v>1238</v>
      </c>
      <c r="B62" s="619" t="s">
        <v>747</v>
      </c>
      <c r="C62" s="620">
        <v>244</v>
      </c>
      <c r="D62" s="620">
        <v>223</v>
      </c>
      <c r="E62" s="596">
        <f t="shared" si="0"/>
        <v>37970.92</v>
      </c>
      <c r="F62" s="595">
        <f>'Прилож 4 24 (2)'!V57</f>
        <v>0</v>
      </c>
      <c r="G62" s="595">
        <f>'Прилож 4 24 (2)'!W60</f>
        <v>0</v>
      </c>
      <c r="H62" s="595">
        <f>'Прилож 4 24 (2)'!X57</f>
        <v>37970.92</v>
      </c>
      <c r="I62" s="628"/>
      <c r="J62" s="595">
        <f>'Прилож 4 24 (2)'!Z57</f>
        <v>0</v>
      </c>
      <c r="K62" s="595">
        <f>'Прилож 4 24 (2)'!AA57</f>
        <v>0</v>
      </c>
      <c r="L62" s="595">
        <f>'Прилож 4 24 (2)'!AB57</f>
        <v>0</v>
      </c>
      <c r="M62" s="596">
        <f t="shared" si="1"/>
        <v>0</v>
      </c>
      <c r="N62" s="595"/>
      <c r="O62" s="595"/>
      <c r="P62" s="595"/>
      <c r="Q62" s="621"/>
      <c r="R62" s="595"/>
      <c r="S62" s="595"/>
      <c r="T62" s="595"/>
      <c r="U62" s="596">
        <f t="shared" si="8"/>
        <v>37970.92</v>
      </c>
      <c r="V62" s="595">
        <f t="shared" si="2"/>
        <v>0</v>
      </c>
      <c r="W62" s="595">
        <f t="shared" si="3"/>
        <v>0</v>
      </c>
      <c r="X62" s="595">
        <f t="shared" si="4"/>
        <v>37970.92</v>
      </c>
      <c r="Y62" s="628"/>
      <c r="Z62" s="595">
        <f t="shared" si="5"/>
        <v>0</v>
      </c>
      <c r="AA62" s="595">
        <f t="shared" si="6"/>
        <v>0</v>
      </c>
      <c r="AB62" s="595">
        <f t="shared" si="7"/>
        <v>0</v>
      </c>
      <c r="AC62" s="622"/>
    </row>
    <row r="63" spans="1:29" ht="31.5" x14ac:dyDescent="0.2">
      <c r="A63" s="618" t="s">
        <v>1262</v>
      </c>
      <c r="B63" s="619" t="s">
        <v>747</v>
      </c>
      <c r="C63" s="620">
        <v>244</v>
      </c>
      <c r="D63" s="620">
        <v>223</v>
      </c>
      <c r="E63" s="596">
        <f t="shared" si="0"/>
        <v>39171.78</v>
      </c>
      <c r="F63" s="595">
        <f>'Прилож 4 24 (2)'!V58</f>
        <v>0</v>
      </c>
      <c r="G63" s="595">
        <f>'Прилож 4 24 (2)'!W61</f>
        <v>0</v>
      </c>
      <c r="H63" s="595">
        <f>'Прилож 4 24 (2)'!X58</f>
        <v>39171.78</v>
      </c>
      <c r="I63" s="628"/>
      <c r="J63" s="595">
        <f>'Прилож 4 24 (2)'!Z58</f>
        <v>0</v>
      </c>
      <c r="K63" s="595">
        <f>'Прилож 4 24 (2)'!AA58</f>
        <v>0</v>
      </c>
      <c r="L63" s="595">
        <f>'Прилож 4 24 (2)'!AB58</f>
        <v>0</v>
      </c>
      <c r="M63" s="596">
        <f t="shared" si="1"/>
        <v>0</v>
      </c>
      <c r="N63" s="595"/>
      <c r="O63" s="595"/>
      <c r="P63" s="595"/>
      <c r="Q63" s="621"/>
      <c r="R63" s="595"/>
      <c r="S63" s="595"/>
      <c r="T63" s="595"/>
      <c r="U63" s="596">
        <f t="shared" si="8"/>
        <v>39171.78</v>
      </c>
      <c r="V63" s="595">
        <f t="shared" si="2"/>
        <v>0</v>
      </c>
      <c r="W63" s="595">
        <f t="shared" si="3"/>
        <v>0</v>
      </c>
      <c r="X63" s="595">
        <f t="shared" si="4"/>
        <v>39171.78</v>
      </c>
      <c r="Y63" s="628"/>
      <c r="Z63" s="595">
        <f t="shared" si="5"/>
        <v>0</v>
      </c>
      <c r="AA63" s="595">
        <f t="shared" si="6"/>
        <v>0</v>
      </c>
      <c r="AB63" s="595">
        <f t="shared" si="7"/>
        <v>0</v>
      </c>
      <c r="AC63" s="622"/>
    </row>
    <row r="64" spans="1:29" ht="31.5" x14ac:dyDescent="0.2">
      <c r="A64" s="618" t="s">
        <v>1140</v>
      </c>
      <c r="B64" s="619" t="s">
        <v>747</v>
      </c>
      <c r="C64" s="620">
        <v>244</v>
      </c>
      <c r="D64" s="620">
        <v>223</v>
      </c>
      <c r="E64" s="596">
        <f t="shared" si="0"/>
        <v>9612.2000000000007</v>
      </c>
      <c r="F64" s="595">
        <f>'Прилож 4 24 (2)'!V59</f>
        <v>0</v>
      </c>
      <c r="G64" s="595">
        <f>'Прилож 4 24 (2)'!W62</f>
        <v>0</v>
      </c>
      <c r="H64" s="595">
        <f>'Прилож 4 24 (2)'!X59</f>
        <v>9612.2000000000007</v>
      </c>
      <c r="I64" s="628"/>
      <c r="J64" s="595">
        <f>'Прилож 4 24 (2)'!Z59</f>
        <v>0</v>
      </c>
      <c r="K64" s="595">
        <f>'Прилож 4 24 (2)'!AA59</f>
        <v>0</v>
      </c>
      <c r="L64" s="595">
        <f>'Прилож 4 24 (2)'!AB59</f>
        <v>0</v>
      </c>
      <c r="M64" s="596">
        <f t="shared" si="1"/>
        <v>0</v>
      </c>
      <c r="N64" s="595"/>
      <c r="O64" s="595"/>
      <c r="P64" s="595"/>
      <c r="Q64" s="621"/>
      <c r="R64" s="595"/>
      <c r="S64" s="595"/>
      <c r="T64" s="595"/>
      <c r="U64" s="596">
        <f t="shared" si="8"/>
        <v>9612.2000000000007</v>
      </c>
      <c r="V64" s="595">
        <f t="shared" si="2"/>
        <v>0</v>
      </c>
      <c r="W64" s="595">
        <f t="shared" si="3"/>
        <v>0</v>
      </c>
      <c r="X64" s="595">
        <f t="shared" si="4"/>
        <v>9612.2000000000007</v>
      </c>
      <c r="Y64" s="628"/>
      <c r="Z64" s="595">
        <f t="shared" si="5"/>
        <v>0</v>
      </c>
      <c r="AA64" s="595">
        <f t="shared" si="6"/>
        <v>0</v>
      </c>
      <c r="AB64" s="595">
        <f t="shared" si="7"/>
        <v>0</v>
      </c>
      <c r="AC64" s="622"/>
    </row>
    <row r="65" spans="1:29" ht="48.75" customHeight="1" x14ac:dyDescent="0.2">
      <c r="A65" s="618" t="s">
        <v>1141</v>
      </c>
      <c r="B65" s="619" t="s">
        <v>747</v>
      </c>
      <c r="C65" s="620">
        <v>244</v>
      </c>
      <c r="D65" s="620">
        <v>223</v>
      </c>
      <c r="E65" s="596">
        <f t="shared" si="0"/>
        <v>9008.24</v>
      </c>
      <c r="F65" s="595">
        <f>'Прилож 4 24 (2)'!V60</f>
        <v>0</v>
      </c>
      <c r="G65" s="595">
        <f>'Прилож 4 24 (2)'!W63</f>
        <v>0</v>
      </c>
      <c r="H65" s="595">
        <f>'Прилож 4 24 (2)'!X60</f>
        <v>9008.24</v>
      </c>
      <c r="I65" s="628"/>
      <c r="J65" s="595">
        <f>'Прилож 4 24 (2)'!Z60</f>
        <v>0</v>
      </c>
      <c r="K65" s="595">
        <f>'Прилож 4 24 (2)'!AA60</f>
        <v>0</v>
      </c>
      <c r="L65" s="595">
        <f>'Прилож 4 24 (2)'!AB60</f>
        <v>0</v>
      </c>
      <c r="M65" s="596">
        <f t="shared" si="1"/>
        <v>0</v>
      </c>
      <c r="N65" s="595"/>
      <c r="O65" s="595"/>
      <c r="P65" s="595"/>
      <c r="Q65" s="621"/>
      <c r="R65" s="595"/>
      <c r="S65" s="595"/>
      <c r="T65" s="595"/>
      <c r="U65" s="596">
        <f t="shared" si="8"/>
        <v>9008.24</v>
      </c>
      <c r="V65" s="595">
        <f t="shared" si="2"/>
        <v>0</v>
      </c>
      <c r="W65" s="595">
        <f t="shared" si="3"/>
        <v>0</v>
      </c>
      <c r="X65" s="595">
        <f t="shared" si="4"/>
        <v>9008.24</v>
      </c>
      <c r="Y65" s="628"/>
      <c r="Z65" s="595">
        <f t="shared" si="5"/>
        <v>0</v>
      </c>
      <c r="AA65" s="595">
        <f t="shared" si="6"/>
        <v>0</v>
      </c>
      <c r="AB65" s="595">
        <f t="shared" si="7"/>
        <v>0</v>
      </c>
      <c r="AC65" s="622"/>
    </row>
    <row r="66" spans="1:29" ht="48.75" customHeight="1" x14ac:dyDescent="0.2">
      <c r="A66" s="618" t="s">
        <v>130</v>
      </c>
      <c r="B66" s="619" t="s">
        <v>747</v>
      </c>
      <c r="C66" s="620">
        <v>244</v>
      </c>
      <c r="D66" s="620">
        <v>223</v>
      </c>
      <c r="E66" s="596">
        <f t="shared" si="0"/>
        <v>50838.7</v>
      </c>
      <c r="F66" s="595">
        <f>'Прилож 4 24 (2)'!V61</f>
        <v>0</v>
      </c>
      <c r="G66" s="595">
        <f>'Прилож 4 24 (2)'!W64</f>
        <v>0</v>
      </c>
      <c r="H66" s="595">
        <f>'Прилож 4 24 (2)'!X61</f>
        <v>50838.7</v>
      </c>
      <c r="I66" s="628"/>
      <c r="J66" s="595">
        <f>'Прилож 4 24 (2)'!Z61</f>
        <v>0</v>
      </c>
      <c r="K66" s="595">
        <f>'Прилож 4 24 (2)'!AA61</f>
        <v>0</v>
      </c>
      <c r="L66" s="595">
        <f>'Прилож 4 24 (2)'!AB61</f>
        <v>0</v>
      </c>
      <c r="M66" s="596">
        <f t="shared" si="1"/>
        <v>0</v>
      </c>
      <c r="N66" s="595"/>
      <c r="O66" s="595"/>
      <c r="P66" s="595"/>
      <c r="Q66" s="621"/>
      <c r="R66" s="595"/>
      <c r="S66" s="595"/>
      <c r="T66" s="595"/>
      <c r="U66" s="596">
        <f t="shared" si="8"/>
        <v>50838.7</v>
      </c>
      <c r="V66" s="595">
        <f t="shared" si="2"/>
        <v>0</v>
      </c>
      <c r="W66" s="595">
        <f t="shared" si="3"/>
        <v>0</v>
      </c>
      <c r="X66" s="595">
        <f t="shared" si="4"/>
        <v>50838.7</v>
      </c>
      <c r="Y66" s="628"/>
      <c r="Z66" s="595">
        <f t="shared" si="5"/>
        <v>0</v>
      </c>
      <c r="AA66" s="595">
        <f t="shared" si="6"/>
        <v>0</v>
      </c>
      <c r="AB66" s="595">
        <f t="shared" si="7"/>
        <v>0</v>
      </c>
      <c r="AC66" s="622"/>
    </row>
    <row r="67" spans="1:29" s="637" customFormat="1" ht="16.5" customHeight="1" x14ac:dyDescent="0.2">
      <c r="A67" s="632" t="s">
        <v>1143</v>
      </c>
      <c r="B67" s="633" t="s">
        <v>747</v>
      </c>
      <c r="C67" s="634">
        <v>244</v>
      </c>
      <c r="D67" s="634">
        <v>223</v>
      </c>
      <c r="E67" s="597">
        <f>SUM(E58:E66)</f>
        <v>371637.53</v>
      </c>
      <c r="F67" s="595">
        <f>'Прилож 4 24 (2)'!V62</f>
        <v>0</v>
      </c>
      <c r="G67" s="595">
        <f>'Прилож 4 24 (2)'!W65</f>
        <v>0</v>
      </c>
      <c r="H67" s="595">
        <f>'Прилож 4 24 (2)'!X62</f>
        <v>371637.53</v>
      </c>
      <c r="I67" s="635"/>
      <c r="J67" s="595">
        <f>'Прилож 4 24 (2)'!Z62</f>
        <v>0</v>
      </c>
      <c r="K67" s="595">
        <f>'Прилож 4 24 (2)'!AA62</f>
        <v>0</v>
      </c>
      <c r="L67" s="595">
        <f>'Прилож 4 24 (2)'!AB62</f>
        <v>0</v>
      </c>
      <c r="M67" s="596">
        <f t="shared" si="1"/>
        <v>0</v>
      </c>
      <c r="N67" s="598"/>
      <c r="O67" s="598"/>
      <c r="P67" s="598"/>
      <c r="Q67" s="638"/>
      <c r="R67" s="598"/>
      <c r="S67" s="598"/>
      <c r="T67" s="598"/>
      <c r="U67" s="596">
        <f t="shared" si="8"/>
        <v>371637.53</v>
      </c>
      <c r="V67" s="595">
        <f t="shared" si="2"/>
        <v>0</v>
      </c>
      <c r="W67" s="595">
        <f t="shared" si="3"/>
        <v>0</v>
      </c>
      <c r="X67" s="595">
        <f t="shared" si="4"/>
        <v>371637.53</v>
      </c>
      <c r="Y67" s="639"/>
      <c r="Z67" s="595">
        <f t="shared" si="5"/>
        <v>0</v>
      </c>
      <c r="AA67" s="595">
        <f t="shared" si="6"/>
        <v>0</v>
      </c>
      <c r="AB67" s="595">
        <f t="shared" si="7"/>
        <v>0</v>
      </c>
      <c r="AC67" s="636"/>
    </row>
    <row r="68" spans="1:29" x14ac:dyDescent="0.2">
      <c r="A68" s="618" t="s">
        <v>126</v>
      </c>
      <c r="B68" s="619" t="s">
        <v>729</v>
      </c>
      <c r="C68" s="620">
        <v>244</v>
      </c>
      <c r="D68" s="620">
        <v>223</v>
      </c>
      <c r="E68" s="596">
        <f t="shared" si="0"/>
        <v>9511.2999999999993</v>
      </c>
      <c r="F68" s="595">
        <f>'Прилож 4 24 (2)'!V63</f>
        <v>0</v>
      </c>
      <c r="G68" s="595">
        <f>'Прилож 4 24 (2)'!W66</f>
        <v>0</v>
      </c>
      <c r="H68" s="595">
        <f>'Прилож 4 24 (2)'!X63</f>
        <v>9511.2999999999993</v>
      </c>
      <c r="I68" s="628"/>
      <c r="J68" s="595">
        <f>'Прилож 4 24 (2)'!Z63</f>
        <v>0</v>
      </c>
      <c r="K68" s="595">
        <f>'Прилож 4 24 (2)'!AA63</f>
        <v>0</v>
      </c>
      <c r="L68" s="595">
        <f>'Прилож 4 24 (2)'!AB63</f>
        <v>0</v>
      </c>
      <c r="M68" s="596">
        <f t="shared" si="1"/>
        <v>0</v>
      </c>
      <c r="N68" s="595"/>
      <c r="O68" s="595"/>
      <c r="P68" s="595"/>
      <c r="Q68" s="621"/>
      <c r="R68" s="595"/>
      <c r="S68" s="595"/>
      <c r="T68" s="595"/>
      <c r="U68" s="596">
        <f t="shared" si="8"/>
        <v>9511.2999999999993</v>
      </c>
      <c r="V68" s="595">
        <f t="shared" si="2"/>
        <v>0</v>
      </c>
      <c r="W68" s="595">
        <f t="shared" si="3"/>
        <v>0</v>
      </c>
      <c r="X68" s="595">
        <f t="shared" si="4"/>
        <v>9511.2999999999993</v>
      </c>
      <c r="Y68" s="628"/>
      <c r="Z68" s="595">
        <f t="shared" si="5"/>
        <v>0</v>
      </c>
      <c r="AA68" s="595">
        <f t="shared" si="6"/>
        <v>0</v>
      </c>
      <c r="AB68" s="595">
        <f t="shared" si="7"/>
        <v>0</v>
      </c>
      <c r="AC68" s="622"/>
    </row>
    <row r="69" spans="1:29" x14ac:dyDescent="0.2">
      <c r="A69" s="618" t="s">
        <v>127</v>
      </c>
      <c r="B69" s="619" t="s">
        <v>729</v>
      </c>
      <c r="C69" s="620">
        <v>244</v>
      </c>
      <c r="D69" s="620">
        <v>223</v>
      </c>
      <c r="E69" s="596">
        <f t="shared" si="0"/>
        <v>4191.91</v>
      </c>
      <c r="F69" s="595">
        <f>'Прилож 4 24 (2)'!V64</f>
        <v>0</v>
      </c>
      <c r="G69" s="595">
        <f>'Прилож 4 24 (2)'!W67</f>
        <v>0</v>
      </c>
      <c r="H69" s="595">
        <f>'Прилож 4 24 (2)'!X64</f>
        <v>4191.91</v>
      </c>
      <c r="I69" s="628"/>
      <c r="J69" s="595">
        <f>'Прилож 4 24 (2)'!Z64</f>
        <v>0</v>
      </c>
      <c r="K69" s="595">
        <f>'Прилож 4 24 (2)'!AA64</f>
        <v>0</v>
      </c>
      <c r="L69" s="595">
        <f>'Прилож 4 24 (2)'!AB64</f>
        <v>0</v>
      </c>
      <c r="M69" s="596">
        <f t="shared" si="1"/>
        <v>0</v>
      </c>
      <c r="N69" s="595"/>
      <c r="O69" s="595"/>
      <c r="P69" s="595"/>
      <c r="Q69" s="621"/>
      <c r="R69" s="595"/>
      <c r="S69" s="595"/>
      <c r="T69" s="595"/>
      <c r="U69" s="596">
        <f t="shared" si="8"/>
        <v>4191.91</v>
      </c>
      <c r="V69" s="595">
        <f t="shared" si="2"/>
        <v>0</v>
      </c>
      <c r="W69" s="595">
        <f t="shared" si="3"/>
        <v>0</v>
      </c>
      <c r="X69" s="595">
        <f t="shared" si="4"/>
        <v>4191.91</v>
      </c>
      <c r="Y69" s="628"/>
      <c r="Z69" s="595">
        <f t="shared" si="5"/>
        <v>0</v>
      </c>
      <c r="AA69" s="595">
        <f t="shared" si="6"/>
        <v>0</v>
      </c>
      <c r="AB69" s="595">
        <f t="shared" si="7"/>
        <v>0</v>
      </c>
      <c r="AC69" s="622"/>
    </row>
    <row r="70" spans="1:29" x14ac:dyDescent="0.2">
      <c r="A70" s="618" t="s">
        <v>128</v>
      </c>
      <c r="B70" s="619" t="s">
        <v>729</v>
      </c>
      <c r="C70" s="620">
        <v>244</v>
      </c>
      <c r="D70" s="620">
        <v>223</v>
      </c>
      <c r="E70" s="596">
        <f t="shared" si="0"/>
        <v>19267.8</v>
      </c>
      <c r="F70" s="595">
        <f>'Прилож 4 24 (2)'!V65</f>
        <v>0</v>
      </c>
      <c r="G70" s="595">
        <f>'Прилож 4 24 (2)'!W68</f>
        <v>0</v>
      </c>
      <c r="H70" s="595">
        <f>'Прилож 4 24 (2)'!X65</f>
        <v>19267.8</v>
      </c>
      <c r="I70" s="628"/>
      <c r="J70" s="595">
        <f>'Прилож 4 24 (2)'!Z65</f>
        <v>0</v>
      </c>
      <c r="K70" s="595">
        <f>'Прилож 4 24 (2)'!AA65</f>
        <v>0</v>
      </c>
      <c r="L70" s="595">
        <f>'Прилож 4 24 (2)'!AB65</f>
        <v>0</v>
      </c>
      <c r="M70" s="596">
        <f t="shared" si="1"/>
        <v>0</v>
      </c>
      <c r="N70" s="595"/>
      <c r="O70" s="595"/>
      <c r="P70" s="595"/>
      <c r="Q70" s="621"/>
      <c r="R70" s="595"/>
      <c r="S70" s="595"/>
      <c r="T70" s="595"/>
      <c r="U70" s="596">
        <f t="shared" si="8"/>
        <v>19267.8</v>
      </c>
      <c r="V70" s="595">
        <f t="shared" si="2"/>
        <v>0</v>
      </c>
      <c r="W70" s="595">
        <f t="shared" si="3"/>
        <v>0</v>
      </c>
      <c r="X70" s="595">
        <f t="shared" si="4"/>
        <v>19267.8</v>
      </c>
      <c r="Y70" s="628"/>
      <c r="Z70" s="595">
        <f t="shared" si="5"/>
        <v>0</v>
      </c>
      <c r="AA70" s="595">
        <f t="shared" si="6"/>
        <v>0</v>
      </c>
      <c r="AB70" s="595">
        <f t="shared" si="7"/>
        <v>0</v>
      </c>
      <c r="AC70" s="622"/>
    </row>
    <row r="71" spans="1:29" x14ac:dyDescent="0.2">
      <c r="A71" s="618" t="s">
        <v>129</v>
      </c>
      <c r="B71" s="619" t="s">
        <v>729</v>
      </c>
      <c r="C71" s="620">
        <v>244</v>
      </c>
      <c r="D71" s="620">
        <v>223</v>
      </c>
      <c r="E71" s="596">
        <f t="shared" si="0"/>
        <v>12829.48</v>
      </c>
      <c r="F71" s="595">
        <f>'Прилож 4 24 (2)'!V66</f>
        <v>0</v>
      </c>
      <c r="G71" s="595">
        <f>'Прилож 4 24 (2)'!W69</f>
        <v>0</v>
      </c>
      <c r="H71" s="595">
        <f>'Прилож 4 24 (2)'!X66</f>
        <v>12829.48</v>
      </c>
      <c r="I71" s="628"/>
      <c r="J71" s="595">
        <f>'Прилож 4 24 (2)'!Z66</f>
        <v>0</v>
      </c>
      <c r="K71" s="595">
        <f>'Прилож 4 24 (2)'!AA66</f>
        <v>0</v>
      </c>
      <c r="L71" s="595">
        <f>'Прилож 4 24 (2)'!AB66</f>
        <v>0</v>
      </c>
      <c r="M71" s="596">
        <f t="shared" si="1"/>
        <v>0</v>
      </c>
      <c r="N71" s="595"/>
      <c r="O71" s="595"/>
      <c r="P71" s="595"/>
      <c r="Q71" s="621"/>
      <c r="R71" s="595"/>
      <c r="S71" s="595"/>
      <c r="T71" s="595"/>
      <c r="U71" s="596">
        <f t="shared" si="8"/>
        <v>12829.48</v>
      </c>
      <c r="V71" s="595">
        <f t="shared" si="2"/>
        <v>0</v>
      </c>
      <c r="W71" s="595">
        <f t="shared" si="3"/>
        <v>0</v>
      </c>
      <c r="X71" s="595">
        <f t="shared" si="4"/>
        <v>12829.48</v>
      </c>
      <c r="Y71" s="628"/>
      <c r="Z71" s="595">
        <f t="shared" si="5"/>
        <v>0</v>
      </c>
      <c r="AA71" s="595">
        <f t="shared" si="6"/>
        <v>0</v>
      </c>
      <c r="AB71" s="595">
        <f t="shared" si="7"/>
        <v>0</v>
      </c>
      <c r="AC71" s="622"/>
    </row>
    <row r="72" spans="1:29" ht="31.5" x14ac:dyDescent="0.2">
      <c r="A72" s="618" t="s">
        <v>1238</v>
      </c>
      <c r="B72" s="619" t="s">
        <v>729</v>
      </c>
      <c r="C72" s="620">
        <v>244</v>
      </c>
      <c r="D72" s="620">
        <v>223</v>
      </c>
      <c r="E72" s="596">
        <f t="shared" si="0"/>
        <v>9633.9</v>
      </c>
      <c r="F72" s="595">
        <f>'Прилож 4 24 (2)'!V67</f>
        <v>0</v>
      </c>
      <c r="G72" s="595">
        <f>'Прилож 4 24 (2)'!W70</f>
        <v>0</v>
      </c>
      <c r="H72" s="595">
        <f>'Прилож 4 24 (2)'!X67</f>
        <v>9633.9</v>
      </c>
      <c r="I72" s="628"/>
      <c r="J72" s="595">
        <f>'Прилож 4 24 (2)'!Z67</f>
        <v>0</v>
      </c>
      <c r="K72" s="595">
        <f>'Прилож 4 24 (2)'!AA67</f>
        <v>0</v>
      </c>
      <c r="L72" s="595">
        <f>'Прилож 4 24 (2)'!AB67</f>
        <v>0</v>
      </c>
      <c r="M72" s="596">
        <f t="shared" si="1"/>
        <v>0</v>
      </c>
      <c r="N72" s="595"/>
      <c r="O72" s="595"/>
      <c r="P72" s="595"/>
      <c r="Q72" s="621"/>
      <c r="R72" s="595"/>
      <c r="S72" s="595"/>
      <c r="T72" s="595"/>
      <c r="U72" s="596">
        <f t="shared" si="8"/>
        <v>9633.9</v>
      </c>
      <c r="V72" s="595">
        <f t="shared" si="2"/>
        <v>0</v>
      </c>
      <c r="W72" s="595">
        <f t="shared" si="3"/>
        <v>0</v>
      </c>
      <c r="X72" s="595">
        <f t="shared" si="4"/>
        <v>9633.9</v>
      </c>
      <c r="Y72" s="628"/>
      <c r="Z72" s="595">
        <f t="shared" si="5"/>
        <v>0</v>
      </c>
      <c r="AA72" s="595">
        <f t="shared" si="6"/>
        <v>0</v>
      </c>
      <c r="AB72" s="595">
        <f t="shared" si="7"/>
        <v>0</v>
      </c>
      <c r="AC72" s="622"/>
    </row>
    <row r="73" spans="1:29" ht="31.5" x14ac:dyDescent="0.2">
      <c r="A73" s="618" t="s">
        <v>1239</v>
      </c>
      <c r="B73" s="619" t="s">
        <v>729</v>
      </c>
      <c r="C73" s="620">
        <v>244</v>
      </c>
      <c r="D73" s="620">
        <v>223</v>
      </c>
      <c r="E73" s="596">
        <f t="shared" si="0"/>
        <v>6414.74</v>
      </c>
      <c r="F73" s="595">
        <f>'Прилож 4 24 (2)'!V68</f>
        <v>0</v>
      </c>
      <c r="G73" s="595">
        <f>'Прилож 4 24 (2)'!W71</f>
        <v>0</v>
      </c>
      <c r="H73" s="595">
        <f>'Прилож 4 24 (2)'!X68</f>
        <v>6414.74</v>
      </c>
      <c r="I73" s="628"/>
      <c r="J73" s="595">
        <f>'Прилож 4 24 (2)'!Z68</f>
        <v>0</v>
      </c>
      <c r="K73" s="595">
        <f>'Прилож 4 24 (2)'!AA68</f>
        <v>0</v>
      </c>
      <c r="L73" s="595">
        <f>'Прилож 4 24 (2)'!AB68</f>
        <v>0</v>
      </c>
      <c r="M73" s="596">
        <f t="shared" si="1"/>
        <v>0</v>
      </c>
      <c r="N73" s="595"/>
      <c r="O73" s="595"/>
      <c r="P73" s="595"/>
      <c r="Q73" s="621"/>
      <c r="R73" s="595"/>
      <c r="S73" s="595"/>
      <c r="T73" s="595"/>
      <c r="U73" s="596">
        <f t="shared" si="8"/>
        <v>6414.74</v>
      </c>
      <c r="V73" s="595">
        <f t="shared" si="2"/>
        <v>0</v>
      </c>
      <c r="W73" s="595">
        <f t="shared" si="3"/>
        <v>0</v>
      </c>
      <c r="X73" s="595">
        <f t="shared" si="4"/>
        <v>6414.74</v>
      </c>
      <c r="Y73" s="628"/>
      <c r="Z73" s="595">
        <f t="shared" si="5"/>
        <v>0</v>
      </c>
      <c r="AA73" s="595">
        <f t="shared" si="6"/>
        <v>0</v>
      </c>
      <c r="AB73" s="595">
        <f t="shared" si="7"/>
        <v>0</v>
      </c>
      <c r="AC73" s="622"/>
    </row>
    <row r="74" spans="1:29" ht="31.5" x14ac:dyDescent="0.2">
      <c r="A74" s="618" t="s">
        <v>1140</v>
      </c>
      <c r="B74" s="619" t="s">
        <v>729</v>
      </c>
      <c r="C74" s="620">
        <v>244</v>
      </c>
      <c r="D74" s="620">
        <v>223</v>
      </c>
      <c r="E74" s="596">
        <f t="shared" si="0"/>
        <v>30788.12</v>
      </c>
      <c r="F74" s="595">
        <f>'Прилож 4 24 (2)'!V69</f>
        <v>0</v>
      </c>
      <c r="G74" s="595">
        <f>'Прилож 4 24 (2)'!W72</f>
        <v>0</v>
      </c>
      <c r="H74" s="595">
        <f>'Прилож 4 24 (2)'!X69</f>
        <v>30788.12</v>
      </c>
      <c r="I74" s="628"/>
      <c r="J74" s="595">
        <f>'Прилож 4 24 (2)'!Z69</f>
        <v>0</v>
      </c>
      <c r="K74" s="595">
        <f>'Прилож 4 24 (2)'!AA69</f>
        <v>0</v>
      </c>
      <c r="L74" s="595">
        <f>'Прилож 4 24 (2)'!AB69</f>
        <v>0</v>
      </c>
      <c r="M74" s="596">
        <f t="shared" si="1"/>
        <v>0</v>
      </c>
      <c r="N74" s="595"/>
      <c r="O74" s="595"/>
      <c r="P74" s="595"/>
      <c r="Q74" s="621"/>
      <c r="R74" s="595"/>
      <c r="S74" s="595"/>
      <c r="T74" s="595"/>
      <c r="U74" s="596">
        <f t="shared" si="8"/>
        <v>30788.12</v>
      </c>
      <c r="V74" s="595">
        <f t="shared" si="2"/>
        <v>0</v>
      </c>
      <c r="W74" s="595">
        <f t="shared" si="3"/>
        <v>0</v>
      </c>
      <c r="X74" s="595">
        <f t="shared" si="4"/>
        <v>30788.12</v>
      </c>
      <c r="Y74" s="628"/>
      <c r="Z74" s="595">
        <f t="shared" si="5"/>
        <v>0</v>
      </c>
      <c r="AA74" s="595">
        <f t="shared" si="6"/>
        <v>0</v>
      </c>
      <c r="AB74" s="595">
        <f t="shared" si="7"/>
        <v>0</v>
      </c>
      <c r="AC74" s="622"/>
    </row>
    <row r="75" spans="1:29" ht="31.5" x14ac:dyDescent="0.2">
      <c r="A75" s="618" t="s">
        <v>1141</v>
      </c>
      <c r="B75" s="619" t="s">
        <v>729</v>
      </c>
      <c r="C75" s="620">
        <v>244</v>
      </c>
      <c r="D75" s="620">
        <v>223</v>
      </c>
      <c r="E75" s="596">
        <f t="shared" si="0"/>
        <v>28826.37</v>
      </c>
      <c r="F75" s="595">
        <f>'Прилож 4 24 (2)'!V70</f>
        <v>0</v>
      </c>
      <c r="G75" s="595">
        <f>'Прилож 4 24 (2)'!W73</f>
        <v>0</v>
      </c>
      <c r="H75" s="595">
        <f>'Прилож 4 24 (2)'!X70</f>
        <v>28826.37</v>
      </c>
      <c r="I75" s="628"/>
      <c r="J75" s="595">
        <f>'Прилож 4 24 (2)'!Z70</f>
        <v>0</v>
      </c>
      <c r="K75" s="595">
        <f>'Прилож 4 24 (2)'!AA70</f>
        <v>0</v>
      </c>
      <c r="L75" s="595">
        <f>'Прилож 4 24 (2)'!AB70</f>
        <v>0</v>
      </c>
      <c r="M75" s="596">
        <f t="shared" si="1"/>
        <v>0</v>
      </c>
      <c r="N75" s="595"/>
      <c r="O75" s="595"/>
      <c r="P75" s="595"/>
      <c r="Q75" s="621"/>
      <c r="R75" s="595"/>
      <c r="S75" s="595"/>
      <c r="T75" s="595"/>
      <c r="U75" s="596">
        <f t="shared" si="8"/>
        <v>28826.37</v>
      </c>
      <c r="V75" s="595">
        <f t="shared" si="2"/>
        <v>0</v>
      </c>
      <c r="W75" s="595">
        <f t="shared" si="3"/>
        <v>0</v>
      </c>
      <c r="X75" s="595">
        <f t="shared" si="4"/>
        <v>28826.37</v>
      </c>
      <c r="Y75" s="628"/>
      <c r="Z75" s="595">
        <f t="shared" si="5"/>
        <v>0</v>
      </c>
      <c r="AA75" s="595">
        <f t="shared" si="6"/>
        <v>0</v>
      </c>
      <c r="AB75" s="595">
        <f t="shared" si="7"/>
        <v>0</v>
      </c>
      <c r="AC75" s="622"/>
    </row>
    <row r="76" spans="1:29" ht="44.25" customHeight="1" x14ac:dyDescent="0.2">
      <c r="A76" s="618" t="s">
        <v>130</v>
      </c>
      <c r="B76" s="619" t="s">
        <v>729</v>
      </c>
      <c r="C76" s="620">
        <v>244</v>
      </c>
      <c r="D76" s="620">
        <v>223</v>
      </c>
      <c r="E76" s="596">
        <f t="shared" si="0"/>
        <v>38000</v>
      </c>
      <c r="F76" s="595">
        <f>'Прилож 4 24 (2)'!V71</f>
        <v>0</v>
      </c>
      <c r="G76" s="595">
        <f>'Прилож 4 24 (2)'!W74</f>
        <v>0</v>
      </c>
      <c r="H76" s="595">
        <f>'Прилож 4 24 (2)'!X71</f>
        <v>38000</v>
      </c>
      <c r="I76" s="628"/>
      <c r="J76" s="595">
        <f>'Прилож 4 24 (2)'!Z71</f>
        <v>0</v>
      </c>
      <c r="K76" s="595">
        <f>'Прилож 4 24 (2)'!AA71</f>
        <v>0</v>
      </c>
      <c r="L76" s="595">
        <f>'Прилож 4 24 (2)'!AB71</f>
        <v>0</v>
      </c>
      <c r="M76" s="596">
        <f t="shared" si="1"/>
        <v>0</v>
      </c>
      <c r="N76" s="595"/>
      <c r="O76" s="595"/>
      <c r="P76" s="595"/>
      <c r="Q76" s="621"/>
      <c r="R76" s="595"/>
      <c r="S76" s="595"/>
      <c r="T76" s="595"/>
      <c r="U76" s="596">
        <f t="shared" si="8"/>
        <v>38000</v>
      </c>
      <c r="V76" s="595">
        <f t="shared" si="2"/>
        <v>0</v>
      </c>
      <c r="W76" s="595">
        <f t="shared" si="3"/>
        <v>0</v>
      </c>
      <c r="X76" s="595">
        <f t="shared" si="4"/>
        <v>38000</v>
      </c>
      <c r="Y76" s="628"/>
      <c r="Z76" s="595">
        <f t="shared" si="5"/>
        <v>0</v>
      </c>
      <c r="AA76" s="595">
        <f t="shared" si="6"/>
        <v>0</v>
      </c>
      <c r="AB76" s="595">
        <f t="shared" si="7"/>
        <v>0</v>
      </c>
      <c r="AC76" s="622"/>
    </row>
    <row r="77" spans="1:29" s="637" customFormat="1" x14ac:dyDescent="0.2">
      <c r="A77" s="632" t="s">
        <v>1143</v>
      </c>
      <c r="B77" s="633" t="s">
        <v>729</v>
      </c>
      <c r="C77" s="634">
        <v>244</v>
      </c>
      <c r="D77" s="634">
        <v>223</v>
      </c>
      <c r="E77" s="597">
        <f>SUM(E68:E76)</f>
        <v>159463.62</v>
      </c>
      <c r="F77" s="595">
        <f>'Прилож 4 24 (2)'!V72</f>
        <v>0</v>
      </c>
      <c r="G77" s="595">
        <f>'Прилож 4 24 (2)'!W75</f>
        <v>0</v>
      </c>
      <c r="H77" s="595">
        <f>'Прилож 4 24 (2)'!X72</f>
        <v>159463.62</v>
      </c>
      <c r="I77" s="635"/>
      <c r="J77" s="595">
        <f>'Прилож 4 24 (2)'!Z72</f>
        <v>0</v>
      </c>
      <c r="K77" s="595">
        <f>'Прилож 4 24 (2)'!AA72</f>
        <v>0</v>
      </c>
      <c r="L77" s="595">
        <f>'Прилож 4 24 (2)'!AB72</f>
        <v>0</v>
      </c>
      <c r="M77" s="596">
        <f t="shared" si="1"/>
        <v>0</v>
      </c>
      <c r="N77" s="597">
        <f t="shared" ref="N77:U77" si="20">SUM(N68:N76)</f>
        <v>0</v>
      </c>
      <c r="O77" s="597">
        <f t="shared" si="20"/>
        <v>0</v>
      </c>
      <c r="P77" s="597">
        <f t="shared" si="20"/>
        <v>0</v>
      </c>
      <c r="Q77" s="635"/>
      <c r="R77" s="597">
        <f t="shared" si="20"/>
        <v>0</v>
      </c>
      <c r="S77" s="597">
        <f t="shared" si="20"/>
        <v>0</v>
      </c>
      <c r="T77" s="597">
        <f t="shared" si="20"/>
        <v>0</v>
      </c>
      <c r="U77" s="597">
        <f t="shared" si="20"/>
        <v>159463.62</v>
      </c>
      <c r="V77" s="595">
        <f t="shared" si="2"/>
        <v>0</v>
      </c>
      <c r="W77" s="595">
        <f t="shared" si="3"/>
        <v>0</v>
      </c>
      <c r="X77" s="595">
        <f t="shared" si="4"/>
        <v>159463.62</v>
      </c>
      <c r="Y77" s="635"/>
      <c r="Z77" s="595">
        <f t="shared" si="5"/>
        <v>0</v>
      </c>
      <c r="AA77" s="595">
        <f t="shared" si="6"/>
        <v>0</v>
      </c>
      <c r="AB77" s="595">
        <f t="shared" si="7"/>
        <v>0</v>
      </c>
      <c r="AC77" s="636"/>
    </row>
    <row r="78" spans="1:29" s="614" customFormat="1" x14ac:dyDescent="0.2">
      <c r="A78" s="630" t="s">
        <v>736</v>
      </c>
      <c r="B78" s="631"/>
      <c r="C78" s="624"/>
      <c r="D78" s="624"/>
      <c r="E78" s="596">
        <f>E77+E67</f>
        <v>531101.15</v>
      </c>
      <c r="F78" s="595">
        <f>'Прилож 4 24 (2)'!V73</f>
        <v>0</v>
      </c>
      <c r="G78" s="595">
        <f>'Прилож 4 24 (2)'!W76</f>
        <v>0</v>
      </c>
      <c r="H78" s="595">
        <f>'Прилож 4 24 (2)'!X73</f>
        <v>531101.15</v>
      </c>
      <c r="I78" s="626"/>
      <c r="J78" s="595">
        <f>'Прилож 4 24 (2)'!Z73</f>
        <v>0</v>
      </c>
      <c r="K78" s="595">
        <f>'Прилож 4 24 (2)'!AA73</f>
        <v>0</v>
      </c>
      <c r="L78" s="595">
        <f>'Прилож 4 24 (2)'!AB73</f>
        <v>0</v>
      </c>
      <c r="M78" s="596">
        <f t="shared" si="1"/>
        <v>0</v>
      </c>
      <c r="N78" s="596">
        <f t="shared" ref="N78:U78" si="21">N77+N67</f>
        <v>0</v>
      </c>
      <c r="O78" s="596">
        <f t="shared" si="21"/>
        <v>0</v>
      </c>
      <c r="P78" s="596">
        <f t="shared" si="21"/>
        <v>0</v>
      </c>
      <c r="Q78" s="626"/>
      <c r="R78" s="596">
        <f t="shared" si="21"/>
        <v>0</v>
      </c>
      <c r="S78" s="596">
        <f t="shared" si="21"/>
        <v>0</v>
      </c>
      <c r="T78" s="596">
        <f t="shared" si="21"/>
        <v>0</v>
      </c>
      <c r="U78" s="596">
        <f t="shared" si="21"/>
        <v>531101.15</v>
      </c>
      <c r="V78" s="595">
        <f t="shared" ref="V78:V145" si="22">F78+N78</f>
        <v>0</v>
      </c>
      <c r="W78" s="595">
        <f t="shared" ref="W78:W145" si="23">O78+G78</f>
        <v>0</v>
      </c>
      <c r="X78" s="595">
        <f t="shared" ref="X78:X145" si="24">P78+H78</f>
        <v>531101.15</v>
      </c>
      <c r="Y78" s="626"/>
      <c r="Z78" s="595">
        <f t="shared" ref="Z78:Z145" si="25">R78+J78</f>
        <v>0</v>
      </c>
      <c r="AA78" s="595">
        <f t="shared" ref="AA78:AA145" si="26">S78+K78</f>
        <v>0</v>
      </c>
      <c r="AB78" s="595">
        <f t="shared" ref="AB78:AB145" si="27">T78+L78</f>
        <v>0</v>
      </c>
      <c r="AC78" s="627"/>
    </row>
    <row r="79" spans="1:29" x14ac:dyDescent="0.2">
      <c r="A79" s="618" t="s">
        <v>131</v>
      </c>
      <c r="B79" s="619" t="s">
        <v>747</v>
      </c>
      <c r="C79" s="620">
        <v>247</v>
      </c>
      <c r="D79" s="620">
        <v>223</v>
      </c>
      <c r="E79" s="596">
        <f>L79+K79+J79+H79+G79+F79</f>
        <v>546600</v>
      </c>
      <c r="F79" s="595">
        <f>'Прилож 4 24 (2)'!V74</f>
        <v>0</v>
      </c>
      <c r="G79" s="595">
        <f>'Прилож 4 24 (2)'!W77</f>
        <v>0</v>
      </c>
      <c r="H79" s="595">
        <f>'Прилож 4 24 (2)'!X74</f>
        <v>546600</v>
      </c>
      <c r="I79" s="621"/>
      <c r="J79" s="595">
        <f>'Прилож 4 24 (2)'!Z74</f>
        <v>0</v>
      </c>
      <c r="K79" s="595">
        <f>'Прилож 4 24 (2)'!AA74</f>
        <v>0</v>
      </c>
      <c r="L79" s="595">
        <f>'Прилож 4 24 (2)'!AB74</f>
        <v>0</v>
      </c>
      <c r="M79" s="596">
        <f t="shared" si="1"/>
        <v>0</v>
      </c>
      <c r="N79" s="595"/>
      <c r="O79" s="595"/>
      <c r="P79" s="595"/>
      <c r="Q79" s="621"/>
      <c r="R79" s="595"/>
      <c r="S79" s="595"/>
      <c r="T79" s="595"/>
      <c r="U79" s="596">
        <f>V79+X79+Z79+AA79+AB79+W79</f>
        <v>546600</v>
      </c>
      <c r="V79" s="595">
        <f t="shared" si="22"/>
        <v>0</v>
      </c>
      <c r="W79" s="595">
        <f t="shared" si="23"/>
        <v>0</v>
      </c>
      <c r="X79" s="595">
        <f t="shared" si="24"/>
        <v>546600</v>
      </c>
      <c r="Y79" s="621"/>
      <c r="Z79" s="595">
        <f t="shared" si="25"/>
        <v>0</v>
      </c>
      <c r="AA79" s="595">
        <f t="shared" si="26"/>
        <v>0</v>
      </c>
      <c r="AB79" s="595">
        <f t="shared" si="27"/>
        <v>0</v>
      </c>
      <c r="AC79" s="622"/>
    </row>
    <row r="80" spans="1:29" ht="16.5" customHeight="1" x14ac:dyDescent="0.2">
      <c r="A80" s="618" t="s">
        <v>133</v>
      </c>
      <c r="B80" s="619" t="s">
        <v>747</v>
      </c>
      <c r="C80" s="620">
        <v>247</v>
      </c>
      <c r="D80" s="620">
        <v>223</v>
      </c>
      <c r="E80" s="596">
        <f t="shared" si="0"/>
        <v>465510.83</v>
      </c>
      <c r="F80" s="595">
        <f>'Прилож 4 24 (2)'!V75</f>
        <v>0</v>
      </c>
      <c r="G80" s="595">
        <f>'Прилож 4 24 (2)'!W78</f>
        <v>0</v>
      </c>
      <c r="H80" s="595">
        <f>'Прилож 4 24 (2)'!X75</f>
        <v>465510.83</v>
      </c>
      <c r="I80" s="621"/>
      <c r="J80" s="595">
        <f>'Прилож 4 24 (2)'!Z75</f>
        <v>0</v>
      </c>
      <c r="K80" s="595">
        <f>'Прилож 4 24 (2)'!AA75</f>
        <v>0</v>
      </c>
      <c r="L80" s="595">
        <f>'Прилож 4 24 (2)'!AB75</f>
        <v>0</v>
      </c>
      <c r="M80" s="596">
        <f t="shared" si="1"/>
        <v>0</v>
      </c>
      <c r="N80" s="595"/>
      <c r="O80" s="595"/>
      <c r="P80" s="595"/>
      <c r="Q80" s="621"/>
      <c r="R80" s="595"/>
      <c r="S80" s="595"/>
      <c r="T80" s="595"/>
      <c r="U80" s="596">
        <f t="shared" si="8"/>
        <v>465510.83</v>
      </c>
      <c r="V80" s="595">
        <f t="shared" si="22"/>
        <v>0</v>
      </c>
      <c r="W80" s="595">
        <f t="shared" si="23"/>
        <v>0</v>
      </c>
      <c r="X80" s="595">
        <f t="shared" si="24"/>
        <v>465510.83</v>
      </c>
      <c r="Y80" s="621"/>
      <c r="Z80" s="595">
        <f t="shared" si="25"/>
        <v>0</v>
      </c>
      <c r="AA80" s="595">
        <f t="shared" si="26"/>
        <v>0</v>
      </c>
      <c r="AB80" s="595">
        <f t="shared" si="27"/>
        <v>0</v>
      </c>
      <c r="AC80" s="622"/>
    </row>
    <row r="81" spans="1:29" ht="16.5" customHeight="1" x14ac:dyDescent="0.2">
      <c r="A81" s="618" t="s">
        <v>1260</v>
      </c>
      <c r="B81" s="619" t="s">
        <v>747</v>
      </c>
      <c r="C81" s="620">
        <v>247</v>
      </c>
      <c r="D81" s="620">
        <v>223</v>
      </c>
      <c r="E81" s="596">
        <f t="shared" si="0"/>
        <v>318968.24</v>
      </c>
      <c r="F81" s="595">
        <f>'Прилож 4 24 (2)'!V76</f>
        <v>0</v>
      </c>
      <c r="G81" s="595">
        <f>'Прилож 4 24 (2)'!W79</f>
        <v>0</v>
      </c>
      <c r="H81" s="595">
        <f>'Прилож 4 24 (2)'!X76</f>
        <v>318968.24</v>
      </c>
      <c r="I81" s="621"/>
      <c r="J81" s="595">
        <f>'Прилож 4 24 (2)'!Z76</f>
        <v>0</v>
      </c>
      <c r="K81" s="595">
        <f>'Прилож 4 24 (2)'!AA76</f>
        <v>0</v>
      </c>
      <c r="L81" s="595">
        <f>'Прилож 4 24 (2)'!AB76</f>
        <v>0</v>
      </c>
      <c r="M81" s="596">
        <f t="shared" ref="M81:M148" si="28">N81+P81+R81+S81+T81+O81</f>
        <v>0</v>
      </c>
      <c r="N81" s="595"/>
      <c r="O81" s="595"/>
      <c r="P81" s="595"/>
      <c r="Q81" s="621"/>
      <c r="R81" s="595"/>
      <c r="S81" s="595"/>
      <c r="T81" s="595"/>
      <c r="U81" s="596">
        <f t="shared" si="8"/>
        <v>318968.24</v>
      </c>
      <c r="V81" s="595">
        <f t="shared" si="22"/>
        <v>0</v>
      </c>
      <c r="W81" s="595">
        <f t="shared" si="23"/>
        <v>0</v>
      </c>
      <c r="X81" s="595">
        <f t="shared" si="24"/>
        <v>318968.24</v>
      </c>
      <c r="Y81" s="621"/>
      <c r="Z81" s="595">
        <f t="shared" si="25"/>
        <v>0</v>
      </c>
      <c r="AA81" s="595">
        <f t="shared" si="26"/>
        <v>0</v>
      </c>
      <c r="AB81" s="595">
        <f t="shared" si="27"/>
        <v>0</v>
      </c>
      <c r="AC81" s="622"/>
    </row>
    <row r="82" spans="1:29" ht="31.5" x14ac:dyDescent="0.2">
      <c r="A82" s="618" t="s">
        <v>1240</v>
      </c>
      <c r="B82" s="619" t="s">
        <v>747</v>
      </c>
      <c r="C82" s="620">
        <v>247</v>
      </c>
      <c r="D82" s="620">
        <v>223</v>
      </c>
      <c r="E82" s="596">
        <f t="shared" si="0"/>
        <v>63447.51</v>
      </c>
      <c r="F82" s="595">
        <f>'Прилож 4 24 (2)'!V77</f>
        <v>0</v>
      </c>
      <c r="G82" s="595">
        <f>'Прилож 4 24 (2)'!W80</f>
        <v>0</v>
      </c>
      <c r="H82" s="595">
        <f>'Прилож 4 24 (2)'!X77</f>
        <v>63447.51</v>
      </c>
      <c r="I82" s="621"/>
      <c r="J82" s="595">
        <f>'Прилож 4 24 (2)'!Z77</f>
        <v>0</v>
      </c>
      <c r="K82" s="595">
        <f>'Прилож 4 24 (2)'!AA77</f>
        <v>0</v>
      </c>
      <c r="L82" s="595">
        <f>'Прилож 4 24 (2)'!AB77</f>
        <v>0</v>
      </c>
      <c r="M82" s="596">
        <f t="shared" si="28"/>
        <v>0</v>
      </c>
      <c r="N82" s="595"/>
      <c r="O82" s="595"/>
      <c r="P82" s="595"/>
      <c r="Q82" s="621"/>
      <c r="R82" s="595"/>
      <c r="S82" s="595"/>
      <c r="T82" s="595"/>
      <c r="U82" s="596">
        <f t="shared" si="8"/>
        <v>63447.51</v>
      </c>
      <c r="V82" s="595">
        <f t="shared" si="22"/>
        <v>0</v>
      </c>
      <c r="W82" s="595">
        <f t="shared" si="23"/>
        <v>0</v>
      </c>
      <c r="X82" s="595">
        <f t="shared" si="24"/>
        <v>63447.51</v>
      </c>
      <c r="Y82" s="621"/>
      <c r="Z82" s="595">
        <f t="shared" si="25"/>
        <v>0</v>
      </c>
      <c r="AA82" s="595">
        <f t="shared" si="26"/>
        <v>0</v>
      </c>
      <c r="AB82" s="595">
        <f t="shared" si="27"/>
        <v>0</v>
      </c>
      <c r="AC82" s="622"/>
    </row>
    <row r="83" spans="1:29" ht="31.5" x14ac:dyDescent="0.2">
      <c r="A83" s="618" t="s">
        <v>1241</v>
      </c>
      <c r="B83" s="619" t="s">
        <v>747</v>
      </c>
      <c r="C83" s="620">
        <v>247</v>
      </c>
      <c r="D83" s="620">
        <v>223</v>
      </c>
      <c r="E83" s="596">
        <f t="shared" si="0"/>
        <v>52047.07</v>
      </c>
      <c r="F83" s="595">
        <f>'Прилож 4 24 (2)'!V78</f>
        <v>0</v>
      </c>
      <c r="G83" s="595">
        <f>'Прилож 4 24 (2)'!W81</f>
        <v>0</v>
      </c>
      <c r="H83" s="595">
        <f>'Прилож 4 24 (2)'!X78</f>
        <v>52047.07</v>
      </c>
      <c r="I83" s="621"/>
      <c r="J83" s="595">
        <f>'Прилож 4 24 (2)'!Z78</f>
        <v>0</v>
      </c>
      <c r="K83" s="595">
        <f>'Прилож 4 24 (2)'!AA78</f>
        <v>0</v>
      </c>
      <c r="L83" s="595">
        <f>'Прилож 4 24 (2)'!AB78</f>
        <v>0</v>
      </c>
      <c r="M83" s="596">
        <f t="shared" si="28"/>
        <v>0</v>
      </c>
      <c r="N83" s="595"/>
      <c r="O83" s="595"/>
      <c r="P83" s="595"/>
      <c r="Q83" s="621"/>
      <c r="R83" s="595"/>
      <c r="S83" s="595"/>
      <c r="T83" s="595"/>
      <c r="U83" s="596">
        <f t="shared" si="8"/>
        <v>52047.07</v>
      </c>
      <c r="V83" s="595">
        <f t="shared" si="22"/>
        <v>0</v>
      </c>
      <c r="W83" s="595">
        <f t="shared" si="23"/>
        <v>0</v>
      </c>
      <c r="X83" s="595">
        <f t="shared" si="24"/>
        <v>52047.07</v>
      </c>
      <c r="Y83" s="621"/>
      <c r="Z83" s="595">
        <f t="shared" si="25"/>
        <v>0</v>
      </c>
      <c r="AA83" s="595">
        <f t="shared" si="26"/>
        <v>0</v>
      </c>
      <c r="AB83" s="595">
        <f t="shared" si="27"/>
        <v>0</v>
      </c>
      <c r="AC83" s="622"/>
    </row>
    <row r="84" spans="1:29" ht="31.5" x14ac:dyDescent="0.2">
      <c r="A84" s="618" t="s">
        <v>1242</v>
      </c>
      <c r="B84" s="619" t="s">
        <v>747</v>
      </c>
      <c r="C84" s="620">
        <v>247</v>
      </c>
      <c r="D84" s="620">
        <v>223</v>
      </c>
      <c r="E84" s="596">
        <f t="shared" si="0"/>
        <v>40719.379999999997</v>
      </c>
      <c r="F84" s="595">
        <f>'Прилож 4 24 (2)'!V79</f>
        <v>0</v>
      </c>
      <c r="G84" s="595">
        <f>'Прилож 4 24 (2)'!W82</f>
        <v>0</v>
      </c>
      <c r="H84" s="595">
        <f>'Прилож 4 24 (2)'!X79</f>
        <v>40719.379999999997</v>
      </c>
      <c r="I84" s="621"/>
      <c r="J84" s="595">
        <f>'Прилож 4 24 (2)'!Z79</f>
        <v>0</v>
      </c>
      <c r="K84" s="595">
        <f>'Прилож 4 24 (2)'!AA79</f>
        <v>0</v>
      </c>
      <c r="L84" s="595">
        <f>'Прилож 4 24 (2)'!AB79</f>
        <v>0</v>
      </c>
      <c r="M84" s="596">
        <f t="shared" si="28"/>
        <v>0</v>
      </c>
      <c r="N84" s="595"/>
      <c r="O84" s="595"/>
      <c r="P84" s="595"/>
      <c r="Q84" s="621"/>
      <c r="R84" s="595"/>
      <c r="S84" s="595"/>
      <c r="T84" s="595"/>
      <c r="U84" s="596">
        <f t="shared" si="8"/>
        <v>40719.379999999997</v>
      </c>
      <c r="V84" s="595">
        <f t="shared" si="22"/>
        <v>0</v>
      </c>
      <c r="W84" s="595">
        <f t="shared" si="23"/>
        <v>0</v>
      </c>
      <c r="X84" s="595">
        <f t="shared" si="24"/>
        <v>40719.379999999997</v>
      </c>
      <c r="Y84" s="621"/>
      <c r="Z84" s="595">
        <f t="shared" si="25"/>
        <v>0</v>
      </c>
      <c r="AA84" s="595">
        <f t="shared" si="26"/>
        <v>0</v>
      </c>
      <c r="AB84" s="595">
        <f t="shared" si="27"/>
        <v>0</v>
      </c>
      <c r="AC84" s="622"/>
    </row>
    <row r="85" spans="1:29" ht="31.5" x14ac:dyDescent="0.2">
      <c r="A85" s="618" t="s">
        <v>1242</v>
      </c>
      <c r="B85" s="619" t="s">
        <v>747</v>
      </c>
      <c r="C85" s="620">
        <v>247</v>
      </c>
      <c r="D85" s="620">
        <v>223</v>
      </c>
      <c r="E85" s="596">
        <f t="shared" si="0"/>
        <v>52360.07</v>
      </c>
      <c r="F85" s="595">
        <f>'Прилож 4 24 (2)'!V80</f>
        <v>0</v>
      </c>
      <c r="G85" s="595">
        <f>'Прилож 4 24 (2)'!W83</f>
        <v>0</v>
      </c>
      <c r="H85" s="595">
        <f>'Прилож 4 24 (2)'!X80</f>
        <v>52360.07</v>
      </c>
      <c r="I85" s="621"/>
      <c r="J85" s="595">
        <f>'Прилож 4 24 (2)'!Z80</f>
        <v>0</v>
      </c>
      <c r="K85" s="595">
        <f>'Прилож 4 24 (2)'!AA80</f>
        <v>0</v>
      </c>
      <c r="L85" s="595">
        <f>'Прилож 4 24 (2)'!AB80</f>
        <v>0</v>
      </c>
      <c r="M85" s="596">
        <f t="shared" si="28"/>
        <v>0</v>
      </c>
      <c r="N85" s="595"/>
      <c r="O85" s="595"/>
      <c r="P85" s="595"/>
      <c r="Q85" s="621"/>
      <c r="R85" s="595"/>
      <c r="S85" s="595"/>
      <c r="T85" s="595"/>
      <c r="U85" s="596">
        <f t="shared" si="8"/>
        <v>52360.07</v>
      </c>
      <c r="V85" s="595">
        <f t="shared" si="22"/>
        <v>0</v>
      </c>
      <c r="W85" s="595">
        <f t="shared" si="23"/>
        <v>0</v>
      </c>
      <c r="X85" s="595">
        <f t="shared" si="24"/>
        <v>52360.07</v>
      </c>
      <c r="Y85" s="621"/>
      <c r="Z85" s="595">
        <f t="shared" si="25"/>
        <v>0</v>
      </c>
      <c r="AA85" s="595">
        <f t="shared" si="26"/>
        <v>0</v>
      </c>
      <c r="AB85" s="595">
        <f t="shared" si="27"/>
        <v>0</v>
      </c>
      <c r="AC85" s="622"/>
    </row>
    <row r="86" spans="1:29" s="637" customFormat="1" x14ac:dyDescent="0.2">
      <c r="A86" s="632" t="s">
        <v>1143</v>
      </c>
      <c r="B86" s="633" t="s">
        <v>747</v>
      </c>
      <c r="C86" s="634">
        <v>247</v>
      </c>
      <c r="D86" s="634">
        <v>223</v>
      </c>
      <c r="E86" s="597">
        <f>SUM(E79:E85)</f>
        <v>1539653.1</v>
      </c>
      <c r="F86" s="595">
        <f>'Прилож 4 24 (2)'!V81</f>
        <v>0</v>
      </c>
      <c r="G86" s="595">
        <f>'Прилож 4 24 (2)'!W84</f>
        <v>0</v>
      </c>
      <c r="H86" s="595">
        <f>'Прилож 4 24 (2)'!X81</f>
        <v>1539653.1</v>
      </c>
      <c r="I86" s="635"/>
      <c r="J86" s="595">
        <f>'Прилож 4 24 (2)'!Z81</f>
        <v>0</v>
      </c>
      <c r="K86" s="595">
        <f>'Прилож 4 24 (2)'!AA81</f>
        <v>0</v>
      </c>
      <c r="L86" s="595">
        <f>'Прилож 4 24 (2)'!AB81</f>
        <v>0</v>
      </c>
      <c r="M86" s="596">
        <f t="shared" si="28"/>
        <v>0</v>
      </c>
      <c r="N86" s="597">
        <f t="shared" ref="N86:U86" si="29">SUM(N79:N85)</f>
        <v>0</v>
      </c>
      <c r="O86" s="597">
        <f t="shared" si="29"/>
        <v>0</v>
      </c>
      <c r="P86" s="597">
        <f t="shared" si="29"/>
        <v>0</v>
      </c>
      <c r="Q86" s="635"/>
      <c r="R86" s="597">
        <f t="shared" si="29"/>
        <v>0</v>
      </c>
      <c r="S86" s="597">
        <f t="shared" si="29"/>
        <v>0</v>
      </c>
      <c r="T86" s="597">
        <f t="shared" si="29"/>
        <v>0</v>
      </c>
      <c r="U86" s="597">
        <f t="shared" si="29"/>
        <v>1539653.1</v>
      </c>
      <c r="V86" s="595">
        <f t="shared" si="22"/>
        <v>0</v>
      </c>
      <c r="W86" s="595">
        <f t="shared" si="23"/>
        <v>0</v>
      </c>
      <c r="X86" s="595">
        <f t="shared" si="24"/>
        <v>1539653.1</v>
      </c>
      <c r="Y86" s="635"/>
      <c r="Z86" s="595">
        <f t="shared" si="25"/>
        <v>0</v>
      </c>
      <c r="AA86" s="595">
        <f t="shared" si="26"/>
        <v>0</v>
      </c>
      <c r="AB86" s="595">
        <f t="shared" si="27"/>
        <v>0</v>
      </c>
      <c r="AC86" s="636"/>
    </row>
    <row r="87" spans="1:29" x14ac:dyDescent="0.2">
      <c r="A87" s="618" t="s">
        <v>131</v>
      </c>
      <c r="B87" s="619" t="s">
        <v>729</v>
      </c>
      <c r="C87" s="620">
        <v>247</v>
      </c>
      <c r="D87" s="620">
        <v>223</v>
      </c>
      <c r="E87" s="596">
        <f>L87+K87+J87+H87+G87+F87</f>
        <v>446000</v>
      </c>
      <c r="F87" s="595">
        <f>'Прилож 4 24 (2)'!V82</f>
        <v>0</v>
      </c>
      <c r="G87" s="595">
        <f>'Прилож 4 24 (2)'!W85</f>
        <v>0</v>
      </c>
      <c r="H87" s="595">
        <f>'Прилож 4 24 (2)'!X82</f>
        <v>446000</v>
      </c>
      <c r="I87" s="621"/>
      <c r="J87" s="595">
        <f>'Прилож 4 24 (2)'!Z82</f>
        <v>0</v>
      </c>
      <c r="K87" s="595">
        <f>'Прилож 4 24 (2)'!AA82</f>
        <v>0</v>
      </c>
      <c r="L87" s="595">
        <f>'Прилож 4 24 (2)'!AB82</f>
        <v>0</v>
      </c>
      <c r="M87" s="596">
        <f t="shared" si="28"/>
        <v>0</v>
      </c>
      <c r="N87" s="595"/>
      <c r="O87" s="595"/>
      <c r="P87" s="595"/>
      <c r="Q87" s="621"/>
      <c r="R87" s="595"/>
      <c r="S87" s="595"/>
      <c r="T87" s="595"/>
      <c r="U87" s="596">
        <f>V87+X87+Z87+AA87+AB87+W87</f>
        <v>446000</v>
      </c>
      <c r="V87" s="595">
        <f t="shared" si="22"/>
        <v>0</v>
      </c>
      <c r="W87" s="595">
        <f t="shared" si="23"/>
        <v>0</v>
      </c>
      <c r="X87" s="595">
        <f t="shared" si="24"/>
        <v>446000</v>
      </c>
      <c r="Y87" s="621"/>
      <c r="Z87" s="595">
        <f t="shared" si="25"/>
        <v>0</v>
      </c>
      <c r="AA87" s="595">
        <f t="shared" si="26"/>
        <v>0</v>
      </c>
      <c r="AB87" s="595">
        <f t="shared" si="27"/>
        <v>0</v>
      </c>
      <c r="AC87" s="622"/>
    </row>
    <row r="88" spans="1:29" ht="16.5" customHeight="1" x14ac:dyDescent="0.2">
      <c r="A88" s="618" t="s">
        <v>133</v>
      </c>
      <c r="B88" s="619" t="s">
        <v>729</v>
      </c>
      <c r="C88" s="620">
        <v>247</v>
      </c>
      <c r="D88" s="620">
        <v>223</v>
      </c>
      <c r="E88" s="596">
        <f t="shared" ref="E88:E93" si="30">L88+K88+J88+H88+G88+F88</f>
        <v>1088533.3600000001</v>
      </c>
      <c r="F88" s="595">
        <f>'Прилож 4 24 (2)'!V83</f>
        <v>0</v>
      </c>
      <c r="G88" s="595">
        <f>'Прилож 4 24 (2)'!W86</f>
        <v>0</v>
      </c>
      <c r="H88" s="595">
        <f>'Прилож 4 24 (2)'!X83</f>
        <v>1088533.3600000001</v>
      </c>
      <c r="I88" s="621"/>
      <c r="J88" s="595">
        <f>'Прилож 4 24 (2)'!Z83</f>
        <v>0</v>
      </c>
      <c r="K88" s="595">
        <f>'Прилож 4 24 (2)'!AA83</f>
        <v>0</v>
      </c>
      <c r="L88" s="595">
        <f>'Прилож 4 24 (2)'!AB83</f>
        <v>0</v>
      </c>
      <c r="M88" s="596">
        <f t="shared" si="28"/>
        <v>0</v>
      </c>
      <c r="N88" s="595"/>
      <c r="O88" s="595"/>
      <c r="P88" s="595"/>
      <c r="Q88" s="621"/>
      <c r="R88" s="595"/>
      <c r="S88" s="595"/>
      <c r="T88" s="595"/>
      <c r="U88" s="596">
        <f t="shared" ref="U88:U93" si="31">V88+X88+Z88+AA88+AB88+W88</f>
        <v>1088533.3600000001</v>
      </c>
      <c r="V88" s="595">
        <f t="shared" si="22"/>
        <v>0</v>
      </c>
      <c r="W88" s="595">
        <f t="shared" si="23"/>
        <v>0</v>
      </c>
      <c r="X88" s="595">
        <f t="shared" si="24"/>
        <v>1088533.3600000001</v>
      </c>
      <c r="Y88" s="621"/>
      <c r="Z88" s="595">
        <f t="shared" si="25"/>
        <v>0</v>
      </c>
      <c r="AA88" s="595">
        <f t="shared" si="26"/>
        <v>0</v>
      </c>
      <c r="AB88" s="595">
        <f t="shared" si="27"/>
        <v>0</v>
      </c>
      <c r="AC88" s="622"/>
    </row>
    <row r="89" spans="1:29" ht="16.5" customHeight="1" x14ac:dyDescent="0.2">
      <c r="A89" s="618" t="s">
        <v>1260</v>
      </c>
      <c r="B89" s="619" t="s">
        <v>729</v>
      </c>
      <c r="C89" s="620">
        <v>247</v>
      </c>
      <c r="D89" s="620">
        <v>223</v>
      </c>
      <c r="E89" s="596">
        <f t="shared" si="30"/>
        <v>618609.81999999995</v>
      </c>
      <c r="F89" s="595">
        <f>'Прилож 4 24 (2)'!V84</f>
        <v>0</v>
      </c>
      <c r="G89" s="595">
        <f>'Прилож 4 24 (2)'!W87</f>
        <v>0</v>
      </c>
      <c r="H89" s="595">
        <f>'Прилож 4 24 (2)'!X84</f>
        <v>618609.81999999995</v>
      </c>
      <c r="I89" s="621"/>
      <c r="J89" s="595">
        <f>'Прилож 4 24 (2)'!Z84</f>
        <v>0</v>
      </c>
      <c r="K89" s="595">
        <f>'Прилож 4 24 (2)'!AA84</f>
        <v>0</v>
      </c>
      <c r="L89" s="595">
        <f>'Прилож 4 24 (2)'!AB84</f>
        <v>0</v>
      </c>
      <c r="M89" s="596">
        <f t="shared" si="28"/>
        <v>0</v>
      </c>
      <c r="N89" s="595"/>
      <c r="O89" s="595"/>
      <c r="P89" s="595"/>
      <c r="Q89" s="621"/>
      <c r="R89" s="595"/>
      <c r="S89" s="595"/>
      <c r="T89" s="595"/>
      <c r="U89" s="596">
        <f>V89+X89+Z89+AA89+AB89+W89</f>
        <v>618609.81999999995</v>
      </c>
      <c r="V89" s="595">
        <f t="shared" si="22"/>
        <v>0</v>
      </c>
      <c r="W89" s="595">
        <f t="shared" si="23"/>
        <v>0</v>
      </c>
      <c r="X89" s="595">
        <f t="shared" si="24"/>
        <v>618609.81999999995</v>
      </c>
      <c r="Y89" s="621"/>
      <c r="Z89" s="595">
        <f t="shared" si="25"/>
        <v>0</v>
      </c>
      <c r="AA89" s="595">
        <f t="shared" si="26"/>
        <v>0</v>
      </c>
      <c r="AB89" s="595">
        <f t="shared" si="27"/>
        <v>0</v>
      </c>
      <c r="AC89" s="622"/>
    </row>
    <row r="90" spans="1:29" ht="31.5" x14ac:dyDescent="0.2">
      <c r="A90" s="618" t="s">
        <v>1240</v>
      </c>
      <c r="B90" s="619" t="s">
        <v>729</v>
      </c>
      <c r="C90" s="620">
        <v>247</v>
      </c>
      <c r="D90" s="620">
        <v>223</v>
      </c>
      <c r="E90" s="596">
        <f t="shared" si="30"/>
        <v>15346.51</v>
      </c>
      <c r="F90" s="595">
        <f>'Прилож 4 24 (2)'!V85</f>
        <v>0</v>
      </c>
      <c r="G90" s="595">
        <f>'Прилож 4 24 (2)'!W88</f>
        <v>0</v>
      </c>
      <c r="H90" s="595">
        <f>'Прилож 4 24 (2)'!X85</f>
        <v>15346.51</v>
      </c>
      <c r="I90" s="621"/>
      <c r="J90" s="595">
        <f>'Прилож 4 24 (2)'!Z85</f>
        <v>0</v>
      </c>
      <c r="K90" s="595">
        <f>'Прилож 4 24 (2)'!AA85</f>
        <v>0</v>
      </c>
      <c r="L90" s="595">
        <f>'Прилож 4 24 (2)'!AB85</f>
        <v>0</v>
      </c>
      <c r="M90" s="596">
        <f t="shared" si="28"/>
        <v>0</v>
      </c>
      <c r="N90" s="595"/>
      <c r="O90" s="595"/>
      <c r="P90" s="595"/>
      <c r="Q90" s="621"/>
      <c r="R90" s="595"/>
      <c r="S90" s="595"/>
      <c r="T90" s="595"/>
      <c r="U90" s="596">
        <f>V90+X90+Z90+AA90+AB90+W90</f>
        <v>15346.51</v>
      </c>
      <c r="V90" s="595">
        <f t="shared" si="22"/>
        <v>0</v>
      </c>
      <c r="W90" s="595">
        <f t="shared" si="23"/>
        <v>0</v>
      </c>
      <c r="X90" s="595">
        <f t="shared" si="24"/>
        <v>15346.51</v>
      </c>
      <c r="Y90" s="621"/>
      <c r="Z90" s="595">
        <f t="shared" si="25"/>
        <v>0</v>
      </c>
      <c r="AA90" s="595">
        <f t="shared" si="26"/>
        <v>0</v>
      </c>
      <c r="AB90" s="595">
        <f t="shared" si="27"/>
        <v>0</v>
      </c>
      <c r="AC90" s="622"/>
    </row>
    <row r="91" spans="1:29" ht="31.5" x14ac:dyDescent="0.2">
      <c r="A91" s="618" t="s">
        <v>1241</v>
      </c>
      <c r="B91" s="619" t="s">
        <v>729</v>
      </c>
      <c r="C91" s="620">
        <v>247</v>
      </c>
      <c r="D91" s="620">
        <v>223</v>
      </c>
      <c r="E91" s="596">
        <f t="shared" si="30"/>
        <v>13515.22</v>
      </c>
      <c r="F91" s="595">
        <f>'Прилож 4 24 (2)'!V86</f>
        <v>0</v>
      </c>
      <c r="G91" s="595">
        <f>'Прилож 4 24 (2)'!W89</f>
        <v>0</v>
      </c>
      <c r="H91" s="595">
        <f>'Прилож 4 24 (2)'!X86</f>
        <v>13515.22</v>
      </c>
      <c r="I91" s="621"/>
      <c r="J91" s="595">
        <f>'Прилож 4 24 (2)'!Z86</f>
        <v>0</v>
      </c>
      <c r="K91" s="595">
        <f>'Прилож 4 24 (2)'!AA86</f>
        <v>0</v>
      </c>
      <c r="L91" s="595">
        <f>'Прилож 4 24 (2)'!AB86</f>
        <v>0</v>
      </c>
      <c r="M91" s="596">
        <f t="shared" si="28"/>
        <v>0</v>
      </c>
      <c r="N91" s="595"/>
      <c r="O91" s="595"/>
      <c r="P91" s="595"/>
      <c r="Q91" s="621"/>
      <c r="R91" s="595"/>
      <c r="S91" s="595"/>
      <c r="T91" s="595"/>
      <c r="U91" s="596">
        <f t="shared" si="31"/>
        <v>13515.22</v>
      </c>
      <c r="V91" s="595">
        <f t="shared" si="22"/>
        <v>0</v>
      </c>
      <c r="W91" s="595">
        <f t="shared" si="23"/>
        <v>0</v>
      </c>
      <c r="X91" s="595">
        <f t="shared" si="24"/>
        <v>13515.22</v>
      </c>
      <c r="Y91" s="621"/>
      <c r="Z91" s="595">
        <f t="shared" si="25"/>
        <v>0</v>
      </c>
      <c r="AA91" s="595">
        <f t="shared" si="26"/>
        <v>0</v>
      </c>
      <c r="AB91" s="595">
        <f t="shared" si="27"/>
        <v>0</v>
      </c>
      <c r="AC91" s="622"/>
    </row>
    <row r="92" spans="1:29" ht="31.5" x14ac:dyDescent="0.2">
      <c r="A92" s="618" t="s">
        <v>1242</v>
      </c>
      <c r="B92" s="619" t="s">
        <v>729</v>
      </c>
      <c r="C92" s="620">
        <v>247</v>
      </c>
      <c r="D92" s="620">
        <v>223</v>
      </c>
      <c r="E92" s="596">
        <f t="shared" si="30"/>
        <v>9599.83</v>
      </c>
      <c r="F92" s="595">
        <f>'Прилож 4 24 (2)'!V87</f>
        <v>0</v>
      </c>
      <c r="G92" s="595">
        <f>'Прилож 4 24 (2)'!W90</f>
        <v>0</v>
      </c>
      <c r="H92" s="595">
        <f>'Прилож 4 24 (2)'!X87</f>
        <v>9599.83</v>
      </c>
      <c r="I92" s="621"/>
      <c r="J92" s="595">
        <f>'Прилож 4 24 (2)'!Z87</f>
        <v>0</v>
      </c>
      <c r="K92" s="595">
        <f>'Прилож 4 24 (2)'!AA87</f>
        <v>0</v>
      </c>
      <c r="L92" s="595">
        <f>'Прилож 4 24 (2)'!AB87</f>
        <v>0</v>
      </c>
      <c r="M92" s="596">
        <f t="shared" si="28"/>
        <v>0</v>
      </c>
      <c r="N92" s="595"/>
      <c r="O92" s="595"/>
      <c r="P92" s="595"/>
      <c r="Q92" s="621"/>
      <c r="R92" s="595"/>
      <c r="S92" s="595"/>
      <c r="T92" s="595"/>
      <c r="U92" s="596">
        <f t="shared" si="31"/>
        <v>9599.83</v>
      </c>
      <c r="V92" s="595">
        <f t="shared" si="22"/>
        <v>0</v>
      </c>
      <c r="W92" s="595">
        <f t="shared" si="23"/>
        <v>0</v>
      </c>
      <c r="X92" s="595">
        <f t="shared" si="24"/>
        <v>9599.83</v>
      </c>
      <c r="Y92" s="621"/>
      <c r="Z92" s="595">
        <f t="shared" si="25"/>
        <v>0</v>
      </c>
      <c r="AA92" s="595">
        <f t="shared" si="26"/>
        <v>0</v>
      </c>
      <c r="AB92" s="595">
        <f t="shared" si="27"/>
        <v>0</v>
      </c>
      <c r="AC92" s="622"/>
    </row>
    <row r="93" spans="1:29" ht="31.5" x14ac:dyDescent="0.2">
      <c r="A93" s="618" t="s">
        <v>1242</v>
      </c>
      <c r="B93" s="619" t="s">
        <v>729</v>
      </c>
      <c r="C93" s="620">
        <v>247</v>
      </c>
      <c r="D93" s="620">
        <v>223</v>
      </c>
      <c r="E93" s="596">
        <f t="shared" si="30"/>
        <v>10621.01</v>
      </c>
      <c r="F93" s="595">
        <f>'Прилож 4 24 (2)'!V88</f>
        <v>0</v>
      </c>
      <c r="G93" s="595">
        <f>'Прилож 4 24 (2)'!W91</f>
        <v>0</v>
      </c>
      <c r="H93" s="595">
        <f>'Прилож 4 24 (2)'!X88</f>
        <v>10621.01</v>
      </c>
      <c r="I93" s="621"/>
      <c r="J93" s="595">
        <f>'Прилож 4 24 (2)'!Z88</f>
        <v>0</v>
      </c>
      <c r="K93" s="595">
        <f>'Прилож 4 24 (2)'!AA88</f>
        <v>0</v>
      </c>
      <c r="L93" s="595">
        <f>'Прилож 4 24 (2)'!AB88</f>
        <v>0</v>
      </c>
      <c r="M93" s="596">
        <f t="shared" si="28"/>
        <v>0</v>
      </c>
      <c r="N93" s="595"/>
      <c r="O93" s="595"/>
      <c r="P93" s="595"/>
      <c r="Q93" s="621"/>
      <c r="R93" s="595"/>
      <c r="S93" s="595"/>
      <c r="T93" s="595"/>
      <c r="U93" s="596">
        <f t="shared" si="31"/>
        <v>10621.01</v>
      </c>
      <c r="V93" s="595">
        <f t="shared" si="22"/>
        <v>0</v>
      </c>
      <c r="W93" s="595">
        <f t="shared" si="23"/>
        <v>0</v>
      </c>
      <c r="X93" s="595">
        <f t="shared" si="24"/>
        <v>10621.01</v>
      </c>
      <c r="Y93" s="621"/>
      <c r="Z93" s="595">
        <f t="shared" si="25"/>
        <v>0</v>
      </c>
      <c r="AA93" s="595">
        <f t="shared" si="26"/>
        <v>0</v>
      </c>
      <c r="AB93" s="595">
        <f t="shared" si="27"/>
        <v>0</v>
      </c>
      <c r="AC93" s="622"/>
    </row>
    <row r="94" spans="1:29" s="637" customFormat="1" x14ac:dyDescent="0.2">
      <c r="A94" s="632" t="s">
        <v>1143</v>
      </c>
      <c r="B94" s="633" t="s">
        <v>729</v>
      </c>
      <c r="C94" s="634">
        <v>247</v>
      </c>
      <c r="D94" s="634">
        <v>223</v>
      </c>
      <c r="E94" s="597">
        <f>SUM(E87:E93)</f>
        <v>2202225.75</v>
      </c>
      <c r="F94" s="595">
        <f>'Прилож 4 24 (2)'!V89</f>
        <v>0</v>
      </c>
      <c r="G94" s="595">
        <f>'Прилож 4 24 (2)'!W92</f>
        <v>0</v>
      </c>
      <c r="H94" s="595">
        <f>'Прилож 4 24 (2)'!X89</f>
        <v>2202225.75</v>
      </c>
      <c r="I94" s="635"/>
      <c r="J94" s="595">
        <f>'Прилож 4 24 (2)'!Z89</f>
        <v>0</v>
      </c>
      <c r="K94" s="595">
        <f>'Прилож 4 24 (2)'!AA89</f>
        <v>0</v>
      </c>
      <c r="L94" s="595">
        <f>'Прилож 4 24 (2)'!AB89</f>
        <v>0</v>
      </c>
      <c r="M94" s="596">
        <f t="shared" si="28"/>
        <v>0</v>
      </c>
      <c r="N94" s="597">
        <f t="shared" ref="N94:P94" si="32">SUM(N87:N93)</f>
        <v>0</v>
      </c>
      <c r="O94" s="597">
        <f t="shared" si="32"/>
        <v>0</v>
      </c>
      <c r="P94" s="597">
        <f t="shared" si="32"/>
        <v>0</v>
      </c>
      <c r="Q94" s="635"/>
      <c r="R94" s="597">
        <f t="shared" ref="R94:T94" si="33">SUM(R87:R93)</f>
        <v>0</v>
      </c>
      <c r="S94" s="597">
        <f t="shared" si="33"/>
        <v>0</v>
      </c>
      <c r="T94" s="597">
        <f t="shared" si="33"/>
        <v>0</v>
      </c>
      <c r="U94" s="597">
        <f>SUM(U87:U93)</f>
        <v>2202225.75</v>
      </c>
      <c r="V94" s="595">
        <f t="shared" si="22"/>
        <v>0</v>
      </c>
      <c r="W94" s="595">
        <f t="shared" si="23"/>
        <v>0</v>
      </c>
      <c r="X94" s="595">
        <f t="shared" si="24"/>
        <v>2202225.75</v>
      </c>
      <c r="Y94" s="635"/>
      <c r="Z94" s="595">
        <f t="shared" si="25"/>
        <v>0</v>
      </c>
      <c r="AA94" s="595">
        <f t="shared" si="26"/>
        <v>0</v>
      </c>
      <c r="AB94" s="595">
        <f t="shared" si="27"/>
        <v>0</v>
      </c>
      <c r="AC94" s="636"/>
    </row>
    <row r="95" spans="1:29" s="614" customFormat="1" x14ac:dyDescent="0.2">
      <c r="A95" s="630" t="s">
        <v>737</v>
      </c>
      <c r="B95" s="631"/>
      <c r="C95" s="624"/>
      <c r="D95" s="624"/>
      <c r="E95" s="596">
        <f>E94+E86</f>
        <v>3741878.85</v>
      </c>
      <c r="F95" s="595">
        <f>'Прилож 4 24 (2)'!V90</f>
        <v>0</v>
      </c>
      <c r="G95" s="595">
        <f>'Прилож 4 24 (2)'!W93</f>
        <v>0</v>
      </c>
      <c r="H95" s="595">
        <f>'Прилож 4 24 (2)'!X90</f>
        <v>3741878.85</v>
      </c>
      <c r="I95" s="626"/>
      <c r="J95" s="595">
        <f>'Прилож 4 24 (2)'!Z90</f>
        <v>0</v>
      </c>
      <c r="K95" s="595">
        <f>'Прилож 4 24 (2)'!AA90</f>
        <v>0</v>
      </c>
      <c r="L95" s="595">
        <f>'Прилож 4 24 (2)'!AB90</f>
        <v>0</v>
      </c>
      <c r="M95" s="596">
        <f t="shared" si="28"/>
        <v>0</v>
      </c>
      <c r="N95" s="596">
        <f t="shared" ref="N95:T95" si="34">N94+N86</f>
        <v>0</v>
      </c>
      <c r="O95" s="596">
        <f t="shared" si="34"/>
        <v>0</v>
      </c>
      <c r="P95" s="596">
        <f t="shared" si="34"/>
        <v>0</v>
      </c>
      <c r="Q95" s="626"/>
      <c r="R95" s="596">
        <f t="shared" si="34"/>
        <v>0</v>
      </c>
      <c r="S95" s="596">
        <f t="shared" si="34"/>
        <v>0</v>
      </c>
      <c r="T95" s="596">
        <f t="shared" si="34"/>
        <v>0</v>
      </c>
      <c r="U95" s="596">
        <f>U94+U86</f>
        <v>3741878.85</v>
      </c>
      <c r="V95" s="595">
        <f t="shared" si="22"/>
        <v>0</v>
      </c>
      <c r="W95" s="595">
        <f t="shared" si="23"/>
        <v>0</v>
      </c>
      <c r="X95" s="595">
        <f t="shared" si="24"/>
        <v>3741878.85</v>
      </c>
      <c r="Y95" s="626"/>
      <c r="Z95" s="595">
        <f t="shared" si="25"/>
        <v>0</v>
      </c>
      <c r="AA95" s="595">
        <f t="shared" si="26"/>
        <v>0</v>
      </c>
      <c r="AB95" s="595">
        <f t="shared" si="27"/>
        <v>0</v>
      </c>
      <c r="AC95" s="627"/>
    </row>
    <row r="96" spans="1:29" ht="31.5" x14ac:dyDescent="0.2">
      <c r="A96" s="618" t="s">
        <v>1230</v>
      </c>
      <c r="B96" s="619" t="s">
        <v>729</v>
      </c>
      <c r="C96" s="620">
        <v>243</v>
      </c>
      <c r="D96" s="620">
        <v>225</v>
      </c>
      <c r="E96" s="595">
        <f>K96</f>
        <v>7777777.7800000003</v>
      </c>
      <c r="F96" s="595">
        <f>'Прилож 4 24 (2)'!V91</f>
        <v>0</v>
      </c>
      <c r="G96" s="595">
        <f>'Прилож 4 24 (2)'!W94</f>
        <v>0</v>
      </c>
      <c r="H96" s="595">
        <f>'Прилож 4 24 (2)'!X91</f>
        <v>0</v>
      </c>
      <c r="I96" s="621">
        <v>963324061</v>
      </c>
      <c r="J96" s="595">
        <f>'Прилож 4 24 (2)'!Z91</f>
        <v>0</v>
      </c>
      <c r="K96" s="595">
        <f>'Прилож 4 24 (2)'!AA91</f>
        <v>7777777.7800000003</v>
      </c>
      <c r="L96" s="595">
        <f>'Прилож 4 24 (2)'!AB91</f>
        <v>0</v>
      </c>
      <c r="M96" s="596">
        <f t="shared" si="28"/>
        <v>-7777777.7800000003</v>
      </c>
      <c r="N96" s="595"/>
      <c r="O96" s="595"/>
      <c r="P96" s="595"/>
      <c r="Q96" s="817">
        <v>963324061</v>
      </c>
      <c r="R96" s="595"/>
      <c r="S96" s="595">
        <v>-7777777.7800000003</v>
      </c>
      <c r="T96" s="595"/>
      <c r="U96" s="596">
        <f>V96+X96+Z96+AA96+AB96+V98</f>
        <v>0</v>
      </c>
      <c r="V96" s="595">
        <f t="shared" si="22"/>
        <v>0</v>
      </c>
      <c r="W96" s="595">
        <f t="shared" si="23"/>
        <v>0</v>
      </c>
      <c r="X96" s="595">
        <f t="shared" si="24"/>
        <v>0</v>
      </c>
      <c r="Y96" s="621"/>
      <c r="Z96" s="595">
        <f t="shared" si="25"/>
        <v>0</v>
      </c>
      <c r="AA96" s="595">
        <f>S96+K96</f>
        <v>0</v>
      </c>
      <c r="AB96" s="595">
        <f t="shared" si="27"/>
        <v>0</v>
      </c>
      <c r="AC96" s="622"/>
    </row>
    <row r="97" spans="1:29" s="614" customFormat="1" ht="28.5" customHeight="1" x14ac:dyDescent="0.2">
      <c r="A97" s="630" t="s">
        <v>1312</v>
      </c>
      <c r="B97" s="631" t="s">
        <v>729</v>
      </c>
      <c r="C97" s="624">
        <v>243</v>
      </c>
      <c r="D97" s="624">
        <v>225</v>
      </c>
      <c r="E97" s="596">
        <f>K97</f>
        <v>7777777.7800000003</v>
      </c>
      <c r="F97" s="595">
        <f>'Прилож 4 24 (2)'!V92</f>
        <v>0</v>
      </c>
      <c r="G97" s="595">
        <f>'Прилож 4 24 (2)'!W95</f>
        <v>0</v>
      </c>
      <c r="H97" s="595">
        <f>'Прилож 4 24 (2)'!X92</f>
        <v>0</v>
      </c>
      <c r="I97" s="626"/>
      <c r="J97" s="595">
        <f>'Прилож 4 24 (2)'!Z92</f>
        <v>0</v>
      </c>
      <c r="K97" s="595">
        <f>'Прилож 4 24 (2)'!AA92</f>
        <v>7777777.7800000003</v>
      </c>
      <c r="L97" s="595">
        <f>'Прилож 4 24 (2)'!AB92</f>
        <v>0</v>
      </c>
      <c r="M97" s="596">
        <f>N97+P97+R97+S97+T97+O97</f>
        <v>-7777777.7800000003</v>
      </c>
      <c r="N97" s="596"/>
      <c r="O97" s="596"/>
      <c r="P97" s="596"/>
      <c r="Q97" s="626"/>
      <c r="R97" s="596"/>
      <c r="S97" s="596">
        <v>-7777777.7800000003</v>
      </c>
      <c r="T97" s="596"/>
      <c r="U97" s="596">
        <f>AA97</f>
        <v>0</v>
      </c>
      <c r="V97" s="595">
        <f t="shared" si="22"/>
        <v>0</v>
      </c>
      <c r="W97" s="595">
        <f t="shared" si="23"/>
        <v>0</v>
      </c>
      <c r="X97" s="595">
        <f t="shared" si="24"/>
        <v>0</v>
      </c>
      <c r="Y97" s="626"/>
      <c r="Z97" s="595">
        <f t="shared" si="25"/>
        <v>0</v>
      </c>
      <c r="AA97" s="595">
        <f>S97+K97</f>
        <v>0</v>
      </c>
      <c r="AB97" s="595">
        <f t="shared" si="27"/>
        <v>0</v>
      </c>
      <c r="AC97" s="627"/>
    </row>
    <row r="98" spans="1:29" ht="78.75" x14ac:dyDescent="0.2">
      <c r="A98" s="618" t="s">
        <v>1188</v>
      </c>
      <c r="B98" s="619" t="s">
        <v>747</v>
      </c>
      <c r="C98" s="620">
        <v>244</v>
      </c>
      <c r="D98" s="620">
        <v>225</v>
      </c>
      <c r="E98" s="596">
        <f t="shared" si="0"/>
        <v>50400</v>
      </c>
      <c r="F98" s="595">
        <f>'Прилож 4 24 (2)'!V93</f>
        <v>0</v>
      </c>
      <c r="G98" s="595">
        <f>'Прилож 4 24 (2)'!W96</f>
        <v>0</v>
      </c>
      <c r="H98" s="595">
        <f>'Прилож 4 24 (2)'!X93</f>
        <v>50400</v>
      </c>
      <c r="I98" s="623"/>
      <c r="J98" s="595">
        <f>'Прилож 4 24 (2)'!Z93</f>
        <v>0</v>
      </c>
      <c r="K98" s="595">
        <f>'Прилож 4 24 (2)'!AA93</f>
        <v>0</v>
      </c>
      <c r="L98" s="595">
        <f>'Прилож 4 24 (2)'!AB93</f>
        <v>0</v>
      </c>
      <c r="M98" s="596">
        <f t="shared" si="28"/>
        <v>0</v>
      </c>
      <c r="N98" s="595"/>
      <c r="O98" s="595"/>
      <c r="P98" s="595"/>
      <c r="Q98" s="621"/>
      <c r="R98" s="595"/>
      <c r="S98" s="595"/>
      <c r="T98" s="595"/>
      <c r="U98" s="596">
        <f t="shared" si="8"/>
        <v>50400</v>
      </c>
      <c r="V98" s="595">
        <f t="shared" si="22"/>
        <v>0</v>
      </c>
      <c r="W98" s="595">
        <f t="shared" si="23"/>
        <v>0</v>
      </c>
      <c r="X98" s="595">
        <f t="shared" si="24"/>
        <v>50400</v>
      </c>
      <c r="Y98" s="628"/>
      <c r="Z98" s="595">
        <f t="shared" si="25"/>
        <v>0</v>
      </c>
      <c r="AA98" s="595">
        <f t="shared" si="26"/>
        <v>0</v>
      </c>
      <c r="AB98" s="595">
        <f t="shared" si="27"/>
        <v>0</v>
      </c>
      <c r="AC98" s="622"/>
    </row>
    <row r="99" spans="1:29" x14ac:dyDescent="0.2">
      <c r="A99" s="618" t="s">
        <v>1193</v>
      </c>
      <c r="B99" s="619" t="s">
        <v>747</v>
      </c>
      <c r="C99" s="620">
        <v>244</v>
      </c>
      <c r="D99" s="620">
        <v>225</v>
      </c>
      <c r="E99" s="596">
        <f t="shared" ref="E99:E168" si="35">L99+K99+J99+H99+G99+F99</f>
        <v>49836</v>
      </c>
      <c r="F99" s="595">
        <f>'Прилож 4 24 (2)'!V94</f>
        <v>0</v>
      </c>
      <c r="G99" s="595">
        <f>'Прилож 4 24 (2)'!W97</f>
        <v>0</v>
      </c>
      <c r="H99" s="595">
        <f>'Прилож 4 24 (2)'!X94</f>
        <v>49836</v>
      </c>
      <c r="I99" s="623"/>
      <c r="J99" s="595">
        <f>'Прилож 4 24 (2)'!Z94</f>
        <v>0</v>
      </c>
      <c r="K99" s="595">
        <f>'Прилож 4 24 (2)'!AA94</f>
        <v>0</v>
      </c>
      <c r="L99" s="595">
        <f>'Прилож 4 24 (2)'!AB94</f>
        <v>0</v>
      </c>
      <c r="M99" s="596">
        <f t="shared" si="28"/>
        <v>0</v>
      </c>
      <c r="N99" s="595"/>
      <c r="O99" s="595"/>
      <c r="P99" s="595"/>
      <c r="Q99" s="621"/>
      <c r="R99" s="595"/>
      <c r="S99" s="595"/>
      <c r="T99" s="595"/>
      <c r="U99" s="596">
        <f t="shared" si="8"/>
        <v>49836</v>
      </c>
      <c r="V99" s="595">
        <f t="shared" si="22"/>
        <v>0</v>
      </c>
      <c r="W99" s="595">
        <f t="shared" si="23"/>
        <v>0</v>
      </c>
      <c r="X99" s="595">
        <f t="shared" si="24"/>
        <v>49836</v>
      </c>
      <c r="Y99" s="628"/>
      <c r="Z99" s="595">
        <f t="shared" si="25"/>
        <v>0</v>
      </c>
      <c r="AA99" s="595">
        <f t="shared" si="26"/>
        <v>0</v>
      </c>
      <c r="AB99" s="595">
        <f t="shared" si="27"/>
        <v>0</v>
      </c>
      <c r="AC99" s="622"/>
    </row>
    <row r="100" spans="1:29" ht="54" customHeight="1" x14ac:dyDescent="0.2">
      <c r="A100" s="618" t="s">
        <v>1192</v>
      </c>
      <c r="B100" s="619" t="s">
        <v>747</v>
      </c>
      <c r="C100" s="620">
        <v>244</v>
      </c>
      <c r="D100" s="620">
        <v>225</v>
      </c>
      <c r="E100" s="596">
        <f t="shared" si="35"/>
        <v>3859</v>
      </c>
      <c r="F100" s="595">
        <f>'Прилож 4 24 (2)'!V95</f>
        <v>0</v>
      </c>
      <c r="G100" s="595">
        <f>'Прилож 4 24 (2)'!W98</f>
        <v>0</v>
      </c>
      <c r="H100" s="595">
        <f>'Прилож 4 24 (2)'!X95</f>
        <v>3859</v>
      </c>
      <c r="I100" s="623"/>
      <c r="J100" s="595">
        <f>'Прилож 4 24 (2)'!Z95</f>
        <v>0</v>
      </c>
      <c r="K100" s="595">
        <f>'Прилож 4 24 (2)'!AA95</f>
        <v>0</v>
      </c>
      <c r="L100" s="595">
        <f>'Прилож 4 24 (2)'!AB95</f>
        <v>0</v>
      </c>
      <c r="M100" s="596">
        <f t="shared" si="28"/>
        <v>0</v>
      </c>
      <c r="N100" s="595"/>
      <c r="O100" s="595"/>
      <c r="P100" s="595"/>
      <c r="Q100" s="621"/>
      <c r="R100" s="595"/>
      <c r="S100" s="595"/>
      <c r="T100" s="595"/>
      <c r="U100" s="596">
        <f t="shared" ref="U100:U169" si="36">V100+X100+Z100+AA100+AB100+W100</f>
        <v>3859</v>
      </c>
      <c r="V100" s="595">
        <f t="shared" si="22"/>
        <v>0</v>
      </c>
      <c r="W100" s="595">
        <f t="shared" si="23"/>
        <v>0</v>
      </c>
      <c r="X100" s="595">
        <f t="shared" si="24"/>
        <v>3859</v>
      </c>
      <c r="Y100" s="628"/>
      <c r="Z100" s="595">
        <f t="shared" si="25"/>
        <v>0</v>
      </c>
      <c r="AA100" s="595">
        <f t="shared" si="26"/>
        <v>0</v>
      </c>
      <c r="AB100" s="595">
        <f t="shared" si="27"/>
        <v>0</v>
      </c>
      <c r="AC100" s="622"/>
    </row>
    <row r="101" spans="1:29" ht="31.5" x14ac:dyDescent="0.2">
      <c r="A101" s="618" t="s">
        <v>1187</v>
      </c>
      <c r="B101" s="619" t="s">
        <v>747</v>
      </c>
      <c r="C101" s="620">
        <v>244</v>
      </c>
      <c r="D101" s="620">
        <v>225</v>
      </c>
      <c r="E101" s="596">
        <f t="shared" si="35"/>
        <v>21600</v>
      </c>
      <c r="F101" s="595">
        <f>'Прилож 4 24 (2)'!V96</f>
        <v>0</v>
      </c>
      <c r="G101" s="595">
        <f>'Прилож 4 24 (2)'!W99</f>
        <v>0</v>
      </c>
      <c r="H101" s="595">
        <f>'Прилож 4 24 (2)'!X96</f>
        <v>21600</v>
      </c>
      <c r="I101" s="623"/>
      <c r="J101" s="595">
        <f>'Прилож 4 24 (2)'!Z96</f>
        <v>0</v>
      </c>
      <c r="K101" s="595">
        <f>'Прилож 4 24 (2)'!AA96</f>
        <v>0</v>
      </c>
      <c r="L101" s="595">
        <f>'Прилож 4 24 (2)'!AB96</f>
        <v>0</v>
      </c>
      <c r="M101" s="596">
        <f t="shared" si="28"/>
        <v>0</v>
      </c>
      <c r="N101" s="595"/>
      <c r="O101" s="595"/>
      <c r="P101" s="595"/>
      <c r="Q101" s="621"/>
      <c r="R101" s="595"/>
      <c r="S101" s="595"/>
      <c r="T101" s="595"/>
      <c r="U101" s="596">
        <f t="shared" si="36"/>
        <v>21600</v>
      </c>
      <c r="V101" s="595">
        <f t="shared" si="22"/>
        <v>0</v>
      </c>
      <c r="W101" s="595">
        <f t="shared" si="23"/>
        <v>0</v>
      </c>
      <c r="X101" s="595">
        <f t="shared" si="24"/>
        <v>21600</v>
      </c>
      <c r="Y101" s="628"/>
      <c r="Z101" s="595">
        <f t="shared" si="25"/>
        <v>0</v>
      </c>
      <c r="AA101" s="595">
        <f t="shared" si="26"/>
        <v>0</v>
      </c>
      <c r="AB101" s="595">
        <f t="shared" si="27"/>
        <v>0</v>
      </c>
      <c r="AC101" s="622"/>
    </row>
    <row r="102" spans="1:29" s="612" customFormat="1" ht="47.25" x14ac:dyDescent="0.2">
      <c r="A102" s="618" t="s">
        <v>1203</v>
      </c>
      <c r="B102" s="619" t="s">
        <v>747</v>
      </c>
      <c r="C102" s="620">
        <v>244</v>
      </c>
      <c r="D102" s="620">
        <v>225</v>
      </c>
      <c r="E102" s="596">
        <f t="shared" si="35"/>
        <v>15000</v>
      </c>
      <c r="F102" s="595">
        <f>'Прилож 4 24 (2)'!V97</f>
        <v>0</v>
      </c>
      <c r="G102" s="595">
        <f>'Прилож 4 24 (2)'!W100</f>
        <v>0</v>
      </c>
      <c r="H102" s="595">
        <f>'Прилож 4 24 (2)'!X97</f>
        <v>15000</v>
      </c>
      <c r="I102" s="623"/>
      <c r="J102" s="595">
        <f>'Прилож 4 24 (2)'!Z97</f>
        <v>0</v>
      </c>
      <c r="K102" s="595">
        <f>'Прилож 4 24 (2)'!AA97</f>
        <v>0</v>
      </c>
      <c r="L102" s="595">
        <f>'Прилож 4 24 (2)'!AB97</f>
        <v>0</v>
      </c>
      <c r="M102" s="596">
        <f t="shared" si="28"/>
        <v>0</v>
      </c>
      <c r="N102" s="595"/>
      <c r="O102" s="595"/>
      <c r="P102" s="595"/>
      <c r="Q102" s="621"/>
      <c r="R102" s="595"/>
      <c r="S102" s="595"/>
      <c r="T102" s="595"/>
      <c r="U102" s="596">
        <f t="shared" si="36"/>
        <v>15000</v>
      </c>
      <c r="V102" s="595">
        <f t="shared" si="22"/>
        <v>0</v>
      </c>
      <c r="W102" s="595">
        <f t="shared" si="23"/>
        <v>0</v>
      </c>
      <c r="X102" s="595">
        <f t="shared" si="24"/>
        <v>15000</v>
      </c>
      <c r="Y102" s="628"/>
      <c r="Z102" s="595">
        <f t="shared" si="25"/>
        <v>0</v>
      </c>
      <c r="AA102" s="595">
        <f t="shared" si="26"/>
        <v>0</v>
      </c>
      <c r="AB102" s="595">
        <f t="shared" si="27"/>
        <v>0</v>
      </c>
      <c r="AC102" s="622"/>
    </row>
    <row r="103" spans="1:29" s="612" customFormat="1" x14ac:dyDescent="0.2">
      <c r="A103" s="618" t="s">
        <v>583</v>
      </c>
      <c r="B103" s="619" t="s">
        <v>747</v>
      </c>
      <c r="C103" s="620">
        <v>244</v>
      </c>
      <c r="D103" s="620">
        <v>225</v>
      </c>
      <c r="E103" s="596">
        <f t="shared" si="35"/>
        <v>5000</v>
      </c>
      <c r="F103" s="595">
        <f>'Прилож 4 24 (2)'!V98</f>
        <v>0</v>
      </c>
      <c r="G103" s="595">
        <f>'Прилож 4 24 (2)'!W101</f>
        <v>0</v>
      </c>
      <c r="H103" s="595">
        <f>'Прилож 4 24 (2)'!X98</f>
        <v>5000</v>
      </c>
      <c r="I103" s="623"/>
      <c r="J103" s="595">
        <f>'Прилож 4 24 (2)'!Z98</f>
        <v>0</v>
      </c>
      <c r="K103" s="595">
        <f>'Прилож 4 24 (2)'!AA98</f>
        <v>0</v>
      </c>
      <c r="L103" s="595">
        <f>'Прилож 4 24 (2)'!AB98</f>
        <v>0</v>
      </c>
      <c r="M103" s="596">
        <f t="shared" si="28"/>
        <v>0</v>
      </c>
      <c r="N103" s="595"/>
      <c r="O103" s="595"/>
      <c r="P103" s="595"/>
      <c r="Q103" s="621"/>
      <c r="R103" s="595"/>
      <c r="S103" s="595"/>
      <c r="T103" s="595"/>
      <c r="U103" s="596">
        <f t="shared" si="36"/>
        <v>5000</v>
      </c>
      <c r="V103" s="595">
        <f t="shared" si="22"/>
        <v>0</v>
      </c>
      <c r="W103" s="595">
        <f t="shared" si="23"/>
        <v>0</v>
      </c>
      <c r="X103" s="595">
        <f t="shared" si="24"/>
        <v>5000</v>
      </c>
      <c r="Y103" s="628"/>
      <c r="Z103" s="595">
        <f t="shared" si="25"/>
        <v>0</v>
      </c>
      <c r="AA103" s="595">
        <f t="shared" si="26"/>
        <v>0</v>
      </c>
      <c r="AB103" s="595">
        <f t="shared" si="27"/>
        <v>0</v>
      </c>
      <c r="AC103" s="622"/>
    </row>
    <row r="104" spans="1:29" s="612" customFormat="1" x14ac:dyDescent="0.2">
      <c r="A104" s="618" t="s">
        <v>1297</v>
      </c>
      <c r="B104" s="619" t="s">
        <v>747</v>
      </c>
      <c r="C104" s="620">
        <v>244</v>
      </c>
      <c r="D104" s="620">
        <v>225</v>
      </c>
      <c r="E104" s="596">
        <f t="shared" si="35"/>
        <v>4000</v>
      </c>
      <c r="F104" s="595">
        <f>'Прилож 4 24 (2)'!V99</f>
        <v>0</v>
      </c>
      <c r="G104" s="595">
        <f>'Прилож 4 24 (2)'!W102</f>
        <v>0</v>
      </c>
      <c r="H104" s="595">
        <f>'Прилож 4 24 (2)'!X99</f>
        <v>4000</v>
      </c>
      <c r="I104" s="623"/>
      <c r="J104" s="595">
        <f>'Прилож 4 24 (2)'!Z99</f>
        <v>0</v>
      </c>
      <c r="K104" s="595">
        <f>'Прилож 4 24 (2)'!AA99</f>
        <v>0</v>
      </c>
      <c r="L104" s="595">
        <f>'Прилож 4 24 (2)'!AB99</f>
        <v>0</v>
      </c>
      <c r="M104" s="596">
        <f t="shared" si="28"/>
        <v>0</v>
      </c>
      <c r="N104" s="595"/>
      <c r="O104" s="595"/>
      <c r="P104" s="595"/>
      <c r="Q104" s="621"/>
      <c r="R104" s="595"/>
      <c r="S104" s="595"/>
      <c r="T104" s="595"/>
      <c r="U104" s="596">
        <f t="shared" si="36"/>
        <v>4000</v>
      </c>
      <c r="V104" s="595">
        <f t="shared" si="22"/>
        <v>0</v>
      </c>
      <c r="W104" s="595">
        <f t="shared" si="23"/>
        <v>0</v>
      </c>
      <c r="X104" s="595">
        <f t="shared" si="24"/>
        <v>4000</v>
      </c>
      <c r="Y104" s="628"/>
      <c r="Z104" s="595">
        <f t="shared" si="25"/>
        <v>0</v>
      </c>
      <c r="AA104" s="595">
        <f t="shared" si="26"/>
        <v>0</v>
      </c>
      <c r="AB104" s="595">
        <f t="shared" si="27"/>
        <v>0</v>
      </c>
      <c r="AC104" s="622"/>
    </row>
    <row r="105" spans="1:29" s="612" customFormat="1" x14ac:dyDescent="0.2">
      <c r="A105" s="618" t="s">
        <v>1204</v>
      </c>
      <c r="B105" s="619" t="s">
        <v>747</v>
      </c>
      <c r="C105" s="620">
        <v>244</v>
      </c>
      <c r="D105" s="620">
        <v>225</v>
      </c>
      <c r="E105" s="596">
        <f t="shared" si="35"/>
        <v>20000</v>
      </c>
      <c r="F105" s="595">
        <f>'Прилож 4 24 (2)'!V100</f>
        <v>0</v>
      </c>
      <c r="G105" s="595">
        <f>'Прилож 4 24 (2)'!W103</f>
        <v>0</v>
      </c>
      <c r="H105" s="595">
        <f>'Прилож 4 24 (2)'!X100</f>
        <v>20000</v>
      </c>
      <c r="I105" s="623"/>
      <c r="J105" s="595">
        <f>'Прилож 4 24 (2)'!Z100</f>
        <v>0</v>
      </c>
      <c r="K105" s="595">
        <f>'Прилож 4 24 (2)'!AA100</f>
        <v>0</v>
      </c>
      <c r="L105" s="595">
        <f>'Прилож 4 24 (2)'!AB100</f>
        <v>0</v>
      </c>
      <c r="M105" s="596">
        <f t="shared" si="28"/>
        <v>0</v>
      </c>
      <c r="N105" s="595"/>
      <c r="O105" s="595"/>
      <c r="P105" s="595"/>
      <c r="Q105" s="621"/>
      <c r="R105" s="595"/>
      <c r="S105" s="595"/>
      <c r="T105" s="595"/>
      <c r="U105" s="596">
        <f t="shared" si="36"/>
        <v>20000</v>
      </c>
      <c r="V105" s="595">
        <f t="shared" si="22"/>
        <v>0</v>
      </c>
      <c r="W105" s="595">
        <f t="shared" si="23"/>
        <v>0</v>
      </c>
      <c r="X105" s="595">
        <f t="shared" si="24"/>
        <v>20000</v>
      </c>
      <c r="Y105" s="628"/>
      <c r="Z105" s="595">
        <f t="shared" si="25"/>
        <v>0</v>
      </c>
      <c r="AA105" s="595">
        <f t="shared" si="26"/>
        <v>0</v>
      </c>
      <c r="AB105" s="595">
        <f t="shared" si="27"/>
        <v>0</v>
      </c>
      <c r="AC105" s="622"/>
    </row>
    <row r="106" spans="1:29" s="612" customFormat="1" ht="48.75" customHeight="1" x14ac:dyDescent="0.2">
      <c r="A106" s="618" t="s">
        <v>143</v>
      </c>
      <c r="B106" s="619" t="s">
        <v>747</v>
      </c>
      <c r="C106" s="620">
        <v>244</v>
      </c>
      <c r="D106" s="620">
        <v>225</v>
      </c>
      <c r="E106" s="596">
        <f t="shared" si="35"/>
        <v>12000</v>
      </c>
      <c r="F106" s="595">
        <f>'Прилож 4 24 (2)'!V101</f>
        <v>0</v>
      </c>
      <c r="G106" s="595">
        <f>'Прилож 4 24 (2)'!W104</f>
        <v>0</v>
      </c>
      <c r="H106" s="595">
        <f>'Прилож 4 24 (2)'!X101</f>
        <v>12000</v>
      </c>
      <c r="I106" s="623"/>
      <c r="J106" s="595">
        <f>'Прилож 4 24 (2)'!Z101</f>
        <v>0</v>
      </c>
      <c r="K106" s="595">
        <f>'Прилож 4 24 (2)'!AA101</f>
        <v>0</v>
      </c>
      <c r="L106" s="595">
        <f>'Прилож 4 24 (2)'!AB101</f>
        <v>0</v>
      </c>
      <c r="M106" s="596">
        <f t="shared" si="28"/>
        <v>0</v>
      </c>
      <c r="N106" s="595"/>
      <c r="O106" s="595"/>
      <c r="P106" s="595"/>
      <c r="Q106" s="621"/>
      <c r="R106" s="595"/>
      <c r="S106" s="595"/>
      <c r="T106" s="595"/>
      <c r="U106" s="596">
        <f t="shared" si="36"/>
        <v>12000</v>
      </c>
      <c r="V106" s="595">
        <f t="shared" si="22"/>
        <v>0</v>
      </c>
      <c r="W106" s="595">
        <f t="shared" si="23"/>
        <v>0</v>
      </c>
      <c r="X106" s="595">
        <f t="shared" si="24"/>
        <v>12000</v>
      </c>
      <c r="Y106" s="628"/>
      <c r="Z106" s="595">
        <f t="shared" si="25"/>
        <v>0</v>
      </c>
      <c r="AA106" s="595">
        <f t="shared" si="26"/>
        <v>0</v>
      </c>
      <c r="AB106" s="595">
        <f t="shared" si="27"/>
        <v>0</v>
      </c>
      <c r="AC106" s="622"/>
    </row>
    <row r="107" spans="1:29" s="612" customFormat="1" ht="31.5" x14ac:dyDescent="0.2">
      <c r="A107" s="618" t="s">
        <v>645</v>
      </c>
      <c r="B107" s="619" t="s">
        <v>747</v>
      </c>
      <c r="C107" s="620">
        <v>244</v>
      </c>
      <c r="D107" s="620">
        <v>225</v>
      </c>
      <c r="E107" s="596">
        <f t="shared" si="35"/>
        <v>10000</v>
      </c>
      <c r="F107" s="595">
        <f>'Прилож 4 24 (2)'!V102</f>
        <v>0</v>
      </c>
      <c r="G107" s="595">
        <f>'Прилож 4 24 (2)'!W105</f>
        <v>0</v>
      </c>
      <c r="H107" s="595">
        <f>'Прилож 4 24 (2)'!X102</f>
        <v>10000</v>
      </c>
      <c r="I107" s="623"/>
      <c r="J107" s="595">
        <f>'Прилож 4 24 (2)'!Z102</f>
        <v>0</v>
      </c>
      <c r="K107" s="595">
        <f>'Прилож 4 24 (2)'!AA102</f>
        <v>0</v>
      </c>
      <c r="L107" s="595">
        <f>'Прилож 4 24 (2)'!AB102</f>
        <v>0</v>
      </c>
      <c r="M107" s="596">
        <f t="shared" si="28"/>
        <v>0</v>
      </c>
      <c r="N107" s="595"/>
      <c r="O107" s="595"/>
      <c r="P107" s="595"/>
      <c r="Q107" s="621"/>
      <c r="R107" s="595"/>
      <c r="S107" s="595"/>
      <c r="T107" s="595"/>
      <c r="U107" s="596">
        <f t="shared" si="36"/>
        <v>10000</v>
      </c>
      <c r="V107" s="595">
        <f t="shared" si="22"/>
        <v>0</v>
      </c>
      <c r="W107" s="595">
        <f t="shared" si="23"/>
        <v>0</v>
      </c>
      <c r="X107" s="595">
        <f t="shared" si="24"/>
        <v>10000</v>
      </c>
      <c r="Y107" s="628"/>
      <c r="Z107" s="595">
        <f t="shared" si="25"/>
        <v>0</v>
      </c>
      <c r="AA107" s="595">
        <f t="shared" si="26"/>
        <v>0</v>
      </c>
      <c r="AB107" s="595">
        <f t="shared" si="27"/>
        <v>0</v>
      </c>
      <c r="AC107" s="622"/>
    </row>
    <row r="108" spans="1:29" s="612" customFormat="1" ht="31.5" x14ac:dyDescent="0.2">
      <c r="A108" s="618" t="s">
        <v>646</v>
      </c>
      <c r="B108" s="619" t="s">
        <v>747</v>
      </c>
      <c r="C108" s="620">
        <v>244</v>
      </c>
      <c r="D108" s="620">
        <v>225</v>
      </c>
      <c r="E108" s="596">
        <f t="shared" si="35"/>
        <v>20000</v>
      </c>
      <c r="F108" s="595">
        <f>'Прилож 4 24 (2)'!V103</f>
        <v>0</v>
      </c>
      <c r="G108" s="595">
        <f>'Прилож 4 24 (2)'!W106</f>
        <v>0</v>
      </c>
      <c r="H108" s="595">
        <f>'Прилож 4 24 (2)'!X103</f>
        <v>20000</v>
      </c>
      <c r="I108" s="623"/>
      <c r="J108" s="595">
        <f>'Прилож 4 24 (2)'!Z103</f>
        <v>0</v>
      </c>
      <c r="K108" s="595">
        <f>'Прилож 4 24 (2)'!AA103</f>
        <v>0</v>
      </c>
      <c r="L108" s="595">
        <f>'Прилож 4 24 (2)'!AB103</f>
        <v>0</v>
      </c>
      <c r="M108" s="596">
        <f t="shared" si="28"/>
        <v>0</v>
      </c>
      <c r="N108" s="595"/>
      <c r="O108" s="595"/>
      <c r="P108" s="595"/>
      <c r="Q108" s="621"/>
      <c r="R108" s="595"/>
      <c r="S108" s="595"/>
      <c r="T108" s="595"/>
      <c r="U108" s="596">
        <f t="shared" si="36"/>
        <v>20000</v>
      </c>
      <c r="V108" s="595">
        <f t="shared" si="22"/>
        <v>0</v>
      </c>
      <c r="W108" s="595">
        <f t="shared" si="23"/>
        <v>0</v>
      </c>
      <c r="X108" s="595">
        <f t="shared" si="24"/>
        <v>20000</v>
      </c>
      <c r="Y108" s="628"/>
      <c r="Z108" s="595">
        <f t="shared" si="25"/>
        <v>0</v>
      </c>
      <c r="AA108" s="595">
        <f t="shared" si="26"/>
        <v>0</v>
      </c>
      <c r="AB108" s="595">
        <f t="shared" si="27"/>
        <v>0</v>
      </c>
      <c r="AC108" s="622"/>
    </row>
    <row r="109" spans="1:29" s="612" customFormat="1" ht="54" customHeight="1" x14ac:dyDescent="0.2">
      <c r="A109" s="618" t="s">
        <v>146</v>
      </c>
      <c r="B109" s="619" t="s">
        <v>747</v>
      </c>
      <c r="C109" s="620">
        <v>244</v>
      </c>
      <c r="D109" s="620">
        <v>225</v>
      </c>
      <c r="E109" s="596">
        <f t="shared" si="35"/>
        <v>20000</v>
      </c>
      <c r="F109" s="595">
        <f>'Прилож 4 24 (2)'!V104</f>
        <v>0</v>
      </c>
      <c r="G109" s="595">
        <f>'Прилож 4 24 (2)'!W107</f>
        <v>0</v>
      </c>
      <c r="H109" s="595">
        <f>'Прилож 4 24 (2)'!X104</f>
        <v>20000</v>
      </c>
      <c r="I109" s="623"/>
      <c r="J109" s="595">
        <f>'Прилож 4 24 (2)'!Z104</f>
        <v>0</v>
      </c>
      <c r="K109" s="595">
        <f>'Прилож 4 24 (2)'!AA104</f>
        <v>0</v>
      </c>
      <c r="L109" s="595">
        <f>'Прилож 4 24 (2)'!AB104</f>
        <v>0</v>
      </c>
      <c r="M109" s="596">
        <f t="shared" si="28"/>
        <v>0</v>
      </c>
      <c r="N109" s="595"/>
      <c r="O109" s="595"/>
      <c r="P109" s="595"/>
      <c r="Q109" s="621"/>
      <c r="R109" s="595"/>
      <c r="S109" s="595"/>
      <c r="T109" s="595"/>
      <c r="U109" s="596">
        <f t="shared" si="36"/>
        <v>20000</v>
      </c>
      <c r="V109" s="595">
        <f t="shared" si="22"/>
        <v>0</v>
      </c>
      <c r="W109" s="595">
        <f t="shared" si="23"/>
        <v>0</v>
      </c>
      <c r="X109" s="595">
        <f t="shared" si="24"/>
        <v>20000</v>
      </c>
      <c r="Y109" s="628"/>
      <c r="Z109" s="595">
        <f t="shared" si="25"/>
        <v>0</v>
      </c>
      <c r="AA109" s="595">
        <f t="shared" si="26"/>
        <v>0</v>
      </c>
      <c r="AB109" s="595">
        <f t="shared" si="27"/>
        <v>0</v>
      </c>
      <c r="AC109" s="622"/>
    </row>
    <row r="110" spans="1:29" s="612" customFormat="1" ht="47.25" x14ac:dyDescent="0.2">
      <c r="A110" s="618" t="s">
        <v>148</v>
      </c>
      <c r="B110" s="619" t="s">
        <v>747</v>
      </c>
      <c r="C110" s="620">
        <v>244</v>
      </c>
      <c r="D110" s="620">
        <v>225</v>
      </c>
      <c r="E110" s="596">
        <f t="shared" si="35"/>
        <v>12000</v>
      </c>
      <c r="F110" s="595">
        <f>'Прилож 4 24 (2)'!V105</f>
        <v>0</v>
      </c>
      <c r="G110" s="595">
        <f>'Прилож 4 24 (2)'!W108</f>
        <v>0</v>
      </c>
      <c r="H110" s="595">
        <f>'Прилож 4 24 (2)'!X105</f>
        <v>12000</v>
      </c>
      <c r="I110" s="623"/>
      <c r="J110" s="595">
        <f>'Прилож 4 24 (2)'!Z105</f>
        <v>0</v>
      </c>
      <c r="K110" s="595">
        <f>'Прилож 4 24 (2)'!AA105</f>
        <v>0</v>
      </c>
      <c r="L110" s="595">
        <f>'Прилож 4 24 (2)'!AB105</f>
        <v>0</v>
      </c>
      <c r="M110" s="596">
        <f t="shared" si="28"/>
        <v>0</v>
      </c>
      <c r="N110" s="595"/>
      <c r="O110" s="595"/>
      <c r="P110" s="595"/>
      <c r="Q110" s="621"/>
      <c r="R110" s="595"/>
      <c r="S110" s="595"/>
      <c r="T110" s="595"/>
      <c r="U110" s="596">
        <f t="shared" si="36"/>
        <v>12000</v>
      </c>
      <c r="V110" s="595">
        <f t="shared" si="22"/>
        <v>0</v>
      </c>
      <c r="W110" s="595">
        <f t="shared" si="23"/>
        <v>0</v>
      </c>
      <c r="X110" s="595">
        <f t="shared" si="24"/>
        <v>12000</v>
      </c>
      <c r="Y110" s="628"/>
      <c r="Z110" s="595">
        <f t="shared" si="25"/>
        <v>0</v>
      </c>
      <c r="AA110" s="595">
        <f t="shared" si="26"/>
        <v>0</v>
      </c>
      <c r="AB110" s="595">
        <f t="shared" si="27"/>
        <v>0</v>
      </c>
      <c r="AC110" s="622"/>
    </row>
    <row r="111" spans="1:29" s="612" customFormat="1" ht="48" customHeight="1" x14ac:dyDescent="0.2">
      <c r="A111" s="618" t="s">
        <v>149</v>
      </c>
      <c r="B111" s="619" t="s">
        <v>747</v>
      </c>
      <c r="C111" s="620">
        <v>244</v>
      </c>
      <c r="D111" s="620">
        <v>225</v>
      </c>
      <c r="E111" s="596">
        <f t="shared" si="35"/>
        <v>4000</v>
      </c>
      <c r="F111" s="595">
        <f>'Прилож 4 24 (2)'!V106</f>
        <v>0</v>
      </c>
      <c r="G111" s="595">
        <f>'Прилож 4 24 (2)'!W109</f>
        <v>0</v>
      </c>
      <c r="H111" s="595">
        <f>'Прилож 4 24 (2)'!X106</f>
        <v>4000</v>
      </c>
      <c r="I111" s="623"/>
      <c r="J111" s="595">
        <f>'Прилож 4 24 (2)'!Z106</f>
        <v>0</v>
      </c>
      <c r="K111" s="595">
        <f>'Прилож 4 24 (2)'!AA106</f>
        <v>0</v>
      </c>
      <c r="L111" s="595">
        <f>'Прилож 4 24 (2)'!AB106</f>
        <v>0</v>
      </c>
      <c r="M111" s="596">
        <f t="shared" si="28"/>
        <v>0</v>
      </c>
      <c r="N111" s="595"/>
      <c r="O111" s="595"/>
      <c r="P111" s="595"/>
      <c r="Q111" s="621"/>
      <c r="R111" s="595"/>
      <c r="S111" s="595"/>
      <c r="T111" s="595"/>
      <c r="U111" s="596">
        <f t="shared" si="36"/>
        <v>4000</v>
      </c>
      <c r="V111" s="595">
        <f t="shared" si="22"/>
        <v>0</v>
      </c>
      <c r="W111" s="595">
        <f t="shared" si="23"/>
        <v>0</v>
      </c>
      <c r="X111" s="595">
        <f t="shared" si="24"/>
        <v>4000</v>
      </c>
      <c r="Y111" s="628"/>
      <c r="Z111" s="595">
        <f t="shared" si="25"/>
        <v>0</v>
      </c>
      <c r="AA111" s="595">
        <f t="shared" si="26"/>
        <v>0</v>
      </c>
      <c r="AB111" s="595">
        <f t="shared" si="27"/>
        <v>0</v>
      </c>
      <c r="AC111" s="622"/>
    </row>
    <row r="112" spans="1:29" s="612" customFormat="1" x14ac:dyDescent="0.2">
      <c r="A112" s="618" t="s">
        <v>647</v>
      </c>
      <c r="B112" s="619" t="s">
        <v>747</v>
      </c>
      <c r="C112" s="620">
        <v>244</v>
      </c>
      <c r="D112" s="620">
        <v>225</v>
      </c>
      <c r="E112" s="596">
        <f t="shared" si="35"/>
        <v>10000</v>
      </c>
      <c r="F112" s="595">
        <f>'Прилож 4 24 (2)'!V107</f>
        <v>0</v>
      </c>
      <c r="G112" s="595">
        <f>'Прилож 4 24 (2)'!W110</f>
        <v>0</v>
      </c>
      <c r="H112" s="595">
        <f>'Прилож 4 24 (2)'!X107</f>
        <v>10000</v>
      </c>
      <c r="I112" s="623"/>
      <c r="J112" s="595">
        <f>'Прилож 4 24 (2)'!Z107</f>
        <v>0</v>
      </c>
      <c r="K112" s="595">
        <f>'Прилож 4 24 (2)'!AA107</f>
        <v>0</v>
      </c>
      <c r="L112" s="595">
        <f>'Прилож 4 24 (2)'!AB107</f>
        <v>0</v>
      </c>
      <c r="M112" s="596">
        <f t="shared" si="28"/>
        <v>0</v>
      </c>
      <c r="N112" s="595"/>
      <c r="O112" s="595"/>
      <c r="P112" s="595"/>
      <c r="Q112" s="621"/>
      <c r="R112" s="595"/>
      <c r="S112" s="595"/>
      <c r="T112" s="595"/>
      <c r="U112" s="596">
        <f t="shared" si="36"/>
        <v>10000</v>
      </c>
      <c r="V112" s="595">
        <f t="shared" si="22"/>
        <v>0</v>
      </c>
      <c r="W112" s="595">
        <f t="shared" si="23"/>
        <v>0</v>
      </c>
      <c r="X112" s="595">
        <f t="shared" si="24"/>
        <v>10000</v>
      </c>
      <c r="Y112" s="628"/>
      <c r="Z112" s="595">
        <f t="shared" si="25"/>
        <v>0</v>
      </c>
      <c r="AA112" s="595">
        <f t="shared" si="26"/>
        <v>0</v>
      </c>
      <c r="AB112" s="595">
        <f t="shared" si="27"/>
        <v>0</v>
      </c>
      <c r="AC112" s="622"/>
    </row>
    <row r="113" spans="1:29" s="612" customFormat="1" ht="31.5" x14ac:dyDescent="0.2">
      <c r="A113" s="618" t="s">
        <v>1185</v>
      </c>
      <c r="B113" s="619" t="s">
        <v>747</v>
      </c>
      <c r="C113" s="620">
        <v>244</v>
      </c>
      <c r="D113" s="620">
        <v>225</v>
      </c>
      <c r="E113" s="596">
        <f t="shared" si="35"/>
        <v>19716</v>
      </c>
      <c r="F113" s="595">
        <f>'Прилож 4 24 (2)'!V108</f>
        <v>0</v>
      </c>
      <c r="G113" s="595">
        <f>'Прилож 4 24 (2)'!W111</f>
        <v>0</v>
      </c>
      <c r="H113" s="595">
        <f>'Прилож 4 24 (2)'!X108</f>
        <v>19716</v>
      </c>
      <c r="I113" s="623"/>
      <c r="J113" s="595">
        <f>'Прилож 4 24 (2)'!Z108</f>
        <v>0</v>
      </c>
      <c r="K113" s="595">
        <f>'Прилож 4 24 (2)'!AA108</f>
        <v>0</v>
      </c>
      <c r="L113" s="595">
        <f>'Прилож 4 24 (2)'!AB108</f>
        <v>0</v>
      </c>
      <c r="M113" s="596">
        <f t="shared" si="28"/>
        <v>0</v>
      </c>
      <c r="N113" s="595"/>
      <c r="O113" s="595"/>
      <c r="P113" s="595"/>
      <c r="Q113" s="621"/>
      <c r="R113" s="595"/>
      <c r="S113" s="595"/>
      <c r="T113" s="595"/>
      <c r="U113" s="596">
        <f t="shared" si="36"/>
        <v>19716</v>
      </c>
      <c r="V113" s="595">
        <f t="shared" si="22"/>
        <v>0</v>
      </c>
      <c r="W113" s="595">
        <f t="shared" si="23"/>
        <v>0</v>
      </c>
      <c r="X113" s="595">
        <f t="shared" si="24"/>
        <v>19716</v>
      </c>
      <c r="Y113" s="628"/>
      <c r="Z113" s="595">
        <f t="shared" si="25"/>
        <v>0</v>
      </c>
      <c r="AA113" s="595">
        <f t="shared" si="26"/>
        <v>0</v>
      </c>
      <c r="AB113" s="595">
        <f t="shared" si="27"/>
        <v>0</v>
      </c>
      <c r="AC113" s="622"/>
    </row>
    <row r="114" spans="1:29" s="612" customFormat="1" ht="31.5" x14ac:dyDescent="0.2">
      <c r="A114" s="618" t="s">
        <v>587</v>
      </c>
      <c r="B114" s="619" t="s">
        <v>747</v>
      </c>
      <c r="C114" s="620">
        <v>244</v>
      </c>
      <c r="D114" s="620">
        <v>225</v>
      </c>
      <c r="E114" s="596">
        <f t="shared" si="35"/>
        <v>14952</v>
      </c>
      <c r="F114" s="595">
        <f>'Прилож 4 24 (2)'!V109</f>
        <v>0</v>
      </c>
      <c r="G114" s="595">
        <f>'Прилож 4 24 (2)'!W112</f>
        <v>0</v>
      </c>
      <c r="H114" s="595">
        <f>'Прилож 4 24 (2)'!X109</f>
        <v>14952</v>
      </c>
      <c r="I114" s="623"/>
      <c r="J114" s="595">
        <f>'Прилож 4 24 (2)'!Z109</f>
        <v>0</v>
      </c>
      <c r="K114" s="595">
        <f>'Прилож 4 24 (2)'!AA109</f>
        <v>0</v>
      </c>
      <c r="L114" s="595">
        <f>'Прилож 4 24 (2)'!AB109</f>
        <v>0</v>
      </c>
      <c r="M114" s="596">
        <f t="shared" si="28"/>
        <v>0</v>
      </c>
      <c r="N114" s="595"/>
      <c r="O114" s="595"/>
      <c r="P114" s="595"/>
      <c r="Q114" s="621"/>
      <c r="R114" s="595"/>
      <c r="S114" s="595"/>
      <c r="T114" s="595"/>
      <c r="U114" s="596">
        <f t="shared" si="36"/>
        <v>14952</v>
      </c>
      <c r="V114" s="595">
        <f t="shared" si="22"/>
        <v>0</v>
      </c>
      <c r="W114" s="595">
        <f t="shared" si="23"/>
        <v>0</v>
      </c>
      <c r="X114" s="595">
        <f t="shared" si="24"/>
        <v>14952</v>
      </c>
      <c r="Y114" s="628"/>
      <c r="Z114" s="595">
        <f t="shared" si="25"/>
        <v>0</v>
      </c>
      <c r="AA114" s="595">
        <f t="shared" si="26"/>
        <v>0</v>
      </c>
      <c r="AB114" s="595">
        <f t="shared" si="27"/>
        <v>0</v>
      </c>
      <c r="AC114" s="622"/>
    </row>
    <row r="115" spans="1:29" s="612" customFormat="1" ht="31.5" x14ac:dyDescent="0.2">
      <c r="A115" s="618" t="s">
        <v>1109</v>
      </c>
      <c r="B115" s="619" t="s">
        <v>747</v>
      </c>
      <c r="C115" s="620">
        <v>244</v>
      </c>
      <c r="D115" s="620">
        <v>225</v>
      </c>
      <c r="E115" s="596">
        <f t="shared" si="35"/>
        <v>45398.879999999997</v>
      </c>
      <c r="F115" s="595">
        <f>'Прилож 4 24 (2)'!V110</f>
        <v>0</v>
      </c>
      <c r="G115" s="595">
        <f>'Прилож 4 24 (2)'!W113</f>
        <v>0</v>
      </c>
      <c r="H115" s="595">
        <f>'Прилож 4 24 (2)'!X110</f>
        <v>45398.879999999997</v>
      </c>
      <c r="I115" s="623"/>
      <c r="J115" s="595">
        <f>'Прилож 4 24 (2)'!Z110</f>
        <v>0</v>
      </c>
      <c r="K115" s="595">
        <f>'Прилож 4 24 (2)'!AA110</f>
        <v>0</v>
      </c>
      <c r="L115" s="595">
        <f>'Прилож 4 24 (2)'!AB110</f>
        <v>0</v>
      </c>
      <c r="M115" s="596">
        <f t="shared" si="28"/>
        <v>0</v>
      </c>
      <c r="N115" s="595"/>
      <c r="O115" s="595"/>
      <c r="P115" s="595"/>
      <c r="Q115" s="621"/>
      <c r="R115" s="595"/>
      <c r="S115" s="595"/>
      <c r="T115" s="595"/>
      <c r="U115" s="596">
        <f t="shared" si="36"/>
        <v>45398.879999999997</v>
      </c>
      <c r="V115" s="595">
        <f t="shared" si="22"/>
        <v>0</v>
      </c>
      <c r="W115" s="595">
        <f t="shared" si="23"/>
        <v>0</v>
      </c>
      <c r="X115" s="595">
        <f t="shared" si="24"/>
        <v>45398.879999999997</v>
      </c>
      <c r="Y115" s="621"/>
      <c r="Z115" s="595">
        <f t="shared" si="25"/>
        <v>0</v>
      </c>
      <c r="AA115" s="595">
        <f t="shared" si="26"/>
        <v>0</v>
      </c>
      <c r="AB115" s="595">
        <f t="shared" si="27"/>
        <v>0</v>
      </c>
      <c r="AC115" s="622"/>
    </row>
    <row r="116" spans="1:29" ht="31.5" x14ac:dyDescent="0.2">
      <c r="A116" s="618" t="s">
        <v>157</v>
      </c>
      <c r="B116" s="619" t="s">
        <v>747</v>
      </c>
      <c r="C116" s="620">
        <v>244</v>
      </c>
      <c r="D116" s="620">
        <v>225</v>
      </c>
      <c r="E116" s="596">
        <f t="shared" si="35"/>
        <v>10000</v>
      </c>
      <c r="F116" s="595">
        <f>'Прилож 4 24 (2)'!V111</f>
        <v>0</v>
      </c>
      <c r="G116" s="595">
        <f>'Прилож 4 24 (2)'!W114</f>
        <v>0</v>
      </c>
      <c r="H116" s="595">
        <f>'Прилож 4 24 (2)'!X111</f>
        <v>10000</v>
      </c>
      <c r="I116" s="623"/>
      <c r="J116" s="595">
        <f>'Прилож 4 24 (2)'!Z111</f>
        <v>0</v>
      </c>
      <c r="K116" s="595">
        <f>'Прилож 4 24 (2)'!AA111</f>
        <v>0</v>
      </c>
      <c r="L116" s="595">
        <f>'Прилож 4 24 (2)'!AB111</f>
        <v>0</v>
      </c>
      <c r="M116" s="596">
        <f t="shared" si="28"/>
        <v>0</v>
      </c>
      <c r="N116" s="595"/>
      <c r="O116" s="595"/>
      <c r="P116" s="595"/>
      <c r="Q116" s="621"/>
      <c r="R116" s="595"/>
      <c r="S116" s="595"/>
      <c r="T116" s="595"/>
      <c r="U116" s="596">
        <f t="shared" si="36"/>
        <v>10000</v>
      </c>
      <c r="V116" s="595">
        <f t="shared" si="22"/>
        <v>0</v>
      </c>
      <c r="W116" s="595">
        <f t="shared" si="23"/>
        <v>0</v>
      </c>
      <c r="X116" s="595">
        <f t="shared" si="24"/>
        <v>10000</v>
      </c>
      <c r="Y116" s="628"/>
      <c r="Z116" s="595">
        <f t="shared" si="25"/>
        <v>0</v>
      </c>
      <c r="AA116" s="595">
        <f t="shared" si="26"/>
        <v>0</v>
      </c>
      <c r="AB116" s="595">
        <f t="shared" si="27"/>
        <v>0</v>
      </c>
      <c r="AC116" s="622"/>
    </row>
    <row r="117" spans="1:29" ht="34.15" customHeight="1" x14ac:dyDescent="0.2">
      <c r="A117" s="618" t="s">
        <v>1317</v>
      </c>
      <c r="B117" s="619" t="s">
        <v>747</v>
      </c>
      <c r="C117" s="620">
        <v>244</v>
      </c>
      <c r="D117" s="620">
        <v>225</v>
      </c>
      <c r="E117" s="596"/>
      <c r="F117" s="595"/>
      <c r="G117" s="595"/>
      <c r="H117" s="595"/>
      <c r="I117" s="623"/>
      <c r="J117" s="595"/>
      <c r="K117" s="595"/>
      <c r="L117" s="595"/>
      <c r="M117" s="596">
        <f t="shared" si="28"/>
        <v>202823.2</v>
      </c>
      <c r="N117" s="595"/>
      <c r="O117" s="595"/>
      <c r="P117" s="595"/>
      <c r="Q117" s="621" t="s">
        <v>1322</v>
      </c>
      <c r="R117" s="595"/>
      <c r="S117" s="595">
        <v>202823.2</v>
      </c>
      <c r="T117" s="595"/>
      <c r="U117" s="596">
        <f t="shared" si="36"/>
        <v>202823.2</v>
      </c>
      <c r="V117" s="595">
        <f t="shared" si="22"/>
        <v>0</v>
      </c>
      <c r="W117" s="595">
        <f t="shared" si="23"/>
        <v>0</v>
      </c>
      <c r="X117" s="595">
        <f t="shared" si="24"/>
        <v>0</v>
      </c>
      <c r="Y117" s="621" t="s">
        <v>1322</v>
      </c>
      <c r="Z117" s="595">
        <f t="shared" si="25"/>
        <v>0</v>
      </c>
      <c r="AA117" s="595">
        <v>202823.2</v>
      </c>
      <c r="AB117" s="595">
        <f t="shared" si="27"/>
        <v>0</v>
      </c>
      <c r="AC117" s="622" t="s">
        <v>1328</v>
      </c>
    </row>
    <row r="118" spans="1:29" ht="34.15" customHeight="1" x14ac:dyDescent="0.2">
      <c r="A118" s="618" t="s">
        <v>1319</v>
      </c>
      <c r="B118" s="619" t="s">
        <v>747</v>
      </c>
      <c r="C118" s="620">
        <v>244</v>
      </c>
      <c r="D118" s="620">
        <v>225</v>
      </c>
      <c r="E118" s="596"/>
      <c r="F118" s="595"/>
      <c r="G118" s="595"/>
      <c r="H118" s="595"/>
      <c r="I118" s="623"/>
      <c r="J118" s="595"/>
      <c r="K118" s="595"/>
      <c r="L118" s="595"/>
      <c r="M118" s="596">
        <f t="shared" si="28"/>
        <v>271171.20000000001</v>
      </c>
      <c r="N118" s="595"/>
      <c r="O118" s="595"/>
      <c r="P118" s="595"/>
      <c r="Q118" s="621" t="s">
        <v>1322</v>
      </c>
      <c r="R118" s="595"/>
      <c r="S118" s="595">
        <v>271171.20000000001</v>
      </c>
      <c r="T118" s="595"/>
      <c r="U118" s="596">
        <f t="shared" si="36"/>
        <v>271171.20000000001</v>
      </c>
      <c r="V118" s="595">
        <f t="shared" si="22"/>
        <v>0</v>
      </c>
      <c r="W118" s="595">
        <f t="shared" si="23"/>
        <v>0</v>
      </c>
      <c r="X118" s="595">
        <f t="shared" si="24"/>
        <v>0</v>
      </c>
      <c r="Y118" s="621" t="s">
        <v>1322</v>
      </c>
      <c r="Z118" s="595">
        <f t="shared" si="25"/>
        <v>0</v>
      </c>
      <c r="AA118" s="595">
        <v>271171.20000000001</v>
      </c>
      <c r="AB118" s="595">
        <f t="shared" si="27"/>
        <v>0</v>
      </c>
      <c r="AC118" s="622" t="s">
        <v>1328</v>
      </c>
    </row>
    <row r="119" spans="1:29" ht="47.25" x14ac:dyDescent="0.2">
      <c r="A119" s="618" t="s">
        <v>1320</v>
      </c>
      <c r="B119" s="619" t="s">
        <v>747</v>
      </c>
      <c r="C119" s="620">
        <v>244</v>
      </c>
      <c r="D119" s="620">
        <v>225</v>
      </c>
      <c r="E119" s="596"/>
      <c r="F119" s="595"/>
      <c r="G119" s="595"/>
      <c r="H119" s="595"/>
      <c r="I119" s="623"/>
      <c r="J119" s="595"/>
      <c r="K119" s="595"/>
      <c r="L119" s="595"/>
      <c r="M119" s="596">
        <f t="shared" si="28"/>
        <v>340128</v>
      </c>
      <c r="N119" s="595"/>
      <c r="O119" s="595"/>
      <c r="P119" s="595"/>
      <c r="Q119" s="621" t="s">
        <v>1322</v>
      </c>
      <c r="R119" s="595"/>
      <c r="S119" s="595">
        <v>340128</v>
      </c>
      <c r="T119" s="595"/>
      <c r="U119" s="596">
        <f t="shared" si="36"/>
        <v>340128</v>
      </c>
      <c r="V119" s="595">
        <f t="shared" si="22"/>
        <v>0</v>
      </c>
      <c r="W119" s="595">
        <f t="shared" si="23"/>
        <v>0</v>
      </c>
      <c r="X119" s="595">
        <f t="shared" si="24"/>
        <v>0</v>
      </c>
      <c r="Y119" s="621" t="s">
        <v>1322</v>
      </c>
      <c r="Z119" s="595">
        <f t="shared" si="25"/>
        <v>0</v>
      </c>
      <c r="AA119" s="595">
        <v>340128</v>
      </c>
      <c r="AB119" s="595">
        <f t="shared" si="27"/>
        <v>0</v>
      </c>
      <c r="AC119" s="622" t="s">
        <v>1328</v>
      </c>
    </row>
    <row r="120" spans="1:29" s="637" customFormat="1" x14ac:dyDescent="0.2">
      <c r="A120" s="632" t="s">
        <v>1143</v>
      </c>
      <c r="B120" s="633" t="s">
        <v>747</v>
      </c>
      <c r="C120" s="634">
        <v>244</v>
      </c>
      <c r="D120" s="634">
        <v>225</v>
      </c>
      <c r="E120" s="597">
        <f>SUM(E98:E119)</f>
        <v>347761.88</v>
      </c>
      <c r="F120" s="597">
        <f t="shared" ref="F120:G120" si="37">SUM(F98:F119)</f>
        <v>0</v>
      </c>
      <c r="G120" s="597">
        <f t="shared" si="37"/>
        <v>0</v>
      </c>
      <c r="H120" s="597">
        <f>SUM(H98:H119)</f>
        <v>347761.88</v>
      </c>
      <c r="I120" s="635"/>
      <c r="J120" s="595">
        <f>'Прилож 4 24 (2)'!Z112</f>
        <v>0</v>
      </c>
      <c r="K120" s="595">
        <f>'Прилож 4 24 (2)'!AA112</f>
        <v>0</v>
      </c>
      <c r="L120" s="595">
        <f>'Прилож 4 24 (2)'!AB112</f>
        <v>0</v>
      </c>
      <c r="M120" s="596">
        <f>N120+O120+P120+R120+S120+T120</f>
        <v>814122.4</v>
      </c>
      <c r="N120" s="597">
        <f>SUM(N98:N116)</f>
        <v>0</v>
      </c>
      <c r="O120" s="597">
        <f>SUM(O98:O116)</f>
        <v>0</v>
      </c>
      <c r="P120" s="597">
        <f>SUM(P98:P116)</f>
        <v>0</v>
      </c>
      <c r="Q120" s="635"/>
      <c r="R120" s="597">
        <f>SUM(R98:R116)</f>
        <v>0</v>
      </c>
      <c r="S120" s="597">
        <f>SUM(S117:S119)</f>
        <v>814122.4</v>
      </c>
      <c r="T120" s="597">
        <f>SUM(T98:T116)</f>
        <v>0</v>
      </c>
      <c r="U120" s="597">
        <f>SUM(U98:U119)</f>
        <v>1161884.28</v>
      </c>
      <c r="V120" s="595">
        <f t="shared" si="22"/>
        <v>0</v>
      </c>
      <c r="W120" s="595">
        <f t="shared" si="23"/>
        <v>0</v>
      </c>
      <c r="X120" s="595">
        <f t="shared" si="24"/>
        <v>347761.88</v>
      </c>
      <c r="Y120" s="635"/>
      <c r="Z120" s="595">
        <f t="shared" si="25"/>
        <v>0</v>
      </c>
      <c r="AA120" s="595">
        <f>S120+K120</f>
        <v>814122.4</v>
      </c>
      <c r="AB120" s="595">
        <f t="shared" si="27"/>
        <v>0</v>
      </c>
      <c r="AC120" s="636"/>
    </row>
    <row r="121" spans="1:29" ht="78.75" x14ac:dyDescent="0.2">
      <c r="A121" s="618" t="s">
        <v>1188</v>
      </c>
      <c r="B121" s="619" t="s">
        <v>729</v>
      </c>
      <c r="C121" s="620">
        <v>244</v>
      </c>
      <c r="D121" s="620">
        <v>225</v>
      </c>
      <c r="E121" s="596">
        <f t="shared" si="35"/>
        <v>50400</v>
      </c>
      <c r="F121" s="595">
        <f>'Прилож 4 24 (2)'!V113</f>
        <v>0</v>
      </c>
      <c r="G121" s="595">
        <f>'Прилож 4 24 (2)'!W116</f>
        <v>0</v>
      </c>
      <c r="H121" s="595">
        <f>'Прилож 4 24 (2)'!X113</f>
        <v>50400</v>
      </c>
      <c r="I121" s="623"/>
      <c r="J121" s="595">
        <f>'Прилож 4 24 (2)'!Z113</f>
        <v>0</v>
      </c>
      <c r="K121" s="595">
        <f>'Прилож 4 24 (2)'!AA113</f>
        <v>0</v>
      </c>
      <c r="L121" s="595">
        <f>'Прилож 4 24 (2)'!AB113</f>
        <v>0</v>
      </c>
      <c r="M121" s="596">
        <f t="shared" si="28"/>
        <v>0</v>
      </c>
      <c r="N121" s="595"/>
      <c r="O121" s="595"/>
      <c r="P121" s="595"/>
      <c r="Q121" s="621"/>
      <c r="R121" s="595"/>
      <c r="S121" s="595"/>
      <c r="T121" s="595"/>
      <c r="U121" s="596">
        <f t="shared" si="36"/>
        <v>50400</v>
      </c>
      <c r="V121" s="595">
        <f t="shared" si="22"/>
        <v>0</v>
      </c>
      <c r="W121" s="595">
        <f t="shared" si="23"/>
        <v>0</v>
      </c>
      <c r="X121" s="595">
        <f t="shared" si="24"/>
        <v>50400</v>
      </c>
      <c r="Y121" s="628"/>
      <c r="Z121" s="595">
        <f t="shared" si="25"/>
        <v>0</v>
      </c>
      <c r="AA121" s="595">
        <f t="shared" si="26"/>
        <v>0</v>
      </c>
      <c r="AB121" s="595">
        <f t="shared" si="27"/>
        <v>0</v>
      </c>
      <c r="AC121" s="622"/>
    </row>
    <row r="122" spans="1:29" x14ac:dyDescent="0.2">
      <c r="A122" s="618" t="s">
        <v>1193</v>
      </c>
      <c r="B122" s="619" t="s">
        <v>729</v>
      </c>
      <c r="C122" s="620">
        <v>244</v>
      </c>
      <c r="D122" s="620">
        <v>225</v>
      </c>
      <c r="E122" s="596">
        <f t="shared" si="35"/>
        <v>73152</v>
      </c>
      <c r="F122" s="595">
        <f>'Прилож 4 24 (2)'!V114</f>
        <v>0</v>
      </c>
      <c r="G122" s="595">
        <f>'Прилож 4 24 (2)'!W117</f>
        <v>0</v>
      </c>
      <c r="H122" s="595">
        <f>'Прилож 4 24 (2)'!X114</f>
        <v>73152</v>
      </c>
      <c r="I122" s="623"/>
      <c r="J122" s="595">
        <f>'Прилож 4 24 (2)'!Z114</f>
        <v>0</v>
      </c>
      <c r="K122" s="595">
        <f>'Прилож 4 24 (2)'!AA114</f>
        <v>0</v>
      </c>
      <c r="L122" s="595">
        <f>'Прилож 4 24 (2)'!AB114</f>
        <v>0</v>
      </c>
      <c r="M122" s="596">
        <f t="shared" si="28"/>
        <v>0</v>
      </c>
      <c r="N122" s="595"/>
      <c r="O122" s="595"/>
      <c r="P122" s="595"/>
      <c r="Q122" s="621"/>
      <c r="R122" s="595"/>
      <c r="S122" s="595"/>
      <c r="T122" s="595"/>
      <c r="U122" s="596">
        <f t="shared" si="36"/>
        <v>73152</v>
      </c>
      <c r="V122" s="595">
        <f t="shared" si="22"/>
        <v>0</v>
      </c>
      <c r="W122" s="595">
        <f t="shared" si="23"/>
        <v>0</v>
      </c>
      <c r="X122" s="595">
        <f t="shared" si="24"/>
        <v>73152</v>
      </c>
      <c r="Y122" s="628"/>
      <c r="Z122" s="595">
        <f t="shared" si="25"/>
        <v>0</v>
      </c>
      <c r="AA122" s="595">
        <f t="shared" si="26"/>
        <v>0</v>
      </c>
      <c r="AB122" s="595">
        <f t="shared" si="27"/>
        <v>0</v>
      </c>
      <c r="AC122" s="622"/>
    </row>
    <row r="123" spans="1:29" ht="54" customHeight="1" x14ac:dyDescent="0.2">
      <c r="A123" s="618" t="s">
        <v>1192</v>
      </c>
      <c r="B123" s="619" t="s">
        <v>729</v>
      </c>
      <c r="C123" s="620">
        <v>244</v>
      </c>
      <c r="D123" s="620">
        <v>225</v>
      </c>
      <c r="E123" s="596">
        <f t="shared" si="35"/>
        <v>3859</v>
      </c>
      <c r="F123" s="595">
        <f>'Прилож 4 24 (2)'!V115</f>
        <v>0</v>
      </c>
      <c r="G123" s="595">
        <f>'Прилож 4 24 (2)'!W118</f>
        <v>0</v>
      </c>
      <c r="H123" s="595">
        <f>'Прилож 4 24 (2)'!X115</f>
        <v>3859</v>
      </c>
      <c r="I123" s="623"/>
      <c r="J123" s="595">
        <f>'Прилож 4 24 (2)'!Z115</f>
        <v>0</v>
      </c>
      <c r="K123" s="595">
        <f>'Прилож 4 24 (2)'!AA115</f>
        <v>0</v>
      </c>
      <c r="L123" s="595">
        <f>'Прилож 4 24 (2)'!AB115</f>
        <v>0</v>
      </c>
      <c r="M123" s="596">
        <f t="shared" si="28"/>
        <v>0</v>
      </c>
      <c r="N123" s="595"/>
      <c r="O123" s="595"/>
      <c r="P123" s="595"/>
      <c r="Q123" s="621"/>
      <c r="R123" s="595"/>
      <c r="S123" s="595"/>
      <c r="T123" s="595"/>
      <c r="U123" s="596">
        <f t="shared" si="36"/>
        <v>3859</v>
      </c>
      <c r="V123" s="595">
        <f t="shared" si="22"/>
        <v>0</v>
      </c>
      <c r="W123" s="595">
        <f t="shared" si="23"/>
        <v>0</v>
      </c>
      <c r="X123" s="595">
        <f t="shared" si="24"/>
        <v>3859</v>
      </c>
      <c r="Y123" s="628"/>
      <c r="Z123" s="595">
        <f t="shared" si="25"/>
        <v>0</v>
      </c>
      <c r="AA123" s="595">
        <f t="shared" si="26"/>
        <v>0</v>
      </c>
      <c r="AB123" s="595">
        <f t="shared" si="27"/>
        <v>0</v>
      </c>
      <c r="AC123" s="622"/>
    </row>
    <row r="124" spans="1:29" ht="31.5" x14ac:dyDescent="0.2">
      <c r="A124" s="618" t="s">
        <v>1186</v>
      </c>
      <c r="B124" s="619" t="s">
        <v>729</v>
      </c>
      <c r="C124" s="620">
        <v>244</v>
      </c>
      <c r="D124" s="620">
        <v>225</v>
      </c>
      <c r="E124" s="596">
        <f t="shared" si="35"/>
        <v>23457.360000000001</v>
      </c>
      <c r="F124" s="595">
        <f>'Прилож 4 24 (2)'!V116</f>
        <v>0</v>
      </c>
      <c r="G124" s="595">
        <f>'Прилож 4 24 (2)'!W119</f>
        <v>0</v>
      </c>
      <c r="H124" s="595">
        <f>'Прилож 4 24 (2)'!X116</f>
        <v>23457.360000000001</v>
      </c>
      <c r="I124" s="623"/>
      <c r="J124" s="595">
        <f>'Прилож 4 24 (2)'!Z116</f>
        <v>0</v>
      </c>
      <c r="K124" s="595">
        <f>'Прилож 4 24 (2)'!AA116</f>
        <v>0</v>
      </c>
      <c r="L124" s="595">
        <f>'Прилож 4 24 (2)'!AB116</f>
        <v>0</v>
      </c>
      <c r="M124" s="596">
        <f t="shared" si="28"/>
        <v>0</v>
      </c>
      <c r="N124" s="595"/>
      <c r="O124" s="595"/>
      <c r="P124" s="595"/>
      <c r="Q124" s="621"/>
      <c r="R124" s="595"/>
      <c r="S124" s="595"/>
      <c r="T124" s="595"/>
      <c r="U124" s="596">
        <f t="shared" si="36"/>
        <v>23457.360000000001</v>
      </c>
      <c r="V124" s="595">
        <f t="shared" si="22"/>
        <v>0</v>
      </c>
      <c r="W124" s="595">
        <f t="shared" si="23"/>
        <v>0</v>
      </c>
      <c r="X124" s="595">
        <f t="shared" si="24"/>
        <v>23457.360000000001</v>
      </c>
      <c r="Y124" s="628"/>
      <c r="Z124" s="595">
        <f t="shared" si="25"/>
        <v>0</v>
      </c>
      <c r="AA124" s="595">
        <f t="shared" si="26"/>
        <v>0</v>
      </c>
      <c r="AB124" s="595">
        <f t="shared" si="27"/>
        <v>0</v>
      </c>
      <c r="AC124" s="622"/>
    </row>
    <row r="125" spans="1:29" ht="55.5" customHeight="1" x14ac:dyDescent="0.2">
      <c r="A125" s="618" t="s">
        <v>148</v>
      </c>
      <c r="B125" s="619" t="s">
        <v>729</v>
      </c>
      <c r="C125" s="620">
        <v>244</v>
      </c>
      <c r="D125" s="620">
        <v>225</v>
      </c>
      <c r="E125" s="596">
        <f t="shared" si="35"/>
        <v>4000</v>
      </c>
      <c r="F125" s="595">
        <f>'Прилож 4 24 (2)'!V117</f>
        <v>0</v>
      </c>
      <c r="G125" s="595">
        <f>'Прилож 4 24 (2)'!W120</f>
        <v>0</v>
      </c>
      <c r="H125" s="595">
        <f>'Прилож 4 24 (2)'!X117</f>
        <v>4000</v>
      </c>
      <c r="I125" s="623"/>
      <c r="J125" s="595">
        <f>'Прилож 4 24 (2)'!Z117</f>
        <v>0</v>
      </c>
      <c r="K125" s="595">
        <f>'Прилож 4 24 (2)'!AA117</f>
        <v>0</v>
      </c>
      <c r="L125" s="595">
        <f>'Прилож 4 24 (2)'!AB117</f>
        <v>0</v>
      </c>
      <c r="M125" s="596">
        <f t="shared" si="28"/>
        <v>0</v>
      </c>
      <c r="N125" s="595"/>
      <c r="O125" s="595"/>
      <c r="P125" s="595"/>
      <c r="Q125" s="621"/>
      <c r="R125" s="595"/>
      <c r="S125" s="595"/>
      <c r="T125" s="595"/>
      <c r="U125" s="596">
        <f t="shared" si="36"/>
        <v>4000</v>
      </c>
      <c r="V125" s="595">
        <f t="shared" si="22"/>
        <v>0</v>
      </c>
      <c r="W125" s="595">
        <f t="shared" si="23"/>
        <v>0</v>
      </c>
      <c r="X125" s="595">
        <f t="shared" si="24"/>
        <v>4000</v>
      </c>
      <c r="Y125" s="628"/>
      <c r="Z125" s="595">
        <f t="shared" si="25"/>
        <v>0</v>
      </c>
      <c r="AA125" s="595">
        <f t="shared" si="26"/>
        <v>0</v>
      </c>
      <c r="AB125" s="595">
        <f t="shared" si="27"/>
        <v>0</v>
      </c>
      <c r="AC125" s="622"/>
    </row>
    <row r="126" spans="1:29" x14ac:dyDescent="0.2">
      <c r="A126" s="618" t="s">
        <v>627</v>
      </c>
      <c r="B126" s="619" t="s">
        <v>729</v>
      </c>
      <c r="C126" s="620">
        <v>244</v>
      </c>
      <c r="D126" s="620">
        <v>225</v>
      </c>
      <c r="E126" s="596">
        <f t="shared" si="35"/>
        <v>126092.16</v>
      </c>
      <c r="F126" s="595">
        <f>'Прилож 4 24 (2)'!V118</f>
        <v>0</v>
      </c>
      <c r="G126" s="595">
        <f>'Прилож 4 24 (2)'!W121</f>
        <v>0</v>
      </c>
      <c r="H126" s="595">
        <f>'Прилож 4 24 (2)'!X118</f>
        <v>126092.16</v>
      </c>
      <c r="I126" s="623"/>
      <c r="J126" s="595">
        <f>'Прилож 4 24 (2)'!Z118</f>
        <v>0</v>
      </c>
      <c r="K126" s="595">
        <f>'Прилож 4 24 (2)'!AA118</f>
        <v>0</v>
      </c>
      <c r="L126" s="595">
        <f>'Прилож 4 24 (2)'!AB118</f>
        <v>0</v>
      </c>
      <c r="M126" s="596">
        <f t="shared" si="28"/>
        <v>0</v>
      </c>
      <c r="N126" s="595"/>
      <c r="O126" s="595"/>
      <c r="P126" s="595"/>
      <c r="Q126" s="621"/>
      <c r="R126" s="595"/>
      <c r="S126" s="595"/>
      <c r="T126" s="595"/>
      <c r="U126" s="596">
        <f t="shared" si="36"/>
        <v>126092.16</v>
      </c>
      <c r="V126" s="595">
        <f t="shared" si="22"/>
        <v>0</v>
      </c>
      <c r="W126" s="595">
        <f t="shared" si="23"/>
        <v>0</v>
      </c>
      <c r="X126" s="595">
        <f t="shared" si="24"/>
        <v>126092.16</v>
      </c>
      <c r="Y126" s="628"/>
      <c r="Z126" s="595">
        <f t="shared" si="25"/>
        <v>0</v>
      </c>
      <c r="AA126" s="595">
        <f t="shared" si="26"/>
        <v>0</v>
      </c>
      <c r="AB126" s="595">
        <f t="shared" si="27"/>
        <v>0</v>
      </c>
      <c r="AC126" s="622"/>
    </row>
    <row r="127" spans="1:29" ht="31.5" x14ac:dyDescent="0.2">
      <c r="A127" s="618" t="s">
        <v>759</v>
      </c>
      <c r="B127" s="619" t="s">
        <v>729</v>
      </c>
      <c r="C127" s="620">
        <v>244</v>
      </c>
      <c r="D127" s="620">
        <v>225</v>
      </c>
      <c r="E127" s="596">
        <f t="shared" si="35"/>
        <v>12000</v>
      </c>
      <c r="F127" s="595">
        <f>'Прилож 4 24 (2)'!V119</f>
        <v>0</v>
      </c>
      <c r="G127" s="595">
        <f>'Прилож 4 24 (2)'!W122</f>
        <v>0</v>
      </c>
      <c r="H127" s="595">
        <f>'Прилож 4 24 (2)'!X119</f>
        <v>12000</v>
      </c>
      <c r="I127" s="623"/>
      <c r="J127" s="595">
        <f>'Прилож 4 24 (2)'!Z119</f>
        <v>0</v>
      </c>
      <c r="K127" s="595">
        <f>'Прилож 4 24 (2)'!AA119</f>
        <v>0</v>
      </c>
      <c r="L127" s="595">
        <f>'Прилож 4 24 (2)'!AB119</f>
        <v>0</v>
      </c>
      <c r="M127" s="596">
        <f t="shared" si="28"/>
        <v>0</v>
      </c>
      <c r="N127" s="595"/>
      <c r="O127" s="595"/>
      <c r="P127" s="595"/>
      <c r="Q127" s="621"/>
      <c r="R127" s="595"/>
      <c r="S127" s="595"/>
      <c r="T127" s="595"/>
      <c r="U127" s="596">
        <f t="shared" si="36"/>
        <v>12000</v>
      </c>
      <c r="V127" s="595">
        <f t="shared" si="22"/>
        <v>0</v>
      </c>
      <c r="W127" s="595">
        <f t="shared" si="23"/>
        <v>0</v>
      </c>
      <c r="X127" s="595">
        <f t="shared" si="24"/>
        <v>12000</v>
      </c>
      <c r="Y127" s="628"/>
      <c r="Z127" s="595">
        <f t="shared" si="25"/>
        <v>0</v>
      </c>
      <c r="AA127" s="595">
        <f t="shared" si="26"/>
        <v>0</v>
      </c>
      <c r="AB127" s="595">
        <f t="shared" si="27"/>
        <v>0</v>
      </c>
      <c r="AC127" s="622"/>
    </row>
    <row r="128" spans="1:29" ht="36" customHeight="1" x14ac:dyDescent="0.2">
      <c r="A128" s="618" t="s">
        <v>143</v>
      </c>
      <c r="B128" s="619" t="s">
        <v>729</v>
      </c>
      <c r="C128" s="620">
        <v>244</v>
      </c>
      <c r="D128" s="620">
        <v>225</v>
      </c>
      <c r="E128" s="596">
        <f t="shared" si="35"/>
        <v>36219.360000000001</v>
      </c>
      <c r="F128" s="595">
        <f>'Прилож 4 24 (2)'!V120</f>
        <v>0</v>
      </c>
      <c r="G128" s="595">
        <f>'Прилож 4 24 (2)'!W123</f>
        <v>0</v>
      </c>
      <c r="H128" s="595">
        <f>'Прилож 4 24 (2)'!X120</f>
        <v>36219.360000000001</v>
      </c>
      <c r="I128" s="623"/>
      <c r="J128" s="595">
        <f>'Прилож 4 24 (2)'!Z120</f>
        <v>0</v>
      </c>
      <c r="K128" s="595">
        <f>'Прилож 4 24 (2)'!AA120</f>
        <v>0</v>
      </c>
      <c r="L128" s="595">
        <f>'Прилож 4 24 (2)'!AB120</f>
        <v>0</v>
      </c>
      <c r="M128" s="596">
        <f t="shared" si="28"/>
        <v>0</v>
      </c>
      <c r="N128" s="595"/>
      <c r="O128" s="595"/>
      <c r="P128" s="595"/>
      <c r="Q128" s="621"/>
      <c r="R128" s="595"/>
      <c r="S128" s="595"/>
      <c r="T128" s="595"/>
      <c r="U128" s="596">
        <f t="shared" si="36"/>
        <v>36219.360000000001</v>
      </c>
      <c r="V128" s="595">
        <f t="shared" si="22"/>
        <v>0</v>
      </c>
      <c r="W128" s="595">
        <f t="shared" si="23"/>
        <v>0</v>
      </c>
      <c r="X128" s="595">
        <f t="shared" si="24"/>
        <v>36219.360000000001</v>
      </c>
      <c r="Y128" s="628"/>
      <c r="Z128" s="595">
        <f t="shared" si="25"/>
        <v>0</v>
      </c>
      <c r="AA128" s="595">
        <f t="shared" si="26"/>
        <v>0</v>
      </c>
      <c r="AB128" s="595">
        <f t="shared" si="27"/>
        <v>0</v>
      </c>
      <c r="AC128" s="622"/>
    </row>
    <row r="129" spans="1:30" ht="46.5" customHeight="1" x14ac:dyDescent="0.2">
      <c r="A129" s="618" t="s">
        <v>635</v>
      </c>
      <c r="B129" s="619" t="s">
        <v>729</v>
      </c>
      <c r="C129" s="620">
        <v>244</v>
      </c>
      <c r="D129" s="620">
        <v>225</v>
      </c>
      <c r="E129" s="596">
        <f t="shared" si="35"/>
        <v>70000</v>
      </c>
      <c r="F129" s="595">
        <f>'Прилож 4 24 (2)'!V121</f>
        <v>0</v>
      </c>
      <c r="G129" s="595">
        <f>'Прилож 4 24 (2)'!W124</f>
        <v>0</v>
      </c>
      <c r="H129" s="595">
        <f>'Прилож 4 24 (2)'!X121</f>
        <v>70000</v>
      </c>
      <c r="I129" s="623"/>
      <c r="J129" s="595">
        <f>'Прилож 4 24 (2)'!Z121</f>
        <v>0</v>
      </c>
      <c r="K129" s="595">
        <f>'Прилож 4 24 (2)'!AA121</f>
        <v>0</v>
      </c>
      <c r="L129" s="595">
        <f>'Прилож 4 24 (2)'!AB121</f>
        <v>0</v>
      </c>
      <c r="M129" s="596">
        <f t="shared" si="28"/>
        <v>0</v>
      </c>
      <c r="N129" s="595"/>
      <c r="O129" s="595"/>
      <c r="P129" s="595"/>
      <c r="Q129" s="621"/>
      <c r="R129" s="595"/>
      <c r="S129" s="595"/>
      <c r="T129" s="595"/>
      <c r="U129" s="596">
        <f t="shared" si="36"/>
        <v>70000</v>
      </c>
      <c r="V129" s="595">
        <f t="shared" si="22"/>
        <v>0</v>
      </c>
      <c r="W129" s="595">
        <f t="shared" si="23"/>
        <v>0</v>
      </c>
      <c r="X129" s="595">
        <f t="shared" si="24"/>
        <v>70000</v>
      </c>
      <c r="Y129" s="628"/>
      <c r="Z129" s="595">
        <f t="shared" si="25"/>
        <v>0</v>
      </c>
      <c r="AA129" s="595">
        <f t="shared" si="26"/>
        <v>0</v>
      </c>
      <c r="AB129" s="595">
        <f t="shared" si="27"/>
        <v>0</v>
      </c>
      <c r="AC129" s="622"/>
    </row>
    <row r="130" spans="1:30" ht="31.5" x14ac:dyDescent="0.2">
      <c r="A130" s="618" t="s">
        <v>951</v>
      </c>
      <c r="B130" s="619" t="s">
        <v>729</v>
      </c>
      <c r="C130" s="620">
        <v>244</v>
      </c>
      <c r="D130" s="620">
        <v>225</v>
      </c>
      <c r="E130" s="596">
        <f t="shared" si="35"/>
        <v>10000</v>
      </c>
      <c r="F130" s="595">
        <f>'Прилож 4 24 (2)'!V122</f>
        <v>0</v>
      </c>
      <c r="G130" s="595">
        <f>'Прилож 4 24 (2)'!W125</f>
        <v>0</v>
      </c>
      <c r="H130" s="595">
        <f>'Прилож 4 24 (2)'!X122</f>
        <v>10000</v>
      </c>
      <c r="I130" s="623"/>
      <c r="J130" s="595">
        <f>'Прилож 4 24 (2)'!Z122</f>
        <v>0</v>
      </c>
      <c r="K130" s="595">
        <f>'Прилож 4 24 (2)'!AA122</f>
        <v>0</v>
      </c>
      <c r="L130" s="595">
        <f>'Прилож 4 24 (2)'!AB122</f>
        <v>0</v>
      </c>
      <c r="M130" s="596">
        <f t="shared" si="28"/>
        <v>0</v>
      </c>
      <c r="N130" s="595"/>
      <c r="O130" s="595"/>
      <c r="P130" s="595"/>
      <c r="Q130" s="621"/>
      <c r="R130" s="595"/>
      <c r="S130" s="595"/>
      <c r="T130" s="595"/>
      <c r="U130" s="596">
        <f t="shared" si="36"/>
        <v>10000</v>
      </c>
      <c r="V130" s="595">
        <f t="shared" si="22"/>
        <v>0</v>
      </c>
      <c r="W130" s="595">
        <f t="shared" si="23"/>
        <v>0</v>
      </c>
      <c r="X130" s="595">
        <f t="shared" si="24"/>
        <v>10000</v>
      </c>
      <c r="Y130" s="628"/>
      <c r="Z130" s="595">
        <f t="shared" si="25"/>
        <v>0</v>
      </c>
      <c r="AA130" s="595">
        <f t="shared" si="26"/>
        <v>0</v>
      </c>
      <c r="AB130" s="595">
        <f t="shared" si="27"/>
        <v>0</v>
      </c>
      <c r="AC130" s="622"/>
    </row>
    <row r="131" spans="1:30" x14ac:dyDescent="0.2">
      <c r="A131" s="618" t="s">
        <v>150</v>
      </c>
      <c r="B131" s="619" t="s">
        <v>729</v>
      </c>
      <c r="C131" s="620">
        <v>244</v>
      </c>
      <c r="D131" s="620">
        <v>225</v>
      </c>
      <c r="E131" s="596">
        <f t="shared" si="35"/>
        <v>4500</v>
      </c>
      <c r="F131" s="595">
        <f>'Прилож 4 24 (2)'!V123</f>
        <v>0</v>
      </c>
      <c r="G131" s="595">
        <f>'Прилож 4 24 (2)'!W126</f>
        <v>0</v>
      </c>
      <c r="H131" s="595">
        <f>'Прилож 4 24 (2)'!X123</f>
        <v>4500</v>
      </c>
      <c r="I131" s="623"/>
      <c r="J131" s="595">
        <f>'Прилож 4 24 (2)'!Z123</f>
        <v>0</v>
      </c>
      <c r="K131" s="595">
        <f>'Прилож 4 24 (2)'!AA123</f>
        <v>0</v>
      </c>
      <c r="L131" s="595">
        <f>'Прилож 4 24 (2)'!AB123</f>
        <v>0</v>
      </c>
      <c r="M131" s="596">
        <f t="shared" si="28"/>
        <v>0</v>
      </c>
      <c r="N131" s="595"/>
      <c r="O131" s="595"/>
      <c r="P131" s="595"/>
      <c r="Q131" s="621"/>
      <c r="R131" s="595"/>
      <c r="S131" s="595"/>
      <c r="T131" s="595"/>
      <c r="U131" s="596">
        <f t="shared" si="36"/>
        <v>4500</v>
      </c>
      <c r="V131" s="595">
        <f t="shared" si="22"/>
        <v>0</v>
      </c>
      <c r="W131" s="595">
        <f t="shared" si="23"/>
        <v>0</v>
      </c>
      <c r="X131" s="595">
        <f t="shared" si="24"/>
        <v>4500</v>
      </c>
      <c r="Y131" s="628"/>
      <c r="Z131" s="595">
        <f t="shared" si="25"/>
        <v>0</v>
      </c>
      <c r="AA131" s="595">
        <f t="shared" si="26"/>
        <v>0</v>
      </c>
      <c r="AB131" s="595">
        <f t="shared" si="27"/>
        <v>0</v>
      </c>
      <c r="AC131" s="622"/>
    </row>
    <row r="132" spans="1:30" ht="31.5" x14ac:dyDescent="0.2">
      <c r="A132" s="618" t="s">
        <v>952</v>
      </c>
      <c r="B132" s="619" t="s">
        <v>729</v>
      </c>
      <c r="C132" s="620">
        <v>244</v>
      </c>
      <c r="D132" s="620">
        <v>225</v>
      </c>
      <c r="E132" s="596">
        <f t="shared" si="35"/>
        <v>20000</v>
      </c>
      <c r="F132" s="595">
        <f>'Прилож 4 24 (2)'!V124</f>
        <v>0</v>
      </c>
      <c r="G132" s="595">
        <f>'Прилож 4 24 (2)'!W127</f>
        <v>0</v>
      </c>
      <c r="H132" s="595">
        <f>'Прилож 4 24 (2)'!X124</f>
        <v>20000</v>
      </c>
      <c r="I132" s="623"/>
      <c r="J132" s="595">
        <f>'Прилож 4 24 (2)'!Z124</f>
        <v>0</v>
      </c>
      <c r="K132" s="595">
        <f>'Прилож 4 24 (2)'!AA124</f>
        <v>0</v>
      </c>
      <c r="L132" s="595">
        <f>'Прилож 4 24 (2)'!AB124</f>
        <v>0</v>
      </c>
      <c r="M132" s="596">
        <f t="shared" si="28"/>
        <v>0</v>
      </c>
      <c r="N132" s="595"/>
      <c r="O132" s="595"/>
      <c r="P132" s="595"/>
      <c r="Q132" s="621"/>
      <c r="R132" s="595"/>
      <c r="S132" s="595"/>
      <c r="T132" s="595"/>
      <c r="U132" s="596">
        <f t="shared" si="36"/>
        <v>20000</v>
      </c>
      <c r="V132" s="595">
        <f t="shared" si="22"/>
        <v>0</v>
      </c>
      <c r="W132" s="595">
        <f t="shared" si="23"/>
        <v>0</v>
      </c>
      <c r="X132" s="595">
        <f t="shared" si="24"/>
        <v>20000</v>
      </c>
      <c r="Y132" s="628"/>
      <c r="Z132" s="595">
        <f t="shared" si="25"/>
        <v>0</v>
      </c>
      <c r="AA132" s="595">
        <f t="shared" si="26"/>
        <v>0</v>
      </c>
      <c r="AB132" s="595">
        <f t="shared" si="27"/>
        <v>0</v>
      </c>
      <c r="AC132" s="622"/>
    </row>
    <row r="133" spans="1:30" ht="45.75" customHeight="1" x14ac:dyDescent="0.2">
      <c r="A133" s="618" t="s">
        <v>149</v>
      </c>
      <c r="B133" s="619" t="s">
        <v>729</v>
      </c>
      <c r="C133" s="620">
        <v>244</v>
      </c>
      <c r="D133" s="620">
        <v>225</v>
      </c>
      <c r="E133" s="596">
        <f t="shared" si="35"/>
        <v>2652</v>
      </c>
      <c r="F133" s="595">
        <f>'Прилож 4 24 (2)'!V125</f>
        <v>0</v>
      </c>
      <c r="G133" s="595">
        <f>'Прилож 4 24 (2)'!W128</f>
        <v>0</v>
      </c>
      <c r="H133" s="595">
        <f>'Прилож 4 24 (2)'!X125</f>
        <v>2652</v>
      </c>
      <c r="I133" s="623"/>
      <c r="J133" s="595">
        <f>'Прилож 4 24 (2)'!Z125</f>
        <v>0</v>
      </c>
      <c r="K133" s="595">
        <f>'Прилож 4 24 (2)'!AA125</f>
        <v>0</v>
      </c>
      <c r="L133" s="595">
        <f>'Прилож 4 24 (2)'!AB125</f>
        <v>0</v>
      </c>
      <c r="M133" s="596">
        <f t="shared" si="28"/>
        <v>0</v>
      </c>
      <c r="N133" s="595"/>
      <c r="O133" s="595"/>
      <c r="P133" s="595"/>
      <c r="Q133" s="621"/>
      <c r="R133" s="595"/>
      <c r="S133" s="595"/>
      <c r="T133" s="595"/>
      <c r="U133" s="596">
        <f t="shared" si="36"/>
        <v>2652</v>
      </c>
      <c r="V133" s="595">
        <f t="shared" si="22"/>
        <v>0</v>
      </c>
      <c r="W133" s="595">
        <f t="shared" si="23"/>
        <v>0</v>
      </c>
      <c r="X133" s="595">
        <f t="shared" si="24"/>
        <v>2652</v>
      </c>
      <c r="Y133" s="628"/>
      <c r="Z133" s="595">
        <f t="shared" si="25"/>
        <v>0</v>
      </c>
      <c r="AA133" s="595">
        <f t="shared" si="26"/>
        <v>0</v>
      </c>
      <c r="AB133" s="595">
        <f t="shared" si="27"/>
        <v>0</v>
      </c>
      <c r="AC133" s="622"/>
    </row>
    <row r="134" spans="1:30" ht="31.5" x14ac:dyDescent="0.2">
      <c r="A134" s="618" t="s">
        <v>644</v>
      </c>
      <c r="B134" s="619" t="s">
        <v>729</v>
      </c>
      <c r="C134" s="620">
        <v>244</v>
      </c>
      <c r="D134" s="620">
        <v>225</v>
      </c>
      <c r="E134" s="596">
        <f t="shared" si="35"/>
        <v>15000</v>
      </c>
      <c r="F134" s="595">
        <f>'Прилож 4 24 (2)'!V126</f>
        <v>0</v>
      </c>
      <c r="G134" s="595">
        <f>'Прилож 4 24 (2)'!W129</f>
        <v>0</v>
      </c>
      <c r="H134" s="595">
        <f>'Прилож 4 24 (2)'!X126</f>
        <v>15000</v>
      </c>
      <c r="I134" s="623"/>
      <c r="J134" s="595">
        <f>'Прилож 4 24 (2)'!Z126</f>
        <v>0</v>
      </c>
      <c r="K134" s="595">
        <f>'Прилож 4 24 (2)'!AA126</f>
        <v>0</v>
      </c>
      <c r="L134" s="595">
        <f>'Прилож 4 24 (2)'!AB126</f>
        <v>0</v>
      </c>
      <c r="M134" s="596">
        <f t="shared" si="28"/>
        <v>0</v>
      </c>
      <c r="N134" s="595"/>
      <c r="O134" s="595"/>
      <c r="P134" s="595"/>
      <c r="Q134" s="621"/>
      <c r="R134" s="595"/>
      <c r="S134" s="595"/>
      <c r="T134" s="595"/>
      <c r="U134" s="596">
        <f t="shared" si="36"/>
        <v>15000</v>
      </c>
      <c r="V134" s="595">
        <f t="shared" si="22"/>
        <v>0</v>
      </c>
      <c r="W134" s="595">
        <f t="shared" si="23"/>
        <v>0</v>
      </c>
      <c r="X134" s="595">
        <f t="shared" si="24"/>
        <v>15000</v>
      </c>
      <c r="Y134" s="628"/>
      <c r="Z134" s="595">
        <f t="shared" si="25"/>
        <v>0</v>
      </c>
      <c r="AA134" s="595">
        <f t="shared" si="26"/>
        <v>0</v>
      </c>
      <c r="AB134" s="595">
        <f t="shared" si="27"/>
        <v>0</v>
      </c>
      <c r="AC134" s="622"/>
    </row>
    <row r="135" spans="1:30" ht="31.5" x14ac:dyDescent="0.2">
      <c r="A135" s="618" t="s">
        <v>587</v>
      </c>
      <c r="B135" s="619" t="s">
        <v>729</v>
      </c>
      <c r="C135" s="620">
        <v>244</v>
      </c>
      <c r="D135" s="620">
        <v>225</v>
      </c>
      <c r="E135" s="596">
        <f t="shared" si="35"/>
        <v>15624</v>
      </c>
      <c r="F135" s="595">
        <f>'Прилож 4 24 (2)'!V127</f>
        <v>0</v>
      </c>
      <c r="G135" s="595">
        <f>'Прилож 4 24 (2)'!W130</f>
        <v>0</v>
      </c>
      <c r="H135" s="595">
        <f>'Прилож 4 24 (2)'!X127</f>
        <v>15624</v>
      </c>
      <c r="I135" s="623"/>
      <c r="J135" s="595">
        <f>'Прилож 4 24 (2)'!Z127</f>
        <v>0</v>
      </c>
      <c r="K135" s="595">
        <f>'Прилож 4 24 (2)'!AA127</f>
        <v>0</v>
      </c>
      <c r="L135" s="595">
        <f>'Прилож 4 24 (2)'!AB127</f>
        <v>0</v>
      </c>
      <c r="M135" s="596">
        <f t="shared" si="28"/>
        <v>0</v>
      </c>
      <c r="N135" s="595"/>
      <c r="O135" s="595"/>
      <c r="P135" s="595"/>
      <c r="Q135" s="621"/>
      <c r="R135" s="595"/>
      <c r="S135" s="595"/>
      <c r="T135" s="595"/>
      <c r="U135" s="596">
        <f t="shared" si="36"/>
        <v>15624</v>
      </c>
      <c r="V135" s="595">
        <f t="shared" si="22"/>
        <v>0</v>
      </c>
      <c r="W135" s="595">
        <f t="shared" si="23"/>
        <v>0</v>
      </c>
      <c r="X135" s="595">
        <f t="shared" si="24"/>
        <v>15624</v>
      </c>
      <c r="Y135" s="628"/>
      <c r="Z135" s="595">
        <f t="shared" si="25"/>
        <v>0</v>
      </c>
      <c r="AA135" s="595">
        <f t="shared" si="26"/>
        <v>0</v>
      </c>
      <c r="AB135" s="595">
        <f t="shared" si="27"/>
        <v>0</v>
      </c>
      <c r="AC135" s="622"/>
    </row>
    <row r="136" spans="1:30" ht="31.5" x14ac:dyDescent="0.2">
      <c r="A136" s="618" t="s">
        <v>1208</v>
      </c>
      <c r="B136" s="619" t="s">
        <v>729</v>
      </c>
      <c r="C136" s="620">
        <v>244</v>
      </c>
      <c r="D136" s="620">
        <v>225</v>
      </c>
      <c r="E136" s="596">
        <f t="shared" si="35"/>
        <v>17500</v>
      </c>
      <c r="F136" s="595">
        <f>'Прилож 4 24 (2)'!V128</f>
        <v>0</v>
      </c>
      <c r="G136" s="595">
        <f>'Прилож 4 24 (2)'!W131</f>
        <v>0</v>
      </c>
      <c r="H136" s="595">
        <f>'Прилож 4 24 (2)'!X128</f>
        <v>17500</v>
      </c>
      <c r="I136" s="623"/>
      <c r="J136" s="595">
        <f>'Прилож 4 24 (2)'!Z128</f>
        <v>0</v>
      </c>
      <c r="K136" s="595">
        <f>'Прилож 4 24 (2)'!AA128</f>
        <v>0</v>
      </c>
      <c r="L136" s="595">
        <f>'Прилож 4 24 (2)'!AB128</f>
        <v>0</v>
      </c>
      <c r="M136" s="596">
        <f t="shared" si="28"/>
        <v>0</v>
      </c>
      <c r="N136" s="595"/>
      <c r="O136" s="595"/>
      <c r="P136" s="595"/>
      <c r="Q136" s="621"/>
      <c r="R136" s="595"/>
      <c r="S136" s="595"/>
      <c r="T136" s="595"/>
      <c r="U136" s="596">
        <f t="shared" si="36"/>
        <v>17500</v>
      </c>
      <c r="V136" s="595">
        <f t="shared" si="22"/>
        <v>0</v>
      </c>
      <c r="W136" s="595">
        <f t="shared" si="23"/>
        <v>0</v>
      </c>
      <c r="X136" s="595">
        <f t="shared" si="24"/>
        <v>17500</v>
      </c>
      <c r="Y136" s="628"/>
      <c r="Z136" s="595">
        <f t="shared" si="25"/>
        <v>0</v>
      </c>
      <c r="AA136" s="595">
        <f t="shared" si="26"/>
        <v>0</v>
      </c>
      <c r="AB136" s="595">
        <f t="shared" si="27"/>
        <v>0</v>
      </c>
      <c r="AC136" s="622"/>
    </row>
    <row r="137" spans="1:30" ht="31.5" x14ac:dyDescent="0.2">
      <c r="A137" s="618" t="s">
        <v>157</v>
      </c>
      <c r="B137" s="619" t="s">
        <v>729</v>
      </c>
      <c r="C137" s="620">
        <v>244</v>
      </c>
      <c r="D137" s="620">
        <v>225</v>
      </c>
      <c r="E137" s="596">
        <f t="shared" si="35"/>
        <v>10000</v>
      </c>
      <c r="F137" s="595">
        <f>'Прилож 4 24 (2)'!V129</f>
        <v>0</v>
      </c>
      <c r="G137" s="595">
        <f>'Прилож 4 24 (2)'!W132</f>
        <v>0</v>
      </c>
      <c r="H137" s="595">
        <f>'Прилож 4 24 (2)'!X129</f>
        <v>10000</v>
      </c>
      <c r="I137" s="623"/>
      <c r="J137" s="595">
        <f>'Прилож 4 24 (2)'!Z129</f>
        <v>0</v>
      </c>
      <c r="K137" s="595">
        <f>'Прилож 4 24 (2)'!AA129</f>
        <v>0</v>
      </c>
      <c r="L137" s="595">
        <f>'Прилож 4 24 (2)'!AB129</f>
        <v>0</v>
      </c>
      <c r="M137" s="596">
        <f t="shared" si="28"/>
        <v>0</v>
      </c>
      <c r="N137" s="595"/>
      <c r="O137" s="595"/>
      <c r="P137" s="595"/>
      <c r="Q137" s="621"/>
      <c r="R137" s="595"/>
      <c r="S137" s="595"/>
      <c r="T137" s="595"/>
      <c r="U137" s="596">
        <f t="shared" si="36"/>
        <v>10000</v>
      </c>
      <c r="V137" s="595">
        <f t="shared" si="22"/>
        <v>0</v>
      </c>
      <c r="W137" s="595">
        <f t="shared" si="23"/>
        <v>0</v>
      </c>
      <c r="X137" s="595">
        <f t="shared" si="24"/>
        <v>10000</v>
      </c>
      <c r="Y137" s="628"/>
      <c r="Z137" s="595">
        <f t="shared" si="25"/>
        <v>0</v>
      </c>
      <c r="AA137" s="595">
        <f t="shared" si="26"/>
        <v>0</v>
      </c>
      <c r="AB137" s="595">
        <f t="shared" si="27"/>
        <v>0</v>
      </c>
      <c r="AC137" s="622"/>
    </row>
    <row r="138" spans="1:30" x14ac:dyDescent="0.2">
      <c r="A138" s="618" t="s">
        <v>583</v>
      </c>
      <c r="B138" s="619" t="s">
        <v>729</v>
      </c>
      <c r="C138" s="620">
        <v>244</v>
      </c>
      <c r="D138" s="620">
        <v>225</v>
      </c>
      <c r="E138" s="596">
        <f t="shared" si="35"/>
        <v>5000</v>
      </c>
      <c r="F138" s="595">
        <f>'Прилож 4 24 (2)'!V130</f>
        <v>0</v>
      </c>
      <c r="G138" s="595">
        <f>'Прилож 4 24 (2)'!W133</f>
        <v>0</v>
      </c>
      <c r="H138" s="595">
        <f>'Прилож 4 24 (2)'!X130</f>
        <v>5000</v>
      </c>
      <c r="I138" s="623"/>
      <c r="J138" s="595">
        <f>'Прилож 4 24 (2)'!Z130</f>
        <v>0</v>
      </c>
      <c r="K138" s="595">
        <f>'Прилож 4 24 (2)'!AA130</f>
        <v>0</v>
      </c>
      <c r="L138" s="595">
        <f>'Прилож 4 24 (2)'!AB130</f>
        <v>0</v>
      </c>
      <c r="M138" s="596">
        <f t="shared" si="28"/>
        <v>0</v>
      </c>
      <c r="N138" s="595"/>
      <c r="O138" s="595"/>
      <c r="P138" s="595"/>
      <c r="Q138" s="621"/>
      <c r="R138" s="595"/>
      <c r="S138" s="595"/>
      <c r="T138" s="595"/>
      <c r="U138" s="596">
        <f t="shared" si="36"/>
        <v>5000</v>
      </c>
      <c r="V138" s="595">
        <f t="shared" si="22"/>
        <v>0</v>
      </c>
      <c r="W138" s="595">
        <f t="shared" si="23"/>
        <v>0</v>
      </c>
      <c r="X138" s="595">
        <f t="shared" si="24"/>
        <v>5000</v>
      </c>
      <c r="Y138" s="628"/>
      <c r="Z138" s="595">
        <f t="shared" si="25"/>
        <v>0</v>
      </c>
      <c r="AA138" s="595">
        <f t="shared" si="26"/>
        <v>0</v>
      </c>
      <c r="AB138" s="595">
        <f t="shared" si="27"/>
        <v>0</v>
      </c>
      <c r="AC138" s="622"/>
    </row>
    <row r="139" spans="1:30" x14ac:dyDescent="0.2">
      <c r="A139" s="618" t="s">
        <v>1204</v>
      </c>
      <c r="B139" s="619" t="s">
        <v>729</v>
      </c>
      <c r="C139" s="620">
        <v>244</v>
      </c>
      <c r="D139" s="620">
        <v>225</v>
      </c>
      <c r="E139" s="596">
        <f t="shared" si="35"/>
        <v>50000</v>
      </c>
      <c r="F139" s="595">
        <f>'Прилож 4 24 (2)'!V131</f>
        <v>0</v>
      </c>
      <c r="G139" s="595">
        <f>'Прилож 4 24 (2)'!W134</f>
        <v>0</v>
      </c>
      <c r="H139" s="595">
        <f>'Прилож 4 24 (2)'!X131</f>
        <v>50000</v>
      </c>
      <c r="I139" s="623"/>
      <c r="J139" s="595">
        <f>'Прилож 4 24 (2)'!Z131</f>
        <v>0</v>
      </c>
      <c r="K139" s="595">
        <f>'Прилож 4 24 (2)'!AA131</f>
        <v>0</v>
      </c>
      <c r="L139" s="595">
        <f>'Прилож 4 24 (2)'!AB131</f>
        <v>0</v>
      </c>
      <c r="M139" s="596">
        <f t="shared" si="28"/>
        <v>0</v>
      </c>
      <c r="N139" s="595"/>
      <c r="O139" s="595"/>
      <c r="P139" s="595"/>
      <c r="Q139" s="621"/>
      <c r="R139" s="595"/>
      <c r="S139" s="595"/>
      <c r="T139" s="595"/>
      <c r="U139" s="596">
        <f t="shared" si="36"/>
        <v>50000</v>
      </c>
      <c r="V139" s="595">
        <f t="shared" si="22"/>
        <v>0</v>
      </c>
      <c r="W139" s="595">
        <f t="shared" si="23"/>
        <v>0</v>
      </c>
      <c r="X139" s="595">
        <f t="shared" si="24"/>
        <v>50000</v>
      </c>
      <c r="Y139" s="628"/>
      <c r="Z139" s="595">
        <f t="shared" si="25"/>
        <v>0</v>
      </c>
      <c r="AA139" s="595">
        <f t="shared" si="26"/>
        <v>0</v>
      </c>
      <c r="AB139" s="595">
        <f t="shared" si="27"/>
        <v>0</v>
      </c>
      <c r="AC139" s="622"/>
    </row>
    <row r="140" spans="1:30" ht="63" x14ac:dyDescent="0.2">
      <c r="A140" s="618" t="s">
        <v>1327</v>
      </c>
      <c r="B140" s="619" t="s">
        <v>729</v>
      </c>
      <c r="C140" s="620">
        <v>244</v>
      </c>
      <c r="D140" s="620">
        <v>225</v>
      </c>
      <c r="E140" s="596">
        <f t="shared" si="35"/>
        <v>0</v>
      </c>
      <c r="F140" s="595">
        <f>'Прилож 4 24 (2)'!V132</f>
        <v>0</v>
      </c>
      <c r="G140" s="595">
        <f>'Прилож 4 24 (2)'!W135</f>
        <v>0</v>
      </c>
      <c r="H140" s="595"/>
      <c r="I140" s="623"/>
      <c r="J140" s="595">
        <f>'Прилож 4 24 (2)'!Z132</f>
        <v>0</v>
      </c>
      <c r="K140" s="595">
        <f>'Прилож 4 24 (2)'!AA132</f>
        <v>0</v>
      </c>
      <c r="L140" s="595">
        <f>'Прилож 4 24 (2)'!AB132</f>
        <v>0</v>
      </c>
      <c r="M140" s="596">
        <f t="shared" si="28"/>
        <v>5075389</v>
      </c>
      <c r="N140" s="595"/>
      <c r="O140" s="595"/>
      <c r="P140" s="595"/>
      <c r="Q140" s="621" t="s">
        <v>1314</v>
      </c>
      <c r="R140" s="595"/>
      <c r="S140" s="595">
        <v>5075389</v>
      </c>
      <c r="T140" s="595"/>
      <c r="U140" s="596">
        <f t="shared" si="36"/>
        <v>5075389</v>
      </c>
      <c r="V140" s="595">
        <f t="shared" si="22"/>
        <v>0</v>
      </c>
      <c r="W140" s="595">
        <f t="shared" si="23"/>
        <v>0</v>
      </c>
      <c r="X140" s="595">
        <f t="shared" si="24"/>
        <v>0</v>
      </c>
      <c r="Y140" s="621" t="s">
        <v>1314</v>
      </c>
      <c r="Z140" s="595">
        <f t="shared" si="25"/>
        <v>0</v>
      </c>
      <c r="AA140" s="595">
        <f t="shared" si="26"/>
        <v>5075389</v>
      </c>
      <c r="AB140" s="595">
        <f t="shared" si="27"/>
        <v>0</v>
      </c>
      <c r="AC140" s="622" t="s">
        <v>1333</v>
      </c>
    </row>
    <row r="141" spans="1:30" s="637" customFormat="1" x14ac:dyDescent="0.2">
      <c r="A141" s="632" t="s">
        <v>1143</v>
      </c>
      <c r="B141" s="633" t="s">
        <v>729</v>
      </c>
      <c r="C141" s="634">
        <v>244</v>
      </c>
      <c r="D141" s="634">
        <v>225</v>
      </c>
      <c r="E141" s="597">
        <f>SUM(E121:E139)</f>
        <v>549455.88</v>
      </c>
      <c r="F141" s="595">
        <f>'Прилож 4 24 (2)'!V132</f>
        <v>0</v>
      </c>
      <c r="G141" s="595">
        <f>'Прилож 4 24 (2)'!W136</f>
        <v>0</v>
      </c>
      <c r="H141" s="595">
        <f>'Прилож 4 24 (2)'!X132</f>
        <v>549455.88</v>
      </c>
      <c r="I141" s="635"/>
      <c r="J141" s="595">
        <f>'Прилож 4 24 (2)'!Z132</f>
        <v>0</v>
      </c>
      <c r="K141" s="595">
        <f>'Прилож 4 24 (2)'!AA132</f>
        <v>0</v>
      </c>
      <c r="L141" s="595">
        <f>'Прилож 4 24 (2)'!AB132</f>
        <v>0</v>
      </c>
      <c r="M141" s="596">
        <f t="shared" si="28"/>
        <v>5075389</v>
      </c>
      <c r="N141" s="597">
        <f t="shared" ref="N141:T141" si="38">SUM(N121:N139)</f>
        <v>0</v>
      </c>
      <c r="O141" s="597">
        <f t="shared" si="38"/>
        <v>0</v>
      </c>
      <c r="P141" s="597">
        <f t="shared" si="38"/>
        <v>0</v>
      </c>
      <c r="Q141" s="635"/>
      <c r="R141" s="597">
        <f t="shared" si="38"/>
        <v>0</v>
      </c>
      <c r="S141" s="597">
        <f>SUM(S121:S140)</f>
        <v>5075389</v>
      </c>
      <c r="T141" s="597">
        <f t="shared" si="38"/>
        <v>0</v>
      </c>
      <c r="U141" s="597">
        <f>SUM(U121:U140)</f>
        <v>5624844.8799999999</v>
      </c>
      <c r="V141" s="595">
        <f t="shared" si="22"/>
        <v>0</v>
      </c>
      <c r="W141" s="595">
        <f t="shared" si="23"/>
        <v>0</v>
      </c>
      <c r="X141" s="595">
        <f t="shared" si="24"/>
        <v>549455.88</v>
      </c>
      <c r="Y141" s="635"/>
      <c r="Z141" s="595">
        <f t="shared" si="25"/>
        <v>0</v>
      </c>
      <c r="AA141" s="595">
        <f t="shared" si="26"/>
        <v>5075389</v>
      </c>
      <c r="AB141" s="595">
        <f t="shared" si="27"/>
        <v>0</v>
      </c>
      <c r="AC141" s="636"/>
    </row>
    <row r="142" spans="1:30" x14ac:dyDescent="0.2">
      <c r="A142" s="618" t="s">
        <v>677</v>
      </c>
      <c r="B142" s="619" t="s">
        <v>691</v>
      </c>
      <c r="C142" s="620">
        <v>244</v>
      </c>
      <c r="D142" s="620">
        <v>225</v>
      </c>
      <c r="E142" s="596">
        <f t="shared" si="35"/>
        <v>15661.8</v>
      </c>
      <c r="F142" s="595">
        <f>'Прилож 4 24 (2)'!V133</f>
        <v>0</v>
      </c>
      <c r="G142" s="595">
        <f>'Прилож 4 24 (2)'!W137</f>
        <v>0</v>
      </c>
      <c r="H142" s="595">
        <f>'Прилож 4 24 (2)'!X133</f>
        <v>13296.74</v>
      </c>
      <c r="I142" s="623"/>
      <c r="J142" s="595">
        <f>'Прилож 4 24 (2)'!Z133</f>
        <v>0</v>
      </c>
      <c r="K142" s="595">
        <f>'Прилож 4 24 (2)'!AA133</f>
        <v>0</v>
      </c>
      <c r="L142" s="595">
        <f>'Прилож 4 24 (2)'!AB133</f>
        <v>2365.06</v>
      </c>
      <c r="M142" s="596">
        <f t="shared" si="28"/>
        <v>0</v>
      </c>
      <c r="N142" s="595"/>
      <c r="O142" s="595"/>
      <c r="P142" s="595"/>
      <c r="Q142" s="621"/>
      <c r="R142" s="595"/>
      <c r="S142" s="595"/>
      <c r="T142" s="595"/>
      <c r="U142" s="596">
        <f t="shared" si="36"/>
        <v>15661.8</v>
      </c>
      <c r="V142" s="595">
        <f t="shared" si="22"/>
        <v>0</v>
      </c>
      <c r="W142" s="595">
        <f t="shared" si="23"/>
        <v>0</v>
      </c>
      <c r="X142" s="595">
        <f t="shared" si="24"/>
        <v>13296.74</v>
      </c>
      <c r="Y142" s="628"/>
      <c r="Z142" s="595">
        <f t="shared" si="25"/>
        <v>0</v>
      </c>
      <c r="AA142" s="595">
        <f t="shared" si="26"/>
        <v>0</v>
      </c>
      <c r="AB142" s="595">
        <f t="shared" si="27"/>
        <v>2365.06</v>
      </c>
      <c r="AC142" s="622"/>
    </row>
    <row r="143" spans="1:30" s="614" customFormat="1" x14ac:dyDescent="0.2">
      <c r="A143" s="630" t="s">
        <v>738</v>
      </c>
      <c r="B143" s="631"/>
      <c r="C143" s="624"/>
      <c r="D143" s="624"/>
      <c r="E143" s="596">
        <f>E142+E141+E120</f>
        <v>912879.56</v>
      </c>
      <c r="F143" s="595">
        <f>'Прилож 4 24 (2)'!V134</f>
        <v>0</v>
      </c>
      <c r="G143" s="595">
        <f>'Прилож 4 24 (2)'!W138</f>
        <v>0</v>
      </c>
      <c r="H143" s="595">
        <f>'Прилож 4 24 (2)'!X134</f>
        <v>910514.5</v>
      </c>
      <c r="I143" s="626"/>
      <c r="J143" s="595">
        <f>'Прилож 4 24 (2)'!Z134</f>
        <v>0</v>
      </c>
      <c r="K143" s="595">
        <f>'Прилож 4 24 (2)'!AA134</f>
        <v>0</v>
      </c>
      <c r="L143" s="595">
        <f>'Прилож 4 24 (2)'!AB134</f>
        <v>2365.06</v>
      </c>
      <c r="M143" s="596">
        <f>N143+P143+R143+S143+T143+O143</f>
        <v>5889511.4000000004</v>
      </c>
      <c r="N143" s="596">
        <f t="shared" ref="N143:T143" si="39">N142+N141+N120</f>
        <v>0</v>
      </c>
      <c r="O143" s="596">
        <f t="shared" si="39"/>
        <v>0</v>
      </c>
      <c r="P143" s="596">
        <f t="shared" si="39"/>
        <v>0</v>
      </c>
      <c r="Q143" s="626"/>
      <c r="R143" s="596">
        <f t="shared" si="39"/>
        <v>0</v>
      </c>
      <c r="S143" s="596">
        <f t="shared" si="39"/>
        <v>5889511.4000000004</v>
      </c>
      <c r="T143" s="596">
        <f t="shared" si="39"/>
        <v>0</v>
      </c>
      <c r="U143" s="596">
        <f>U142+U141+U120</f>
        <v>6802390.96</v>
      </c>
      <c r="V143" s="595">
        <f t="shared" si="22"/>
        <v>0</v>
      </c>
      <c r="W143" s="595">
        <f t="shared" si="23"/>
        <v>0</v>
      </c>
      <c r="X143" s="595">
        <f t="shared" si="24"/>
        <v>910514.5</v>
      </c>
      <c r="Y143" s="626"/>
      <c r="Z143" s="595">
        <f t="shared" si="25"/>
        <v>0</v>
      </c>
      <c r="AA143" s="595">
        <f t="shared" si="26"/>
        <v>5889511.4000000004</v>
      </c>
      <c r="AB143" s="595">
        <f t="shared" si="27"/>
        <v>2365.06</v>
      </c>
      <c r="AC143" s="627"/>
      <c r="AD143" s="818"/>
    </row>
    <row r="144" spans="1:30" ht="47.25" x14ac:dyDescent="0.2">
      <c r="A144" s="618" t="s">
        <v>586</v>
      </c>
      <c r="B144" s="619" t="s">
        <v>747</v>
      </c>
      <c r="C144" s="620">
        <v>244</v>
      </c>
      <c r="D144" s="620">
        <v>226</v>
      </c>
      <c r="E144" s="596">
        <f t="shared" si="35"/>
        <v>53845.919999999998</v>
      </c>
      <c r="F144" s="595">
        <f>'Прилож 4 24 (2)'!V135</f>
        <v>0</v>
      </c>
      <c r="G144" s="595">
        <f>'Прилож 4 24 (2)'!W139</f>
        <v>0</v>
      </c>
      <c r="H144" s="595">
        <f>'Прилож 4 24 (2)'!X135</f>
        <v>53845.919999999998</v>
      </c>
      <c r="I144" s="623"/>
      <c r="J144" s="595">
        <f>'Прилож 4 24 (2)'!Z135</f>
        <v>0</v>
      </c>
      <c r="K144" s="595">
        <f>'Прилож 4 24 (2)'!AA135</f>
        <v>0</v>
      </c>
      <c r="L144" s="595">
        <f>'Прилож 4 24 (2)'!AB135</f>
        <v>0</v>
      </c>
      <c r="M144" s="596">
        <f t="shared" si="28"/>
        <v>0</v>
      </c>
      <c r="N144" s="595"/>
      <c r="O144" s="595"/>
      <c r="P144" s="595"/>
      <c r="Q144" s="621"/>
      <c r="R144" s="595"/>
      <c r="S144" s="595"/>
      <c r="T144" s="595"/>
      <c r="U144" s="596">
        <f t="shared" si="36"/>
        <v>53845.919999999998</v>
      </c>
      <c r="V144" s="595">
        <f t="shared" si="22"/>
        <v>0</v>
      </c>
      <c r="W144" s="595">
        <f t="shared" si="23"/>
        <v>0</v>
      </c>
      <c r="X144" s="595">
        <f t="shared" si="24"/>
        <v>53845.919999999998</v>
      </c>
      <c r="Y144" s="628"/>
      <c r="Z144" s="595">
        <f t="shared" si="25"/>
        <v>0</v>
      </c>
      <c r="AA144" s="595">
        <f t="shared" si="26"/>
        <v>0</v>
      </c>
      <c r="AB144" s="595">
        <f t="shared" si="27"/>
        <v>0</v>
      </c>
      <c r="AC144" s="622"/>
    </row>
    <row r="145" spans="1:29" ht="31.5" x14ac:dyDescent="0.2">
      <c r="A145" s="618" t="s">
        <v>154</v>
      </c>
      <c r="B145" s="619" t="s">
        <v>747</v>
      </c>
      <c r="C145" s="620">
        <v>244</v>
      </c>
      <c r="D145" s="620">
        <v>226</v>
      </c>
      <c r="E145" s="596">
        <f t="shared" si="35"/>
        <v>50000</v>
      </c>
      <c r="F145" s="595">
        <f>'Прилож 4 24 (2)'!V136</f>
        <v>0</v>
      </c>
      <c r="G145" s="595">
        <f>'Прилож 4 24 (2)'!W140</f>
        <v>0</v>
      </c>
      <c r="H145" s="595">
        <f>'Прилож 4 24 (2)'!X136</f>
        <v>50000</v>
      </c>
      <c r="I145" s="623"/>
      <c r="J145" s="595">
        <f>'Прилож 4 24 (2)'!Z136</f>
        <v>0</v>
      </c>
      <c r="K145" s="595">
        <f>'Прилож 4 24 (2)'!AA136</f>
        <v>0</v>
      </c>
      <c r="L145" s="595">
        <f>'Прилож 4 24 (2)'!AB136</f>
        <v>0</v>
      </c>
      <c r="M145" s="596">
        <f t="shared" si="28"/>
        <v>0</v>
      </c>
      <c r="N145" s="595"/>
      <c r="O145" s="595"/>
      <c r="P145" s="595"/>
      <c r="Q145" s="621"/>
      <c r="R145" s="595"/>
      <c r="S145" s="595"/>
      <c r="T145" s="595"/>
      <c r="U145" s="596">
        <f t="shared" si="36"/>
        <v>50000</v>
      </c>
      <c r="V145" s="595">
        <f t="shared" si="22"/>
        <v>0</v>
      </c>
      <c r="W145" s="595">
        <f t="shared" si="23"/>
        <v>0</v>
      </c>
      <c r="X145" s="595">
        <f t="shared" si="24"/>
        <v>50000</v>
      </c>
      <c r="Y145" s="628"/>
      <c r="Z145" s="595">
        <f t="shared" si="25"/>
        <v>0</v>
      </c>
      <c r="AA145" s="595">
        <f t="shared" si="26"/>
        <v>0</v>
      </c>
      <c r="AB145" s="595">
        <f t="shared" si="27"/>
        <v>0</v>
      </c>
      <c r="AC145" s="622"/>
    </row>
    <row r="146" spans="1:29" ht="31.5" x14ac:dyDescent="0.2">
      <c r="A146" s="618" t="s">
        <v>642</v>
      </c>
      <c r="B146" s="619" t="s">
        <v>747</v>
      </c>
      <c r="C146" s="620">
        <v>244</v>
      </c>
      <c r="D146" s="620">
        <v>226</v>
      </c>
      <c r="E146" s="596">
        <f t="shared" si="35"/>
        <v>60720</v>
      </c>
      <c r="F146" s="595">
        <f>'Прилож 4 24 (2)'!V137</f>
        <v>0</v>
      </c>
      <c r="G146" s="595">
        <f>'Прилож 4 24 (2)'!W141</f>
        <v>0</v>
      </c>
      <c r="H146" s="595">
        <f>'Прилож 4 24 (2)'!X137</f>
        <v>60720</v>
      </c>
      <c r="I146" s="623"/>
      <c r="J146" s="595">
        <f>'Прилож 4 24 (2)'!Z137</f>
        <v>0</v>
      </c>
      <c r="K146" s="595">
        <f>'Прилож 4 24 (2)'!AA137</f>
        <v>0</v>
      </c>
      <c r="L146" s="595">
        <f>'Прилож 4 24 (2)'!AB137</f>
        <v>0</v>
      </c>
      <c r="M146" s="596">
        <f t="shared" si="28"/>
        <v>0</v>
      </c>
      <c r="N146" s="595"/>
      <c r="O146" s="595"/>
      <c r="P146" s="595"/>
      <c r="Q146" s="621"/>
      <c r="R146" s="595"/>
      <c r="S146" s="595"/>
      <c r="T146" s="595"/>
      <c r="U146" s="596">
        <f t="shared" si="36"/>
        <v>60720</v>
      </c>
      <c r="V146" s="595">
        <f t="shared" ref="V146:V209" si="40">F146+N146</f>
        <v>0</v>
      </c>
      <c r="W146" s="595">
        <f t="shared" ref="W146:W208" si="41">O146+G146</f>
        <v>0</v>
      </c>
      <c r="X146" s="595">
        <f t="shared" ref="X146:X208" si="42">P146+H146</f>
        <v>60720</v>
      </c>
      <c r="Y146" s="628"/>
      <c r="Z146" s="595">
        <f t="shared" ref="Z146:Z208" si="43">R146+J146</f>
        <v>0</v>
      </c>
      <c r="AA146" s="595">
        <f t="shared" ref="AA146:AA208" si="44">S146+K146</f>
        <v>0</v>
      </c>
      <c r="AB146" s="595">
        <f t="shared" ref="AB146:AB208" si="45">T146+L146</f>
        <v>0</v>
      </c>
      <c r="AC146" s="622"/>
    </row>
    <row r="147" spans="1:29" ht="186" customHeight="1" x14ac:dyDescent="0.2">
      <c r="A147" s="618" t="s">
        <v>1243</v>
      </c>
      <c r="B147" s="619" t="s">
        <v>747</v>
      </c>
      <c r="C147" s="620">
        <v>244</v>
      </c>
      <c r="D147" s="620">
        <v>226</v>
      </c>
      <c r="E147" s="596">
        <f t="shared" si="35"/>
        <v>7400</v>
      </c>
      <c r="F147" s="595">
        <f>'Прилож 4 24 (2)'!V138</f>
        <v>0</v>
      </c>
      <c r="G147" s="595">
        <f>'Прилож 4 24 (2)'!W142</f>
        <v>0</v>
      </c>
      <c r="H147" s="595">
        <f>'Прилож 4 24 (2)'!X138</f>
        <v>7400</v>
      </c>
      <c r="I147" s="623"/>
      <c r="J147" s="595">
        <f>'Прилож 4 24 (2)'!Z138</f>
        <v>0</v>
      </c>
      <c r="K147" s="595">
        <f>'Прилож 4 24 (2)'!AA138</f>
        <v>0</v>
      </c>
      <c r="L147" s="595">
        <f>'Прилож 4 24 (2)'!AB138</f>
        <v>0</v>
      </c>
      <c r="M147" s="596">
        <f t="shared" si="28"/>
        <v>0</v>
      </c>
      <c r="N147" s="595"/>
      <c r="O147" s="595"/>
      <c r="P147" s="595"/>
      <c r="Q147" s="621"/>
      <c r="R147" s="595"/>
      <c r="S147" s="595"/>
      <c r="T147" s="595"/>
      <c r="U147" s="596">
        <f t="shared" si="36"/>
        <v>7400</v>
      </c>
      <c r="V147" s="595">
        <f t="shared" si="40"/>
        <v>0</v>
      </c>
      <c r="W147" s="595">
        <f t="shared" si="41"/>
        <v>0</v>
      </c>
      <c r="X147" s="595">
        <f t="shared" si="42"/>
        <v>7400</v>
      </c>
      <c r="Y147" s="628"/>
      <c r="Z147" s="595">
        <f t="shared" si="43"/>
        <v>0</v>
      </c>
      <c r="AA147" s="595">
        <f t="shared" si="44"/>
        <v>0</v>
      </c>
      <c r="AB147" s="595">
        <f t="shared" si="45"/>
        <v>0</v>
      </c>
      <c r="AC147" s="622"/>
    </row>
    <row r="148" spans="1:29" x14ac:dyDescent="0.2">
      <c r="A148" s="618" t="s">
        <v>593</v>
      </c>
      <c r="B148" s="619" t="s">
        <v>747</v>
      </c>
      <c r="C148" s="620">
        <v>244</v>
      </c>
      <c r="D148" s="620">
        <v>226</v>
      </c>
      <c r="E148" s="596">
        <f t="shared" si="35"/>
        <v>7430</v>
      </c>
      <c r="F148" s="595">
        <f>'Прилож 4 24 (2)'!V139</f>
        <v>0</v>
      </c>
      <c r="G148" s="595">
        <f>'Прилож 4 24 (2)'!W143</f>
        <v>0</v>
      </c>
      <c r="H148" s="595">
        <f>'Прилож 4 24 (2)'!X139</f>
        <v>7430</v>
      </c>
      <c r="I148" s="623"/>
      <c r="J148" s="595">
        <f>'Прилож 4 24 (2)'!Z139</f>
        <v>0</v>
      </c>
      <c r="K148" s="595">
        <f>'Прилож 4 24 (2)'!AA139</f>
        <v>0</v>
      </c>
      <c r="L148" s="595">
        <f>'Прилож 4 24 (2)'!AB139</f>
        <v>0</v>
      </c>
      <c r="M148" s="596">
        <f t="shared" si="28"/>
        <v>0</v>
      </c>
      <c r="N148" s="595"/>
      <c r="O148" s="595"/>
      <c r="P148" s="595"/>
      <c r="Q148" s="621"/>
      <c r="R148" s="595"/>
      <c r="S148" s="595"/>
      <c r="T148" s="595"/>
      <c r="U148" s="596">
        <f t="shared" si="36"/>
        <v>7430</v>
      </c>
      <c r="V148" s="595">
        <f t="shared" si="40"/>
        <v>0</v>
      </c>
      <c r="W148" s="595">
        <f t="shared" si="41"/>
        <v>0</v>
      </c>
      <c r="X148" s="595">
        <f t="shared" si="42"/>
        <v>7430</v>
      </c>
      <c r="Y148" s="628"/>
      <c r="Z148" s="595">
        <f t="shared" si="43"/>
        <v>0</v>
      </c>
      <c r="AA148" s="595">
        <f t="shared" si="44"/>
        <v>0</v>
      </c>
      <c r="AB148" s="595">
        <f t="shared" si="45"/>
        <v>0</v>
      </c>
      <c r="AC148" s="622"/>
    </row>
    <row r="149" spans="1:29" x14ac:dyDescent="0.2">
      <c r="A149" s="618" t="s">
        <v>1194</v>
      </c>
      <c r="B149" s="619" t="s">
        <v>747</v>
      </c>
      <c r="C149" s="620">
        <v>244</v>
      </c>
      <c r="D149" s="620">
        <v>226</v>
      </c>
      <c r="E149" s="596">
        <f t="shared" si="35"/>
        <v>18900</v>
      </c>
      <c r="F149" s="595">
        <f>'Прилож 4 24 (2)'!V140</f>
        <v>0</v>
      </c>
      <c r="G149" s="595">
        <f>'Прилож 4 24 (2)'!W144</f>
        <v>0</v>
      </c>
      <c r="H149" s="595">
        <f>'Прилож 4 24 (2)'!X140</f>
        <v>18900</v>
      </c>
      <c r="I149" s="623"/>
      <c r="J149" s="595">
        <f>'Прилож 4 24 (2)'!Z140</f>
        <v>0</v>
      </c>
      <c r="K149" s="595">
        <f>'Прилож 4 24 (2)'!AA140</f>
        <v>0</v>
      </c>
      <c r="L149" s="595">
        <f>'Прилож 4 24 (2)'!AB140</f>
        <v>0</v>
      </c>
      <c r="M149" s="596">
        <f t="shared" ref="M149:M220" si="46">N149+P149+R149+S149+T149+O149</f>
        <v>0</v>
      </c>
      <c r="N149" s="595"/>
      <c r="O149" s="595"/>
      <c r="P149" s="595"/>
      <c r="Q149" s="621"/>
      <c r="R149" s="595"/>
      <c r="S149" s="595"/>
      <c r="T149" s="595"/>
      <c r="U149" s="596">
        <f t="shared" si="36"/>
        <v>18900</v>
      </c>
      <c r="V149" s="595">
        <f t="shared" si="40"/>
        <v>0</v>
      </c>
      <c r="W149" s="595">
        <f t="shared" si="41"/>
        <v>0</v>
      </c>
      <c r="X149" s="595">
        <f t="shared" si="42"/>
        <v>18900</v>
      </c>
      <c r="Y149" s="628"/>
      <c r="Z149" s="595">
        <f t="shared" si="43"/>
        <v>0</v>
      </c>
      <c r="AA149" s="595">
        <f t="shared" si="44"/>
        <v>0</v>
      </c>
      <c r="AB149" s="595">
        <f t="shared" si="45"/>
        <v>0</v>
      </c>
      <c r="AC149" s="622"/>
    </row>
    <row r="150" spans="1:29" s="637" customFormat="1" x14ac:dyDescent="0.2">
      <c r="A150" s="632" t="s">
        <v>1143</v>
      </c>
      <c r="B150" s="619" t="s">
        <v>747</v>
      </c>
      <c r="C150" s="634">
        <v>244</v>
      </c>
      <c r="D150" s="634">
        <v>226</v>
      </c>
      <c r="E150" s="598">
        <f>SUM(E144:E149)</f>
        <v>198295.91999999998</v>
      </c>
      <c r="F150" s="595">
        <f>'Прилож 4 24 (2)'!V141</f>
        <v>0</v>
      </c>
      <c r="G150" s="595">
        <f>'Прилож 4 24 (2)'!W148</f>
        <v>0</v>
      </c>
      <c r="H150" s="595">
        <f>'Прилож 4 24 (2)'!X141</f>
        <v>198295.91999999998</v>
      </c>
      <c r="I150" s="640"/>
      <c r="J150" s="595">
        <f>'Прилож 4 24 (2)'!Z141</f>
        <v>0</v>
      </c>
      <c r="K150" s="595">
        <f>'Прилож 4 24 (2)'!AA141</f>
        <v>0</v>
      </c>
      <c r="L150" s="595">
        <f>'Прилож 4 24 (2)'!AB141</f>
        <v>0</v>
      </c>
      <c r="M150" s="596">
        <f t="shared" si="46"/>
        <v>0</v>
      </c>
      <c r="N150" s="598">
        <f>SUM(N144:N149)</f>
        <v>0</v>
      </c>
      <c r="O150" s="598">
        <f>SUM(O144:O149)</f>
        <v>0</v>
      </c>
      <c r="P150" s="598">
        <f>SUM(P144:P149)</f>
        <v>0</v>
      </c>
      <c r="Q150" s="640"/>
      <c r="R150" s="598">
        <f>SUM(R144:R149)</f>
        <v>0</v>
      </c>
      <c r="S150" s="598">
        <f>SUM(S144:S149)</f>
        <v>0</v>
      </c>
      <c r="T150" s="598">
        <f>SUM(T144:T149)</f>
        <v>0</v>
      </c>
      <c r="U150" s="598">
        <f>SUM(U144:U149)</f>
        <v>198295.91999999998</v>
      </c>
      <c r="V150" s="595">
        <f t="shared" si="40"/>
        <v>0</v>
      </c>
      <c r="W150" s="595">
        <f t="shared" si="41"/>
        <v>0</v>
      </c>
      <c r="X150" s="595">
        <f t="shared" si="42"/>
        <v>198295.91999999998</v>
      </c>
      <c r="Y150" s="640"/>
      <c r="Z150" s="595">
        <f t="shared" si="43"/>
        <v>0</v>
      </c>
      <c r="AA150" s="595">
        <f t="shared" si="44"/>
        <v>0</v>
      </c>
      <c r="AB150" s="595">
        <f t="shared" si="45"/>
        <v>0</v>
      </c>
      <c r="AC150" s="636"/>
    </row>
    <row r="151" spans="1:29" ht="47.25" x14ac:dyDescent="0.2">
      <c r="A151" s="618" t="s">
        <v>586</v>
      </c>
      <c r="B151" s="619" t="s">
        <v>729</v>
      </c>
      <c r="C151" s="620">
        <v>244</v>
      </c>
      <c r="D151" s="620">
        <v>226</v>
      </c>
      <c r="E151" s="596">
        <f t="shared" si="35"/>
        <v>53845.919999999998</v>
      </c>
      <c r="F151" s="595">
        <f>'Прилож 4 24 (2)'!V142</f>
        <v>0</v>
      </c>
      <c r="G151" s="595">
        <f>'Прилож 4 24 (2)'!W149</f>
        <v>0</v>
      </c>
      <c r="H151" s="595">
        <f>'Прилож 4 24 (2)'!X142</f>
        <v>53845.919999999998</v>
      </c>
      <c r="I151" s="623"/>
      <c r="J151" s="595">
        <f>'Прилож 4 24 (2)'!Z142</f>
        <v>0</v>
      </c>
      <c r="K151" s="595">
        <f>'Прилож 4 24 (2)'!AA142</f>
        <v>0</v>
      </c>
      <c r="L151" s="595">
        <f>'Прилож 4 24 (2)'!AB142</f>
        <v>0</v>
      </c>
      <c r="M151" s="596">
        <f t="shared" si="46"/>
        <v>0</v>
      </c>
      <c r="N151" s="595"/>
      <c r="O151" s="595"/>
      <c r="P151" s="595"/>
      <c r="Q151" s="621"/>
      <c r="R151" s="595"/>
      <c r="S151" s="595"/>
      <c r="T151" s="595"/>
      <c r="U151" s="596">
        <f t="shared" si="36"/>
        <v>53845.919999999998</v>
      </c>
      <c r="V151" s="595">
        <f t="shared" si="40"/>
        <v>0</v>
      </c>
      <c r="W151" s="595">
        <f t="shared" si="41"/>
        <v>0</v>
      </c>
      <c r="X151" s="595">
        <f t="shared" si="42"/>
        <v>53845.919999999998</v>
      </c>
      <c r="Y151" s="628"/>
      <c r="Z151" s="595">
        <f t="shared" si="43"/>
        <v>0</v>
      </c>
      <c r="AA151" s="595">
        <f t="shared" si="44"/>
        <v>0</v>
      </c>
      <c r="AB151" s="595">
        <f t="shared" si="45"/>
        <v>0</v>
      </c>
      <c r="AC151" s="622"/>
    </row>
    <row r="152" spans="1:29" ht="31.5" x14ac:dyDescent="0.2">
      <c r="A152" s="618" t="s">
        <v>642</v>
      </c>
      <c r="B152" s="619" t="s">
        <v>729</v>
      </c>
      <c r="C152" s="620">
        <v>244</v>
      </c>
      <c r="D152" s="620">
        <v>226</v>
      </c>
      <c r="E152" s="596">
        <f t="shared" si="35"/>
        <v>60720</v>
      </c>
      <c r="F152" s="595">
        <f>'Прилож 4 24 (2)'!V143</f>
        <v>0</v>
      </c>
      <c r="G152" s="595">
        <f>'Прилож 4 24 (2)'!W150</f>
        <v>0</v>
      </c>
      <c r="H152" s="595">
        <f>'Прилож 4 24 (2)'!X143</f>
        <v>60720</v>
      </c>
      <c r="I152" s="623"/>
      <c r="J152" s="595">
        <f>'Прилож 4 24 (2)'!Z143</f>
        <v>0</v>
      </c>
      <c r="K152" s="595">
        <f>'Прилож 4 24 (2)'!AA143</f>
        <v>0</v>
      </c>
      <c r="L152" s="595">
        <f>'Прилож 4 24 (2)'!AB143</f>
        <v>0</v>
      </c>
      <c r="M152" s="596">
        <f t="shared" si="46"/>
        <v>0</v>
      </c>
      <c r="N152" s="595"/>
      <c r="O152" s="595"/>
      <c r="P152" s="595"/>
      <c r="Q152" s="621"/>
      <c r="R152" s="595"/>
      <c r="S152" s="595"/>
      <c r="T152" s="595"/>
      <c r="U152" s="596">
        <f t="shared" si="36"/>
        <v>60720</v>
      </c>
      <c r="V152" s="595">
        <f t="shared" si="40"/>
        <v>0</v>
      </c>
      <c r="W152" s="595">
        <f t="shared" si="41"/>
        <v>0</v>
      </c>
      <c r="X152" s="595">
        <f t="shared" si="42"/>
        <v>60720</v>
      </c>
      <c r="Y152" s="628"/>
      <c r="Z152" s="595">
        <f t="shared" si="43"/>
        <v>0</v>
      </c>
      <c r="AA152" s="595">
        <f t="shared" si="44"/>
        <v>0</v>
      </c>
      <c r="AB152" s="595">
        <f t="shared" si="45"/>
        <v>0</v>
      </c>
      <c r="AC152" s="622"/>
    </row>
    <row r="153" spans="1:29" ht="87.75" customHeight="1" x14ac:dyDescent="0.2">
      <c r="A153" s="618" t="s">
        <v>1244</v>
      </c>
      <c r="B153" s="619" t="s">
        <v>729</v>
      </c>
      <c r="C153" s="620">
        <v>244</v>
      </c>
      <c r="D153" s="620">
        <v>226</v>
      </c>
      <c r="E153" s="596">
        <f t="shared" si="35"/>
        <v>37665</v>
      </c>
      <c r="F153" s="595">
        <f>'Прилож 4 24 (2)'!V144</f>
        <v>0</v>
      </c>
      <c r="G153" s="595">
        <f>'Прилож 4 24 (2)'!W151</f>
        <v>0</v>
      </c>
      <c r="H153" s="595">
        <f>'Прилож 4 24 (2)'!X144</f>
        <v>37665</v>
      </c>
      <c r="I153" s="623"/>
      <c r="J153" s="595">
        <f>'Прилож 4 24 (2)'!Z144</f>
        <v>0</v>
      </c>
      <c r="K153" s="595">
        <f>'Прилож 4 24 (2)'!AA144</f>
        <v>0</v>
      </c>
      <c r="L153" s="595">
        <f>'Прилож 4 24 (2)'!AB144</f>
        <v>0</v>
      </c>
      <c r="M153" s="596">
        <f t="shared" si="46"/>
        <v>0</v>
      </c>
      <c r="N153" s="595"/>
      <c r="O153" s="595"/>
      <c r="P153" s="595"/>
      <c r="Q153" s="621"/>
      <c r="R153" s="595"/>
      <c r="S153" s="595"/>
      <c r="T153" s="595"/>
      <c r="U153" s="596">
        <f t="shared" si="36"/>
        <v>37665</v>
      </c>
      <c r="V153" s="595">
        <f t="shared" si="40"/>
        <v>0</v>
      </c>
      <c r="W153" s="595">
        <f t="shared" si="41"/>
        <v>0</v>
      </c>
      <c r="X153" s="595">
        <f t="shared" si="42"/>
        <v>37665</v>
      </c>
      <c r="Y153" s="628"/>
      <c r="Z153" s="595">
        <f t="shared" si="43"/>
        <v>0</v>
      </c>
      <c r="AA153" s="595">
        <f t="shared" si="44"/>
        <v>0</v>
      </c>
      <c r="AB153" s="595">
        <f t="shared" si="45"/>
        <v>0</v>
      </c>
      <c r="AC153" s="622"/>
    </row>
    <row r="154" spans="1:29" ht="31.5" x14ac:dyDescent="0.2">
      <c r="A154" s="618" t="s">
        <v>752</v>
      </c>
      <c r="B154" s="619" t="s">
        <v>729</v>
      </c>
      <c r="C154" s="620">
        <v>244</v>
      </c>
      <c r="D154" s="620">
        <v>226</v>
      </c>
      <c r="E154" s="596">
        <f t="shared" si="35"/>
        <v>150000</v>
      </c>
      <c r="F154" s="595">
        <f>'Прилож 4 24 (2)'!V145</f>
        <v>0</v>
      </c>
      <c r="G154" s="595">
        <f>'Прилож 4 24 (2)'!W152</f>
        <v>0</v>
      </c>
      <c r="H154" s="595">
        <f>'Прилож 4 24 (2)'!X145</f>
        <v>150000</v>
      </c>
      <c r="I154" s="623"/>
      <c r="J154" s="595">
        <f>'Прилож 4 24 (2)'!Z145</f>
        <v>0</v>
      </c>
      <c r="K154" s="595">
        <f>'Прилож 4 24 (2)'!AA145</f>
        <v>0</v>
      </c>
      <c r="L154" s="595">
        <f>'Прилож 4 24 (2)'!AB145</f>
        <v>0</v>
      </c>
      <c r="M154" s="596">
        <f t="shared" si="46"/>
        <v>0</v>
      </c>
      <c r="N154" s="595"/>
      <c r="O154" s="595"/>
      <c r="P154" s="595"/>
      <c r="Q154" s="621"/>
      <c r="R154" s="595"/>
      <c r="S154" s="595"/>
      <c r="T154" s="595"/>
      <c r="U154" s="596">
        <f t="shared" si="36"/>
        <v>150000</v>
      </c>
      <c r="V154" s="595">
        <f t="shared" si="40"/>
        <v>0</v>
      </c>
      <c r="W154" s="595">
        <f t="shared" si="41"/>
        <v>0</v>
      </c>
      <c r="X154" s="595">
        <f t="shared" si="42"/>
        <v>150000</v>
      </c>
      <c r="Y154" s="628"/>
      <c r="Z154" s="595">
        <f t="shared" si="43"/>
        <v>0</v>
      </c>
      <c r="AA154" s="595">
        <f t="shared" si="44"/>
        <v>0</v>
      </c>
      <c r="AB154" s="595">
        <f t="shared" si="45"/>
        <v>0</v>
      </c>
      <c r="AC154" s="622"/>
    </row>
    <row r="155" spans="1:29" ht="35.25" customHeight="1" x14ac:dyDescent="0.2">
      <c r="A155" s="618" t="s">
        <v>593</v>
      </c>
      <c r="B155" s="619" t="s">
        <v>729</v>
      </c>
      <c r="C155" s="620">
        <v>244</v>
      </c>
      <c r="D155" s="620">
        <v>226</v>
      </c>
      <c r="E155" s="596">
        <f t="shared" si="35"/>
        <v>30000</v>
      </c>
      <c r="F155" s="595">
        <f>'Прилож 4 24 (2)'!V146</f>
        <v>0</v>
      </c>
      <c r="G155" s="595">
        <f>'Прилож 4 24 (2)'!W153</f>
        <v>0</v>
      </c>
      <c r="H155" s="595">
        <f>'Прилож 4 24 (2)'!X146</f>
        <v>30000</v>
      </c>
      <c r="I155" s="623"/>
      <c r="J155" s="595">
        <f>'Прилож 4 24 (2)'!Z146</f>
        <v>0</v>
      </c>
      <c r="K155" s="595">
        <f>'Прилож 4 24 (2)'!AA146</f>
        <v>0</v>
      </c>
      <c r="L155" s="595">
        <f>'Прилож 4 24 (2)'!AB146</f>
        <v>0</v>
      </c>
      <c r="M155" s="596">
        <f t="shared" si="46"/>
        <v>0</v>
      </c>
      <c r="N155" s="595"/>
      <c r="O155" s="595"/>
      <c r="P155" s="595"/>
      <c r="Q155" s="621"/>
      <c r="R155" s="595"/>
      <c r="S155" s="595"/>
      <c r="T155" s="595"/>
      <c r="U155" s="596">
        <f t="shared" si="36"/>
        <v>30000</v>
      </c>
      <c r="V155" s="595">
        <f t="shared" si="40"/>
        <v>0</v>
      </c>
      <c r="W155" s="595">
        <f t="shared" si="41"/>
        <v>0</v>
      </c>
      <c r="X155" s="595">
        <f t="shared" si="42"/>
        <v>30000</v>
      </c>
      <c r="Y155" s="628"/>
      <c r="Z155" s="595">
        <f t="shared" si="43"/>
        <v>0</v>
      </c>
      <c r="AA155" s="595">
        <f t="shared" si="44"/>
        <v>0</v>
      </c>
      <c r="AB155" s="595">
        <f t="shared" si="45"/>
        <v>0</v>
      </c>
      <c r="AC155" s="622"/>
    </row>
    <row r="156" spans="1:29" ht="45" customHeight="1" x14ac:dyDescent="0.2">
      <c r="A156" s="618" t="s">
        <v>914</v>
      </c>
      <c r="B156" s="619" t="s">
        <v>729</v>
      </c>
      <c r="C156" s="620">
        <v>244</v>
      </c>
      <c r="D156" s="620">
        <v>226</v>
      </c>
      <c r="E156" s="596">
        <f t="shared" si="35"/>
        <v>54800</v>
      </c>
      <c r="F156" s="595">
        <f>'Прилож 4 24 (2)'!V147</f>
        <v>0</v>
      </c>
      <c r="G156" s="595">
        <f>'Прилож 4 24 (2)'!W154</f>
        <v>0</v>
      </c>
      <c r="H156" s="595">
        <f>'Прилож 4 24 (2)'!X147</f>
        <v>54800</v>
      </c>
      <c r="I156" s="623"/>
      <c r="J156" s="595">
        <f>'Прилож 4 24 (2)'!Z147</f>
        <v>0</v>
      </c>
      <c r="K156" s="595">
        <f>'Прилож 4 24 (2)'!AA147</f>
        <v>0</v>
      </c>
      <c r="L156" s="595">
        <f>'Прилож 4 24 (2)'!AB147</f>
        <v>0</v>
      </c>
      <c r="M156" s="596">
        <f t="shared" si="46"/>
        <v>0</v>
      </c>
      <c r="N156" s="595"/>
      <c r="O156" s="595"/>
      <c r="P156" s="595"/>
      <c r="Q156" s="621"/>
      <c r="R156" s="595"/>
      <c r="S156" s="595"/>
      <c r="T156" s="595"/>
      <c r="U156" s="596">
        <f t="shared" si="36"/>
        <v>54800</v>
      </c>
      <c r="V156" s="595">
        <f t="shared" si="40"/>
        <v>0</v>
      </c>
      <c r="W156" s="595">
        <f t="shared" si="41"/>
        <v>0</v>
      </c>
      <c r="X156" s="595">
        <f t="shared" si="42"/>
        <v>54800</v>
      </c>
      <c r="Y156" s="628"/>
      <c r="Z156" s="595">
        <f t="shared" si="43"/>
        <v>0</v>
      </c>
      <c r="AA156" s="595">
        <f t="shared" si="44"/>
        <v>0</v>
      </c>
      <c r="AB156" s="595">
        <f t="shared" si="45"/>
        <v>0</v>
      </c>
      <c r="AC156" s="622"/>
    </row>
    <row r="157" spans="1:29" ht="60" customHeight="1" x14ac:dyDescent="0.2">
      <c r="A157" s="618" t="s">
        <v>1245</v>
      </c>
      <c r="B157" s="619" t="s">
        <v>729</v>
      </c>
      <c r="C157" s="620">
        <v>244</v>
      </c>
      <c r="D157" s="620">
        <v>226</v>
      </c>
      <c r="E157" s="596">
        <f t="shared" si="35"/>
        <v>7200</v>
      </c>
      <c r="F157" s="595">
        <f>'Прилож 4 24 (2)'!V148</f>
        <v>0</v>
      </c>
      <c r="G157" s="595">
        <f>'Прилож 4 24 (2)'!W155</f>
        <v>0</v>
      </c>
      <c r="H157" s="595">
        <f>'Прилож 4 24 (2)'!X148</f>
        <v>7200</v>
      </c>
      <c r="I157" s="623"/>
      <c r="J157" s="595">
        <f>'Прилож 4 24 (2)'!Z148</f>
        <v>0</v>
      </c>
      <c r="K157" s="595">
        <f>'Прилож 4 24 (2)'!AA148</f>
        <v>0</v>
      </c>
      <c r="L157" s="595">
        <f>'Прилож 4 24 (2)'!AB148</f>
        <v>0</v>
      </c>
      <c r="M157" s="596">
        <f t="shared" si="46"/>
        <v>0</v>
      </c>
      <c r="N157" s="595"/>
      <c r="O157" s="595"/>
      <c r="P157" s="595"/>
      <c r="Q157" s="621"/>
      <c r="R157" s="595"/>
      <c r="S157" s="595"/>
      <c r="T157" s="595"/>
      <c r="U157" s="596">
        <f t="shared" si="36"/>
        <v>7200</v>
      </c>
      <c r="V157" s="595">
        <f t="shared" si="40"/>
        <v>0</v>
      </c>
      <c r="W157" s="595">
        <f t="shared" si="41"/>
        <v>0</v>
      </c>
      <c r="X157" s="595">
        <f t="shared" si="42"/>
        <v>7200</v>
      </c>
      <c r="Y157" s="628"/>
      <c r="Z157" s="595">
        <f t="shared" si="43"/>
        <v>0</v>
      </c>
      <c r="AA157" s="595">
        <f t="shared" si="44"/>
        <v>0</v>
      </c>
      <c r="AB157" s="595">
        <f t="shared" si="45"/>
        <v>0</v>
      </c>
      <c r="AC157" s="622"/>
    </row>
    <row r="158" spans="1:29" ht="36" customHeight="1" x14ac:dyDescent="0.2">
      <c r="A158" s="618" t="s">
        <v>1185</v>
      </c>
      <c r="B158" s="619" t="s">
        <v>729</v>
      </c>
      <c r="C158" s="620">
        <v>244</v>
      </c>
      <c r="D158" s="620">
        <v>226</v>
      </c>
      <c r="E158" s="596">
        <f t="shared" si="35"/>
        <v>9600</v>
      </c>
      <c r="F158" s="595">
        <f>'Прилож 4 24 (2)'!V149</f>
        <v>0</v>
      </c>
      <c r="G158" s="595">
        <f>'Прилож 4 24 (2)'!W156</f>
        <v>0</v>
      </c>
      <c r="H158" s="595">
        <f>'Прилож 4 24 (2)'!X149</f>
        <v>9600</v>
      </c>
      <c r="I158" s="623"/>
      <c r="J158" s="595">
        <f>'Прилож 4 24 (2)'!Z149</f>
        <v>0</v>
      </c>
      <c r="K158" s="595">
        <f>'Прилож 4 24 (2)'!AA149</f>
        <v>0</v>
      </c>
      <c r="L158" s="595">
        <f>'Прилож 4 24 (2)'!AB149</f>
        <v>0</v>
      </c>
      <c r="M158" s="596">
        <f t="shared" si="46"/>
        <v>0</v>
      </c>
      <c r="N158" s="595"/>
      <c r="O158" s="595"/>
      <c r="P158" s="595"/>
      <c r="Q158" s="621"/>
      <c r="R158" s="595"/>
      <c r="S158" s="595"/>
      <c r="T158" s="595"/>
      <c r="U158" s="596">
        <f t="shared" si="36"/>
        <v>9600</v>
      </c>
      <c r="V158" s="595">
        <f t="shared" si="40"/>
        <v>0</v>
      </c>
      <c r="W158" s="595">
        <f t="shared" si="41"/>
        <v>0</v>
      </c>
      <c r="X158" s="595">
        <f t="shared" si="42"/>
        <v>9600</v>
      </c>
      <c r="Y158" s="621"/>
      <c r="Z158" s="595">
        <f t="shared" si="43"/>
        <v>0</v>
      </c>
      <c r="AA158" s="595">
        <f t="shared" si="44"/>
        <v>0</v>
      </c>
      <c r="AB158" s="595">
        <f t="shared" si="45"/>
        <v>0</v>
      </c>
      <c r="AC158" s="622"/>
    </row>
    <row r="159" spans="1:29" x14ac:dyDescent="0.2">
      <c r="A159" s="618" t="s">
        <v>1194</v>
      </c>
      <c r="B159" s="619" t="s">
        <v>729</v>
      </c>
      <c r="C159" s="620">
        <v>244</v>
      </c>
      <c r="D159" s="620">
        <v>226</v>
      </c>
      <c r="E159" s="596">
        <f t="shared" si="35"/>
        <v>13500</v>
      </c>
      <c r="F159" s="595">
        <f>'Прилож 4 24 (2)'!V150</f>
        <v>0</v>
      </c>
      <c r="G159" s="595">
        <f>'Прилож 4 24 (2)'!W157</f>
        <v>0</v>
      </c>
      <c r="H159" s="595">
        <f>'Прилож 4 24 (2)'!X150</f>
        <v>13500</v>
      </c>
      <c r="I159" s="623"/>
      <c r="J159" s="595">
        <f>'Прилож 4 24 (2)'!Z150</f>
        <v>0</v>
      </c>
      <c r="K159" s="595">
        <f>'Прилож 4 24 (2)'!AA150</f>
        <v>0</v>
      </c>
      <c r="L159" s="595">
        <f>'Прилож 4 24 (2)'!AB150</f>
        <v>0</v>
      </c>
      <c r="M159" s="596">
        <f t="shared" si="46"/>
        <v>0</v>
      </c>
      <c r="N159" s="595"/>
      <c r="O159" s="595"/>
      <c r="P159" s="595"/>
      <c r="Q159" s="621"/>
      <c r="R159" s="595"/>
      <c r="S159" s="595"/>
      <c r="T159" s="595"/>
      <c r="U159" s="596">
        <f t="shared" si="36"/>
        <v>13500</v>
      </c>
      <c r="V159" s="595">
        <f t="shared" si="40"/>
        <v>0</v>
      </c>
      <c r="W159" s="595">
        <f t="shared" si="41"/>
        <v>0</v>
      </c>
      <c r="X159" s="595">
        <f t="shared" si="42"/>
        <v>13500</v>
      </c>
      <c r="Y159" s="621"/>
      <c r="Z159" s="595">
        <f t="shared" si="43"/>
        <v>0</v>
      </c>
      <c r="AA159" s="595">
        <f t="shared" si="44"/>
        <v>0</v>
      </c>
      <c r="AB159" s="595">
        <f t="shared" si="45"/>
        <v>0</v>
      </c>
      <c r="AC159" s="622"/>
    </row>
    <row r="160" spans="1:29" ht="47.25" x14ac:dyDescent="0.2">
      <c r="A160" s="618" t="s">
        <v>1223</v>
      </c>
      <c r="B160" s="619" t="s">
        <v>729</v>
      </c>
      <c r="C160" s="620">
        <v>244</v>
      </c>
      <c r="D160" s="620">
        <v>226</v>
      </c>
      <c r="E160" s="596">
        <f t="shared" si="35"/>
        <v>14900</v>
      </c>
      <c r="F160" s="595">
        <f>'Прилож 4 24 (2)'!V151</f>
        <v>0</v>
      </c>
      <c r="G160" s="595">
        <f>'Прилож 4 24 (2)'!W158</f>
        <v>0</v>
      </c>
      <c r="H160" s="595">
        <f>'Прилож 4 24 (2)'!X151</f>
        <v>14900</v>
      </c>
      <c r="I160" s="623"/>
      <c r="J160" s="595">
        <f>'Прилож 4 24 (2)'!Z151</f>
        <v>0</v>
      </c>
      <c r="K160" s="595">
        <f>'Прилож 4 24 (2)'!AA151</f>
        <v>0</v>
      </c>
      <c r="L160" s="595">
        <f>'Прилож 4 24 (2)'!AB151</f>
        <v>0</v>
      </c>
      <c r="M160" s="596">
        <f t="shared" si="46"/>
        <v>0</v>
      </c>
      <c r="N160" s="595"/>
      <c r="O160" s="595"/>
      <c r="P160" s="595"/>
      <c r="Q160" s="621"/>
      <c r="R160" s="595"/>
      <c r="S160" s="595"/>
      <c r="T160" s="595"/>
      <c r="U160" s="596">
        <f t="shared" si="36"/>
        <v>14900</v>
      </c>
      <c r="V160" s="595">
        <f t="shared" si="40"/>
        <v>0</v>
      </c>
      <c r="W160" s="595">
        <f t="shared" si="41"/>
        <v>0</v>
      </c>
      <c r="X160" s="595">
        <f t="shared" si="42"/>
        <v>14900</v>
      </c>
      <c r="Y160" s="628"/>
      <c r="Z160" s="595">
        <f t="shared" si="43"/>
        <v>0</v>
      </c>
      <c r="AA160" s="595">
        <f t="shared" si="44"/>
        <v>0</v>
      </c>
      <c r="AB160" s="595">
        <f t="shared" si="45"/>
        <v>0</v>
      </c>
      <c r="AC160" s="622"/>
    </row>
    <row r="161" spans="1:30" ht="63" x14ac:dyDescent="0.2">
      <c r="A161" s="618" t="s">
        <v>1289</v>
      </c>
      <c r="B161" s="619" t="s">
        <v>729</v>
      </c>
      <c r="C161" s="620">
        <v>244</v>
      </c>
      <c r="D161" s="620">
        <v>226</v>
      </c>
      <c r="E161" s="596">
        <f t="shared" si="35"/>
        <v>11320</v>
      </c>
      <c r="F161" s="595">
        <f>'Прилож 4 24 (2)'!V152</f>
        <v>0</v>
      </c>
      <c r="G161" s="595">
        <f>'Прилож 4 24 (2)'!W159</f>
        <v>0</v>
      </c>
      <c r="H161" s="595">
        <f>'Прилож 4 24 (2)'!X152</f>
        <v>11320</v>
      </c>
      <c r="I161" s="623"/>
      <c r="J161" s="595">
        <f>'Прилож 4 24 (2)'!Z152</f>
        <v>0</v>
      </c>
      <c r="K161" s="595">
        <f>'Прилож 4 24 (2)'!AA152</f>
        <v>0</v>
      </c>
      <c r="L161" s="595">
        <f>'Прилож 4 24 (2)'!AB152</f>
        <v>0</v>
      </c>
      <c r="M161" s="596">
        <f t="shared" si="46"/>
        <v>0</v>
      </c>
      <c r="N161" s="595"/>
      <c r="O161" s="595"/>
      <c r="P161" s="595"/>
      <c r="Q161" s="621"/>
      <c r="R161" s="595"/>
      <c r="S161" s="595"/>
      <c r="T161" s="595"/>
      <c r="U161" s="596">
        <f t="shared" si="36"/>
        <v>11320</v>
      </c>
      <c r="V161" s="595">
        <f t="shared" si="40"/>
        <v>0</v>
      </c>
      <c r="W161" s="595">
        <f t="shared" si="41"/>
        <v>0</v>
      </c>
      <c r="X161" s="595">
        <f t="shared" si="42"/>
        <v>11320</v>
      </c>
      <c r="Y161" s="628"/>
      <c r="Z161" s="595">
        <f t="shared" si="43"/>
        <v>0</v>
      </c>
      <c r="AA161" s="595">
        <f t="shared" si="44"/>
        <v>0</v>
      </c>
      <c r="AB161" s="595">
        <f t="shared" si="45"/>
        <v>0</v>
      </c>
      <c r="AC161" s="622"/>
    </row>
    <row r="162" spans="1:30" ht="31.5" x14ac:dyDescent="0.2">
      <c r="A162" s="618" t="s">
        <v>1313</v>
      </c>
      <c r="B162" s="619" t="s">
        <v>729</v>
      </c>
      <c r="C162" s="620">
        <v>244</v>
      </c>
      <c r="D162" s="620">
        <v>226</v>
      </c>
      <c r="E162" s="596">
        <f t="shared" si="35"/>
        <v>0</v>
      </c>
      <c r="F162" s="595"/>
      <c r="G162" s="595">
        <f>'Прилож 4 24 (2)'!W160</f>
        <v>0</v>
      </c>
      <c r="H162" s="595"/>
      <c r="I162" s="623"/>
      <c r="J162" s="595"/>
      <c r="K162" s="595"/>
      <c r="L162" s="595"/>
      <c r="M162" s="596">
        <f t="shared" si="46"/>
        <v>163101.6</v>
      </c>
      <c r="N162" s="595"/>
      <c r="O162" s="595"/>
      <c r="P162" s="595"/>
      <c r="Q162" s="582" t="s">
        <v>1314</v>
      </c>
      <c r="R162" s="595"/>
      <c r="S162" s="595">
        <v>163101.6</v>
      </c>
      <c r="T162" s="595"/>
      <c r="U162" s="596">
        <f t="shared" si="36"/>
        <v>163101.6</v>
      </c>
      <c r="V162" s="595">
        <f t="shared" si="40"/>
        <v>0</v>
      </c>
      <c r="W162" s="595">
        <f t="shared" si="41"/>
        <v>0</v>
      </c>
      <c r="X162" s="595">
        <f t="shared" si="42"/>
        <v>0</v>
      </c>
      <c r="Y162" s="582" t="s">
        <v>1314</v>
      </c>
      <c r="Z162" s="595">
        <f t="shared" si="43"/>
        <v>0</v>
      </c>
      <c r="AA162" s="595">
        <f t="shared" si="44"/>
        <v>163101.6</v>
      </c>
      <c r="AB162" s="595">
        <f t="shared" si="45"/>
        <v>0</v>
      </c>
      <c r="AC162" s="622" t="s">
        <v>1334</v>
      </c>
    </row>
    <row r="163" spans="1:30" ht="31.5" x14ac:dyDescent="0.2">
      <c r="A163" s="618" t="s">
        <v>1318</v>
      </c>
      <c r="B163" s="619" t="s">
        <v>729</v>
      </c>
      <c r="C163" s="620">
        <v>244</v>
      </c>
      <c r="D163" s="620">
        <v>226</v>
      </c>
      <c r="E163" s="596">
        <f t="shared" si="35"/>
        <v>0</v>
      </c>
      <c r="F163" s="595"/>
      <c r="G163" s="595">
        <f>'Прилож 4 24 (2)'!W161</f>
        <v>0</v>
      </c>
      <c r="H163" s="595"/>
      <c r="I163" s="623"/>
      <c r="J163" s="595"/>
      <c r="K163" s="595"/>
      <c r="L163" s="595"/>
      <c r="M163" s="596">
        <f t="shared" si="46"/>
        <v>252769.2</v>
      </c>
      <c r="N163" s="595"/>
      <c r="O163" s="595"/>
      <c r="P163" s="595"/>
      <c r="Q163" s="582" t="s">
        <v>1314</v>
      </c>
      <c r="R163" s="595"/>
      <c r="S163" s="595">
        <v>252769.2</v>
      </c>
      <c r="T163" s="595"/>
      <c r="U163" s="596">
        <f t="shared" si="36"/>
        <v>252769.2</v>
      </c>
      <c r="V163" s="595">
        <f t="shared" si="40"/>
        <v>0</v>
      </c>
      <c r="W163" s="595">
        <f t="shared" si="41"/>
        <v>0</v>
      </c>
      <c r="X163" s="595">
        <f t="shared" si="42"/>
        <v>0</v>
      </c>
      <c r="Y163" s="582" t="s">
        <v>1314</v>
      </c>
      <c r="Z163" s="595">
        <f t="shared" si="43"/>
        <v>0</v>
      </c>
      <c r="AA163" s="595">
        <f t="shared" si="44"/>
        <v>252769.2</v>
      </c>
      <c r="AB163" s="595">
        <f t="shared" si="45"/>
        <v>0</v>
      </c>
      <c r="AC163" s="622" t="s">
        <v>1334</v>
      </c>
    </row>
    <row r="164" spans="1:30" s="637" customFormat="1" x14ac:dyDescent="0.2">
      <c r="A164" s="632" t="s">
        <v>1143</v>
      </c>
      <c r="B164" s="633" t="s">
        <v>729</v>
      </c>
      <c r="C164" s="634">
        <v>244</v>
      </c>
      <c r="D164" s="634">
        <v>226</v>
      </c>
      <c r="E164" s="597">
        <f>SUM(E151:E161)</f>
        <v>443550.92</v>
      </c>
      <c r="F164" s="595">
        <f>'Прилож 4 24 (2)'!V153</f>
        <v>0</v>
      </c>
      <c r="G164" s="595">
        <f>'Прилож 4 24 (2)'!W162</f>
        <v>0</v>
      </c>
      <c r="H164" s="595">
        <f>'Прилож 4 24 (2)'!X153</f>
        <v>443550.92</v>
      </c>
      <c r="I164" s="635"/>
      <c r="J164" s="595">
        <f>'Прилож 4 24 (2)'!Z153</f>
        <v>0</v>
      </c>
      <c r="K164" s="595">
        <f>'Прилож 4 24 (2)'!AA153</f>
        <v>0</v>
      </c>
      <c r="L164" s="595">
        <f>'Прилож 4 24 (2)'!AB153</f>
        <v>0</v>
      </c>
      <c r="M164" s="596">
        <f t="shared" si="46"/>
        <v>415870.80000000005</v>
      </c>
      <c r="N164" s="597">
        <f>SUM(N151:N161)</f>
        <v>0</v>
      </c>
      <c r="O164" s="597">
        <f>SUM(O151:O161)</f>
        <v>0</v>
      </c>
      <c r="P164" s="597">
        <f>SUM(P151:P161)</f>
        <v>0</v>
      </c>
      <c r="Q164" s="635"/>
      <c r="R164" s="597">
        <f t="shared" ref="R164:T164" si="47">SUM(R151:R161)</f>
        <v>0</v>
      </c>
      <c r="S164" s="597">
        <f>SUM(S151:S163)</f>
        <v>415870.80000000005</v>
      </c>
      <c r="T164" s="597">
        <f t="shared" si="47"/>
        <v>0</v>
      </c>
      <c r="U164" s="597">
        <f>SUM(U151:U163)</f>
        <v>859421.72</v>
      </c>
      <c r="V164" s="595">
        <f t="shared" si="40"/>
        <v>0</v>
      </c>
      <c r="W164" s="595">
        <f t="shared" si="41"/>
        <v>0</v>
      </c>
      <c r="X164" s="595">
        <f t="shared" si="42"/>
        <v>443550.92</v>
      </c>
      <c r="Y164" s="635"/>
      <c r="Z164" s="595">
        <f t="shared" si="43"/>
        <v>0</v>
      </c>
      <c r="AA164" s="595">
        <f t="shared" si="44"/>
        <v>415870.80000000005</v>
      </c>
      <c r="AB164" s="595">
        <f t="shared" si="45"/>
        <v>0</v>
      </c>
      <c r="AC164" s="636"/>
      <c r="AD164" s="819"/>
    </row>
    <row r="165" spans="1:30" x14ac:dyDescent="0.2">
      <c r="A165" s="618" t="s">
        <v>753</v>
      </c>
      <c r="B165" s="619" t="s">
        <v>691</v>
      </c>
      <c r="C165" s="620">
        <v>244</v>
      </c>
      <c r="D165" s="620">
        <v>226</v>
      </c>
      <c r="E165" s="596">
        <f t="shared" si="35"/>
        <v>190259.99999999997</v>
      </c>
      <c r="F165" s="595">
        <f>'Прилож 4 24 (2)'!V154</f>
        <v>32288.77</v>
      </c>
      <c r="G165" s="595">
        <f>'Прилож 4 24 (2)'!W163</f>
        <v>0</v>
      </c>
      <c r="H165" s="595">
        <f>'Прилож 4 24 (2)'!X154</f>
        <v>109128.84</v>
      </c>
      <c r="I165" s="623"/>
      <c r="J165" s="595">
        <f>'Прилож 4 24 (2)'!Z154</f>
        <v>0</v>
      </c>
      <c r="K165" s="595">
        <f>'Прилож 4 24 (2)'!AA154</f>
        <v>0</v>
      </c>
      <c r="L165" s="595">
        <f>'Прилож 4 24 (2)'!AB154</f>
        <v>48842.39</v>
      </c>
      <c r="M165" s="596">
        <f t="shared" si="46"/>
        <v>0</v>
      </c>
      <c r="N165" s="595"/>
      <c r="O165" s="595"/>
      <c r="P165" s="595"/>
      <c r="Q165" s="621"/>
      <c r="R165" s="595"/>
      <c r="S165" s="595"/>
      <c r="T165" s="595"/>
      <c r="U165" s="596">
        <f t="shared" si="36"/>
        <v>190260</v>
      </c>
      <c r="V165" s="595">
        <f t="shared" si="40"/>
        <v>32288.77</v>
      </c>
      <c r="W165" s="595">
        <f t="shared" si="41"/>
        <v>0</v>
      </c>
      <c r="X165" s="595">
        <f t="shared" si="42"/>
        <v>109128.84</v>
      </c>
      <c r="Y165" s="628"/>
      <c r="Z165" s="595">
        <f t="shared" si="43"/>
        <v>0</v>
      </c>
      <c r="AA165" s="595">
        <f t="shared" si="44"/>
        <v>0</v>
      </c>
      <c r="AB165" s="595">
        <f t="shared" si="45"/>
        <v>48842.39</v>
      </c>
      <c r="AC165" s="622"/>
    </row>
    <row r="166" spans="1:30" x14ac:dyDescent="0.2">
      <c r="A166" s="618" t="s">
        <v>754</v>
      </c>
      <c r="B166" s="619" t="s">
        <v>691</v>
      </c>
      <c r="C166" s="620">
        <v>244</v>
      </c>
      <c r="D166" s="620">
        <v>226</v>
      </c>
      <c r="E166" s="596">
        <f t="shared" si="35"/>
        <v>74560.5</v>
      </c>
      <c r="F166" s="595">
        <f>'Прилож 4 24 (2)'!V155</f>
        <v>0</v>
      </c>
      <c r="G166" s="595">
        <f>'Прилож 4 24 (2)'!W164</f>
        <v>0</v>
      </c>
      <c r="H166" s="595">
        <f>'Прилож 4 24 (2)'!X155</f>
        <v>63301.25</v>
      </c>
      <c r="I166" s="623"/>
      <c r="J166" s="595">
        <f>'Прилож 4 24 (2)'!Z155</f>
        <v>0</v>
      </c>
      <c r="K166" s="595">
        <f>'Прилож 4 24 (2)'!AA155</f>
        <v>0</v>
      </c>
      <c r="L166" s="595">
        <f>'Прилож 4 24 (2)'!AB155</f>
        <v>11259.25</v>
      </c>
      <c r="M166" s="596">
        <f t="shared" si="46"/>
        <v>0</v>
      </c>
      <c r="N166" s="595"/>
      <c r="O166" s="595"/>
      <c r="P166" s="595"/>
      <c r="Q166" s="621"/>
      <c r="R166" s="595"/>
      <c r="S166" s="595"/>
      <c r="T166" s="595"/>
      <c r="U166" s="596">
        <f t="shared" si="36"/>
        <v>74560.5</v>
      </c>
      <c r="V166" s="595">
        <f t="shared" si="40"/>
        <v>0</v>
      </c>
      <c r="W166" s="595">
        <f t="shared" si="41"/>
        <v>0</v>
      </c>
      <c r="X166" s="595">
        <f t="shared" si="42"/>
        <v>63301.25</v>
      </c>
      <c r="Y166" s="628"/>
      <c r="Z166" s="595">
        <f t="shared" si="43"/>
        <v>0</v>
      </c>
      <c r="AA166" s="595">
        <f t="shared" si="44"/>
        <v>0</v>
      </c>
      <c r="AB166" s="595">
        <f t="shared" si="45"/>
        <v>11259.25</v>
      </c>
      <c r="AC166" s="622"/>
    </row>
    <row r="167" spans="1:30" ht="73.5" customHeight="1" x14ac:dyDescent="0.2">
      <c r="A167" s="618" t="s">
        <v>712</v>
      </c>
      <c r="B167" s="619" t="s">
        <v>691</v>
      </c>
      <c r="C167" s="620">
        <v>244</v>
      </c>
      <c r="D167" s="620">
        <v>226</v>
      </c>
      <c r="E167" s="596">
        <f t="shared" si="35"/>
        <v>35305.199999999997</v>
      </c>
      <c r="F167" s="595">
        <f>'Прилож 4 24 (2)'!V156</f>
        <v>0</v>
      </c>
      <c r="G167" s="595">
        <f>'Прилож 4 24 (2)'!W165</f>
        <v>0</v>
      </c>
      <c r="H167" s="595">
        <f>'Прилож 4 24 (2)'!X156</f>
        <v>35305.199999999997</v>
      </c>
      <c r="I167" s="623"/>
      <c r="J167" s="595">
        <f>'Прилож 4 24 (2)'!Z156</f>
        <v>0</v>
      </c>
      <c r="K167" s="595">
        <f>'Прилож 4 24 (2)'!AA156</f>
        <v>0</v>
      </c>
      <c r="L167" s="595">
        <f>'Прилож 4 24 (2)'!AB156</f>
        <v>0</v>
      </c>
      <c r="M167" s="596">
        <f t="shared" si="46"/>
        <v>0</v>
      </c>
      <c r="N167" s="595"/>
      <c r="O167" s="595"/>
      <c r="P167" s="595"/>
      <c r="Q167" s="621"/>
      <c r="R167" s="595"/>
      <c r="S167" s="595"/>
      <c r="T167" s="595"/>
      <c r="U167" s="596">
        <f t="shared" si="36"/>
        <v>35305.199999999997</v>
      </c>
      <c r="V167" s="595">
        <f t="shared" si="40"/>
        <v>0</v>
      </c>
      <c r="W167" s="595">
        <f t="shared" si="41"/>
        <v>0</v>
      </c>
      <c r="X167" s="595">
        <f t="shared" si="42"/>
        <v>35305.199999999997</v>
      </c>
      <c r="Y167" s="628"/>
      <c r="Z167" s="595">
        <f t="shared" si="43"/>
        <v>0</v>
      </c>
      <c r="AA167" s="595">
        <f t="shared" si="44"/>
        <v>0</v>
      </c>
      <c r="AB167" s="595">
        <f t="shared" si="45"/>
        <v>0</v>
      </c>
      <c r="AC167" s="622"/>
    </row>
    <row r="168" spans="1:30" x14ac:dyDescent="0.2">
      <c r="A168" s="618" t="s">
        <v>755</v>
      </c>
      <c r="B168" s="619" t="s">
        <v>691</v>
      </c>
      <c r="C168" s="620">
        <v>244</v>
      </c>
      <c r="D168" s="620">
        <v>226</v>
      </c>
      <c r="E168" s="596">
        <f t="shared" si="35"/>
        <v>9002.7000000000007</v>
      </c>
      <c r="F168" s="595">
        <f>'Прилож 4 24 (2)'!V157</f>
        <v>0</v>
      </c>
      <c r="G168" s="595">
        <f>'Прилож 4 24 (2)'!W166</f>
        <v>0</v>
      </c>
      <c r="H168" s="595">
        <f>'Прилож 4 24 (2)'!X157</f>
        <v>7643.22</v>
      </c>
      <c r="I168" s="623"/>
      <c r="J168" s="595">
        <f>'Прилож 4 24 (2)'!Z157</f>
        <v>0</v>
      </c>
      <c r="K168" s="595">
        <f>'Прилож 4 24 (2)'!AA157</f>
        <v>0</v>
      </c>
      <c r="L168" s="595">
        <f>'Прилож 4 24 (2)'!AB157</f>
        <v>1359.48</v>
      </c>
      <c r="M168" s="596">
        <f t="shared" si="46"/>
        <v>0</v>
      </c>
      <c r="N168" s="595"/>
      <c r="O168" s="595"/>
      <c r="P168" s="595"/>
      <c r="Q168" s="621"/>
      <c r="R168" s="595"/>
      <c r="S168" s="595"/>
      <c r="T168" s="595"/>
      <c r="U168" s="596">
        <f t="shared" si="36"/>
        <v>9002.7000000000007</v>
      </c>
      <c r="V168" s="595">
        <f t="shared" si="40"/>
        <v>0</v>
      </c>
      <c r="W168" s="595">
        <f t="shared" si="41"/>
        <v>0</v>
      </c>
      <c r="X168" s="595">
        <f t="shared" si="42"/>
        <v>7643.22</v>
      </c>
      <c r="Y168" s="628"/>
      <c r="Z168" s="595">
        <f t="shared" si="43"/>
        <v>0</v>
      </c>
      <c r="AA168" s="595">
        <f t="shared" si="44"/>
        <v>0</v>
      </c>
      <c r="AB168" s="595">
        <f t="shared" si="45"/>
        <v>1359.48</v>
      </c>
      <c r="AC168" s="622"/>
    </row>
    <row r="169" spans="1:30" ht="55.5" customHeight="1" x14ac:dyDescent="0.2">
      <c r="A169" s="618" t="s">
        <v>756</v>
      </c>
      <c r="B169" s="619" t="s">
        <v>691</v>
      </c>
      <c r="C169" s="620">
        <v>244</v>
      </c>
      <c r="D169" s="620">
        <v>226</v>
      </c>
      <c r="E169" s="596">
        <f t="shared" ref="E169:E223" si="48">L169+K169+J169+H169+G169+F169</f>
        <v>19139.400000000001</v>
      </c>
      <c r="F169" s="595">
        <f>'Прилож 4 24 (2)'!V158</f>
        <v>0</v>
      </c>
      <c r="G169" s="595">
        <f>'Прилож 4 24 (2)'!W167</f>
        <v>0</v>
      </c>
      <c r="H169" s="595">
        <f>'Прилож 4 24 (2)'!X158</f>
        <v>16249.23</v>
      </c>
      <c r="I169" s="623"/>
      <c r="J169" s="595">
        <f>'Прилож 4 24 (2)'!Z158</f>
        <v>0</v>
      </c>
      <c r="K169" s="595">
        <f>'Прилож 4 24 (2)'!AA158</f>
        <v>0</v>
      </c>
      <c r="L169" s="595">
        <f>'Прилож 4 24 (2)'!AB158</f>
        <v>2890.17</v>
      </c>
      <c r="M169" s="596">
        <f t="shared" si="46"/>
        <v>0</v>
      </c>
      <c r="N169" s="595"/>
      <c r="O169" s="595"/>
      <c r="P169" s="595"/>
      <c r="Q169" s="621"/>
      <c r="R169" s="595"/>
      <c r="S169" s="595"/>
      <c r="T169" s="595"/>
      <c r="U169" s="596">
        <f t="shared" si="36"/>
        <v>19139.400000000001</v>
      </c>
      <c r="V169" s="595">
        <f t="shared" si="40"/>
        <v>0</v>
      </c>
      <c r="W169" s="595">
        <f t="shared" si="41"/>
        <v>0</v>
      </c>
      <c r="X169" s="595">
        <f t="shared" si="42"/>
        <v>16249.23</v>
      </c>
      <c r="Y169" s="628"/>
      <c r="Z169" s="595">
        <f t="shared" si="43"/>
        <v>0</v>
      </c>
      <c r="AA169" s="595">
        <f t="shared" si="44"/>
        <v>0</v>
      </c>
      <c r="AB169" s="595">
        <f t="shared" si="45"/>
        <v>2890.17</v>
      </c>
      <c r="AC169" s="622"/>
    </row>
    <row r="170" spans="1:30" x14ac:dyDescent="0.2">
      <c r="A170" s="618" t="s">
        <v>706</v>
      </c>
      <c r="B170" s="619" t="s">
        <v>691</v>
      </c>
      <c r="C170" s="620">
        <v>244</v>
      </c>
      <c r="D170" s="620">
        <v>226</v>
      </c>
      <c r="E170" s="596">
        <f t="shared" si="48"/>
        <v>926.1</v>
      </c>
      <c r="F170" s="595">
        <f>'Прилож 4 24 (2)'!V159</f>
        <v>0</v>
      </c>
      <c r="G170" s="595">
        <f>'Прилож 4 24 (2)'!W168</f>
        <v>0</v>
      </c>
      <c r="H170" s="595">
        <f>'Прилож 4 24 (2)'!X159</f>
        <v>786.25</v>
      </c>
      <c r="I170" s="623"/>
      <c r="J170" s="595">
        <f>'Прилож 4 24 (2)'!Z159</f>
        <v>0</v>
      </c>
      <c r="K170" s="595">
        <f>'Прилож 4 24 (2)'!AA159</f>
        <v>0</v>
      </c>
      <c r="L170" s="595">
        <f>'Прилож 4 24 (2)'!AB159</f>
        <v>139.85</v>
      </c>
      <c r="M170" s="596">
        <f t="shared" si="46"/>
        <v>0</v>
      </c>
      <c r="N170" s="595"/>
      <c r="O170" s="595"/>
      <c r="P170" s="595"/>
      <c r="Q170" s="621"/>
      <c r="R170" s="595"/>
      <c r="S170" s="595"/>
      <c r="T170" s="595"/>
      <c r="U170" s="596">
        <f t="shared" ref="U170:U224" si="49">V170+X170+Z170+AA170+AB170+W170</f>
        <v>926.1</v>
      </c>
      <c r="V170" s="595">
        <f t="shared" si="40"/>
        <v>0</v>
      </c>
      <c r="W170" s="595">
        <f t="shared" si="41"/>
        <v>0</v>
      </c>
      <c r="X170" s="595">
        <f t="shared" si="42"/>
        <v>786.25</v>
      </c>
      <c r="Y170" s="628"/>
      <c r="Z170" s="595">
        <f t="shared" si="43"/>
        <v>0</v>
      </c>
      <c r="AA170" s="595">
        <f t="shared" si="44"/>
        <v>0</v>
      </c>
      <c r="AB170" s="595">
        <f t="shared" si="45"/>
        <v>139.85</v>
      </c>
      <c r="AC170" s="622"/>
    </row>
    <row r="171" spans="1:30" s="637" customFormat="1" x14ac:dyDescent="0.2">
      <c r="A171" s="632" t="s">
        <v>1143</v>
      </c>
      <c r="B171" s="633" t="s">
        <v>691</v>
      </c>
      <c r="C171" s="634">
        <v>244</v>
      </c>
      <c r="D171" s="634">
        <v>226</v>
      </c>
      <c r="E171" s="597">
        <f>SUM(E165:E170)</f>
        <v>329193.90000000002</v>
      </c>
      <c r="F171" s="595">
        <f>'Прилож 4 24 (2)'!V160</f>
        <v>32288.77</v>
      </c>
      <c r="G171" s="595">
        <f>'Прилож 4 24 (2)'!W169</f>
        <v>0</v>
      </c>
      <c r="H171" s="595">
        <f>'Прилож 4 24 (2)'!X160</f>
        <v>232413.99</v>
      </c>
      <c r="I171" s="635"/>
      <c r="J171" s="595">
        <f>'Прилож 4 24 (2)'!Z160</f>
        <v>0</v>
      </c>
      <c r="K171" s="595">
        <f>'Прилож 4 24 (2)'!AA160</f>
        <v>0</v>
      </c>
      <c r="L171" s="595">
        <f>'Прилож 4 24 (2)'!AB160</f>
        <v>64491.14</v>
      </c>
      <c r="M171" s="596">
        <f t="shared" si="46"/>
        <v>0</v>
      </c>
      <c r="N171" s="597"/>
      <c r="O171" s="597">
        <f t="shared" ref="O171:U171" si="50">SUM(O165:O170)</f>
        <v>0</v>
      </c>
      <c r="P171" s="597">
        <f t="shared" si="50"/>
        <v>0</v>
      </c>
      <c r="Q171" s="635"/>
      <c r="R171" s="597">
        <f t="shared" si="50"/>
        <v>0</v>
      </c>
      <c r="S171" s="597">
        <f t="shared" si="50"/>
        <v>0</v>
      </c>
      <c r="T171" s="597">
        <f t="shared" si="50"/>
        <v>0</v>
      </c>
      <c r="U171" s="597">
        <f t="shared" si="50"/>
        <v>329193.90000000002</v>
      </c>
      <c r="V171" s="595">
        <f t="shared" si="40"/>
        <v>32288.77</v>
      </c>
      <c r="W171" s="595">
        <f t="shared" si="41"/>
        <v>0</v>
      </c>
      <c r="X171" s="595">
        <f t="shared" si="42"/>
        <v>232413.99</v>
      </c>
      <c r="Y171" s="635"/>
      <c r="Z171" s="595">
        <f t="shared" si="43"/>
        <v>0</v>
      </c>
      <c r="AA171" s="595">
        <f t="shared" si="44"/>
        <v>0</v>
      </c>
      <c r="AB171" s="595">
        <f t="shared" si="45"/>
        <v>64491.14</v>
      </c>
      <c r="AC171" s="636"/>
      <c r="AD171" s="819"/>
    </row>
    <row r="172" spans="1:30" s="614" customFormat="1" x14ac:dyDescent="0.2">
      <c r="A172" s="630" t="s">
        <v>739</v>
      </c>
      <c r="B172" s="631"/>
      <c r="C172" s="624"/>
      <c r="D172" s="624"/>
      <c r="E172" s="596">
        <f>E171+E164+E150</f>
        <v>971040.74</v>
      </c>
      <c r="F172" s="595">
        <f>'Прилож 4 24 (2)'!V161</f>
        <v>32288.77</v>
      </c>
      <c r="G172" s="595">
        <f>'Прилож 4 24 (2)'!W170</f>
        <v>0</v>
      </c>
      <c r="H172" s="595">
        <f>'Прилож 4 24 (2)'!X161</f>
        <v>874260.82999999984</v>
      </c>
      <c r="I172" s="626"/>
      <c r="J172" s="595">
        <f>'Прилож 4 24 (2)'!Z161</f>
        <v>0</v>
      </c>
      <c r="K172" s="595">
        <f>'Прилож 4 24 (2)'!AA161</f>
        <v>0</v>
      </c>
      <c r="L172" s="595">
        <f>'Прилож 4 24 (2)'!AB161</f>
        <v>64491.14</v>
      </c>
      <c r="M172" s="596">
        <f t="shared" si="46"/>
        <v>415870.80000000005</v>
      </c>
      <c r="N172" s="596">
        <f>N171+N164+N150</f>
        <v>0</v>
      </c>
      <c r="O172" s="596">
        <f>O171+O164+O150</f>
        <v>0</v>
      </c>
      <c r="P172" s="596">
        <f>P171+P164+P150</f>
        <v>0</v>
      </c>
      <c r="Q172" s="626"/>
      <c r="R172" s="596">
        <f t="shared" ref="R172:T172" si="51">R171+R164+R150</f>
        <v>0</v>
      </c>
      <c r="S172" s="596">
        <f t="shared" si="51"/>
        <v>415870.80000000005</v>
      </c>
      <c r="T172" s="596">
        <f t="shared" si="51"/>
        <v>0</v>
      </c>
      <c r="U172" s="596">
        <f>U171+U164+U150</f>
        <v>1386911.54</v>
      </c>
      <c r="V172" s="595">
        <f t="shared" si="40"/>
        <v>32288.77</v>
      </c>
      <c r="W172" s="595">
        <f t="shared" si="41"/>
        <v>0</v>
      </c>
      <c r="X172" s="595">
        <f t="shared" si="42"/>
        <v>874260.82999999984</v>
      </c>
      <c r="Y172" s="626"/>
      <c r="Z172" s="595">
        <f t="shared" si="43"/>
        <v>0</v>
      </c>
      <c r="AA172" s="595">
        <f t="shared" si="44"/>
        <v>415870.80000000005</v>
      </c>
      <c r="AB172" s="595">
        <f t="shared" si="45"/>
        <v>64491.14</v>
      </c>
      <c r="AC172" s="627"/>
      <c r="AD172" s="819"/>
    </row>
    <row r="173" spans="1:30" ht="34.5" customHeight="1" x14ac:dyDescent="0.2">
      <c r="A173" s="618" t="s">
        <v>637</v>
      </c>
      <c r="B173" s="619" t="s">
        <v>729</v>
      </c>
      <c r="C173" s="620">
        <v>244</v>
      </c>
      <c r="D173" s="620">
        <v>227</v>
      </c>
      <c r="E173" s="596">
        <f t="shared" si="48"/>
        <v>10000</v>
      </c>
      <c r="F173" s="595">
        <f>'Прилож 4 24 (2)'!V162</f>
        <v>0</v>
      </c>
      <c r="G173" s="595">
        <f>'Прилож 4 24 (2)'!W171</f>
        <v>0</v>
      </c>
      <c r="H173" s="595">
        <f>'Прилож 4 24 (2)'!X162</f>
        <v>10000</v>
      </c>
      <c r="I173" s="623"/>
      <c r="J173" s="595">
        <f>'Прилож 4 24 (2)'!Z162</f>
        <v>0</v>
      </c>
      <c r="K173" s="595">
        <f>'Прилож 4 24 (2)'!AA162</f>
        <v>0</v>
      </c>
      <c r="L173" s="595">
        <f>'Прилож 4 24 (2)'!AB162</f>
        <v>0</v>
      </c>
      <c r="M173" s="596">
        <f t="shared" si="46"/>
        <v>0</v>
      </c>
      <c r="N173" s="595"/>
      <c r="O173" s="595"/>
      <c r="P173" s="595"/>
      <c r="Q173" s="621"/>
      <c r="R173" s="595"/>
      <c r="S173" s="595"/>
      <c r="T173" s="595"/>
      <c r="U173" s="596">
        <f t="shared" si="49"/>
        <v>10000</v>
      </c>
      <c r="V173" s="595">
        <f t="shared" si="40"/>
        <v>0</v>
      </c>
      <c r="W173" s="595">
        <f t="shared" si="41"/>
        <v>0</v>
      </c>
      <c r="X173" s="595">
        <f t="shared" si="42"/>
        <v>10000</v>
      </c>
      <c r="Y173" s="628"/>
      <c r="Z173" s="595">
        <f t="shared" si="43"/>
        <v>0</v>
      </c>
      <c r="AA173" s="595">
        <f t="shared" si="44"/>
        <v>0</v>
      </c>
      <c r="AB173" s="595">
        <f t="shared" si="45"/>
        <v>0</v>
      </c>
      <c r="AC173" s="622"/>
    </row>
    <row r="174" spans="1:30" ht="25.5" customHeight="1" x14ac:dyDescent="0.2">
      <c r="A174" s="618" t="s">
        <v>678</v>
      </c>
      <c r="B174" s="619" t="s">
        <v>691</v>
      </c>
      <c r="C174" s="620">
        <v>244</v>
      </c>
      <c r="D174" s="620">
        <v>227</v>
      </c>
      <c r="E174" s="596">
        <f t="shared" si="48"/>
        <v>1827</v>
      </c>
      <c r="F174" s="595">
        <f>'Прилож 4 24 (2)'!V163</f>
        <v>0</v>
      </c>
      <c r="G174" s="595">
        <f>'Прилож 4 24 (2)'!W172</f>
        <v>0</v>
      </c>
      <c r="H174" s="595">
        <f>'Прилож 4 24 (2)'!X163</f>
        <v>1551.11</v>
      </c>
      <c r="I174" s="623"/>
      <c r="J174" s="595">
        <f>'Прилож 4 24 (2)'!Z163</f>
        <v>0</v>
      </c>
      <c r="K174" s="595">
        <f>'Прилож 4 24 (2)'!AA163</f>
        <v>0</v>
      </c>
      <c r="L174" s="595">
        <f>'Прилож 4 24 (2)'!AB163</f>
        <v>275.89</v>
      </c>
      <c r="M174" s="596">
        <f t="shared" si="46"/>
        <v>0</v>
      </c>
      <c r="N174" s="595"/>
      <c r="O174" s="595"/>
      <c r="P174" s="595"/>
      <c r="Q174" s="621"/>
      <c r="R174" s="595"/>
      <c r="S174" s="595"/>
      <c r="T174" s="595"/>
      <c r="U174" s="596">
        <f>V174+X174+Z174+AA174+AB174+W174</f>
        <v>1827</v>
      </c>
      <c r="V174" s="595">
        <f t="shared" si="40"/>
        <v>0</v>
      </c>
      <c r="W174" s="595">
        <f t="shared" si="41"/>
        <v>0</v>
      </c>
      <c r="X174" s="595">
        <f t="shared" si="42"/>
        <v>1551.11</v>
      </c>
      <c r="Y174" s="628"/>
      <c r="Z174" s="595">
        <f t="shared" si="43"/>
        <v>0</v>
      </c>
      <c r="AA174" s="595">
        <f t="shared" si="44"/>
        <v>0</v>
      </c>
      <c r="AB174" s="595">
        <f t="shared" si="45"/>
        <v>275.89</v>
      </c>
      <c r="AC174" s="622"/>
    </row>
    <row r="175" spans="1:30" s="614" customFormat="1" x14ac:dyDescent="0.2">
      <c r="A175" s="630" t="s">
        <v>740</v>
      </c>
      <c r="B175" s="631"/>
      <c r="C175" s="624"/>
      <c r="D175" s="624"/>
      <c r="E175" s="596">
        <f>SUM(E173:E174)</f>
        <v>11827</v>
      </c>
      <c r="F175" s="595">
        <f>'Прилож 4 24 (2)'!V164</f>
        <v>0</v>
      </c>
      <c r="G175" s="595">
        <f>'Прилож 4 24 (2)'!W173</f>
        <v>0</v>
      </c>
      <c r="H175" s="595">
        <f>'Прилож 4 24 (2)'!X164</f>
        <v>11551.11</v>
      </c>
      <c r="I175" s="626"/>
      <c r="J175" s="595">
        <f>'Прилож 4 24 (2)'!Z164</f>
        <v>0</v>
      </c>
      <c r="K175" s="595">
        <f>'Прилож 4 24 (2)'!AA164</f>
        <v>0</v>
      </c>
      <c r="L175" s="595">
        <f>'Прилож 4 24 (2)'!AB164</f>
        <v>275.89</v>
      </c>
      <c r="M175" s="596">
        <f t="shared" si="46"/>
        <v>0</v>
      </c>
      <c r="N175" s="596">
        <f t="shared" ref="N175:T175" si="52">SUM(N173:N174)</f>
        <v>0</v>
      </c>
      <c r="O175" s="596">
        <f t="shared" si="52"/>
        <v>0</v>
      </c>
      <c r="P175" s="596">
        <f t="shared" si="52"/>
        <v>0</v>
      </c>
      <c r="Q175" s="626"/>
      <c r="R175" s="596">
        <f t="shared" si="52"/>
        <v>0</v>
      </c>
      <c r="S175" s="596">
        <f t="shared" si="52"/>
        <v>0</v>
      </c>
      <c r="T175" s="596">
        <f t="shared" si="52"/>
        <v>0</v>
      </c>
      <c r="U175" s="596">
        <f>SUM(U173:U174)</f>
        <v>11827</v>
      </c>
      <c r="V175" s="595">
        <f t="shared" si="40"/>
        <v>0</v>
      </c>
      <c r="W175" s="595">
        <f t="shared" si="41"/>
        <v>0</v>
      </c>
      <c r="X175" s="595">
        <f t="shared" si="42"/>
        <v>11551.11</v>
      </c>
      <c r="Y175" s="626"/>
      <c r="Z175" s="595">
        <f t="shared" si="43"/>
        <v>0</v>
      </c>
      <c r="AA175" s="595">
        <f t="shared" si="44"/>
        <v>0</v>
      </c>
      <c r="AB175" s="595">
        <f t="shared" si="45"/>
        <v>275.89</v>
      </c>
      <c r="AC175" s="627"/>
    </row>
    <row r="176" spans="1:30" ht="31.5" x14ac:dyDescent="0.2">
      <c r="A176" s="618" t="s">
        <v>1227</v>
      </c>
      <c r="B176" s="619" t="s">
        <v>747</v>
      </c>
      <c r="C176" s="620">
        <v>244</v>
      </c>
      <c r="D176" s="620">
        <v>310</v>
      </c>
      <c r="E176" s="596">
        <f>L176+K176+J176+H176+G176+F176</f>
        <v>4025</v>
      </c>
      <c r="F176" s="595">
        <f>'Прилож 4 24 (2)'!V165</f>
        <v>0</v>
      </c>
      <c r="G176" s="595">
        <f>'Прилож 4 24 (2)'!W174</f>
        <v>0</v>
      </c>
      <c r="H176" s="595">
        <f>'Прилож 4 24 (2)'!X165</f>
        <v>0</v>
      </c>
      <c r="I176" s="621" t="s">
        <v>1250</v>
      </c>
      <c r="J176" s="595">
        <f>'Прилож 4 24 (2)'!Z165</f>
        <v>0</v>
      </c>
      <c r="K176" s="595">
        <f>'Прилож 4 24 (2)'!AA165</f>
        <v>4025</v>
      </c>
      <c r="L176" s="595">
        <f>'Прилож 4 24 (2)'!AB165</f>
        <v>0</v>
      </c>
      <c r="M176" s="596">
        <f t="shared" si="46"/>
        <v>-4025</v>
      </c>
      <c r="N176" s="595"/>
      <c r="O176" s="595"/>
      <c r="P176" s="595"/>
      <c r="Q176" s="621" t="s">
        <v>1250</v>
      </c>
      <c r="R176" s="595"/>
      <c r="S176" s="595">
        <v>-4025</v>
      </c>
      <c r="T176" s="595"/>
      <c r="U176" s="596">
        <f t="shared" si="49"/>
        <v>0</v>
      </c>
      <c r="V176" s="595">
        <f t="shared" si="40"/>
        <v>0</v>
      </c>
      <c r="W176" s="595">
        <f t="shared" si="41"/>
        <v>0</v>
      </c>
      <c r="X176" s="595">
        <f t="shared" si="42"/>
        <v>0</v>
      </c>
      <c r="Y176" s="621"/>
      <c r="Z176" s="595">
        <f t="shared" si="43"/>
        <v>0</v>
      </c>
      <c r="AA176" s="595">
        <f>S176+K176</f>
        <v>0</v>
      </c>
      <c r="AB176" s="595">
        <f t="shared" si="45"/>
        <v>0</v>
      </c>
      <c r="AC176" s="622" t="s">
        <v>1329</v>
      </c>
    </row>
    <row r="177" spans="1:30" ht="47.25" x14ac:dyDescent="0.2">
      <c r="A177" s="618" t="s">
        <v>1228</v>
      </c>
      <c r="B177" s="619" t="s">
        <v>747</v>
      </c>
      <c r="C177" s="620">
        <v>244</v>
      </c>
      <c r="D177" s="620">
        <v>310</v>
      </c>
      <c r="E177" s="596">
        <f t="shared" si="48"/>
        <v>4638</v>
      </c>
      <c r="F177" s="595">
        <f>'Прилож 4 24 (2)'!V166</f>
        <v>0</v>
      </c>
      <c r="G177" s="595">
        <f>'Прилож 4 24 (2)'!W175</f>
        <v>0</v>
      </c>
      <c r="H177" s="595">
        <f>'Прилож 4 24 (2)'!X166</f>
        <v>0</v>
      </c>
      <c r="I177" s="621" t="s">
        <v>1250</v>
      </c>
      <c r="J177" s="595">
        <f>'Прилож 4 24 (2)'!Z166</f>
        <v>0</v>
      </c>
      <c r="K177" s="595">
        <f>'Прилож 4 24 (2)'!AA166</f>
        <v>4638</v>
      </c>
      <c r="L177" s="595">
        <f>'Прилож 4 24 (2)'!AB166</f>
        <v>0</v>
      </c>
      <c r="M177" s="596">
        <f t="shared" si="46"/>
        <v>-4638</v>
      </c>
      <c r="N177" s="595"/>
      <c r="O177" s="595"/>
      <c r="P177" s="595"/>
      <c r="Q177" s="621" t="s">
        <v>1250</v>
      </c>
      <c r="R177" s="595"/>
      <c r="S177" s="595">
        <v>-4638</v>
      </c>
      <c r="T177" s="595"/>
      <c r="U177" s="596">
        <f t="shared" si="49"/>
        <v>0</v>
      </c>
      <c r="V177" s="595">
        <f t="shared" si="40"/>
        <v>0</v>
      </c>
      <c r="W177" s="595">
        <f t="shared" si="41"/>
        <v>0</v>
      </c>
      <c r="X177" s="595">
        <f t="shared" si="42"/>
        <v>0</v>
      </c>
      <c r="Y177" s="621"/>
      <c r="Z177" s="595">
        <f t="shared" si="43"/>
        <v>0</v>
      </c>
      <c r="AA177" s="595">
        <f t="shared" si="44"/>
        <v>0</v>
      </c>
      <c r="AB177" s="595">
        <f t="shared" si="45"/>
        <v>0</v>
      </c>
      <c r="AC177" s="622" t="s">
        <v>1329</v>
      </c>
    </row>
    <row r="178" spans="1:30" ht="31.5" x14ac:dyDescent="0.2">
      <c r="A178" s="618" t="s">
        <v>1229</v>
      </c>
      <c r="B178" s="619" t="s">
        <v>747</v>
      </c>
      <c r="C178" s="620">
        <v>244</v>
      </c>
      <c r="D178" s="620">
        <v>310</v>
      </c>
      <c r="E178" s="596">
        <f t="shared" si="48"/>
        <v>93768</v>
      </c>
      <c r="F178" s="595">
        <f>'Прилож 4 24 (2)'!V167</f>
        <v>0</v>
      </c>
      <c r="G178" s="595">
        <f>'Прилож 4 24 (2)'!W176</f>
        <v>0</v>
      </c>
      <c r="H178" s="595">
        <f>'Прилож 4 24 (2)'!X167</f>
        <v>0</v>
      </c>
      <c r="I178" s="621" t="s">
        <v>1250</v>
      </c>
      <c r="J178" s="595">
        <f>'Прилож 4 24 (2)'!Z167</f>
        <v>0</v>
      </c>
      <c r="K178" s="595">
        <f>'Прилож 4 24 (2)'!AA167</f>
        <v>93768</v>
      </c>
      <c r="L178" s="595">
        <f>'Прилож 4 24 (2)'!AB167</f>
        <v>0</v>
      </c>
      <c r="M178" s="596">
        <f t="shared" si="46"/>
        <v>-93768</v>
      </c>
      <c r="N178" s="595"/>
      <c r="O178" s="595"/>
      <c r="P178" s="595"/>
      <c r="Q178" s="621" t="s">
        <v>1250</v>
      </c>
      <c r="R178" s="595"/>
      <c r="S178" s="595">
        <v>-93768</v>
      </c>
      <c r="T178" s="595"/>
      <c r="U178" s="596">
        <f t="shared" si="49"/>
        <v>0</v>
      </c>
      <c r="V178" s="595">
        <f t="shared" si="40"/>
        <v>0</v>
      </c>
      <c r="W178" s="595">
        <f t="shared" si="41"/>
        <v>0</v>
      </c>
      <c r="X178" s="595">
        <f t="shared" si="42"/>
        <v>0</v>
      </c>
      <c r="Y178" s="621"/>
      <c r="Z178" s="595">
        <f t="shared" si="43"/>
        <v>0</v>
      </c>
      <c r="AA178" s="595">
        <f t="shared" si="44"/>
        <v>0</v>
      </c>
      <c r="AB178" s="595">
        <f t="shared" si="45"/>
        <v>0</v>
      </c>
      <c r="AC178" s="622" t="s">
        <v>1329</v>
      </c>
    </row>
    <row r="179" spans="1:30" x14ac:dyDescent="0.2">
      <c r="A179" s="618" t="s">
        <v>1284</v>
      </c>
      <c r="B179" s="619" t="s">
        <v>747</v>
      </c>
      <c r="C179" s="620">
        <v>244</v>
      </c>
      <c r="D179" s="620">
        <v>310</v>
      </c>
      <c r="E179" s="596">
        <f t="shared" si="48"/>
        <v>18000</v>
      </c>
      <c r="F179" s="595">
        <f>'Прилож 4 24 (2)'!V168</f>
        <v>18000</v>
      </c>
      <c r="G179" s="595">
        <f>'Прилож 4 24 (2)'!W177</f>
        <v>0</v>
      </c>
      <c r="H179" s="595">
        <f>'Прилож 4 24 (2)'!X168</f>
        <v>0</v>
      </c>
      <c r="I179" s="621"/>
      <c r="J179" s="595">
        <f>'Прилож 4 24 (2)'!Z168</f>
        <v>0</v>
      </c>
      <c r="K179" s="595">
        <f>'Прилож 4 24 (2)'!AA168</f>
        <v>0</v>
      </c>
      <c r="L179" s="595">
        <f>'Прилож 4 24 (2)'!AB168</f>
        <v>0</v>
      </c>
      <c r="M179" s="596">
        <f t="shared" si="46"/>
        <v>0</v>
      </c>
      <c r="N179" s="595"/>
      <c r="O179" s="595"/>
      <c r="P179" s="595"/>
      <c r="Q179" s="621"/>
      <c r="R179" s="595"/>
      <c r="S179" s="595"/>
      <c r="T179" s="595"/>
      <c r="U179" s="596">
        <f>V179</f>
        <v>18000</v>
      </c>
      <c r="V179" s="595">
        <f t="shared" si="40"/>
        <v>18000</v>
      </c>
      <c r="W179" s="595">
        <f t="shared" si="41"/>
        <v>0</v>
      </c>
      <c r="X179" s="595">
        <f t="shared" si="42"/>
        <v>0</v>
      </c>
      <c r="Y179" s="621"/>
      <c r="Z179" s="595">
        <f t="shared" si="43"/>
        <v>0</v>
      </c>
      <c r="AA179" s="595">
        <f t="shared" si="44"/>
        <v>0</v>
      </c>
      <c r="AB179" s="595">
        <f t="shared" si="45"/>
        <v>0</v>
      </c>
      <c r="AC179" s="622"/>
    </row>
    <row r="180" spans="1:30" s="637" customFormat="1" x14ac:dyDescent="0.2">
      <c r="A180" s="632" t="s">
        <v>783</v>
      </c>
      <c r="B180" s="633"/>
      <c r="C180" s="634"/>
      <c r="D180" s="634"/>
      <c r="E180" s="597">
        <f>SUM(E176:E179)</f>
        <v>120431</v>
      </c>
      <c r="F180" s="595">
        <f>'Прилож 4 24 (2)'!V169</f>
        <v>18000</v>
      </c>
      <c r="G180" s="595">
        <f>'Прилож 4 24 (2)'!W178</f>
        <v>0</v>
      </c>
      <c r="H180" s="595">
        <f>'Прилож 4 24 (2)'!X169</f>
        <v>0</v>
      </c>
      <c r="I180" s="597">
        <f t="shared" ref="I180" si="53">SUM(I176:I178)</f>
        <v>0</v>
      </c>
      <c r="J180" s="595">
        <f>'Прилож 4 24 (2)'!Z169</f>
        <v>0</v>
      </c>
      <c r="K180" s="595">
        <f>'Прилож 4 24 (2)'!AA169</f>
        <v>102431</v>
      </c>
      <c r="L180" s="595">
        <f>'Прилож 4 24 (2)'!AB169</f>
        <v>0</v>
      </c>
      <c r="M180" s="597">
        <f t="shared" ref="M180:Y180" si="54">SUM(M176:M179)</f>
        <v>-102431</v>
      </c>
      <c r="N180" s="597">
        <f t="shared" si="54"/>
        <v>0</v>
      </c>
      <c r="O180" s="597">
        <f t="shared" si="54"/>
        <v>0</v>
      </c>
      <c r="P180" s="597">
        <f t="shared" si="54"/>
        <v>0</v>
      </c>
      <c r="Q180" s="597">
        <f t="shared" si="54"/>
        <v>0</v>
      </c>
      <c r="R180" s="597">
        <f t="shared" si="54"/>
        <v>0</v>
      </c>
      <c r="S180" s="597">
        <f t="shared" si="54"/>
        <v>-102431</v>
      </c>
      <c r="T180" s="597">
        <f t="shared" si="54"/>
        <v>0</v>
      </c>
      <c r="U180" s="597">
        <f t="shared" si="54"/>
        <v>18000</v>
      </c>
      <c r="V180" s="595">
        <f t="shared" si="40"/>
        <v>18000</v>
      </c>
      <c r="W180" s="595">
        <f t="shared" si="41"/>
        <v>0</v>
      </c>
      <c r="X180" s="595">
        <f t="shared" si="42"/>
        <v>0</v>
      </c>
      <c r="Y180" s="597">
        <f t="shared" si="54"/>
        <v>0</v>
      </c>
      <c r="Z180" s="595">
        <f t="shared" si="43"/>
        <v>0</v>
      </c>
      <c r="AA180" s="595">
        <f t="shared" si="44"/>
        <v>0</v>
      </c>
      <c r="AB180" s="595">
        <f t="shared" si="45"/>
        <v>0</v>
      </c>
      <c r="AC180" s="636"/>
    </row>
    <row r="181" spans="1:30" ht="31.5" x14ac:dyDescent="0.2">
      <c r="A181" s="618" t="s">
        <v>1281</v>
      </c>
      <c r="B181" s="619" t="s">
        <v>729</v>
      </c>
      <c r="C181" s="620">
        <v>244</v>
      </c>
      <c r="D181" s="620">
        <v>310</v>
      </c>
      <c r="E181" s="596">
        <f t="shared" si="48"/>
        <v>50000</v>
      </c>
      <c r="F181" s="595">
        <f>'Прилож 4 24 (2)'!V170</f>
        <v>50000</v>
      </c>
      <c r="G181" s="595">
        <f>'Прилож 4 24 (2)'!W179</f>
        <v>0</v>
      </c>
      <c r="H181" s="595">
        <f>'Прилож 4 24 (2)'!X170</f>
        <v>0</v>
      </c>
      <c r="I181" s="621"/>
      <c r="J181" s="595">
        <f>'Прилож 4 24 (2)'!Z170</f>
        <v>0</v>
      </c>
      <c r="K181" s="595">
        <f>'Прилож 4 24 (2)'!AA170</f>
        <v>0</v>
      </c>
      <c r="L181" s="595">
        <f>'Прилож 4 24 (2)'!AB170</f>
        <v>0</v>
      </c>
      <c r="M181" s="596">
        <f t="shared" si="46"/>
        <v>0</v>
      </c>
      <c r="N181" s="595"/>
      <c r="O181" s="595"/>
      <c r="P181" s="595"/>
      <c r="Q181" s="621"/>
      <c r="R181" s="595"/>
      <c r="S181" s="595"/>
      <c r="T181" s="595"/>
      <c r="U181" s="596">
        <f>V181</f>
        <v>50000</v>
      </c>
      <c r="V181" s="595">
        <f t="shared" si="40"/>
        <v>50000</v>
      </c>
      <c r="W181" s="595">
        <f t="shared" si="41"/>
        <v>0</v>
      </c>
      <c r="X181" s="595">
        <f t="shared" si="42"/>
        <v>0</v>
      </c>
      <c r="Y181" s="621"/>
      <c r="Z181" s="595">
        <f t="shared" si="43"/>
        <v>0</v>
      </c>
      <c r="AA181" s="595">
        <f t="shared" si="44"/>
        <v>0</v>
      </c>
      <c r="AB181" s="595">
        <f t="shared" si="45"/>
        <v>0</v>
      </c>
      <c r="AC181" s="622"/>
    </row>
    <row r="182" spans="1:30" x14ac:dyDescent="0.2">
      <c r="A182" s="618" t="s">
        <v>1282</v>
      </c>
      <c r="B182" s="619" t="s">
        <v>729</v>
      </c>
      <c r="C182" s="620">
        <v>244</v>
      </c>
      <c r="D182" s="620">
        <v>310</v>
      </c>
      <c r="E182" s="596">
        <f t="shared" si="48"/>
        <v>680000</v>
      </c>
      <c r="F182" s="595">
        <f>'Прилож 4 24 (2)'!V171</f>
        <v>680000</v>
      </c>
      <c r="G182" s="595">
        <f>'Прилож 4 24 (2)'!W180</f>
        <v>0</v>
      </c>
      <c r="H182" s="595">
        <f>'Прилож 4 24 (2)'!X171</f>
        <v>0</v>
      </c>
      <c r="I182" s="621"/>
      <c r="J182" s="595">
        <f>'Прилож 4 24 (2)'!Z171</f>
        <v>0</v>
      </c>
      <c r="K182" s="595">
        <f>'Прилож 4 24 (2)'!AA171</f>
        <v>0</v>
      </c>
      <c r="L182" s="595">
        <f>'Прилож 4 24 (2)'!AB171</f>
        <v>0</v>
      </c>
      <c r="M182" s="596">
        <f t="shared" si="46"/>
        <v>0</v>
      </c>
      <c r="N182" s="595"/>
      <c r="O182" s="595"/>
      <c r="P182" s="595"/>
      <c r="Q182" s="621"/>
      <c r="R182" s="595"/>
      <c r="S182" s="595"/>
      <c r="T182" s="595"/>
      <c r="U182" s="596">
        <f>V182</f>
        <v>680000</v>
      </c>
      <c r="V182" s="595">
        <f t="shared" si="40"/>
        <v>680000</v>
      </c>
      <c r="W182" s="595">
        <f t="shared" si="41"/>
        <v>0</v>
      </c>
      <c r="X182" s="595">
        <f t="shared" si="42"/>
        <v>0</v>
      </c>
      <c r="Y182" s="621"/>
      <c r="Z182" s="595">
        <f t="shared" si="43"/>
        <v>0</v>
      </c>
      <c r="AA182" s="595">
        <f t="shared" si="44"/>
        <v>0</v>
      </c>
      <c r="AB182" s="595">
        <f t="shared" si="45"/>
        <v>0</v>
      </c>
      <c r="AC182" s="622"/>
    </row>
    <row r="183" spans="1:30" x14ac:dyDescent="0.2">
      <c r="A183" s="618" t="s">
        <v>1284</v>
      </c>
      <c r="B183" s="619" t="s">
        <v>729</v>
      </c>
      <c r="C183" s="620">
        <v>244</v>
      </c>
      <c r="D183" s="620">
        <v>310</v>
      </c>
      <c r="E183" s="596">
        <f t="shared" si="48"/>
        <v>27000</v>
      </c>
      <c r="F183" s="595">
        <f>'Прилож 4 24 (2)'!V172</f>
        <v>27000</v>
      </c>
      <c r="G183" s="595">
        <f>'Прилож 4 24 (2)'!W181</f>
        <v>0</v>
      </c>
      <c r="H183" s="595">
        <f>'Прилож 4 24 (2)'!X172</f>
        <v>0</v>
      </c>
      <c r="I183" s="621"/>
      <c r="J183" s="595">
        <f>'Прилож 4 24 (2)'!Z172</f>
        <v>0</v>
      </c>
      <c r="K183" s="595">
        <f>'Прилож 4 24 (2)'!AA172</f>
        <v>0</v>
      </c>
      <c r="L183" s="595">
        <f>'Прилож 4 24 (2)'!AB172</f>
        <v>0</v>
      </c>
      <c r="M183" s="596">
        <f t="shared" si="46"/>
        <v>0</v>
      </c>
      <c r="N183" s="595"/>
      <c r="O183" s="595"/>
      <c r="P183" s="595"/>
      <c r="Q183" s="621"/>
      <c r="R183" s="595"/>
      <c r="S183" s="595"/>
      <c r="T183" s="595"/>
      <c r="U183" s="596">
        <f>V183</f>
        <v>27000</v>
      </c>
      <c r="V183" s="595">
        <f t="shared" si="40"/>
        <v>27000</v>
      </c>
      <c r="W183" s="595">
        <f t="shared" si="41"/>
        <v>0</v>
      </c>
      <c r="X183" s="595">
        <f t="shared" si="42"/>
        <v>0</v>
      </c>
      <c r="Y183" s="621"/>
      <c r="Z183" s="595">
        <f t="shared" si="43"/>
        <v>0</v>
      </c>
      <c r="AA183" s="595">
        <f t="shared" si="44"/>
        <v>0</v>
      </c>
      <c r="AB183" s="595">
        <f t="shared" si="45"/>
        <v>0</v>
      </c>
      <c r="AC183" s="622"/>
    </row>
    <row r="184" spans="1:30" ht="31.5" x14ac:dyDescent="0.2">
      <c r="A184" s="618" t="s">
        <v>1227</v>
      </c>
      <c r="B184" s="619" t="s">
        <v>729</v>
      </c>
      <c r="C184" s="620">
        <v>244</v>
      </c>
      <c r="D184" s="620">
        <v>310</v>
      </c>
      <c r="E184" s="596"/>
      <c r="F184" s="595"/>
      <c r="G184" s="595"/>
      <c r="H184" s="595"/>
      <c r="I184" s="621"/>
      <c r="J184" s="595"/>
      <c r="K184" s="595"/>
      <c r="L184" s="595"/>
      <c r="M184" s="596">
        <f t="shared" si="46"/>
        <v>4025</v>
      </c>
      <c r="N184" s="595"/>
      <c r="O184" s="595"/>
      <c r="P184" s="595"/>
      <c r="Q184" s="621" t="s">
        <v>1226</v>
      </c>
      <c r="R184" s="595"/>
      <c r="S184" s="595">
        <v>4025</v>
      </c>
      <c r="T184" s="595"/>
      <c r="U184" s="596">
        <f>V184+W184+X184+Z184+AA184+AB184</f>
        <v>4025</v>
      </c>
      <c r="V184" s="595">
        <f t="shared" si="40"/>
        <v>0</v>
      </c>
      <c r="W184" s="595">
        <f t="shared" ref="W184:W186" si="55">O184+G184</f>
        <v>0</v>
      </c>
      <c r="X184" s="595">
        <f t="shared" ref="X184:X186" si="56">P184+H184</f>
        <v>0</v>
      </c>
      <c r="Y184" s="621" t="s">
        <v>1226</v>
      </c>
      <c r="Z184" s="595">
        <f t="shared" ref="Z184:Z186" si="57">R184+J184</f>
        <v>0</v>
      </c>
      <c r="AA184" s="595">
        <f t="shared" ref="AA184:AA186" si="58">S184+K184</f>
        <v>4025</v>
      </c>
      <c r="AB184" s="595">
        <f t="shared" ref="AB184:AB186" si="59">T184+L184</f>
        <v>0</v>
      </c>
      <c r="AC184" s="622" t="s">
        <v>1329</v>
      </c>
    </row>
    <row r="185" spans="1:30" ht="47.25" x14ac:dyDescent="0.2">
      <c r="A185" s="618" t="s">
        <v>1228</v>
      </c>
      <c r="B185" s="619" t="s">
        <v>729</v>
      </c>
      <c r="C185" s="620">
        <v>244</v>
      </c>
      <c r="D185" s="620">
        <v>310</v>
      </c>
      <c r="E185" s="596"/>
      <c r="F185" s="595"/>
      <c r="G185" s="595"/>
      <c r="H185" s="595"/>
      <c r="I185" s="621"/>
      <c r="J185" s="595"/>
      <c r="K185" s="595"/>
      <c r="L185" s="595"/>
      <c r="M185" s="596">
        <f t="shared" si="46"/>
        <v>4638</v>
      </c>
      <c r="N185" s="595"/>
      <c r="O185" s="595"/>
      <c r="P185" s="595"/>
      <c r="Q185" s="621" t="s">
        <v>1226</v>
      </c>
      <c r="R185" s="595"/>
      <c r="S185" s="595">
        <v>4638</v>
      </c>
      <c r="T185" s="595"/>
      <c r="U185" s="596">
        <f t="shared" ref="U185:U186" si="60">V185+W185+X185+Z185+AA185+AB185</f>
        <v>4638</v>
      </c>
      <c r="V185" s="595">
        <f t="shared" si="40"/>
        <v>0</v>
      </c>
      <c r="W185" s="595">
        <f t="shared" si="55"/>
        <v>0</v>
      </c>
      <c r="X185" s="595">
        <f t="shared" si="56"/>
        <v>0</v>
      </c>
      <c r="Y185" s="621" t="s">
        <v>1226</v>
      </c>
      <c r="Z185" s="595">
        <f t="shared" si="57"/>
        <v>0</v>
      </c>
      <c r="AA185" s="595">
        <f t="shared" si="58"/>
        <v>4638</v>
      </c>
      <c r="AB185" s="595">
        <f t="shared" si="59"/>
        <v>0</v>
      </c>
      <c r="AC185" s="622" t="s">
        <v>1329</v>
      </c>
      <c r="AD185" s="820"/>
    </row>
    <row r="186" spans="1:30" ht="31.5" x14ac:dyDescent="0.2">
      <c r="A186" s="618" t="s">
        <v>1229</v>
      </c>
      <c r="B186" s="619" t="s">
        <v>729</v>
      </c>
      <c r="C186" s="620">
        <v>244</v>
      </c>
      <c r="D186" s="620">
        <v>310</v>
      </c>
      <c r="E186" s="596"/>
      <c r="F186" s="595"/>
      <c r="G186" s="595"/>
      <c r="H186" s="595"/>
      <c r="I186" s="621"/>
      <c r="J186" s="595"/>
      <c r="K186" s="595"/>
      <c r="L186" s="595"/>
      <c r="M186" s="596">
        <f t="shared" si="46"/>
        <v>93768</v>
      </c>
      <c r="N186" s="595"/>
      <c r="O186" s="595"/>
      <c r="P186" s="595"/>
      <c r="Q186" s="621" t="s">
        <v>1226</v>
      </c>
      <c r="R186" s="595"/>
      <c r="S186" s="595">
        <v>93768</v>
      </c>
      <c r="T186" s="595"/>
      <c r="U186" s="596">
        <f t="shared" si="60"/>
        <v>93768</v>
      </c>
      <c r="V186" s="595">
        <f t="shared" si="40"/>
        <v>0</v>
      </c>
      <c r="W186" s="595">
        <f t="shared" si="55"/>
        <v>0</v>
      </c>
      <c r="X186" s="595">
        <f t="shared" si="56"/>
        <v>0</v>
      </c>
      <c r="Y186" s="621" t="s">
        <v>1226</v>
      </c>
      <c r="Z186" s="595">
        <f t="shared" si="57"/>
        <v>0</v>
      </c>
      <c r="AA186" s="595">
        <f t="shared" si="58"/>
        <v>93768</v>
      </c>
      <c r="AB186" s="595">
        <f t="shared" si="59"/>
        <v>0</v>
      </c>
      <c r="AC186" s="622" t="s">
        <v>1329</v>
      </c>
    </row>
    <row r="187" spans="1:30" x14ac:dyDescent="0.2">
      <c r="A187" s="618" t="s">
        <v>1287</v>
      </c>
      <c r="B187" s="619" t="s">
        <v>729</v>
      </c>
      <c r="C187" s="620">
        <v>244</v>
      </c>
      <c r="D187" s="620">
        <v>310</v>
      </c>
      <c r="E187" s="596">
        <f>L187+K187+J187+H187+G187+F187</f>
        <v>757000</v>
      </c>
      <c r="F187" s="595">
        <f>'Прилож 4 24 (2)'!V173</f>
        <v>757000</v>
      </c>
      <c r="G187" s="595">
        <f>'Прилож 4 24 (2)'!W182</f>
        <v>0</v>
      </c>
      <c r="H187" s="595">
        <f>'Прилож 4 24 (2)'!X173</f>
        <v>0</v>
      </c>
      <c r="I187" s="621"/>
      <c r="J187" s="595">
        <f>'Прилож 4 24 (2)'!Z173</f>
        <v>0</v>
      </c>
      <c r="K187" s="595">
        <f>'Прилож 4 24 (2)'!AA173</f>
        <v>0</v>
      </c>
      <c r="L187" s="595">
        <f>'Прилож 4 24 (2)'!AB173</f>
        <v>0</v>
      </c>
      <c r="M187" s="596">
        <f t="shared" si="46"/>
        <v>102431</v>
      </c>
      <c r="N187" s="596">
        <f t="shared" ref="N187:AC187" si="61">SUM(N181:N183)</f>
        <v>0</v>
      </c>
      <c r="O187" s="596">
        <f t="shared" si="61"/>
        <v>0</v>
      </c>
      <c r="P187" s="596">
        <f t="shared" si="61"/>
        <v>0</v>
      </c>
      <c r="Q187" s="596">
        <f t="shared" si="61"/>
        <v>0</v>
      </c>
      <c r="R187" s="596">
        <f t="shared" si="61"/>
        <v>0</v>
      </c>
      <c r="S187" s="596">
        <f>S181+S182+S183+S184+S185+S186</f>
        <v>102431</v>
      </c>
      <c r="T187" s="596">
        <f t="shared" si="61"/>
        <v>0</v>
      </c>
      <c r="U187" s="596">
        <f>SUM(U181:U186)</f>
        <v>859431</v>
      </c>
      <c r="V187" s="595">
        <f t="shared" si="40"/>
        <v>757000</v>
      </c>
      <c r="W187" s="595">
        <f t="shared" si="41"/>
        <v>0</v>
      </c>
      <c r="X187" s="595">
        <f t="shared" si="42"/>
        <v>0</v>
      </c>
      <c r="Y187" s="596">
        <f t="shared" si="61"/>
        <v>0</v>
      </c>
      <c r="Z187" s="595">
        <f t="shared" si="43"/>
        <v>0</v>
      </c>
      <c r="AA187" s="595">
        <f t="shared" si="44"/>
        <v>102431</v>
      </c>
      <c r="AB187" s="595">
        <f t="shared" si="45"/>
        <v>0</v>
      </c>
      <c r="AC187" s="596">
        <f t="shared" si="61"/>
        <v>0</v>
      </c>
      <c r="AD187" s="820"/>
    </row>
    <row r="188" spans="1:30" s="614" customFormat="1" ht="29.25" customHeight="1" x14ac:dyDescent="0.2">
      <c r="A188" s="630" t="s">
        <v>741</v>
      </c>
      <c r="B188" s="631"/>
      <c r="C188" s="624"/>
      <c r="D188" s="624"/>
      <c r="E188" s="596">
        <f>E180+E187</f>
        <v>877431</v>
      </c>
      <c r="F188" s="595">
        <f>F180+F187</f>
        <v>775000</v>
      </c>
      <c r="G188" s="595">
        <f>'Прилож 4 24 (2)'!W183</f>
        <v>0</v>
      </c>
      <c r="H188" s="595">
        <f>'Прилож 4 24 (2)'!X174</f>
        <v>0</v>
      </c>
      <c r="I188" s="626"/>
      <c r="J188" s="595">
        <f>'Прилож 4 24 (2)'!Z174</f>
        <v>0</v>
      </c>
      <c r="K188" s="595">
        <f>'Прилож 4 24 (2)'!AA174</f>
        <v>102431</v>
      </c>
      <c r="L188" s="595">
        <f>'Прилож 4 24 (2)'!AB174</f>
        <v>0</v>
      </c>
      <c r="M188" s="596">
        <f>N188+P188+R188+S188+T188+O188</f>
        <v>0</v>
      </c>
      <c r="N188" s="596">
        <f t="shared" ref="N188:AC188" si="62">N187+N180</f>
        <v>0</v>
      </c>
      <c r="O188" s="596">
        <f t="shared" si="62"/>
        <v>0</v>
      </c>
      <c r="P188" s="596">
        <f t="shared" si="62"/>
        <v>0</v>
      </c>
      <c r="Q188" s="596">
        <f t="shared" si="62"/>
        <v>0</v>
      </c>
      <c r="R188" s="596">
        <f t="shared" si="62"/>
        <v>0</v>
      </c>
      <c r="S188" s="596">
        <f t="shared" si="62"/>
        <v>0</v>
      </c>
      <c r="T188" s="596">
        <f t="shared" si="62"/>
        <v>0</v>
      </c>
      <c r="U188" s="596">
        <f>U187+U180</f>
        <v>877431</v>
      </c>
      <c r="V188" s="595">
        <f t="shared" si="40"/>
        <v>775000</v>
      </c>
      <c r="W188" s="595">
        <f t="shared" si="41"/>
        <v>0</v>
      </c>
      <c r="X188" s="595">
        <f t="shared" si="42"/>
        <v>0</v>
      </c>
      <c r="Y188" s="596">
        <f t="shared" si="62"/>
        <v>0</v>
      </c>
      <c r="Z188" s="595">
        <f t="shared" si="43"/>
        <v>0</v>
      </c>
      <c r="AA188" s="595">
        <f t="shared" si="44"/>
        <v>102431</v>
      </c>
      <c r="AB188" s="595">
        <f t="shared" si="45"/>
        <v>0</v>
      </c>
      <c r="AC188" s="596">
        <f t="shared" si="62"/>
        <v>0</v>
      </c>
    </row>
    <row r="189" spans="1:30" ht="31.5" x14ac:dyDescent="0.2">
      <c r="A189" s="618" t="s">
        <v>588</v>
      </c>
      <c r="B189" s="619" t="s">
        <v>747</v>
      </c>
      <c r="C189" s="620">
        <v>244</v>
      </c>
      <c r="D189" s="620">
        <v>341</v>
      </c>
      <c r="E189" s="596">
        <f>L189+K189+J189+H189+G189+F189</f>
        <v>14035</v>
      </c>
      <c r="F189" s="595">
        <f>'Прилож 4 24 (2)'!V175</f>
        <v>0</v>
      </c>
      <c r="G189" s="595">
        <f>'Прилож 4 24 (2)'!W184</f>
        <v>0</v>
      </c>
      <c r="H189" s="595">
        <f>'Прилож 4 24 (2)'!X175</f>
        <v>0</v>
      </c>
      <c r="I189" s="623" t="s">
        <v>1250</v>
      </c>
      <c r="J189" s="595">
        <f>'Прилож 4 24 (2)'!Z175</f>
        <v>0</v>
      </c>
      <c r="K189" s="595">
        <f>'Прилож 4 24 (2)'!AA175</f>
        <v>14035</v>
      </c>
      <c r="L189" s="595">
        <f>'Прилож 4 24 (2)'!AB175</f>
        <v>0</v>
      </c>
      <c r="M189" s="596">
        <f t="shared" si="46"/>
        <v>-14035</v>
      </c>
      <c r="N189" s="595"/>
      <c r="O189" s="595"/>
      <c r="P189" s="595"/>
      <c r="Q189" s="623" t="s">
        <v>1250</v>
      </c>
      <c r="R189" s="595">
        <f>'Прилож 4 24 (2)'!AH175</f>
        <v>0</v>
      </c>
      <c r="S189" s="595">
        <v>-14035</v>
      </c>
      <c r="T189" s="595"/>
      <c r="U189" s="596">
        <f t="shared" si="49"/>
        <v>0</v>
      </c>
      <c r="V189" s="595">
        <f t="shared" si="40"/>
        <v>0</v>
      </c>
      <c r="W189" s="595">
        <f t="shared" si="41"/>
        <v>0</v>
      </c>
      <c r="X189" s="595">
        <f t="shared" si="42"/>
        <v>0</v>
      </c>
      <c r="Y189" s="621"/>
      <c r="Z189" s="595">
        <f t="shared" si="43"/>
        <v>0</v>
      </c>
      <c r="AA189" s="595">
        <f t="shared" si="44"/>
        <v>0</v>
      </c>
      <c r="AB189" s="595">
        <f t="shared" si="45"/>
        <v>0</v>
      </c>
      <c r="AC189" s="622" t="s">
        <v>1329</v>
      </c>
    </row>
    <row r="190" spans="1:30" ht="31.5" x14ac:dyDescent="0.2">
      <c r="A190" s="618" t="s">
        <v>588</v>
      </c>
      <c r="B190" s="619" t="s">
        <v>729</v>
      </c>
      <c r="C190" s="620">
        <v>244</v>
      </c>
      <c r="D190" s="620">
        <v>341</v>
      </c>
      <c r="E190" s="596">
        <f>L190+K190+J190+H190+G190+F190</f>
        <v>10000</v>
      </c>
      <c r="F190" s="595"/>
      <c r="G190" s="595">
        <f>'Прилож 4 24 (2)'!W185</f>
        <v>0</v>
      </c>
      <c r="H190" s="595">
        <f>'Прилож 4 24 (2)'!X176</f>
        <v>10000</v>
      </c>
      <c r="I190" s="623"/>
      <c r="J190" s="595"/>
      <c r="K190" s="595"/>
      <c r="L190" s="595"/>
      <c r="M190" s="596">
        <f t="shared" si="46"/>
        <v>14035</v>
      </c>
      <c r="N190" s="595"/>
      <c r="O190" s="595"/>
      <c r="P190" s="595"/>
      <c r="Q190" s="623" t="s">
        <v>1226</v>
      </c>
      <c r="R190" s="595">
        <f>'Прилож 4 24 (2)'!AH176</f>
        <v>0</v>
      </c>
      <c r="S190" s="595">
        <v>14035</v>
      </c>
      <c r="T190" s="595"/>
      <c r="U190" s="596">
        <f>V190+W190+X190+Z190+AA190+AB190</f>
        <v>24035</v>
      </c>
      <c r="V190" s="595">
        <f t="shared" si="40"/>
        <v>0</v>
      </c>
      <c r="W190" s="595">
        <f t="shared" si="41"/>
        <v>0</v>
      </c>
      <c r="X190" s="595">
        <f t="shared" si="42"/>
        <v>10000</v>
      </c>
      <c r="Y190" s="621" t="s">
        <v>1226</v>
      </c>
      <c r="Z190" s="595">
        <f t="shared" si="43"/>
        <v>0</v>
      </c>
      <c r="AA190" s="595">
        <f t="shared" si="44"/>
        <v>14035</v>
      </c>
      <c r="AB190" s="595">
        <f t="shared" si="45"/>
        <v>0</v>
      </c>
      <c r="AC190" s="622" t="s">
        <v>1335</v>
      </c>
    </row>
    <row r="191" spans="1:30" s="614" customFormat="1" ht="26.25" customHeight="1" x14ac:dyDescent="0.2">
      <c r="A191" s="630" t="s">
        <v>742</v>
      </c>
      <c r="B191" s="631"/>
      <c r="C191" s="624"/>
      <c r="D191" s="624"/>
      <c r="E191" s="596">
        <f>SUM(E189:E190)</f>
        <v>24035</v>
      </c>
      <c r="F191" s="595">
        <f>'Прилож 4 24 (2)'!V177</f>
        <v>0</v>
      </c>
      <c r="G191" s="595">
        <f>'Прилож 4 24 (2)'!W187</f>
        <v>0</v>
      </c>
      <c r="H191" s="595">
        <f>'Прилож 4 24 (2)'!X177</f>
        <v>10000</v>
      </c>
      <c r="I191" s="626"/>
      <c r="J191" s="595">
        <f>'Прилож 4 24 (2)'!Z177</f>
        <v>0</v>
      </c>
      <c r="K191" s="595">
        <f>'Прилож 4 24 (2)'!AA177</f>
        <v>14035</v>
      </c>
      <c r="L191" s="595">
        <f>'Прилож 4 24 (2)'!AB177</f>
        <v>0</v>
      </c>
      <c r="M191" s="596">
        <f>N191+P191+R191+S191+T191+O191</f>
        <v>0</v>
      </c>
      <c r="N191" s="596">
        <f>SUM(N189:N190)</f>
        <v>0</v>
      </c>
      <c r="O191" s="596">
        <f>SUM(O189:O190)</f>
        <v>0</v>
      </c>
      <c r="P191" s="596">
        <f>SUM(P189:P190)</f>
        <v>0</v>
      </c>
      <c r="Q191" s="626"/>
      <c r="R191" s="596">
        <f>SUM(R189:R190)</f>
        <v>0</v>
      </c>
      <c r="S191" s="596">
        <f>SUM(S189:S190)</f>
        <v>0</v>
      </c>
      <c r="T191" s="596">
        <f>SUM(T189:T190)</f>
        <v>0</v>
      </c>
      <c r="U191" s="596">
        <f>SUM(U189:U190)</f>
        <v>24035</v>
      </c>
      <c r="V191" s="595">
        <f t="shared" si="40"/>
        <v>0</v>
      </c>
      <c r="W191" s="595">
        <f t="shared" si="41"/>
        <v>0</v>
      </c>
      <c r="X191" s="595">
        <f t="shared" si="42"/>
        <v>10000</v>
      </c>
      <c r="Y191" s="626"/>
      <c r="Z191" s="595">
        <f t="shared" si="43"/>
        <v>0</v>
      </c>
      <c r="AA191" s="595">
        <f t="shared" si="44"/>
        <v>14035</v>
      </c>
      <c r="AB191" s="595">
        <f t="shared" si="45"/>
        <v>0</v>
      </c>
      <c r="AC191" s="627"/>
    </row>
    <row r="192" spans="1:30" ht="64.5" customHeight="1" x14ac:dyDescent="0.2">
      <c r="A192" s="618" t="s">
        <v>788</v>
      </c>
      <c r="B192" s="619" t="s">
        <v>747</v>
      </c>
      <c r="C192" s="620">
        <v>244</v>
      </c>
      <c r="D192" s="620">
        <v>342</v>
      </c>
      <c r="E192" s="596">
        <f>L192+K192+J192+H192+G192+F192</f>
        <v>2008650</v>
      </c>
      <c r="F192" s="595">
        <f>'Прилож 4 24 (2)'!V178</f>
        <v>0</v>
      </c>
      <c r="G192" s="595">
        <f>'Прилож 4 24 (2)'!W188</f>
        <v>0</v>
      </c>
      <c r="H192" s="595">
        <f>'Прилож 4 24 (2)'!X178</f>
        <v>851020</v>
      </c>
      <c r="I192" s="623"/>
      <c r="J192" s="595">
        <f>'Прилож 4 24 (2)'!Z178</f>
        <v>0</v>
      </c>
      <c r="K192" s="595">
        <f>'Прилож 4 24 (2)'!AA178</f>
        <v>0</v>
      </c>
      <c r="L192" s="595">
        <f>'Прилож 4 24 (2)'!AB178</f>
        <v>1157630</v>
      </c>
      <c r="M192" s="596">
        <f t="shared" si="46"/>
        <v>0</v>
      </c>
      <c r="N192" s="595"/>
      <c r="O192" s="595"/>
      <c r="P192" s="595"/>
      <c r="Q192" s="621"/>
      <c r="R192" s="595"/>
      <c r="S192" s="595"/>
      <c r="T192" s="595"/>
      <c r="U192" s="596">
        <f t="shared" si="49"/>
        <v>2008650</v>
      </c>
      <c r="V192" s="595">
        <f t="shared" si="40"/>
        <v>0</v>
      </c>
      <c r="W192" s="595">
        <f t="shared" si="41"/>
        <v>0</v>
      </c>
      <c r="X192" s="595">
        <f t="shared" si="42"/>
        <v>851020</v>
      </c>
      <c r="Y192" s="628"/>
      <c r="Z192" s="595">
        <f t="shared" si="43"/>
        <v>0</v>
      </c>
      <c r="AA192" s="595">
        <f t="shared" si="44"/>
        <v>0</v>
      </c>
      <c r="AB192" s="595">
        <f t="shared" si="45"/>
        <v>1157630</v>
      </c>
      <c r="AC192" s="622"/>
    </row>
    <row r="193" spans="1:31" s="614" customFormat="1" ht="26.25" customHeight="1" x14ac:dyDescent="0.2">
      <c r="A193" s="630" t="s">
        <v>786</v>
      </c>
      <c r="B193" s="631"/>
      <c r="C193" s="624"/>
      <c r="D193" s="624"/>
      <c r="E193" s="596">
        <f>SUM(E192)</f>
        <v>2008650</v>
      </c>
      <c r="F193" s="595">
        <f>'Прилож 4 24 (2)'!V179</f>
        <v>0</v>
      </c>
      <c r="G193" s="595">
        <f>'Прилож 4 24 (2)'!W189</f>
        <v>0</v>
      </c>
      <c r="H193" s="595">
        <f>'Прилож 4 24 (2)'!X179</f>
        <v>851020</v>
      </c>
      <c r="I193" s="626">
        <f t="shared" ref="I193:Y193" si="63">SUM(I192)</f>
        <v>0</v>
      </c>
      <c r="J193" s="595">
        <f>'Прилож 4 24 (2)'!Z179</f>
        <v>0</v>
      </c>
      <c r="K193" s="595">
        <f>'Прилож 4 24 (2)'!AA179</f>
        <v>0</v>
      </c>
      <c r="L193" s="595">
        <f>'Прилож 4 24 (2)'!AB179</f>
        <v>1157630</v>
      </c>
      <c r="M193" s="596">
        <f t="shared" si="46"/>
        <v>0</v>
      </c>
      <c r="N193" s="596">
        <f t="shared" si="63"/>
        <v>0</v>
      </c>
      <c r="O193" s="596">
        <f t="shared" si="63"/>
        <v>0</v>
      </c>
      <c r="P193" s="596">
        <f t="shared" si="63"/>
        <v>0</v>
      </c>
      <c r="Q193" s="626"/>
      <c r="R193" s="596">
        <f t="shared" si="63"/>
        <v>0</v>
      </c>
      <c r="S193" s="596">
        <f t="shared" si="63"/>
        <v>0</v>
      </c>
      <c r="T193" s="596">
        <f t="shared" si="63"/>
        <v>0</v>
      </c>
      <c r="U193" s="596">
        <f t="shared" si="63"/>
        <v>2008650</v>
      </c>
      <c r="V193" s="595">
        <f t="shared" si="40"/>
        <v>0</v>
      </c>
      <c r="W193" s="595">
        <f t="shared" si="41"/>
        <v>0</v>
      </c>
      <c r="X193" s="595">
        <f t="shared" si="42"/>
        <v>851020</v>
      </c>
      <c r="Y193" s="626">
        <f t="shared" si="63"/>
        <v>0</v>
      </c>
      <c r="Z193" s="595">
        <f t="shared" si="43"/>
        <v>0</v>
      </c>
      <c r="AA193" s="595">
        <f t="shared" si="44"/>
        <v>0</v>
      </c>
      <c r="AB193" s="595">
        <f t="shared" si="45"/>
        <v>1157630</v>
      </c>
      <c r="AC193" s="627"/>
      <c r="AD193" s="818"/>
    </row>
    <row r="194" spans="1:31" ht="47.25" x14ac:dyDescent="0.2">
      <c r="A194" s="618" t="s">
        <v>793</v>
      </c>
      <c r="B194" s="619" t="s">
        <v>791</v>
      </c>
      <c r="C194" s="620">
        <v>244</v>
      </c>
      <c r="D194" s="620">
        <v>342</v>
      </c>
      <c r="E194" s="596">
        <f t="shared" si="48"/>
        <v>600000</v>
      </c>
      <c r="F194" s="595">
        <f>'Прилож 4 24 (2)'!V180</f>
        <v>600000</v>
      </c>
      <c r="G194" s="595">
        <f>'Прилож 4 24 (2)'!W190</f>
        <v>0</v>
      </c>
      <c r="H194" s="595">
        <f>'Прилож 4 24 (2)'!X180</f>
        <v>0</v>
      </c>
      <c r="I194" s="623"/>
      <c r="J194" s="595">
        <f>'Прилож 4 24 (2)'!Z180</f>
        <v>0</v>
      </c>
      <c r="K194" s="595">
        <f>'Прилож 4 24 (2)'!AA180</f>
        <v>0</v>
      </c>
      <c r="L194" s="595">
        <f>'Прилож 4 24 (2)'!AB180</f>
        <v>0</v>
      </c>
      <c r="M194" s="596">
        <f t="shared" si="46"/>
        <v>0</v>
      </c>
      <c r="N194" s="595"/>
      <c r="O194" s="595"/>
      <c r="P194" s="595"/>
      <c r="Q194" s="621"/>
      <c r="R194" s="595"/>
      <c r="S194" s="595"/>
      <c r="T194" s="595"/>
      <c r="U194" s="596">
        <f t="shared" si="49"/>
        <v>600000</v>
      </c>
      <c r="V194" s="595">
        <f t="shared" si="40"/>
        <v>600000</v>
      </c>
      <c r="W194" s="595">
        <f t="shared" si="41"/>
        <v>0</v>
      </c>
      <c r="X194" s="595">
        <f t="shared" si="42"/>
        <v>0</v>
      </c>
      <c r="Y194" s="628"/>
      <c r="Z194" s="595">
        <f t="shared" si="43"/>
        <v>0</v>
      </c>
      <c r="AA194" s="595">
        <f t="shared" si="44"/>
        <v>0</v>
      </c>
      <c r="AB194" s="595">
        <f t="shared" si="45"/>
        <v>0</v>
      </c>
      <c r="AC194" s="622"/>
    </row>
    <row r="195" spans="1:31" s="614" customFormat="1" x14ac:dyDescent="0.2">
      <c r="A195" s="630" t="s">
        <v>786</v>
      </c>
      <c r="B195" s="631"/>
      <c r="C195" s="624"/>
      <c r="D195" s="624"/>
      <c r="E195" s="596">
        <f t="shared" si="48"/>
        <v>600000</v>
      </c>
      <c r="F195" s="595">
        <f>'Прилож 4 24 (2)'!V181</f>
        <v>600000</v>
      </c>
      <c r="G195" s="595">
        <f>'Прилож 4 24 (2)'!W191</f>
        <v>0</v>
      </c>
      <c r="H195" s="595">
        <f>'Прилож 4 24 (2)'!X181</f>
        <v>0</v>
      </c>
      <c r="I195" s="626">
        <f t="shared" ref="I195:Y195" si="64">I194</f>
        <v>0</v>
      </c>
      <c r="J195" s="595">
        <f>'Прилож 4 24 (2)'!Z181</f>
        <v>0</v>
      </c>
      <c r="K195" s="595">
        <f>'Прилож 4 24 (2)'!AA181</f>
        <v>0</v>
      </c>
      <c r="L195" s="595">
        <f>'Прилож 4 24 (2)'!AB181</f>
        <v>0</v>
      </c>
      <c r="M195" s="596">
        <f t="shared" si="46"/>
        <v>0</v>
      </c>
      <c r="N195" s="596">
        <f t="shared" si="64"/>
        <v>0</v>
      </c>
      <c r="O195" s="596">
        <f t="shared" si="64"/>
        <v>0</v>
      </c>
      <c r="P195" s="596">
        <f t="shared" si="64"/>
        <v>0</v>
      </c>
      <c r="Q195" s="626"/>
      <c r="R195" s="596">
        <f t="shared" si="64"/>
        <v>0</v>
      </c>
      <c r="S195" s="596">
        <f t="shared" si="64"/>
        <v>0</v>
      </c>
      <c r="T195" s="596">
        <f t="shared" si="64"/>
        <v>0</v>
      </c>
      <c r="U195" s="596">
        <f t="shared" si="49"/>
        <v>600000</v>
      </c>
      <c r="V195" s="595">
        <f t="shared" si="40"/>
        <v>600000</v>
      </c>
      <c r="W195" s="595">
        <f t="shared" si="41"/>
        <v>0</v>
      </c>
      <c r="X195" s="595">
        <f t="shared" si="42"/>
        <v>0</v>
      </c>
      <c r="Y195" s="626">
        <f t="shared" si="64"/>
        <v>0</v>
      </c>
      <c r="Z195" s="595">
        <f t="shared" si="43"/>
        <v>0</v>
      </c>
      <c r="AA195" s="595">
        <f t="shared" si="44"/>
        <v>0</v>
      </c>
      <c r="AB195" s="595">
        <f t="shared" si="45"/>
        <v>0</v>
      </c>
      <c r="AC195" s="627"/>
    </row>
    <row r="196" spans="1:31" x14ac:dyDescent="0.2">
      <c r="A196" s="618" t="s">
        <v>621</v>
      </c>
      <c r="B196" s="619" t="s">
        <v>747</v>
      </c>
      <c r="C196" s="620">
        <v>244</v>
      </c>
      <c r="D196" s="620">
        <v>343</v>
      </c>
      <c r="E196" s="596">
        <f t="shared" si="48"/>
        <v>1000</v>
      </c>
      <c r="F196" s="595">
        <f>'Прилож 4 24 (2)'!V182</f>
        <v>0</v>
      </c>
      <c r="G196" s="595">
        <f>'Прилож 4 24 (2)'!W192</f>
        <v>0</v>
      </c>
      <c r="H196" s="595">
        <f>'Прилож 4 24 (2)'!X182</f>
        <v>1000</v>
      </c>
      <c r="I196" s="623"/>
      <c r="J196" s="595">
        <f>'Прилож 4 24 (2)'!Z182</f>
        <v>0</v>
      </c>
      <c r="K196" s="595">
        <f>'Прилож 4 24 (2)'!AA182</f>
        <v>0</v>
      </c>
      <c r="L196" s="595">
        <f>'Прилож 4 24 (2)'!AB182</f>
        <v>0</v>
      </c>
      <c r="M196" s="596">
        <f t="shared" si="46"/>
        <v>0</v>
      </c>
      <c r="N196" s="595"/>
      <c r="O196" s="595"/>
      <c r="P196" s="595"/>
      <c r="Q196" s="621"/>
      <c r="R196" s="595"/>
      <c r="S196" s="595"/>
      <c r="T196" s="595"/>
      <c r="U196" s="596">
        <f t="shared" si="49"/>
        <v>1000</v>
      </c>
      <c r="V196" s="595">
        <f t="shared" si="40"/>
        <v>0</v>
      </c>
      <c r="W196" s="595">
        <f t="shared" si="41"/>
        <v>0</v>
      </c>
      <c r="X196" s="595">
        <f t="shared" si="42"/>
        <v>1000</v>
      </c>
      <c r="Y196" s="628"/>
      <c r="Z196" s="595">
        <f t="shared" si="43"/>
        <v>0</v>
      </c>
      <c r="AA196" s="595">
        <f t="shared" si="44"/>
        <v>0</v>
      </c>
      <c r="AB196" s="595">
        <f t="shared" si="45"/>
        <v>0</v>
      </c>
      <c r="AC196" s="622"/>
    </row>
    <row r="197" spans="1:31" x14ac:dyDescent="0.2">
      <c r="A197" s="618" t="s">
        <v>1145</v>
      </c>
      <c r="B197" s="619" t="s">
        <v>729</v>
      </c>
      <c r="C197" s="620">
        <v>244</v>
      </c>
      <c r="D197" s="620">
        <v>343</v>
      </c>
      <c r="E197" s="596">
        <f t="shared" si="48"/>
        <v>210000</v>
      </c>
      <c r="F197" s="595">
        <f>'Прилож 4 24 (2)'!V183</f>
        <v>200000</v>
      </c>
      <c r="G197" s="595">
        <f>'Прилож 4 24 (2)'!W193</f>
        <v>0</v>
      </c>
      <c r="H197" s="595">
        <f>'Прилож 4 24 (2)'!X183</f>
        <v>10000</v>
      </c>
      <c r="I197" s="623"/>
      <c r="J197" s="595">
        <f>'Прилож 4 24 (2)'!Z183</f>
        <v>0</v>
      </c>
      <c r="K197" s="595">
        <f>'Прилож 4 24 (2)'!AA183</f>
        <v>0</v>
      </c>
      <c r="L197" s="595">
        <f>'Прилож 4 24 (2)'!AB183</f>
        <v>0</v>
      </c>
      <c r="M197" s="596">
        <f t="shared" si="46"/>
        <v>0</v>
      </c>
      <c r="N197" s="595"/>
      <c r="O197" s="595"/>
      <c r="P197" s="595"/>
      <c r="Q197" s="621"/>
      <c r="R197" s="595"/>
      <c r="S197" s="595"/>
      <c r="T197" s="595"/>
      <c r="U197" s="596">
        <f t="shared" si="49"/>
        <v>210000</v>
      </c>
      <c r="V197" s="595">
        <f t="shared" si="40"/>
        <v>200000</v>
      </c>
      <c r="W197" s="595">
        <f t="shared" si="41"/>
        <v>0</v>
      </c>
      <c r="X197" s="595">
        <f t="shared" si="42"/>
        <v>10000</v>
      </c>
      <c r="Y197" s="628"/>
      <c r="Z197" s="595">
        <f t="shared" si="43"/>
        <v>0</v>
      </c>
      <c r="AA197" s="595">
        <f t="shared" si="44"/>
        <v>0</v>
      </c>
      <c r="AB197" s="595">
        <f t="shared" si="45"/>
        <v>0</v>
      </c>
      <c r="AC197" s="622"/>
    </row>
    <row r="198" spans="1:31" s="614" customFormat="1" x14ac:dyDescent="0.2">
      <c r="A198" s="630" t="s">
        <v>879</v>
      </c>
      <c r="B198" s="631"/>
      <c r="C198" s="624"/>
      <c r="D198" s="624"/>
      <c r="E198" s="596">
        <f>SUM(E196:E197)</f>
        <v>211000</v>
      </c>
      <c r="F198" s="595">
        <f>'Прилож 4 24 (2)'!V184</f>
        <v>200000</v>
      </c>
      <c r="G198" s="595">
        <f>'Прилож 4 24 (2)'!W194</f>
        <v>0</v>
      </c>
      <c r="H198" s="595">
        <f>'Прилож 4 24 (2)'!X184</f>
        <v>11000</v>
      </c>
      <c r="I198" s="626">
        <f t="shared" ref="I198:Y198" si="65">SUM(I196:I197)</f>
        <v>0</v>
      </c>
      <c r="J198" s="595">
        <f>'Прилож 4 24 (2)'!Z184</f>
        <v>0</v>
      </c>
      <c r="K198" s="595">
        <f>'Прилож 4 24 (2)'!AA184</f>
        <v>0</v>
      </c>
      <c r="L198" s="595">
        <f>'Прилож 4 24 (2)'!AB184</f>
        <v>0</v>
      </c>
      <c r="M198" s="596">
        <f t="shared" si="46"/>
        <v>0</v>
      </c>
      <c r="N198" s="596">
        <f t="shared" si="65"/>
        <v>0</v>
      </c>
      <c r="O198" s="596">
        <f t="shared" si="65"/>
        <v>0</v>
      </c>
      <c r="P198" s="596">
        <f t="shared" si="65"/>
        <v>0</v>
      </c>
      <c r="Q198" s="626"/>
      <c r="R198" s="596">
        <f t="shared" si="65"/>
        <v>0</v>
      </c>
      <c r="S198" s="596">
        <f t="shared" si="65"/>
        <v>0</v>
      </c>
      <c r="T198" s="596">
        <f t="shared" si="65"/>
        <v>0</v>
      </c>
      <c r="U198" s="596">
        <f t="shared" si="65"/>
        <v>211000</v>
      </c>
      <c r="V198" s="595">
        <f t="shared" si="40"/>
        <v>200000</v>
      </c>
      <c r="W198" s="595">
        <f t="shared" si="41"/>
        <v>0</v>
      </c>
      <c r="X198" s="595">
        <f t="shared" si="42"/>
        <v>11000</v>
      </c>
      <c r="Y198" s="626">
        <f t="shared" si="65"/>
        <v>0</v>
      </c>
      <c r="Z198" s="595">
        <f t="shared" si="43"/>
        <v>0</v>
      </c>
      <c r="AA198" s="595">
        <f t="shared" si="44"/>
        <v>0</v>
      </c>
      <c r="AB198" s="595">
        <f t="shared" si="45"/>
        <v>0</v>
      </c>
      <c r="AC198" s="627"/>
    </row>
    <row r="199" spans="1:31" s="614" customFormat="1" x14ac:dyDescent="0.2">
      <c r="A199" s="618" t="s">
        <v>941</v>
      </c>
      <c r="B199" s="619" t="s">
        <v>729</v>
      </c>
      <c r="C199" s="620">
        <v>244</v>
      </c>
      <c r="D199" s="620">
        <v>344</v>
      </c>
      <c r="E199" s="596">
        <f t="shared" si="48"/>
        <v>20000</v>
      </c>
      <c r="F199" s="595">
        <f>'Прилож 4 24 (2)'!V185</f>
        <v>0</v>
      </c>
      <c r="G199" s="595">
        <f>'Прилож 4 24 (2)'!W195</f>
        <v>0</v>
      </c>
      <c r="H199" s="595">
        <f>'Прилож 4 24 (2)'!X185</f>
        <v>20000</v>
      </c>
      <c r="I199" s="628"/>
      <c r="J199" s="595">
        <f>'Прилож 4 24 (2)'!Z185</f>
        <v>0</v>
      </c>
      <c r="K199" s="595">
        <f>'Прилож 4 24 (2)'!AA185</f>
        <v>0</v>
      </c>
      <c r="L199" s="595">
        <f>'Прилож 4 24 (2)'!AB185</f>
        <v>0</v>
      </c>
      <c r="M199" s="596">
        <f t="shared" si="46"/>
        <v>0</v>
      </c>
      <c r="N199" s="596"/>
      <c r="O199" s="596"/>
      <c r="P199" s="595"/>
      <c r="Q199" s="628"/>
      <c r="R199" s="596"/>
      <c r="S199" s="596"/>
      <c r="T199" s="595"/>
      <c r="U199" s="596">
        <f t="shared" si="49"/>
        <v>20000</v>
      </c>
      <c r="V199" s="595">
        <f t="shared" si="40"/>
        <v>0</v>
      </c>
      <c r="W199" s="595">
        <f t="shared" si="41"/>
        <v>0</v>
      </c>
      <c r="X199" s="595">
        <f t="shared" si="42"/>
        <v>20000</v>
      </c>
      <c r="Y199" s="628"/>
      <c r="Z199" s="595">
        <f t="shared" si="43"/>
        <v>0</v>
      </c>
      <c r="AA199" s="595">
        <f t="shared" si="44"/>
        <v>0</v>
      </c>
      <c r="AB199" s="595">
        <f t="shared" si="45"/>
        <v>0</v>
      </c>
      <c r="AC199" s="622"/>
    </row>
    <row r="200" spans="1:31" s="614" customFormat="1" x14ac:dyDescent="0.2">
      <c r="A200" s="630" t="s">
        <v>942</v>
      </c>
      <c r="B200" s="631"/>
      <c r="C200" s="624"/>
      <c r="D200" s="624"/>
      <c r="E200" s="596">
        <f>SUM(E199)</f>
        <v>20000</v>
      </c>
      <c r="F200" s="595">
        <f>'Прилож 4 24 (2)'!V186</f>
        <v>0</v>
      </c>
      <c r="G200" s="595">
        <f>'Прилож 4 24 (2)'!W196</f>
        <v>0</v>
      </c>
      <c r="H200" s="595">
        <f>'Прилож 4 24 (2)'!X186</f>
        <v>20000</v>
      </c>
      <c r="I200" s="626">
        <f t="shared" ref="I200:Y200" si="66">SUM(I199)</f>
        <v>0</v>
      </c>
      <c r="J200" s="595">
        <f>'Прилож 4 24 (2)'!Z186</f>
        <v>0</v>
      </c>
      <c r="K200" s="595">
        <f>'Прилож 4 24 (2)'!AA186</f>
        <v>0</v>
      </c>
      <c r="L200" s="595">
        <f>'Прилож 4 24 (2)'!AB186</f>
        <v>0</v>
      </c>
      <c r="M200" s="596">
        <f t="shared" si="46"/>
        <v>0</v>
      </c>
      <c r="N200" s="596">
        <f t="shared" si="66"/>
        <v>0</v>
      </c>
      <c r="O200" s="596">
        <f t="shared" si="66"/>
        <v>0</v>
      </c>
      <c r="P200" s="596">
        <f t="shared" si="66"/>
        <v>0</v>
      </c>
      <c r="Q200" s="626"/>
      <c r="R200" s="596">
        <f t="shared" si="66"/>
        <v>0</v>
      </c>
      <c r="S200" s="596">
        <f t="shared" si="66"/>
        <v>0</v>
      </c>
      <c r="T200" s="596">
        <f t="shared" si="66"/>
        <v>0</v>
      </c>
      <c r="U200" s="596">
        <f t="shared" si="66"/>
        <v>20000</v>
      </c>
      <c r="V200" s="595">
        <f t="shared" si="40"/>
        <v>0</v>
      </c>
      <c r="W200" s="595">
        <f t="shared" si="41"/>
        <v>0</v>
      </c>
      <c r="X200" s="595">
        <f t="shared" si="42"/>
        <v>20000</v>
      </c>
      <c r="Y200" s="626">
        <f t="shared" si="66"/>
        <v>0</v>
      </c>
      <c r="Z200" s="595">
        <f t="shared" si="43"/>
        <v>0</v>
      </c>
      <c r="AA200" s="595">
        <f t="shared" si="44"/>
        <v>0</v>
      </c>
      <c r="AB200" s="595">
        <f t="shared" si="45"/>
        <v>0</v>
      </c>
      <c r="AC200" s="627"/>
    </row>
    <row r="201" spans="1:31" x14ac:dyDescent="0.2">
      <c r="A201" s="618" t="s">
        <v>169</v>
      </c>
      <c r="B201" s="619" t="s">
        <v>747</v>
      </c>
      <c r="C201" s="620">
        <v>244</v>
      </c>
      <c r="D201" s="620">
        <v>345</v>
      </c>
      <c r="E201" s="596">
        <f t="shared" si="48"/>
        <v>20000</v>
      </c>
      <c r="F201" s="595">
        <f>'Прилож 4 24 (2)'!V187</f>
        <v>0</v>
      </c>
      <c r="G201" s="595">
        <f>'Прилож 4 24 (2)'!W197</f>
        <v>0</v>
      </c>
      <c r="H201" s="595">
        <f>'Прилож 4 24 (2)'!X187</f>
        <v>0</v>
      </c>
      <c r="I201" s="623"/>
      <c r="J201" s="595">
        <f>'Прилож 4 24 (2)'!Z187</f>
        <v>0</v>
      </c>
      <c r="K201" s="595">
        <f>'Прилож 4 24 (2)'!AA187</f>
        <v>0</v>
      </c>
      <c r="L201" s="595">
        <f>'Прилож 4 24 (2)'!AB187</f>
        <v>20000</v>
      </c>
      <c r="M201" s="596">
        <f>N201+P201+R201+S201+T201+O201</f>
        <v>0</v>
      </c>
      <c r="N201" s="595"/>
      <c r="O201" s="595"/>
      <c r="P201" s="595"/>
      <c r="Q201" s="621"/>
      <c r="R201" s="595"/>
      <c r="S201" s="595"/>
      <c r="T201" s="595"/>
      <c r="U201" s="596">
        <f t="shared" si="49"/>
        <v>20000</v>
      </c>
      <c r="V201" s="595">
        <f t="shared" si="40"/>
        <v>0</v>
      </c>
      <c r="W201" s="595">
        <f t="shared" si="41"/>
        <v>0</v>
      </c>
      <c r="X201" s="595">
        <f t="shared" si="42"/>
        <v>0</v>
      </c>
      <c r="Y201" s="628"/>
      <c r="Z201" s="595">
        <f t="shared" si="43"/>
        <v>0</v>
      </c>
      <c r="AA201" s="595">
        <f t="shared" si="44"/>
        <v>0</v>
      </c>
      <c r="AB201" s="595">
        <f t="shared" si="45"/>
        <v>20000</v>
      </c>
      <c r="AC201" s="622"/>
    </row>
    <row r="202" spans="1:31" s="614" customFormat="1" ht="30" customHeight="1" x14ac:dyDescent="0.2">
      <c r="A202" s="630" t="s">
        <v>743</v>
      </c>
      <c r="B202" s="631"/>
      <c r="C202" s="624"/>
      <c r="D202" s="624"/>
      <c r="E202" s="596">
        <f>SUM(E201)</f>
        <v>20000</v>
      </c>
      <c r="F202" s="595">
        <f>'Прилож 4 24 (2)'!V188</f>
        <v>0</v>
      </c>
      <c r="G202" s="595">
        <f>'Прилож 4 24 (2)'!W198</f>
        <v>0</v>
      </c>
      <c r="H202" s="595">
        <f>'Прилож 4 24 (2)'!X188</f>
        <v>0</v>
      </c>
      <c r="I202" s="626">
        <f t="shared" ref="I202:Y202" si="67">SUM(I201)</f>
        <v>0</v>
      </c>
      <c r="J202" s="595">
        <f>'Прилож 4 24 (2)'!Z188</f>
        <v>0</v>
      </c>
      <c r="K202" s="595">
        <f>'Прилож 4 24 (2)'!AA188</f>
        <v>0</v>
      </c>
      <c r="L202" s="595">
        <f>'Прилож 4 24 (2)'!AB188</f>
        <v>20000</v>
      </c>
      <c r="M202" s="596">
        <f>N202+P202+R202+S202+T202+O202</f>
        <v>0</v>
      </c>
      <c r="N202" s="596">
        <f t="shared" si="67"/>
        <v>0</v>
      </c>
      <c r="O202" s="596">
        <f t="shared" si="67"/>
        <v>0</v>
      </c>
      <c r="P202" s="596">
        <f t="shared" si="67"/>
        <v>0</v>
      </c>
      <c r="Q202" s="626"/>
      <c r="R202" s="596">
        <f t="shared" si="67"/>
        <v>0</v>
      </c>
      <c r="S202" s="596">
        <f t="shared" si="67"/>
        <v>0</v>
      </c>
      <c r="T202" s="596">
        <f t="shared" si="67"/>
        <v>0</v>
      </c>
      <c r="U202" s="596">
        <f t="shared" si="67"/>
        <v>20000</v>
      </c>
      <c r="V202" s="595">
        <f t="shared" si="40"/>
        <v>0</v>
      </c>
      <c r="W202" s="595">
        <f t="shared" si="41"/>
        <v>0</v>
      </c>
      <c r="X202" s="595">
        <f t="shared" si="42"/>
        <v>0</v>
      </c>
      <c r="Y202" s="626">
        <f t="shared" si="67"/>
        <v>0</v>
      </c>
      <c r="Z202" s="595">
        <f t="shared" si="43"/>
        <v>0</v>
      </c>
      <c r="AA202" s="595">
        <f t="shared" si="44"/>
        <v>0</v>
      </c>
      <c r="AB202" s="595">
        <f t="shared" si="45"/>
        <v>20000</v>
      </c>
      <c r="AC202" s="627"/>
    </row>
    <row r="203" spans="1:31" ht="42.75" customHeight="1" x14ac:dyDescent="0.2">
      <c r="A203" s="618" t="s">
        <v>1301</v>
      </c>
      <c r="B203" s="619" t="s">
        <v>747</v>
      </c>
      <c r="C203" s="620">
        <v>244</v>
      </c>
      <c r="D203" s="620">
        <v>346</v>
      </c>
      <c r="E203" s="596">
        <f t="shared" si="48"/>
        <v>79796.61</v>
      </c>
      <c r="F203" s="595">
        <f>'Прилож 4 24 (2)'!V189</f>
        <v>0</v>
      </c>
      <c r="G203" s="595">
        <f>'Прилож 4 24 (2)'!W199</f>
        <v>0</v>
      </c>
      <c r="H203" s="595">
        <f>'Прилож 4 24 (2)'!X189</f>
        <v>34648.9</v>
      </c>
      <c r="I203" s="623"/>
      <c r="J203" s="595">
        <f>'Прилож 4 24 (2)'!Z189</f>
        <v>0</v>
      </c>
      <c r="K203" s="595">
        <f>'Прилож 4 24 (2)'!AA189</f>
        <v>0</v>
      </c>
      <c r="L203" s="595">
        <f>'Прилож 4 24 (2)'!AB189</f>
        <v>45147.71</v>
      </c>
      <c r="M203" s="596">
        <f>N203+P203+R203+S203+T203+O203</f>
        <v>0</v>
      </c>
      <c r="N203" s="595"/>
      <c r="O203" s="595"/>
      <c r="P203" s="595"/>
      <c r="Q203" s="621"/>
      <c r="R203" s="595"/>
      <c r="S203" s="595"/>
      <c r="T203" s="595"/>
      <c r="U203" s="596">
        <f t="shared" si="49"/>
        <v>79796.61</v>
      </c>
      <c r="V203" s="595">
        <f t="shared" si="40"/>
        <v>0</v>
      </c>
      <c r="W203" s="595">
        <f t="shared" si="41"/>
        <v>0</v>
      </c>
      <c r="X203" s="595">
        <f t="shared" si="42"/>
        <v>34648.9</v>
      </c>
      <c r="Y203" s="621"/>
      <c r="Z203" s="595">
        <f t="shared" si="43"/>
        <v>0</v>
      </c>
      <c r="AA203" s="595">
        <f t="shared" si="44"/>
        <v>0</v>
      </c>
      <c r="AB203" s="595">
        <f t="shared" si="45"/>
        <v>45147.71</v>
      </c>
      <c r="AC203" s="622"/>
    </row>
    <row r="204" spans="1:31" ht="103.5" customHeight="1" x14ac:dyDescent="0.2">
      <c r="A204" s="618" t="s">
        <v>1311</v>
      </c>
      <c r="B204" s="619" t="s">
        <v>747</v>
      </c>
      <c r="C204" s="620">
        <v>244</v>
      </c>
      <c r="D204" s="620">
        <v>346</v>
      </c>
      <c r="E204" s="596">
        <f t="shared" si="48"/>
        <v>989218.6</v>
      </c>
      <c r="F204" s="595">
        <f>'Прилож 4 24 (2)'!V190</f>
        <v>989218.6</v>
      </c>
      <c r="G204" s="595">
        <f>'Прилож 4 24 (2)'!W200</f>
        <v>0</v>
      </c>
      <c r="H204" s="595">
        <f>'Прилож 4 24 (2)'!X190</f>
        <v>0</v>
      </c>
      <c r="I204" s="623"/>
      <c r="J204" s="595">
        <f>'Прилож 4 24 (2)'!Z190</f>
        <v>0</v>
      </c>
      <c r="K204" s="595">
        <f>'Прилож 4 24 (2)'!AA190</f>
        <v>0</v>
      </c>
      <c r="L204" s="595">
        <f>'Прилож 4 24 (2)'!AB190</f>
        <v>0</v>
      </c>
      <c r="M204" s="596">
        <f t="shared" si="46"/>
        <v>-88171.02</v>
      </c>
      <c r="N204" s="595">
        <v>-88171.02</v>
      </c>
      <c r="O204" s="595"/>
      <c r="P204" s="595"/>
      <c r="Q204" s="621"/>
      <c r="R204" s="595"/>
      <c r="S204" s="595"/>
      <c r="T204" s="595"/>
      <c r="U204" s="596">
        <f>V204+X204+Z204+AA204+AB204+W204</f>
        <v>901047.58</v>
      </c>
      <c r="V204" s="595">
        <f t="shared" si="40"/>
        <v>901047.58</v>
      </c>
      <c r="W204" s="595">
        <f t="shared" si="41"/>
        <v>0</v>
      </c>
      <c r="X204" s="595">
        <f t="shared" si="42"/>
        <v>0</v>
      </c>
      <c r="Y204" s="621"/>
      <c r="Z204" s="595">
        <f t="shared" si="43"/>
        <v>0</v>
      </c>
      <c r="AA204" s="595">
        <f t="shared" si="44"/>
        <v>0</v>
      </c>
      <c r="AB204" s="595">
        <f t="shared" si="45"/>
        <v>0</v>
      </c>
      <c r="AC204" s="622" t="s">
        <v>1341</v>
      </c>
      <c r="AD204" s="820"/>
    </row>
    <row r="205" spans="1:31" ht="42.75" customHeight="1" x14ac:dyDescent="0.2">
      <c r="A205" s="618" t="s">
        <v>1293</v>
      </c>
      <c r="B205" s="619" t="s">
        <v>747</v>
      </c>
      <c r="C205" s="620">
        <v>244</v>
      </c>
      <c r="D205" s="620">
        <v>346</v>
      </c>
      <c r="E205" s="596">
        <f t="shared" si="48"/>
        <v>12000</v>
      </c>
      <c r="F205" s="595">
        <f>'Прилож 4 24 (2)'!V191</f>
        <v>0</v>
      </c>
      <c r="G205" s="595">
        <f>'Прилож 4 24 (2)'!W201</f>
        <v>0</v>
      </c>
      <c r="H205" s="595">
        <f>'Прилож 4 24 (2)'!X191</f>
        <v>0</v>
      </c>
      <c r="I205" s="623"/>
      <c r="J205" s="595">
        <f>'Прилож 4 24 (2)'!Z191</f>
        <v>0</v>
      </c>
      <c r="K205" s="595">
        <f>'Прилож 4 24 (2)'!AA191</f>
        <v>0</v>
      </c>
      <c r="L205" s="595">
        <f>'Прилож 4 24 (2)'!AB191</f>
        <v>12000</v>
      </c>
      <c r="M205" s="596">
        <f t="shared" si="46"/>
        <v>0</v>
      </c>
      <c r="N205" s="595"/>
      <c r="O205" s="595"/>
      <c r="P205" s="595"/>
      <c r="Q205" s="621"/>
      <c r="R205" s="595"/>
      <c r="S205" s="595"/>
      <c r="T205" s="595"/>
      <c r="U205" s="596">
        <f t="shared" si="49"/>
        <v>12000</v>
      </c>
      <c r="V205" s="595">
        <f t="shared" si="40"/>
        <v>0</v>
      </c>
      <c r="W205" s="595">
        <f t="shared" si="41"/>
        <v>0</v>
      </c>
      <c r="X205" s="595">
        <f t="shared" si="42"/>
        <v>0</v>
      </c>
      <c r="Y205" s="621"/>
      <c r="Z205" s="595">
        <f t="shared" si="43"/>
        <v>0</v>
      </c>
      <c r="AA205" s="595">
        <f t="shared" si="44"/>
        <v>0</v>
      </c>
      <c r="AB205" s="595">
        <f t="shared" si="45"/>
        <v>12000</v>
      </c>
      <c r="AC205" s="622"/>
      <c r="AD205" s="820"/>
    </row>
    <row r="206" spans="1:31" s="637" customFormat="1" ht="19.5" customHeight="1" x14ac:dyDescent="0.2">
      <c r="A206" s="632" t="s">
        <v>1143</v>
      </c>
      <c r="B206" s="633" t="s">
        <v>747</v>
      </c>
      <c r="C206" s="634">
        <v>244</v>
      </c>
      <c r="D206" s="634">
        <v>346</v>
      </c>
      <c r="E206" s="597">
        <f>SUM(E203:E205)</f>
        <v>1081015.21</v>
      </c>
      <c r="F206" s="595">
        <f>'Прилож 4 24 (2)'!V192</f>
        <v>989218.6</v>
      </c>
      <c r="G206" s="595">
        <f>'Прилож 4 24 (2)'!W202</f>
        <v>0</v>
      </c>
      <c r="H206" s="595">
        <f>'Прилож 4 24 (2)'!X192</f>
        <v>34648.9</v>
      </c>
      <c r="I206" s="635"/>
      <c r="J206" s="595">
        <f>'Прилож 4 24 (2)'!Z192</f>
        <v>0</v>
      </c>
      <c r="K206" s="595">
        <f>'Прилож 4 24 (2)'!AA192</f>
        <v>0</v>
      </c>
      <c r="L206" s="595">
        <f>'Прилож 4 24 (2)'!AB192</f>
        <v>57147.71</v>
      </c>
      <c r="M206" s="596">
        <f>SUM(M203:M205)</f>
        <v>-88171.02</v>
      </c>
      <c r="N206" s="596">
        <f t="shared" ref="N206:Y206" si="68">SUM(N203:N205)</f>
        <v>-88171.02</v>
      </c>
      <c r="O206" s="596">
        <f t="shared" si="68"/>
        <v>0</v>
      </c>
      <c r="P206" s="596">
        <f t="shared" si="68"/>
        <v>0</v>
      </c>
      <c r="Q206" s="596">
        <f t="shared" si="68"/>
        <v>0</v>
      </c>
      <c r="R206" s="596">
        <f t="shared" si="68"/>
        <v>0</v>
      </c>
      <c r="S206" s="596">
        <f t="shared" si="68"/>
        <v>0</v>
      </c>
      <c r="T206" s="596">
        <f t="shared" si="68"/>
        <v>0</v>
      </c>
      <c r="U206" s="597">
        <f>SUM(U203:U205)</f>
        <v>992844.19</v>
      </c>
      <c r="V206" s="595">
        <f t="shared" si="40"/>
        <v>901047.58</v>
      </c>
      <c r="W206" s="595">
        <f t="shared" si="41"/>
        <v>0</v>
      </c>
      <c r="X206" s="595">
        <f t="shared" si="42"/>
        <v>34648.9</v>
      </c>
      <c r="Y206" s="597">
        <f t="shared" si="68"/>
        <v>0</v>
      </c>
      <c r="Z206" s="595">
        <f t="shared" si="43"/>
        <v>0</v>
      </c>
      <c r="AA206" s="595">
        <f t="shared" si="44"/>
        <v>0</v>
      </c>
      <c r="AB206" s="595">
        <f t="shared" si="45"/>
        <v>57147.71</v>
      </c>
      <c r="AC206" s="636"/>
      <c r="AD206" s="819"/>
      <c r="AE206" s="819"/>
    </row>
    <row r="207" spans="1:31" ht="46.5" customHeight="1" x14ac:dyDescent="0.2">
      <c r="A207" s="618" t="s">
        <v>618</v>
      </c>
      <c r="B207" s="619" t="s">
        <v>729</v>
      </c>
      <c r="C207" s="620">
        <v>244</v>
      </c>
      <c r="D207" s="620">
        <v>346</v>
      </c>
      <c r="E207" s="596">
        <f t="shared" si="48"/>
        <v>120928.90000000001</v>
      </c>
      <c r="F207" s="595">
        <f>'Прилож 4 24 (2)'!V193</f>
        <v>0</v>
      </c>
      <c r="G207" s="595">
        <f>'Прилож 4 24 (2)'!W203</f>
        <v>0</v>
      </c>
      <c r="H207" s="595">
        <f>'Прилож 4 24 (2)'!X193</f>
        <v>120928.90000000001</v>
      </c>
      <c r="I207" s="623"/>
      <c r="J207" s="595">
        <f>'Прилож 4 24 (2)'!Z193</f>
        <v>0</v>
      </c>
      <c r="K207" s="595">
        <f>'Прилож 4 24 (2)'!AA193</f>
        <v>0</v>
      </c>
      <c r="L207" s="595">
        <f>'Прилож 4 24 (2)'!AB193</f>
        <v>0</v>
      </c>
      <c r="M207" s="596">
        <f t="shared" si="46"/>
        <v>0</v>
      </c>
      <c r="N207" s="595"/>
      <c r="O207" s="595"/>
      <c r="P207" s="595"/>
      <c r="Q207" s="621"/>
      <c r="R207" s="595"/>
      <c r="S207" s="595"/>
      <c r="T207" s="595"/>
      <c r="U207" s="596">
        <f t="shared" si="49"/>
        <v>120928.90000000001</v>
      </c>
      <c r="V207" s="595">
        <f t="shared" si="40"/>
        <v>0</v>
      </c>
      <c r="W207" s="595">
        <f t="shared" si="41"/>
        <v>0</v>
      </c>
      <c r="X207" s="595">
        <f t="shared" si="42"/>
        <v>120928.90000000001</v>
      </c>
      <c r="Y207" s="621"/>
      <c r="Z207" s="595">
        <f t="shared" si="43"/>
        <v>0</v>
      </c>
      <c r="AA207" s="595">
        <f t="shared" si="44"/>
        <v>0</v>
      </c>
      <c r="AB207" s="595">
        <f t="shared" si="45"/>
        <v>0</v>
      </c>
      <c r="AC207" s="622"/>
    </row>
    <row r="208" spans="1:31" ht="26.25" customHeight="1" x14ac:dyDescent="0.2">
      <c r="A208" s="618" t="s">
        <v>617</v>
      </c>
      <c r="B208" s="619" t="s">
        <v>729</v>
      </c>
      <c r="C208" s="620">
        <v>244</v>
      </c>
      <c r="D208" s="620">
        <v>346</v>
      </c>
      <c r="E208" s="596">
        <f t="shared" si="48"/>
        <v>10000</v>
      </c>
      <c r="F208" s="595">
        <f>'Прилож 4 24 (2)'!V194</f>
        <v>0</v>
      </c>
      <c r="G208" s="595">
        <f>'Прилож 4 24 (2)'!W204</f>
        <v>0</v>
      </c>
      <c r="H208" s="595">
        <f>'Прилож 4 24 (2)'!X194</f>
        <v>10000</v>
      </c>
      <c r="I208" s="623"/>
      <c r="J208" s="595">
        <f>'Прилож 4 24 (2)'!Z194</f>
        <v>0</v>
      </c>
      <c r="K208" s="595">
        <f>'Прилож 4 24 (2)'!AA194</f>
        <v>0</v>
      </c>
      <c r="L208" s="595">
        <f>'Прилож 4 24 (2)'!AB194</f>
        <v>0</v>
      </c>
      <c r="M208" s="596">
        <f t="shared" si="46"/>
        <v>0</v>
      </c>
      <c r="N208" s="595"/>
      <c r="O208" s="595"/>
      <c r="P208" s="595"/>
      <c r="Q208" s="621"/>
      <c r="R208" s="595"/>
      <c r="S208" s="595"/>
      <c r="T208" s="595"/>
      <c r="U208" s="596">
        <f t="shared" si="49"/>
        <v>10000</v>
      </c>
      <c r="V208" s="595">
        <f t="shared" si="40"/>
        <v>0</v>
      </c>
      <c r="W208" s="595">
        <f t="shared" si="41"/>
        <v>0</v>
      </c>
      <c r="X208" s="595">
        <f t="shared" si="42"/>
        <v>10000</v>
      </c>
      <c r="Y208" s="621"/>
      <c r="Z208" s="595">
        <f t="shared" si="43"/>
        <v>0</v>
      </c>
      <c r="AA208" s="595">
        <f t="shared" si="44"/>
        <v>0</v>
      </c>
      <c r="AB208" s="595">
        <f t="shared" si="45"/>
        <v>0</v>
      </c>
      <c r="AC208" s="622"/>
    </row>
    <row r="209" spans="1:31" ht="34.5" customHeight="1" x14ac:dyDescent="0.2">
      <c r="A209" s="618" t="s">
        <v>1288</v>
      </c>
      <c r="B209" s="619" t="s">
        <v>729</v>
      </c>
      <c r="C209" s="620">
        <v>244</v>
      </c>
      <c r="D209" s="620">
        <v>346</v>
      </c>
      <c r="E209" s="596">
        <f>'Прилож 4 24 (2)'!V195</f>
        <v>10000</v>
      </c>
      <c r="F209" s="595">
        <f>'Прилож 4 24 (2)'!V195</f>
        <v>10000</v>
      </c>
      <c r="G209" s="595">
        <f>'Прилож 4 24 (2)'!W205</f>
        <v>0</v>
      </c>
      <c r="H209" s="595">
        <f>'Прилож 4 24 (2)'!X195</f>
        <v>0</v>
      </c>
      <c r="I209" s="623"/>
      <c r="J209" s="595">
        <f>'Прилож 4 24 (2)'!Z195</f>
        <v>0</v>
      </c>
      <c r="K209" s="595">
        <f>'Прилож 4 24 (2)'!AA195</f>
        <v>0</v>
      </c>
      <c r="L209" s="595">
        <f>'Прилож 4 24 (2)'!AB195</f>
        <v>0</v>
      </c>
      <c r="M209" s="596">
        <f t="shared" si="46"/>
        <v>0</v>
      </c>
      <c r="N209" s="595"/>
      <c r="O209" s="595"/>
      <c r="P209" s="595"/>
      <c r="Q209" s="621"/>
      <c r="R209" s="595"/>
      <c r="S209" s="595"/>
      <c r="T209" s="595"/>
      <c r="U209" s="596">
        <f>V209</f>
        <v>10000</v>
      </c>
      <c r="V209" s="595">
        <f t="shared" si="40"/>
        <v>10000</v>
      </c>
      <c r="W209" s="595">
        <f t="shared" ref="W209:W224" si="69">O209+G209</f>
        <v>0</v>
      </c>
      <c r="X209" s="595">
        <f t="shared" ref="X209:X223" si="70">P209+H209</f>
        <v>0</v>
      </c>
      <c r="Y209" s="621"/>
      <c r="Z209" s="595">
        <f t="shared" ref="Z209:Z224" si="71">R209+J209</f>
        <v>0</v>
      </c>
      <c r="AA209" s="595">
        <f t="shared" ref="AA209:AA224" si="72">S209+K209</f>
        <v>0</v>
      </c>
      <c r="AB209" s="595">
        <f t="shared" ref="AB209:AB224" si="73">T209+L209</f>
        <v>0</v>
      </c>
      <c r="AC209" s="622"/>
    </row>
    <row r="210" spans="1:31" ht="39" customHeight="1" x14ac:dyDescent="0.2">
      <c r="A210" s="618" t="s">
        <v>1285</v>
      </c>
      <c r="B210" s="619" t="s">
        <v>729</v>
      </c>
      <c r="C210" s="620">
        <v>244</v>
      </c>
      <c r="D210" s="620">
        <v>346</v>
      </c>
      <c r="E210" s="596">
        <f>'Прилож 4 24 (2)'!V196</f>
        <v>50000</v>
      </c>
      <c r="F210" s="595">
        <f>'Прилож 4 24 (2)'!V196</f>
        <v>50000</v>
      </c>
      <c r="G210" s="595">
        <f>'Прилож 4 24 (2)'!W206</f>
        <v>0</v>
      </c>
      <c r="H210" s="595">
        <f>'Прилож 4 24 (2)'!X196</f>
        <v>0</v>
      </c>
      <c r="I210" s="623"/>
      <c r="J210" s="595">
        <f>'Прилож 4 24 (2)'!Z196</f>
        <v>0</v>
      </c>
      <c r="K210" s="595">
        <f>'Прилож 4 24 (2)'!AA196</f>
        <v>0</v>
      </c>
      <c r="L210" s="595">
        <f>'Прилож 4 24 (2)'!AB196</f>
        <v>0</v>
      </c>
      <c r="M210" s="596">
        <f t="shared" si="46"/>
        <v>0</v>
      </c>
      <c r="N210" s="595"/>
      <c r="O210" s="595"/>
      <c r="P210" s="595"/>
      <c r="Q210" s="621"/>
      <c r="R210" s="595"/>
      <c r="S210" s="595"/>
      <c r="T210" s="595"/>
      <c r="U210" s="596">
        <f>V210</f>
        <v>50000</v>
      </c>
      <c r="V210" s="595">
        <f t="shared" ref="V210:V225" si="74">F210+N210</f>
        <v>50000</v>
      </c>
      <c r="W210" s="595">
        <f t="shared" si="69"/>
        <v>0</v>
      </c>
      <c r="X210" s="595">
        <f t="shared" si="70"/>
        <v>0</v>
      </c>
      <c r="Y210" s="621"/>
      <c r="Z210" s="595">
        <f t="shared" si="71"/>
        <v>0</v>
      </c>
      <c r="AA210" s="595">
        <f t="shared" si="72"/>
        <v>0</v>
      </c>
      <c r="AB210" s="595">
        <f t="shared" si="73"/>
        <v>0</v>
      </c>
      <c r="AC210" s="622"/>
    </row>
    <row r="211" spans="1:31" ht="45.75" customHeight="1" x14ac:dyDescent="0.2">
      <c r="A211" s="618" t="s">
        <v>1286</v>
      </c>
      <c r="B211" s="619" t="s">
        <v>729</v>
      </c>
      <c r="C211" s="620">
        <v>244</v>
      </c>
      <c r="D211" s="620">
        <v>346</v>
      </c>
      <c r="E211" s="596">
        <f>'Прилож 4 24 (2)'!V197</f>
        <v>12303.79</v>
      </c>
      <c r="F211" s="595">
        <f>'Прилож 4 24 (2)'!V197</f>
        <v>12303.79</v>
      </c>
      <c r="G211" s="595">
        <f>'Прилож 4 24 (2)'!W207</f>
        <v>1331028.0899999999</v>
      </c>
      <c r="H211" s="595">
        <f>'Прилож 4 24 (2)'!X197</f>
        <v>0</v>
      </c>
      <c r="I211" s="623"/>
      <c r="J211" s="595">
        <f>'Прилож 4 24 (2)'!Z197</f>
        <v>0</v>
      </c>
      <c r="K211" s="595">
        <f>'Прилож 4 24 (2)'!AA197</f>
        <v>0</v>
      </c>
      <c r="L211" s="595">
        <f>'Прилож 4 24 (2)'!AB197</f>
        <v>0</v>
      </c>
      <c r="M211" s="596">
        <f t="shared" si="46"/>
        <v>0</v>
      </c>
      <c r="N211" s="595"/>
      <c r="O211" s="595"/>
      <c r="P211" s="595"/>
      <c r="Q211" s="621"/>
      <c r="R211" s="595"/>
      <c r="S211" s="595"/>
      <c r="T211" s="595"/>
      <c r="U211" s="596">
        <f>V211</f>
        <v>12303.79</v>
      </c>
      <c r="V211" s="595">
        <f t="shared" si="74"/>
        <v>12303.79</v>
      </c>
      <c r="W211" s="595">
        <f t="shared" si="69"/>
        <v>1331028.0899999999</v>
      </c>
      <c r="X211" s="595">
        <f t="shared" si="70"/>
        <v>0</v>
      </c>
      <c r="Y211" s="621"/>
      <c r="Z211" s="595">
        <f t="shared" si="71"/>
        <v>0</v>
      </c>
      <c r="AA211" s="595">
        <f t="shared" si="72"/>
        <v>0</v>
      </c>
      <c r="AB211" s="595">
        <f t="shared" si="73"/>
        <v>0</v>
      </c>
      <c r="AC211" s="622"/>
    </row>
    <row r="212" spans="1:31" s="637" customFormat="1" ht="26.25" customHeight="1" x14ac:dyDescent="0.2">
      <c r="A212" s="632" t="s">
        <v>1143</v>
      </c>
      <c r="B212" s="633"/>
      <c r="C212" s="634"/>
      <c r="D212" s="634"/>
      <c r="E212" s="597">
        <f>SUM(E207:E211)</f>
        <v>203232.69000000003</v>
      </c>
      <c r="F212" s="595">
        <f>'Прилож 4 24 (2)'!V198</f>
        <v>72303.790000000008</v>
      </c>
      <c r="G212" s="595">
        <f>'Прилож 4 24 (2)'!W208</f>
        <v>0</v>
      </c>
      <c r="H212" s="595">
        <f>'Прилож 4 24 (2)'!X198</f>
        <v>130928.90000000001</v>
      </c>
      <c r="I212" s="597">
        <f t="shared" ref="I212:Y212" si="75">SUM(I207:I211)</f>
        <v>0</v>
      </c>
      <c r="J212" s="595">
        <f>'Прилож 4 24 (2)'!Z198</f>
        <v>0</v>
      </c>
      <c r="K212" s="595">
        <f>'Прилож 4 24 (2)'!AA198</f>
        <v>0</v>
      </c>
      <c r="L212" s="595">
        <f>'Прилож 4 24 (2)'!AB198</f>
        <v>0</v>
      </c>
      <c r="M212" s="596">
        <f>SUM(M207:M211)</f>
        <v>0</v>
      </c>
      <c r="N212" s="596">
        <f t="shared" ref="N212:T212" si="76">SUM(N207:N211)</f>
        <v>0</v>
      </c>
      <c r="O212" s="596">
        <f t="shared" si="76"/>
        <v>0</v>
      </c>
      <c r="P212" s="596">
        <f t="shared" si="76"/>
        <v>0</v>
      </c>
      <c r="Q212" s="596">
        <f t="shared" si="76"/>
        <v>0</v>
      </c>
      <c r="R212" s="596">
        <f t="shared" si="76"/>
        <v>0</v>
      </c>
      <c r="S212" s="596">
        <f t="shared" si="76"/>
        <v>0</v>
      </c>
      <c r="T212" s="596">
        <f t="shared" si="76"/>
        <v>0</v>
      </c>
      <c r="U212" s="597">
        <f>SUM(U207:U211)</f>
        <v>203232.69000000003</v>
      </c>
      <c r="V212" s="595">
        <f t="shared" si="74"/>
        <v>72303.790000000008</v>
      </c>
      <c r="W212" s="595">
        <f t="shared" si="69"/>
        <v>0</v>
      </c>
      <c r="X212" s="595">
        <f t="shared" si="70"/>
        <v>130928.90000000001</v>
      </c>
      <c r="Y212" s="597">
        <f t="shared" si="75"/>
        <v>0</v>
      </c>
      <c r="Z212" s="595">
        <f t="shared" si="71"/>
        <v>0</v>
      </c>
      <c r="AA212" s="595">
        <f t="shared" si="72"/>
        <v>0</v>
      </c>
      <c r="AB212" s="595">
        <f t="shared" si="73"/>
        <v>0</v>
      </c>
      <c r="AC212" s="636"/>
      <c r="AD212" s="819"/>
    </row>
    <row r="213" spans="1:31" ht="22.5" customHeight="1" x14ac:dyDescent="0.2">
      <c r="A213" s="618" t="s">
        <v>67</v>
      </c>
      <c r="B213" s="619" t="s">
        <v>64</v>
      </c>
      <c r="C213" s="620">
        <v>244</v>
      </c>
      <c r="D213" s="620">
        <v>346</v>
      </c>
      <c r="E213" s="596">
        <f t="shared" si="48"/>
        <v>3200</v>
      </c>
      <c r="F213" s="595">
        <f>'Прилож 4 24 (2)'!V199</f>
        <v>0</v>
      </c>
      <c r="G213" s="595">
        <f>'Прилож 4 24 (2)'!W209</f>
        <v>0</v>
      </c>
      <c r="H213" s="595">
        <f>'Прилож 4 24 (2)'!X199</f>
        <v>0</v>
      </c>
      <c r="I213" s="623" t="s">
        <v>1235</v>
      </c>
      <c r="J213" s="595">
        <f>'Прилож 4 24 (2)'!Z199</f>
        <v>0</v>
      </c>
      <c r="K213" s="595">
        <f>'Прилож 4 24 (2)'!AA199</f>
        <v>3200</v>
      </c>
      <c r="L213" s="595">
        <f>'Прилож 4 24 (2)'!AB199</f>
        <v>0</v>
      </c>
      <c r="M213" s="596">
        <f t="shared" si="46"/>
        <v>0</v>
      </c>
      <c r="N213" s="595"/>
      <c r="O213" s="595"/>
      <c r="P213" s="595"/>
      <c r="Q213" s="621"/>
      <c r="R213" s="595"/>
      <c r="S213" s="595"/>
      <c r="T213" s="595"/>
      <c r="U213" s="596">
        <f t="shared" si="49"/>
        <v>3200</v>
      </c>
      <c r="V213" s="595">
        <f t="shared" si="74"/>
        <v>0</v>
      </c>
      <c r="W213" s="595">
        <f t="shared" si="69"/>
        <v>0</v>
      </c>
      <c r="X213" s="595">
        <f t="shared" si="70"/>
        <v>0</v>
      </c>
      <c r="Y213" s="621"/>
      <c r="Z213" s="595">
        <f t="shared" si="71"/>
        <v>0</v>
      </c>
      <c r="AA213" s="595">
        <f t="shared" si="72"/>
        <v>3200</v>
      </c>
      <c r="AB213" s="595">
        <f t="shared" si="73"/>
        <v>0</v>
      </c>
      <c r="AC213" s="622"/>
    </row>
    <row r="214" spans="1:31" s="637" customFormat="1" ht="22.5" customHeight="1" x14ac:dyDescent="0.2">
      <c r="A214" s="632" t="s">
        <v>1143</v>
      </c>
      <c r="B214" s="633"/>
      <c r="C214" s="634"/>
      <c r="D214" s="634"/>
      <c r="E214" s="597">
        <f>SUM(E213)</f>
        <v>3200</v>
      </c>
      <c r="F214" s="595">
        <f>'Прилож 4 24 (2)'!V200</f>
        <v>0</v>
      </c>
      <c r="G214" s="595">
        <f>'Прилож 4 24 (2)'!W210</f>
        <v>0</v>
      </c>
      <c r="H214" s="595">
        <f>'Прилож 4 24 (2)'!X200</f>
        <v>0</v>
      </c>
      <c r="I214" s="643"/>
      <c r="J214" s="595">
        <f>'Прилож 4 24 (2)'!Z200</f>
        <v>0</v>
      </c>
      <c r="K214" s="595">
        <f>'Прилож 4 24 (2)'!AA200</f>
        <v>3200</v>
      </c>
      <c r="L214" s="595">
        <f>'Прилож 4 24 (2)'!AB200</f>
        <v>0</v>
      </c>
      <c r="M214" s="597">
        <f>+M213</f>
        <v>0</v>
      </c>
      <c r="N214" s="597">
        <f t="shared" ref="N214:Y214" si="77">+N213</f>
        <v>0</v>
      </c>
      <c r="O214" s="597">
        <f t="shared" si="77"/>
        <v>0</v>
      </c>
      <c r="P214" s="597">
        <f t="shared" si="77"/>
        <v>0</v>
      </c>
      <c r="Q214" s="597">
        <f t="shared" si="77"/>
        <v>0</v>
      </c>
      <c r="R214" s="597">
        <f t="shared" si="77"/>
        <v>0</v>
      </c>
      <c r="S214" s="597">
        <f t="shared" si="77"/>
        <v>0</v>
      </c>
      <c r="T214" s="597">
        <f t="shared" si="77"/>
        <v>0</v>
      </c>
      <c r="U214" s="597">
        <f t="shared" si="77"/>
        <v>3200</v>
      </c>
      <c r="V214" s="595">
        <f t="shared" si="74"/>
        <v>0</v>
      </c>
      <c r="W214" s="595">
        <f t="shared" si="69"/>
        <v>0</v>
      </c>
      <c r="X214" s="595">
        <f t="shared" si="70"/>
        <v>0</v>
      </c>
      <c r="Y214" s="597">
        <f t="shared" si="77"/>
        <v>0</v>
      </c>
      <c r="Z214" s="595">
        <f t="shared" si="71"/>
        <v>0</v>
      </c>
      <c r="AA214" s="595">
        <f t="shared" si="72"/>
        <v>3200</v>
      </c>
      <c r="AB214" s="595">
        <f t="shared" si="73"/>
        <v>0</v>
      </c>
      <c r="AC214" s="636"/>
    </row>
    <row r="215" spans="1:31" ht="55.5" customHeight="1" x14ac:dyDescent="0.2">
      <c r="A215" s="618" t="s">
        <v>710</v>
      </c>
      <c r="B215" s="619" t="s">
        <v>691</v>
      </c>
      <c r="C215" s="620">
        <v>244</v>
      </c>
      <c r="D215" s="620">
        <v>346</v>
      </c>
      <c r="E215" s="596">
        <f t="shared" si="48"/>
        <v>5670.0000000002328</v>
      </c>
      <c r="F215" s="595">
        <f>'Прилож 4 24 (2)'!V201</f>
        <v>0</v>
      </c>
      <c r="G215" s="595">
        <f>'Прилож 4 24 (2)'!W211</f>
        <v>2.3283064365386963E-10</v>
      </c>
      <c r="H215" s="595">
        <f>'Прилож 4 24 (2)'!X201</f>
        <v>4813.78</v>
      </c>
      <c r="I215" s="623"/>
      <c r="J215" s="595">
        <f>'Прилож 4 24 (2)'!Z201</f>
        <v>0</v>
      </c>
      <c r="K215" s="595">
        <f>'Прилож 4 24 (2)'!AA201</f>
        <v>0</v>
      </c>
      <c r="L215" s="595">
        <f>'Прилож 4 24 (2)'!AB201</f>
        <v>856.22</v>
      </c>
      <c r="M215" s="596">
        <f t="shared" si="46"/>
        <v>0</v>
      </c>
      <c r="N215" s="595"/>
      <c r="O215" s="595"/>
      <c r="P215" s="595"/>
      <c r="Q215" s="621"/>
      <c r="R215" s="595"/>
      <c r="S215" s="595"/>
      <c r="T215" s="595"/>
      <c r="U215" s="596">
        <f t="shared" si="49"/>
        <v>5670.0000000002328</v>
      </c>
      <c r="V215" s="595">
        <f t="shared" si="74"/>
        <v>0</v>
      </c>
      <c r="W215" s="595">
        <f t="shared" si="69"/>
        <v>2.3283064365386963E-10</v>
      </c>
      <c r="X215" s="595">
        <f t="shared" si="70"/>
        <v>4813.78</v>
      </c>
      <c r="Y215" s="621"/>
      <c r="Z215" s="595">
        <f t="shared" si="71"/>
        <v>0</v>
      </c>
      <c r="AA215" s="595">
        <f t="shared" si="72"/>
        <v>0</v>
      </c>
      <c r="AB215" s="595">
        <f t="shared" si="73"/>
        <v>856.22</v>
      </c>
      <c r="AC215" s="622"/>
    </row>
    <row r="216" spans="1:31" ht="68.25" customHeight="1" x14ac:dyDescent="0.2">
      <c r="A216" s="618" t="s">
        <v>709</v>
      </c>
      <c r="B216" s="619" t="s">
        <v>691</v>
      </c>
      <c r="C216" s="620">
        <v>244</v>
      </c>
      <c r="D216" s="620">
        <v>346</v>
      </c>
      <c r="E216" s="596">
        <f t="shared" si="48"/>
        <v>4410</v>
      </c>
      <c r="F216" s="595">
        <f>'Прилож 4 24 (2)'!V202</f>
        <v>0</v>
      </c>
      <c r="G216" s="595">
        <f>'Прилож 4 24 (2)'!W212</f>
        <v>0</v>
      </c>
      <c r="H216" s="595">
        <f>'Прилож 4 24 (2)'!X202</f>
        <v>3744.05</v>
      </c>
      <c r="I216" s="623"/>
      <c r="J216" s="595">
        <f>'Прилож 4 24 (2)'!Z202</f>
        <v>0</v>
      </c>
      <c r="K216" s="595">
        <f>'Прилож 4 24 (2)'!AA202</f>
        <v>0</v>
      </c>
      <c r="L216" s="595">
        <f>'Прилож 4 24 (2)'!AB202</f>
        <v>665.95</v>
      </c>
      <c r="M216" s="596">
        <f t="shared" si="46"/>
        <v>0</v>
      </c>
      <c r="N216" s="595"/>
      <c r="O216" s="595"/>
      <c r="P216" s="595"/>
      <c r="Q216" s="621"/>
      <c r="R216" s="595"/>
      <c r="S216" s="595"/>
      <c r="T216" s="595"/>
      <c r="U216" s="596">
        <f t="shared" si="49"/>
        <v>4410</v>
      </c>
      <c r="V216" s="595">
        <f t="shared" si="74"/>
        <v>0</v>
      </c>
      <c r="W216" s="595">
        <f t="shared" si="69"/>
        <v>0</v>
      </c>
      <c r="X216" s="595">
        <f t="shared" si="70"/>
        <v>3744.05</v>
      </c>
      <c r="Y216" s="621"/>
      <c r="Z216" s="595">
        <f t="shared" si="71"/>
        <v>0</v>
      </c>
      <c r="AA216" s="595">
        <f t="shared" si="72"/>
        <v>0</v>
      </c>
      <c r="AB216" s="595">
        <f t="shared" si="73"/>
        <v>665.95</v>
      </c>
      <c r="AC216" s="622"/>
    </row>
    <row r="217" spans="1:31" s="637" customFormat="1" ht="25.5" customHeight="1" x14ac:dyDescent="0.2">
      <c r="A217" s="632" t="s">
        <v>1143</v>
      </c>
      <c r="B217" s="633" t="s">
        <v>691</v>
      </c>
      <c r="C217" s="634">
        <v>244</v>
      </c>
      <c r="D217" s="634">
        <v>346</v>
      </c>
      <c r="E217" s="597">
        <f>SUM(E215:E216)</f>
        <v>10080.000000000233</v>
      </c>
      <c r="F217" s="595">
        <f>'Прилож 4 24 (2)'!V203</f>
        <v>0</v>
      </c>
      <c r="G217" s="595">
        <f>'Прилож 4 24 (2)'!W213</f>
        <v>0</v>
      </c>
      <c r="H217" s="595">
        <f>'Прилож 4 24 (2)'!X203</f>
        <v>8557.83</v>
      </c>
      <c r="I217" s="635"/>
      <c r="J217" s="595">
        <f>'Прилож 4 24 (2)'!Z203</f>
        <v>0</v>
      </c>
      <c r="K217" s="595">
        <f>'Прилож 4 24 (2)'!AA203</f>
        <v>0</v>
      </c>
      <c r="L217" s="595">
        <f>'Прилож 4 24 (2)'!AB203</f>
        <v>1522.17</v>
      </c>
      <c r="M217" s="596">
        <f>SUM(M215:M216)</f>
        <v>0</v>
      </c>
      <c r="N217" s="597">
        <f t="shared" ref="N217:T217" si="78">SUM(N215:N216)</f>
        <v>0</v>
      </c>
      <c r="O217" s="597">
        <f t="shared" si="78"/>
        <v>0</v>
      </c>
      <c r="P217" s="597">
        <f t="shared" si="78"/>
        <v>0</v>
      </c>
      <c r="Q217" s="635"/>
      <c r="R217" s="597">
        <f t="shared" si="78"/>
        <v>0</v>
      </c>
      <c r="S217" s="597">
        <f t="shared" si="78"/>
        <v>0</v>
      </c>
      <c r="T217" s="597">
        <f t="shared" si="78"/>
        <v>0</v>
      </c>
      <c r="U217" s="597">
        <f>SUM(U215:U216)</f>
        <v>10080.000000000233</v>
      </c>
      <c r="V217" s="595">
        <f t="shared" si="74"/>
        <v>0</v>
      </c>
      <c r="W217" s="595">
        <f t="shared" si="69"/>
        <v>0</v>
      </c>
      <c r="X217" s="595">
        <f t="shared" si="70"/>
        <v>8557.83</v>
      </c>
      <c r="Y217" s="635"/>
      <c r="Z217" s="595">
        <f t="shared" si="71"/>
        <v>0</v>
      </c>
      <c r="AA217" s="595">
        <f t="shared" si="72"/>
        <v>0</v>
      </c>
      <c r="AB217" s="595">
        <f t="shared" si="73"/>
        <v>1522.17</v>
      </c>
      <c r="AC217" s="636"/>
    </row>
    <row r="218" spans="1:31" s="614" customFormat="1" ht="27.75" customHeight="1" x14ac:dyDescent="0.2">
      <c r="A218" s="630" t="s">
        <v>744</v>
      </c>
      <c r="B218" s="631"/>
      <c r="C218" s="624"/>
      <c r="D218" s="624"/>
      <c r="E218" s="596">
        <f>E217+E213+E212+E206</f>
        <v>1297527.9000000001</v>
      </c>
      <c r="F218" s="595">
        <f>'Прилож 4 24 (2)'!V204</f>
        <v>1061522.3899999999</v>
      </c>
      <c r="G218" s="595">
        <f>'Прилож 4 24 (2)'!W214</f>
        <v>0</v>
      </c>
      <c r="H218" s="595">
        <f>'Прилож 4 24 (2)'!X204</f>
        <v>174135.63</v>
      </c>
      <c r="I218" s="626"/>
      <c r="J218" s="595">
        <f>'Прилож 4 24 (2)'!Z204</f>
        <v>0</v>
      </c>
      <c r="K218" s="595">
        <f>'Прилож 4 24 (2)'!AA204</f>
        <v>3200</v>
      </c>
      <c r="L218" s="595">
        <f>'Прилож 4 24 (2)'!AB204</f>
        <v>58669.88</v>
      </c>
      <c r="M218" s="596">
        <f>N218+P218+R218+S218+T218+O218</f>
        <v>-88171.02</v>
      </c>
      <c r="N218" s="596">
        <f>N206+N217+N212+N214</f>
        <v>-88171.02</v>
      </c>
      <c r="O218" s="596">
        <f t="shared" ref="O218:T218" si="79">O206+O217+O212+O214</f>
        <v>0</v>
      </c>
      <c r="P218" s="596">
        <f t="shared" si="79"/>
        <v>0</v>
      </c>
      <c r="Q218" s="596">
        <f t="shared" si="79"/>
        <v>0</v>
      </c>
      <c r="R218" s="596">
        <f t="shared" si="79"/>
        <v>0</v>
      </c>
      <c r="S218" s="596">
        <f t="shared" si="79"/>
        <v>0</v>
      </c>
      <c r="T218" s="596">
        <f t="shared" si="79"/>
        <v>0</v>
      </c>
      <c r="U218" s="596">
        <f>U206+U217+U212+U214</f>
        <v>1209356.8800000001</v>
      </c>
      <c r="V218" s="595">
        <f t="shared" si="74"/>
        <v>973351.36999999988</v>
      </c>
      <c r="W218" s="595">
        <f t="shared" si="69"/>
        <v>0</v>
      </c>
      <c r="X218" s="595">
        <f>X215+X216+X214+X212+X206</f>
        <v>174135.63</v>
      </c>
      <c r="Y218" s="596"/>
      <c r="Z218" s="595">
        <f t="shared" si="71"/>
        <v>0</v>
      </c>
      <c r="AA218" s="595">
        <f t="shared" si="72"/>
        <v>3200</v>
      </c>
      <c r="AB218" s="595">
        <f t="shared" si="73"/>
        <v>58669.88</v>
      </c>
      <c r="AC218" s="627"/>
      <c r="AD218" s="818"/>
    </row>
    <row r="219" spans="1:31" ht="46.5" customHeight="1" x14ac:dyDescent="0.2">
      <c r="A219" s="618" t="s">
        <v>948</v>
      </c>
      <c r="B219" s="619" t="s">
        <v>729</v>
      </c>
      <c r="C219" s="620">
        <v>244</v>
      </c>
      <c r="D219" s="620">
        <v>349</v>
      </c>
      <c r="E219" s="596">
        <f t="shared" si="48"/>
        <v>6000</v>
      </c>
      <c r="F219" s="595">
        <f>'Прилож 4 24 (2)'!V205</f>
        <v>6000</v>
      </c>
      <c r="G219" s="595">
        <f>'Прилож 4 24 (2)'!W215</f>
        <v>0</v>
      </c>
      <c r="H219" s="595">
        <f>'Прилож 4 24 (2)'!X205</f>
        <v>0</v>
      </c>
      <c r="I219" s="626"/>
      <c r="J219" s="595">
        <f>'Прилож 4 24 (2)'!Z205</f>
        <v>0</v>
      </c>
      <c r="K219" s="595">
        <f>'Прилож 4 24 (2)'!AA205</f>
        <v>0</v>
      </c>
      <c r="L219" s="595">
        <f>'Прилож 4 24 (2)'!AB205</f>
        <v>0</v>
      </c>
      <c r="M219" s="596">
        <f t="shared" si="46"/>
        <v>0</v>
      </c>
      <c r="N219" s="595"/>
      <c r="O219" s="596"/>
      <c r="P219" s="596"/>
      <c r="Q219" s="626"/>
      <c r="R219" s="596"/>
      <c r="S219" s="596"/>
      <c r="T219" s="595"/>
      <c r="U219" s="596">
        <f t="shared" si="49"/>
        <v>6000</v>
      </c>
      <c r="V219" s="595">
        <f t="shared" si="74"/>
        <v>6000</v>
      </c>
      <c r="W219" s="595">
        <f t="shared" si="69"/>
        <v>0</v>
      </c>
      <c r="X219" s="595">
        <f t="shared" si="70"/>
        <v>0</v>
      </c>
      <c r="Y219" s="626"/>
      <c r="Z219" s="595">
        <f t="shared" si="71"/>
        <v>0</v>
      </c>
      <c r="AA219" s="595">
        <f t="shared" si="72"/>
        <v>0</v>
      </c>
      <c r="AB219" s="595">
        <f t="shared" si="73"/>
        <v>0</v>
      </c>
      <c r="AC219" s="622"/>
    </row>
    <row r="220" spans="1:31" s="614" customFormat="1" ht="27.75" customHeight="1" x14ac:dyDescent="0.2">
      <c r="A220" s="630" t="s">
        <v>949</v>
      </c>
      <c r="B220" s="631"/>
      <c r="C220" s="624"/>
      <c r="D220" s="624"/>
      <c r="E220" s="596">
        <f>F220+G220+H220+J220+K220+L220</f>
        <v>6000</v>
      </c>
      <c r="F220" s="595">
        <f>'Прилож 4 24 (2)'!V206</f>
        <v>6000</v>
      </c>
      <c r="G220" s="595">
        <f>'Прилож 4 24 (2)'!W216</f>
        <v>0</v>
      </c>
      <c r="H220" s="595">
        <f>'Прилож 4 24 (2)'!X206</f>
        <v>0</v>
      </c>
      <c r="I220" s="626"/>
      <c r="J220" s="595">
        <f>'Прилож 4 24 (2)'!Z206</f>
        <v>0</v>
      </c>
      <c r="K220" s="595">
        <f>'Прилож 4 24 (2)'!AA206</f>
        <v>0</v>
      </c>
      <c r="L220" s="595">
        <f>'Прилож 4 24 (2)'!AB206</f>
        <v>0</v>
      </c>
      <c r="M220" s="596">
        <f t="shared" si="46"/>
        <v>0</v>
      </c>
      <c r="N220" s="596">
        <f>N219</f>
        <v>0</v>
      </c>
      <c r="O220" s="596"/>
      <c r="P220" s="596"/>
      <c r="Q220" s="626"/>
      <c r="R220" s="596"/>
      <c r="S220" s="596"/>
      <c r="T220" s="596"/>
      <c r="U220" s="596">
        <f t="shared" si="49"/>
        <v>6000</v>
      </c>
      <c r="V220" s="595">
        <f t="shared" si="74"/>
        <v>6000</v>
      </c>
      <c r="W220" s="595">
        <f t="shared" si="69"/>
        <v>0</v>
      </c>
      <c r="X220" s="595">
        <f t="shared" si="70"/>
        <v>0</v>
      </c>
      <c r="Y220" s="626"/>
      <c r="Z220" s="595">
        <f t="shared" si="71"/>
        <v>0</v>
      </c>
      <c r="AA220" s="595">
        <f t="shared" si="72"/>
        <v>0</v>
      </c>
      <c r="AB220" s="595">
        <f t="shared" si="73"/>
        <v>0</v>
      </c>
      <c r="AC220" s="627"/>
    </row>
    <row r="221" spans="1:31" s="614" customFormat="1" x14ac:dyDescent="0.2">
      <c r="A221" s="624" t="s">
        <v>745</v>
      </c>
      <c r="B221" s="631"/>
      <c r="C221" s="624"/>
      <c r="D221" s="624"/>
      <c r="E221" s="596">
        <f>E220+E218+E202+E200+E198+E195+E193+E191+E188+E175+E172+E143+E95+E78+E57+E48+E42+E40+E35+E97</f>
        <v>62656511.710000008</v>
      </c>
      <c r="F221" s="595">
        <f>'Прилож 4 24 (2)'!V207</f>
        <v>40711421.810000002</v>
      </c>
      <c r="G221" s="595">
        <f>'Прилож 4 24 (2)'!W207</f>
        <v>1331028.0899999999</v>
      </c>
      <c r="H221" s="595">
        <f>'Прилож 4 24 (2)'!X207</f>
        <v>11317923.020000001</v>
      </c>
      <c r="I221" s="626"/>
      <c r="J221" s="595">
        <f>'Прилож 4 24 (2)'!Z207</f>
        <v>0</v>
      </c>
      <c r="K221" s="595">
        <f>'Прилож 4 24 (2)'!AA207</f>
        <v>7981281.0800000001</v>
      </c>
      <c r="L221" s="595">
        <f>'Прилож 4 24 (2)'!AB207</f>
        <v>1314857.7099999995</v>
      </c>
      <c r="M221" s="596">
        <f>N221+P221+R221+S221+T221+O221</f>
        <v>-1472395.58</v>
      </c>
      <c r="N221" s="596">
        <f>N220+N218+N202+N200+N198+N195+N193+N188++N175+N172+N143+N97+N95+N78+N57+N48+N42+N40+N35+N191+N37</f>
        <v>0</v>
      </c>
      <c r="O221" s="596">
        <f t="shared" ref="O221:T221" si="80">O220+O218+O202+O200+O198+O195+O193+O188++O175+O172+O143+O97+O95+O78+O57+O48+O42+O40+O35+O191</f>
        <v>0</v>
      </c>
      <c r="P221" s="596">
        <f t="shared" si="80"/>
        <v>0</v>
      </c>
      <c r="Q221" s="596">
        <f t="shared" si="80"/>
        <v>0</v>
      </c>
      <c r="R221" s="596">
        <f t="shared" si="80"/>
        <v>0</v>
      </c>
      <c r="S221" s="596">
        <f t="shared" si="80"/>
        <v>-1472395.58</v>
      </c>
      <c r="T221" s="596">
        <f t="shared" si="80"/>
        <v>0</v>
      </c>
      <c r="U221" s="596">
        <f>U220+U218+U202+U200+U198+U195+U193+U188++U175+U172+U143+U97+U95+U78+U57+U48+U42+U40+U35+U191+U37</f>
        <v>61184116.130000003</v>
      </c>
      <c r="V221" s="595">
        <f>F221+N221</f>
        <v>40711421.810000002</v>
      </c>
      <c r="W221" s="595">
        <f>O221+G221</f>
        <v>1331028.0899999999</v>
      </c>
      <c r="X221" s="595">
        <f t="shared" si="70"/>
        <v>11317923.020000001</v>
      </c>
      <c r="Y221" s="596">
        <f>Y220+Y218+Y202+Y200+Y198+Y195+Y193+Y188++Y175+Y172+Y143+Y97+Y95+Y78+Y57+Y48+Y42+Y40+Y35+Y191</f>
        <v>0</v>
      </c>
      <c r="Z221" s="595">
        <f t="shared" si="71"/>
        <v>0</v>
      </c>
      <c r="AA221" s="595">
        <f t="shared" si="72"/>
        <v>6508885.5</v>
      </c>
      <c r="AB221" s="595">
        <f t="shared" si="73"/>
        <v>1314857.7099999995</v>
      </c>
      <c r="AC221" s="627"/>
      <c r="AD221" s="818"/>
      <c r="AE221" s="818">
        <f>V221+W221+X221</f>
        <v>53360372.920000009</v>
      </c>
    </row>
    <row r="222" spans="1:31" ht="25.5" customHeight="1" x14ac:dyDescent="0.2">
      <c r="A222" s="618" t="s">
        <v>946</v>
      </c>
      <c r="B222" s="619"/>
      <c r="C222" s="620"/>
      <c r="D222" s="620">
        <v>189</v>
      </c>
      <c r="E222" s="596">
        <f t="shared" si="48"/>
        <v>-12500</v>
      </c>
      <c r="F222" s="595">
        <f>'Прилож 4 24 (2)'!V208</f>
        <v>0</v>
      </c>
      <c r="G222" s="595">
        <f>'Прилож 4 24 (2)'!W218</f>
        <v>0</v>
      </c>
      <c r="H222" s="595">
        <f>'Прилож 4 24 (2)'!X208</f>
        <v>0</v>
      </c>
      <c r="I222" s="621"/>
      <c r="J222" s="595">
        <f>'Прилож 4 24 (2)'!Z208</f>
        <v>0</v>
      </c>
      <c r="K222" s="595">
        <f>'Прилож 4 24 (2)'!AA208</f>
        <v>0</v>
      </c>
      <c r="L222" s="595">
        <f>'Прилож 4 24 (2)'!AB208</f>
        <v>-12500</v>
      </c>
      <c r="M222" s="596">
        <f t="shared" ref="M222:M224" si="81">N222+P222+R222+S222+T222+O222</f>
        <v>0</v>
      </c>
      <c r="N222" s="595"/>
      <c r="O222" s="595"/>
      <c r="P222" s="595"/>
      <c r="Q222" s="621"/>
      <c r="R222" s="595"/>
      <c r="S222" s="595"/>
      <c r="T222" s="595"/>
      <c r="U222" s="596">
        <f>V222+X222+Z222+AA222+AB222+W222</f>
        <v>-12500</v>
      </c>
      <c r="V222" s="595">
        <f t="shared" si="74"/>
        <v>0</v>
      </c>
      <c r="W222" s="595">
        <f t="shared" si="69"/>
        <v>0</v>
      </c>
      <c r="X222" s="595">
        <f t="shared" si="70"/>
        <v>0</v>
      </c>
      <c r="Y222" s="621"/>
      <c r="Z222" s="595">
        <f t="shared" si="71"/>
        <v>0</v>
      </c>
      <c r="AA222" s="595">
        <f t="shared" si="72"/>
        <v>0</v>
      </c>
      <c r="AB222" s="595">
        <f t="shared" si="73"/>
        <v>-12500</v>
      </c>
      <c r="AC222" s="622"/>
    </row>
    <row r="223" spans="1:31" s="614" customFormat="1" ht="31.5" x14ac:dyDescent="0.2">
      <c r="A223" s="630" t="s">
        <v>746</v>
      </c>
      <c r="B223" s="624"/>
      <c r="C223" s="624"/>
      <c r="D223" s="624"/>
      <c r="E223" s="596">
        <f t="shared" si="48"/>
        <v>-12500</v>
      </c>
      <c r="F223" s="595">
        <f>'Прилож 4 24 (2)'!V209</f>
        <v>0</v>
      </c>
      <c r="G223" s="595">
        <f>'Прилож 4 24 (2)'!W219</f>
        <v>0</v>
      </c>
      <c r="H223" s="595">
        <f>'Прилож 4 24 (2)'!X209</f>
        <v>0</v>
      </c>
      <c r="I223" s="626"/>
      <c r="J223" s="595">
        <f>'Прилож 4 24 (2)'!Z209</f>
        <v>0</v>
      </c>
      <c r="K223" s="595">
        <f>'Прилож 4 24 (2)'!AA209</f>
        <v>0</v>
      </c>
      <c r="L223" s="595">
        <f>'Прилож 4 24 (2)'!AB209</f>
        <v>-12500</v>
      </c>
      <c r="M223" s="596">
        <f t="shared" si="81"/>
        <v>0</v>
      </c>
      <c r="N223" s="596">
        <f t="shared" ref="N223:Y224" si="82">N222</f>
        <v>0</v>
      </c>
      <c r="O223" s="596">
        <f t="shared" si="82"/>
        <v>0</v>
      </c>
      <c r="P223" s="596">
        <f t="shared" si="82"/>
        <v>0</v>
      </c>
      <c r="Q223" s="626"/>
      <c r="R223" s="596">
        <f t="shared" si="82"/>
        <v>0</v>
      </c>
      <c r="S223" s="596">
        <f t="shared" si="82"/>
        <v>0</v>
      </c>
      <c r="T223" s="596">
        <f t="shared" si="82"/>
        <v>0</v>
      </c>
      <c r="U223" s="596">
        <f t="shared" si="49"/>
        <v>-12500</v>
      </c>
      <c r="V223" s="595">
        <f t="shared" si="74"/>
        <v>0</v>
      </c>
      <c r="W223" s="595">
        <f t="shared" si="69"/>
        <v>0</v>
      </c>
      <c r="X223" s="595">
        <f t="shared" si="70"/>
        <v>0</v>
      </c>
      <c r="Y223" s="626">
        <f t="shared" si="82"/>
        <v>0</v>
      </c>
      <c r="Z223" s="595">
        <f t="shared" si="71"/>
        <v>0</v>
      </c>
      <c r="AA223" s="595">
        <f t="shared" si="72"/>
        <v>0</v>
      </c>
      <c r="AB223" s="595">
        <f t="shared" si="73"/>
        <v>-12500</v>
      </c>
      <c r="AC223" s="622"/>
    </row>
    <row r="224" spans="1:31" s="614" customFormat="1" ht="31.5" x14ac:dyDescent="0.2">
      <c r="A224" s="630" t="s">
        <v>950</v>
      </c>
      <c r="B224" s="631" t="s">
        <v>747</v>
      </c>
      <c r="C224" s="624"/>
      <c r="D224" s="624">
        <v>610</v>
      </c>
      <c r="E224" s="596">
        <f>L224+K224+J224+H224+G224+F224</f>
        <v>142385.88</v>
      </c>
      <c r="F224" s="595">
        <f>'Прилож 4 24 (2)'!V210</f>
        <v>0</v>
      </c>
      <c r="G224" s="595">
        <f>'Прилож 4 24 (2)'!W220</f>
        <v>0</v>
      </c>
      <c r="H224" s="595">
        <f>'Прилож 4 24 (2)'!X210</f>
        <v>142385.88</v>
      </c>
      <c r="I224" s="626"/>
      <c r="J224" s="595">
        <f>'Прилож 4 24 (2)'!Z210</f>
        <v>0</v>
      </c>
      <c r="K224" s="595">
        <f>'Прилож 4 24 (2)'!AA210</f>
        <v>0</v>
      </c>
      <c r="L224" s="595">
        <f>'Прилож 4 24 (2)'!AB210</f>
        <v>0</v>
      </c>
      <c r="M224" s="596">
        <f t="shared" si="81"/>
        <v>0</v>
      </c>
      <c r="N224" s="596">
        <f t="shared" si="82"/>
        <v>0</v>
      </c>
      <c r="O224" s="596">
        <f t="shared" si="82"/>
        <v>0</v>
      </c>
      <c r="P224" s="596"/>
      <c r="Q224" s="626"/>
      <c r="R224" s="596">
        <f t="shared" si="82"/>
        <v>0</v>
      </c>
      <c r="S224" s="596">
        <f t="shared" si="82"/>
        <v>0</v>
      </c>
      <c r="T224" s="596"/>
      <c r="U224" s="596">
        <f t="shared" si="49"/>
        <v>142385.88</v>
      </c>
      <c r="V224" s="595">
        <f t="shared" si="74"/>
        <v>0</v>
      </c>
      <c r="W224" s="595">
        <f t="shared" si="69"/>
        <v>0</v>
      </c>
      <c r="X224" s="595">
        <v>142385.88</v>
      </c>
      <c r="Y224" s="626">
        <f t="shared" si="82"/>
        <v>0</v>
      </c>
      <c r="Z224" s="595">
        <f t="shared" si="71"/>
        <v>0</v>
      </c>
      <c r="AA224" s="595">
        <f t="shared" si="72"/>
        <v>0</v>
      </c>
      <c r="AB224" s="595">
        <f t="shared" si="73"/>
        <v>0</v>
      </c>
      <c r="AC224" s="622"/>
    </row>
    <row r="225" spans="1:29" ht="33" customHeight="1" x14ac:dyDescent="0.2">
      <c r="A225" s="822" t="s">
        <v>1330</v>
      </c>
      <c r="E225" s="644">
        <f t="shared" ref="E225:U225" si="83">E11+E29-E221+E223-E224</f>
        <v>-4.7730281949043274E-9</v>
      </c>
      <c r="F225" s="644">
        <f t="shared" si="83"/>
        <v>0</v>
      </c>
      <c r="G225" s="644">
        <f t="shared" si="83"/>
        <v>2.3283064365386963E-10</v>
      </c>
      <c r="H225" s="644">
        <f t="shared" si="83"/>
        <v>-1.0477378964424133E-9</v>
      </c>
      <c r="I225" s="641">
        <f t="shared" si="83"/>
        <v>0</v>
      </c>
      <c r="J225" s="644">
        <f t="shared" si="83"/>
        <v>0</v>
      </c>
      <c r="K225" s="644">
        <f t="shared" si="83"/>
        <v>0</v>
      </c>
      <c r="L225" s="644">
        <f t="shared" si="83"/>
        <v>4.6566128730773926E-10</v>
      </c>
      <c r="M225" s="644">
        <f t="shared" si="83"/>
        <v>0</v>
      </c>
      <c r="N225" s="644">
        <f>N11+N29-N221+N223-N224</f>
        <v>0</v>
      </c>
      <c r="O225" s="644">
        <f t="shared" si="83"/>
        <v>0</v>
      </c>
      <c r="P225" s="644">
        <f t="shared" si="83"/>
        <v>0</v>
      </c>
      <c r="Q225" s="644">
        <f t="shared" si="83"/>
        <v>0</v>
      </c>
      <c r="R225" s="644">
        <f t="shared" si="83"/>
        <v>0</v>
      </c>
      <c r="S225" s="644">
        <f t="shared" si="83"/>
        <v>0</v>
      </c>
      <c r="T225" s="644">
        <f t="shared" si="83"/>
        <v>0</v>
      </c>
      <c r="U225" s="644">
        <f t="shared" si="83"/>
        <v>2.6775524020195007E-9</v>
      </c>
      <c r="V225" s="595">
        <f t="shared" si="74"/>
        <v>0</v>
      </c>
      <c r="W225" s="644">
        <f>W11+W29-W221+W223-W224</f>
        <v>2.3283064365386963E-10</v>
      </c>
      <c r="X225" s="644">
        <f>X11+X29-X221+X223-X224</f>
        <v>-1.0477378964424133E-9</v>
      </c>
      <c r="Y225" s="644">
        <f>Y11+Y29-Y221+Y223-Y224</f>
        <v>0</v>
      </c>
      <c r="Z225" s="595">
        <f t="shared" ref="Z225" si="84">R225+J225</f>
        <v>0</v>
      </c>
      <c r="AA225" s="644">
        <f>AA11+AA29-AA221+AA223-AA224</f>
        <v>0</v>
      </c>
      <c r="AB225" s="595">
        <f t="shared" ref="AB225:AB230" si="85">T225+L225</f>
        <v>4.6566128730773926E-10</v>
      </c>
      <c r="AC225" s="644"/>
    </row>
    <row r="226" spans="1:29" x14ac:dyDescent="0.2">
      <c r="A226" s="624" t="s">
        <v>1266</v>
      </c>
      <c r="B226" s="620"/>
      <c r="C226" s="620"/>
      <c r="D226" s="620"/>
      <c r="E226" s="596"/>
      <c r="F226" s="595"/>
      <c r="G226" s="595"/>
      <c r="H226" s="595"/>
      <c r="AB226" s="595">
        <f t="shared" si="85"/>
        <v>0</v>
      </c>
    </row>
    <row r="227" spans="1:29" x14ac:dyDescent="0.2">
      <c r="A227" s="624" t="s">
        <v>1268</v>
      </c>
      <c r="B227" s="620"/>
      <c r="C227" s="620"/>
      <c r="D227" s="620"/>
      <c r="E227" s="596"/>
      <c r="F227" s="595"/>
      <c r="G227" s="595"/>
      <c r="H227" s="595"/>
      <c r="AB227" s="595">
        <f t="shared" si="85"/>
        <v>0</v>
      </c>
    </row>
    <row r="228" spans="1:29" x14ac:dyDescent="0.2">
      <c r="A228" s="620" t="s">
        <v>1265</v>
      </c>
      <c r="B228" s="619" t="s">
        <v>747</v>
      </c>
      <c r="C228" s="620">
        <v>247</v>
      </c>
      <c r="D228" s="620">
        <v>223</v>
      </c>
      <c r="E228" s="596"/>
      <c r="F228" s="595"/>
      <c r="G228" s="595"/>
      <c r="H228" s="595">
        <v>97172.91</v>
      </c>
      <c r="AB228" s="595">
        <f t="shared" si="85"/>
        <v>0</v>
      </c>
    </row>
    <row r="229" spans="1:29" x14ac:dyDescent="0.2">
      <c r="A229" s="620" t="s">
        <v>1265</v>
      </c>
      <c r="B229" s="619" t="s">
        <v>729</v>
      </c>
      <c r="C229" s="620">
        <v>247</v>
      </c>
      <c r="D229" s="620">
        <v>223</v>
      </c>
      <c r="E229" s="596"/>
      <c r="F229" s="595"/>
      <c r="G229" s="595"/>
      <c r="H229" s="595">
        <v>149284.57</v>
      </c>
      <c r="AB229" s="595">
        <f t="shared" si="85"/>
        <v>0</v>
      </c>
    </row>
    <row r="230" spans="1:29" x14ac:dyDescent="0.2">
      <c r="A230" s="620"/>
      <c r="B230" s="620"/>
      <c r="C230" s="620"/>
      <c r="D230" s="620"/>
      <c r="E230" s="596"/>
      <c r="F230" s="595"/>
      <c r="G230" s="595"/>
      <c r="H230" s="595">
        <f>SUM(H228:H229)</f>
        <v>246457.48</v>
      </c>
      <c r="AB230" s="595">
        <f t="shared" si="85"/>
        <v>0</v>
      </c>
    </row>
    <row r="231" spans="1:29" x14ac:dyDescent="0.2">
      <c r="A231" s="624" t="s">
        <v>1269</v>
      </c>
      <c r="B231" s="620"/>
      <c r="C231" s="620"/>
      <c r="D231" s="620"/>
      <c r="E231" s="596"/>
      <c r="F231" s="595"/>
      <c r="G231" s="595"/>
      <c r="H231" s="595"/>
    </row>
    <row r="232" spans="1:29" x14ac:dyDescent="0.2">
      <c r="A232" s="620" t="s">
        <v>735</v>
      </c>
      <c r="B232" s="619" t="s">
        <v>747</v>
      </c>
      <c r="C232" s="620">
        <v>244</v>
      </c>
      <c r="D232" s="620">
        <v>223</v>
      </c>
      <c r="E232" s="596"/>
      <c r="F232" s="595"/>
      <c r="G232" s="595"/>
      <c r="H232" s="595">
        <v>28336.69</v>
      </c>
    </row>
    <row r="233" spans="1:29" x14ac:dyDescent="0.2">
      <c r="A233" s="620" t="s">
        <v>1267</v>
      </c>
      <c r="B233" s="619" t="s">
        <v>747</v>
      </c>
      <c r="C233" s="620">
        <v>247</v>
      </c>
      <c r="D233" s="620">
        <v>223</v>
      </c>
      <c r="E233" s="596"/>
      <c r="F233" s="595"/>
      <c r="G233" s="595"/>
      <c r="H233" s="595">
        <v>19716.62</v>
      </c>
    </row>
    <row r="234" spans="1:29" x14ac:dyDescent="0.2">
      <c r="A234" s="620" t="s">
        <v>1267</v>
      </c>
      <c r="B234" s="619" t="s">
        <v>729</v>
      </c>
      <c r="C234" s="620">
        <v>247</v>
      </c>
      <c r="D234" s="620">
        <v>223</v>
      </c>
      <c r="E234" s="596"/>
      <c r="F234" s="595"/>
      <c r="G234" s="595"/>
      <c r="H234" s="595">
        <v>105588.85</v>
      </c>
    </row>
    <row r="235" spans="1:29" x14ac:dyDescent="0.2">
      <c r="A235" s="620"/>
      <c r="B235" s="620"/>
      <c r="C235" s="620"/>
      <c r="D235" s="620"/>
      <c r="E235" s="596"/>
      <c r="F235" s="595"/>
      <c r="G235" s="595"/>
      <c r="H235" s="595">
        <f>SUM(H232:H234)</f>
        <v>153642.16</v>
      </c>
    </row>
  </sheetData>
  <mergeCells count="28">
    <mergeCell ref="A7:A10"/>
    <mergeCell ref="B7:B10"/>
    <mergeCell ref="C7:C10"/>
    <mergeCell ref="D7:D10"/>
    <mergeCell ref="E7:L7"/>
    <mergeCell ref="E8:E10"/>
    <mergeCell ref="F8:L8"/>
    <mergeCell ref="F9:H9"/>
    <mergeCell ref="I9:K9"/>
    <mergeCell ref="L9:L10"/>
    <mergeCell ref="Z1:AB1"/>
    <mergeCell ref="Z2:AB2"/>
    <mergeCell ref="A3:X3"/>
    <mergeCell ref="A4:X4"/>
    <mergeCell ref="D5:P5"/>
    <mergeCell ref="AC7:AC10"/>
    <mergeCell ref="V8:AB8"/>
    <mergeCell ref="Y9:AA9"/>
    <mergeCell ref="AB9:AB10"/>
    <mergeCell ref="M8:M10"/>
    <mergeCell ref="N8:T8"/>
    <mergeCell ref="U8:U10"/>
    <mergeCell ref="T9:T10"/>
    <mergeCell ref="N9:P9"/>
    <mergeCell ref="Q9:S9"/>
    <mergeCell ref="V9:X9"/>
    <mergeCell ref="M7:T7"/>
    <mergeCell ref="U7:AB7"/>
  </mergeCells>
  <pageMargins left="0.25" right="0.25" top="0.75" bottom="0.75" header="0.3" footer="0.3"/>
  <pageSetup paperSize="9" scale="25"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pageSetUpPr fitToPage="1"/>
  </sheetPr>
  <dimension ref="A1:Z38"/>
  <sheetViews>
    <sheetView view="pageBreakPreview" zoomScale="89" zoomScaleNormal="92" zoomScaleSheetLayoutView="89" workbookViewId="0">
      <pane xSplit="3" ySplit="5" topLeftCell="J18" activePane="bottomRight" state="frozen"/>
      <selection pane="topRight" activeCell="D1" sqref="D1"/>
      <selection pane="bottomLeft" activeCell="A6" sqref="A6"/>
      <selection pane="bottomRight" activeCell="X21" sqref="X21"/>
    </sheetView>
  </sheetViews>
  <sheetFormatPr defaultColWidth="9.140625" defaultRowHeight="15" x14ac:dyDescent="0.2"/>
  <cols>
    <col min="1" max="1" width="7.42578125" style="302" customWidth="1"/>
    <col min="2" max="2" width="30" style="302" customWidth="1"/>
    <col min="3" max="3" width="10.28515625" style="302" customWidth="1"/>
    <col min="4" max="9" width="11.7109375" style="302" customWidth="1"/>
    <col min="10" max="10" width="16.85546875" style="302" customWidth="1"/>
    <col min="11" max="11" width="17.5703125" style="302" customWidth="1"/>
    <col min="12" max="12" width="14.5703125" style="302" customWidth="1"/>
    <col min="13" max="14" width="11" style="302" customWidth="1"/>
    <col min="15" max="15" width="11" style="302" hidden="1" customWidth="1"/>
    <col min="16" max="16" width="11" style="302" customWidth="1"/>
    <col min="17" max="17" width="11" style="302" hidden="1" customWidth="1"/>
    <col min="18" max="18" width="11" style="302" customWidth="1"/>
    <col min="19" max="19" width="14.5703125" style="302" customWidth="1"/>
    <col min="20" max="20" width="14.42578125" style="302" customWidth="1"/>
    <col min="21" max="21" width="17.5703125" style="302" customWidth="1"/>
    <col min="22" max="23" width="16.5703125" style="302" customWidth="1"/>
    <col min="24" max="24" width="9.140625" style="302"/>
    <col min="25" max="25" width="16.7109375" style="302" hidden="1" customWidth="1"/>
    <col min="26" max="26" width="19.42578125" style="302" hidden="1" customWidth="1"/>
    <col min="27" max="16384" width="9.140625" style="302"/>
  </cols>
  <sheetData>
    <row r="1" spans="1:26" ht="24" customHeight="1" thickBot="1" x14ac:dyDescent="0.25">
      <c r="A1" s="1646" t="s">
        <v>1179</v>
      </c>
      <c r="B1" s="1646"/>
      <c r="C1" s="1646"/>
      <c r="D1" s="1646"/>
      <c r="E1" s="1646"/>
      <c r="F1" s="1646"/>
      <c r="G1" s="1646"/>
      <c r="H1" s="1646"/>
      <c r="I1" s="1646"/>
      <c r="J1" s="1646"/>
      <c r="K1" s="1646"/>
      <c r="L1" s="1646"/>
      <c r="M1" s="1647"/>
      <c r="N1" s="1647"/>
      <c r="O1" s="1647"/>
      <c r="P1" s="1647"/>
      <c r="Q1" s="1647"/>
      <c r="R1" s="1647"/>
      <c r="S1" s="1646"/>
      <c r="T1" s="1646"/>
      <c r="U1" s="1646"/>
      <c r="V1" s="1646"/>
      <c r="W1" s="301"/>
    </row>
    <row r="2" spans="1:26" ht="52.5" customHeight="1" x14ac:dyDescent="0.2">
      <c r="A2" s="1714" t="s">
        <v>794</v>
      </c>
      <c r="B2" s="1715"/>
      <c r="C2" s="1718" t="s">
        <v>795</v>
      </c>
      <c r="D2" s="1721" t="s">
        <v>796</v>
      </c>
      <c r="E2" s="1724" t="s">
        <v>797</v>
      </c>
      <c r="F2" s="1725"/>
      <c r="G2" s="1725"/>
      <c r="H2" s="1725"/>
      <c r="I2" s="1726"/>
      <c r="J2" s="1727" t="s">
        <v>872</v>
      </c>
      <c r="K2" s="1727" t="s">
        <v>849</v>
      </c>
      <c r="L2" s="1727" t="s">
        <v>800</v>
      </c>
      <c r="M2" s="1730" t="s">
        <v>801</v>
      </c>
      <c r="N2" s="1730"/>
      <c r="O2" s="1730"/>
      <c r="P2" s="1730"/>
      <c r="Q2" s="1730"/>
      <c r="R2" s="1730"/>
      <c r="S2" s="1731" t="s">
        <v>802</v>
      </c>
      <c r="T2" s="1735" t="s">
        <v>873</v>
      </c>
      <c r="U2" s="1727" t="s">
        <v>804</v>
      </c>
      <c r="V2" s="1727" t="s">
        <v>805</v>
      </c>
      <c r="W2" s="1727" t="s">
        <v>806</v>
      </c>
    </row>
    <row r="3" spans="1:26" ht="62.25" customHeight="1" x14ac:dyDescent="0.2">
      <c r="A3" s="1716"/>
      <c r="B3" s="1717"/>
      <c r="C3" s="1719"/>
      <c r="D3" s="1722"/>
      <c r="E3" s="1736" t="s">
        <v>807</v>
      </c>
      <c r="F3" s="1737"/>
      <c r="G3" s="1738" t="s">
        <v>808</v>
      </c>
      <c r="H3" s="1736" t="s">
        <v>809</v>
      </c>
      <c r="I3" s="1737"/>
      <c r="J3" s="1719"/>
      <c r="K3" s="1728"/>
      <c r="L3" s="1728"/>
      <c r="M3" s="1740" t="s">
        <v>850</v>
      </c>
      <c r="N3" s="1740" t="s">
        <v>851</v>
      </c>
      <c r="O3" s="1740" t="s">
        <v>812</v>
      </c>
      <c r="P3" s="1741" t="s">
        <v>852</v>
      </c>
      <c r="Q3" s="1741"/>
      <c r="R3" s="1741" t="s">
        <v>189</v>
      </c>
      <c r="S3" s="1732"/>
      <c r="T3" s="1722"/>
      <c r="U3" s="1719"/>
      <c r="V3" s="1719"/>
      <c r="W3" s="1719"/>
    </row>
    <row r="4" spans="1:26" ht="115.5" customHeight="1" x14ac:dyDescent="0.2">
      <c r="A4" s="1716"/>
      <c r="B4" s="1717"/>
      <c r="C4" s="1720"/>
      <c r="D4" s="1723"/>
      <c r="E4" s="304" t="s">
        <v>814</v>
      </c>
      <c r="F4" s="304" t="s">
        <v>815</v>
      </c>
      <c r="G4" s="1739"/>
      <c r="H4" s="304" t="s">
        <v>816</v>
      </c>
      <c r="I4" s="304" t="s">
        <v>817</v>
      </c>
      <c r="J4" s="1720"/>
      <c r="K4" s="1729"/>
      <c r="L4" s="1729"/>
      <c r="M4" s="1740"/>
      <c r="N4" s="1740"/>
      <c r="O4" s="1740"/>
      <c r="P4" s="1742"/>
      <c r="Q4" s="1742"/>
      <c r="R4" s="1742"/>
      <c r="S4" s="1733"/>
      <c r="T4" s="1723"/>
      <c r="U4" s="1720"/>
      <c r="V4" s="1720"/>
      <c r="W4" s="1720"/>
    </row>
    <row r="5" spans="1:26" x14ac:dyDescent="0.2">
      <c r="A5" s="1743">
        <v>1</v>
      </c>
      <c r="B5" s="1744"/>
      <c r="C5" s="305">
        <v>2</v>
      </c>
      <c r="D5" s="305">
        <v>3</v>
      </c>
      <c r="E5" s="305">
        <v>4</v>
      </c>
      <c r="F5" s="305">
        <v>5</v>
      </c>
      <c r="G5" s="305">
        <v>6</v>
      </c>
      <c r="H5" s="305">
        <v>7</v>
      </c>
      <c r="I5" s="305">
        <v>8</v>
      </c>
      <c r="J5" s="305">
        <v>9</v>
      </c>
      <c r="K5" s="305">
        <v>10</v>
      </c>
      <c r="L5" s="305">
        <v>11</v>
      </c>
      <c r="M5" s="305">
        <v>12</v>
      </c>
      <c r="N5" s="305">
        <v>13</v>
      </c>
      <c r="O5" s="305">
        <v>13</v>
      </c>
      <c r="P5" s="305">
        <v>14</v>
      </c>
      <c r="Q5" s="305">
        <v>15</v>
      </c>
      <c r="R5" s="305">
        <v>15</v>
      </c>
      <c r="S5" s="305">
        <v>16</v>
      </c>
      <c r="T5" s="305">
        <v>17</v>
      </c>
      <c r="U5" s="305">
        <v>18</v>
      </c>
      <c r="V5" s="305">
        <v>19</v>
      </c>
      <c r="W5" s="305">
        <v>19</v>
      </c>
    </row>
    <row r="6" spans="1:26" ht="14.25" customHeight="1" x14ac:dyDescent="0.2">
      <c r="A6" s="1734" t="s">
        <v>202</v>
      </c>
      <c r="B6" s="1734"/>
      <c r="C6" s="303">
        <v>1</v>
      </c>
      <c r="D6" s="303"/>
      <c r="E6" s="303"/>
      <c r="F6" s="303"/>
      <c r="G6" s="303"/>
      <c r="H6" s="303"/>
      <c r="I6" s="303"/>
      <c r="J6" s="306">
        <v>58174.87</v>
      </c>
      <c r="K6" s="306"/>
      <c r="L6" s="306">
        <f>J6</f>
        <v>58174.87</v>
      </c>
      <c r="M6" s="306"/>
      <c r="N6" s="306"/>
      <c r="O6" s="306"/>
      <c r="P6" s="306"/>
      <c r="Q6" s="306"/>
      <c r="R6" s="306">
        <f>M6+N6+O6+P6+Q6</f>
        <v>0</v>
      </c>
      <c r="S6" s="306">
        <f>L6+R6</f>
        <v>58174.87</v>
      </c>
      <c r="T6" s="306">
        <f>L6*22%</f>
        <v>12798.4714</v>
      </c>
      <c r="U6" s="306">
        <f>S6+T6</f>
        <v>70973.341400000005</v>
      </c>
      <c r="V6" s="306">
        <f>U6*12</f>
        <v>851680.09680000006</v>
      </c>
      <c r="W6" s="306">
        <f>V6*30.2%</f>
        <v>257207.3892336</v>
      </c>
      <c r="Y6" s="302" t="s">
        <v>818</v>
      </c>
      <c r="Z6" s="307">
        <f>U6</f>
        <v>70973.341400000005</v>
      </c>
    </row>
    <row r="7" spans="1:26" ht="14.25" customHeight="1" x14ac:dyDescent="0.2">
      <c r="A7" s="1734" t="s">
        <v>853</v>
      </c>
      <c r="B7" s="1734"/>
      <c r="C7" s="303">
        <v>1</v>
      </c>
      <c r="D7" s="303"/>
      <c r="E7" s="303"/>
      <c r="F7" s="303"/>
      <c r="G7" s="303"/>
      <c r="H7" s="303"/>
      <c r="I7" s="303"/>
      <c r="J7" s="306">
        <v>45528.160000000003</v>
      </c>
      <c r="K7" s="306"/>
      <c r="L7" s="306">
        <f t="shared" ref="L7:L27" si="0">J7</f>
        <v>45528.160000000003</v>
      </c>
      <c r="M7" s="306"/>
      <c r="N7" s="306"/>
      <c r="O7" s="306"/>
      <c r="P7" s="306"/>
      <c r="Q7" s="306"/>
      <c r="R7" s="306">
        <f t="shared" ref="R7:R27" si="1">M7+N7+O7+P7+Q7</f>
        <v>0</v>
      </c>
      <c r="S7" s="306">
        <f t="shared" ref="S7:S27" si="2">L7+R7</f>
        <v>45528.160000000003</v>
      </c>
      <c r="T7" s="306">
        <f t="shared" ref="T7:T27" si="3">L7*22%</f>
        <v>10016.1952</v>
      </c>
      <c r="U7" s="306">
        <f t="shared" ref="U7:U24" si="4">S7+T7</f>
        <v>55544.355200000005</v>
      </c>
      <c r="V7" s="306">
        <f t="shared" ref="V7:V27" si="5">U7*12</f>
        <v>666532.26240000012</v>
      </c>
      <c r="W7" s="306">
        <f t="shared" ref="W7:W27" si="6">V7*30.2%</f>
        <v>201292.74324480002</v>
      </c>
      <c r="Y7" s="307" t="s">
        <v>854</v>
      </c>
      <c r="Z7" s="307" t="e">
        <f>U7+U8+#REF!+U9+U10+#REF!</f>
        <v>#REF!</v>
      </c>
    </row>
    <row r="8" spans="1:26" ht="14.25" customHeight="1" x14ac:dyDescent="0.2">
      <c r="A8" s="1734" t="s">
        <v>855</v>
      </c>
      <c r="B8" s="1734"/>
      <c r="C8" s="303">
        <v>0.5</v>
      </c>
      <c r="D8" s="303"/>
      <c r="E8" s="303"/>
      <c r="F8" s="303"/>
      <c r="G8" s="303"/>
      <c r="H8" s="303"/>
      <c r="I8" s="303"/>
      <c r="J8" s="306">
        <f>45528.16*0.5</f>
        <v>22764.080000000002</v>
      </c>
      <c r="K8" s="306"/>
      <c r="L8" s="306">
        <f t="shared" si="0"/>
        <v>22764.080000000002</v>
      </c>
      <c r="M8" s="306"/>
      <c r="N8" s="306"/>
      <c r="O8" s="306"/>
      <c r="P8" s="306"/>
      <c r="Q8" s="306"/>
      <c r="R8" s="306">
        <f t="shared" si="1"/>
        <v>0</v>
      </c>
      <c r="S8" s="306">
        <f t="shared" si="2"/>
        <v>22764.080000000002</v>
      </c>
      <c r="T8" s="306">
        <f t="shared" si="3"/>
        <v>5008.0976000000001</v>
      </c>
      <c r="U8" s="306">
        <f t="shared" si="4"/>
        <v>27772.177600000003</v>
      </c>
      <c r="V8" s="306">
        <f t="shared" si="5"/>
        <v>333266.13120000006</v>
      </c>
      <c r="W8" s="306">
        <f t="shared" si="6"/>
        <v>100646.37162240001</v>
      </c>
      <c r="Y8" s="302" t="s">
        <v>856</v>
      </c>
      <c r="Z8" s="307" t="e">
        <f>U12+U13+#REF!+U14+U15+U18+#REF!+#REF!+U16+#REF!</f>
        <v>#REF!</v>
      </c>
    </row>
    <row r="9" spans="1:26" ht="14.25" customHeight="1" x14ac:dyDescent="0.2">
      <c r="A9" s="1734" t="s">
        <v>857</v>
      </c>
      <c r="B9" s="1734"/>
      <c r="C9" s="303">
        <v>0.25</v>
      </c>
      <c r="D9" s="303"/>
      <c r="E9" s="303"/>
      <c r="F9" s="303"/>
      <c r="G9" s="303"/>
      <c r="H9" s="303"/>
      <c r="I9" s="303"/>
      <c r="J9" s="306">
        <f>45528.16*0.25</f>
        <v>11382.04</v>
      </c>
      <c r="K9" s="306"/>
      <c r="L9" s="306">
        <f t="shared" si="0"/>
        <v>11382.04</v>
      </c>
      <c r="M9" s="306"/>
      <c r="N9" s="306"/>
      <c r="O9" s="306"/>
      <c r="P9" s="306"/>
      <c r="Q9" s="306"/>
      <c r="R9" s="306">
        <f t="shared" si="1"/>
        <v>0</v>
      </c>
      <c r="S9" s="306">
        <f t="shared" si="2"/>
        <v>11382.04</v>
      </c>
      <c r="T9" s="306">
        <f t="shared" si="3"/>
        <v>2504.0488</v>
      </c>
      <c r="U9" s="306">
        <f t="shared" si="4"/>
        <v>13886.088800000001</v>
      </c>
      <c r="V9" s="306">
        <f t="shared" si="5"/>
        <v>166633.06560000003</v>
      </c>
      <c r="W9" s="306">
        <f t="shared" si="6"/>
        <v>50323.185811200005</v>
      </c>
      <c r="Y9" s="302" t="s">
        <v>819</v>
      </c>
      <c r="Z9" s="307" t="e">
        <f>#REF!+U21+U27+U23+#REF!+U25+U26+U22</f>
        <v>#REF!</v>
      </c>
    </row>
    <row r="10" spans="1:26" ht="14.25" customHeight="1" x14ac:dyDescent="0.2">
      <c r="A10" s="1734" t="s">
        <v>564</v>
      </c>
      <c r="B10" s="1734"/>
      <c r="C10" s="303">
        <v>0.5</v>
      </c>
      <c r="D10" s="303"/>
      <c r="E10" s="303"/>
      <c r="F10" s="303"/>
      <c r="G10" s="303"/>
      <c r="H10" s="303"/>
      <c r="I10" s="303"/>
      <c r="J10" s="306">
        <f>45528.16*0.5</f>
        <v>22764.080000000002</v>
      </c>
      <c r="K10" s="306"/>
      <c r="L10" s="306">
        <f>J10</f>
        <v>22764.080000000002</v>
      </c>
      <c r="M10" s="306"/>
      <c r="N10" s="306"/>
      <c r="O10" s="306"/>
      <c r="P10" s="306"/>
      <c r="Q10" s="306"/>
      <c r="R10" s="306">
        <f>M10+N10+O10+P10+Q10</f>
        <v>0</v>
      </c>
      <c r="S10" s="306">
        <f>L10+R10</f>
        <v>22764.080000000002</v>
      </c>
      <c r="T10" s="306">
        <f t="shared" si="3"/>
        <v>5008.0976000000001</v>
      </c>
      <c r="U10" s="306">
        <f>S10+T10</f>
        <v>27772.177600000003</v>
      </c>
      <c r="V10" s="306">
        <f t="shared" si="5"/>
        <v>333266.13120000006</v>
      </c>
      <c r="W10" s="306">
        <f t="shared" si="6"/>
        <v>100646.37162240001</v>
      </c>
      <c r="Y10" s="302" t="s">
        <v>838</v>
      </c>
      <c r="Z10" s="307" t="e">
        <f>Z6+Z7+Z8+Z9</f>
        <v>#REF!</v>
      </c>
    </row>
    <row r="11" spans="1:26" ht="18.75" customHeight="1" x14ac:dyDescent="0.2">
      <c r="A11" s="1734" t="s">
        <v>859</v>
      </c>
      <c r="B11" s="1734"/>
      <c r="C11" s="303">
        <v>0.5</v>
      </c>
      <c r="D11" s="303">
        <v>12265</v>
      </c>
      <c r="E11" s="303">
        <v>1.8</v>
      </c>
      <c r="F11" s="303"/>
      <c r="G11" s="303"/>
      <c r="H11" s="303"/>
      <c r="I11" s="303"/>
      <c r="J11" s="306">
        <f>ROUND(D11*E11*C11,2)</f>
        <v>11038.5</v>
      </c>
      <c r="K11" s="306"/>
      <c r="L11" s="306">
        <f t="shared" ref="L11" si="7">J11</f>
        <v>11038.5</v>
      </c>
      <c r="M11" s="306"/>
      <c r="N11" s="306"/>
      <c r="O11" s="306"/>
      <c r="P11" s="306"/>
      <c r="Q11" s="306"/>
      <c r="R11" s="306">
        <f t="shared" ref="R11" si="8">M11+N11+O11+P11+Q11</f>
        <v>0</v>
      </c>
      <c r="S11" s="306">
        <f t="shared" ref="S11" si="9">L11+R11</f>
        <v>11038.5</v>
      </c>
      <c r="T11" s="306">
        <f t="shared" si="3"/>
        <v>2428.4699999999998</v>
      </c>
      <c r="U11" s="306">
        <f t="shared" ref="U11" si="10">S11+T11</f>
        <v>13466.97</v>
      </c>
      <c r="V11" s="306">
        <f t="shared" si="5"/>
        <v>161603.63999999998</v>
      </c>
      <c r="W11" s="306">
        <f t="shared" si="6"/>
        <v>48804.299279999992</v>
      </c>
      <c r="Y11" s="302" t="s">
        <v>856</v>
      </c>
      <c r="Z11" s="307" t="e">
        <f>U15+U18+#REF!+U16+U24+#REF!+#REF!+#REF!+U21+#REF!</f>
        <v>#REF!</v>
      </c>
    </row>
    <row r="12" spans="1:26" ht="14.25" customHeight="1" x14ac:dyDescent="0.2">
      <c r="A12" s="1746" t="s">
        <v>860</v>
      </c>
      <c r="B12" s="1747"/>
      <c r="C12" s="303">
        <v>5.37</v>
      </c>
      <c r="D12" s="303">
        <v>12265</v>
      </c>
      <c r="E12" s="303">
        <v>1.7</v>
      </c>
      <c r="F12" s="303"/>
      <c r="G12" s="303"/>
      <c r="H12" s="303"/>
      <c r="I12" s="308"/>
      <c r="J12" s="306">
        <f>ROUND(D12*E12*C12,2)</f>
        <v>111967.19</v>
      </c>
      <c r="K12" s="306">
        <v>4207.97</v>
      </c>
      <c r="L12" s="306">
        <f>J12+K12</f>
        <v>116175.16</v>
      </c>
      <c r="M12" s="306">
        <v>9236.23</v>
      </c>
      <c r="N12" s="306">
        <v>18571.43</v>
      </c>
      <c r="O12" s="306"/>
      <c r="P12" s="306"/>
      <c r="Q12" s="306"/>
      <c r="R12" s="306">
        <f>M12+N12</f>
        <v>27807.66</v>
      </c>
      <c r="S12" s="306">
        <f>L12+R12</f>
        <v>143982.82</v>
      </c>
      <c r="T12" s="306">
        <f t="shared" si="3"/>
        <v>25558.535200000002</v>
      </c>
      <c r="U12" s="306">
        <f>S12+T12-136.12</f>
        <v>169405.23520000002</v>
      </c>
      <c r="V12" s="306">
        <f t="shared" si="5"/>
        <v>2032862.8224000004</v>
      </c>
      <c r="W12" s="306">
        <f t="shared" si="6"/>
        <v>613924.57236480014</v>
      </c>
      <c r="Y12" s="307"/>
    </row>
    <row r="13" spans="1:26" ht="14.25" customHeight="1" x14ac:dyDescent="0.2">
      <c r="A13" s="1746" t="s">
        <v>861</v>
      </c>
      <c r="B13" s="1747"/>
      <c r="C13" s="303">
        <v>18.690000000000001</v>
      </c>
      <c r="D13" s="303">
        <v>12265</v>
      </c>
      <c r="E13" s="303"/>
      <c r="F13" s="303">
        <v>2</v>
      </c>
      <c r="G13" s="303"/>
      <c r="H13" s="303"/>
      <c r="I13" s="303"/>
      <c r="J13" s="306">
        <f>ROUND(C13*D13*F13,2)</f>
        <v>458465.7</v>
      </c>
      <c r="K13" s="306">
        <f>651.39+4299.16+11790.14+7035+11818.8+7717.65+8207.5+7425.83+3413.28+1302.78+3517.5-3000</f>
        <v>64179.03</v>
      </c>
      <c r="L13" s="306">
        <f>J13+K13</f>
        <v>522644.73</v>
      </c>
      <c r="M13" s="306">
        <v>19482.849999999999</v>
      </c>
      <c r="N13" s="306">
        <v>46071.43</v>
      </c>
      <c r="O13" s="306"/>
      <c r="P13" s="306">
        <v>0</v>
      </c>
      <c r="Q13" s="306"/>
      <c r="R13" s="306">
        <f>M13+N13</f>
        <v>65554.28</v>
      </c>
      <c r="S13" s="306">
        <f>L13+R13</f>
        <v>588199.01</v>
      </c>
      <c r="T13" s="306">
        <f t="shared" si="3"/>
        <v>114981.8406</v>
      </c>
      <c r="U13" s="306">
        <f t="shared" si="4"/>
        <v>703180.85060000001</v>
      </c>
      <c r="V13" s="306">
        <f t="shared" si="5"/>
        <v>8438170.2072000001</v>
      </c>
      <c r="W13" s="306">
        <f t="shared" si="6"/>
        <v>2548327.4025744</v>
      </c>
      <c r="Y13" s="307" t="e">
        <f>J12+J13+#REF!</f>
        <v>#REF!</v>
      </c>
      <c r="Z13" s="302" t="e">
        <f>Y13*1%</f>
        <v>#REF!</v>
      </c>
    </row>
    <row r="14" spans="1:26" ht="14.25" customHeight="1" x14ac:dyDescent="0.2">
      <c r="A14" s="1734" t="s">
        <v>862</v>
      </c>
      <c r="B14" s="1734"/>
      <c r="C14" s="303">
        <v>0.33</v>
      </c>
      <c r="D14" s="303">
        <v>12265</v>
      </c>
      <c r="E14" s="312"/>
      <c r="F14" s="303">
        <v>1.9</v>
      </c>
      <c r="G14" s="312"/>
      <c r="H14" s="312"/>
      <c r="I14" s="312"/>
      <c r="J14" s="306">
        <f>ROUND(C14*D14*F14,2)</f>
        <v>7690.16</v>
      </c>
      <c r="K14" s="306"/>
      <c r="L14" s="306">
        <f t="shared" si="0"/>
        <v>7690.16</v>
      </c>
      <c r="M14" s="313"/>
      <c r="N14" s="306"/>
      <c r="O14" s="306"/>
      <c r="P14" s="306"/>
      <c r="Q14" s="306"/>
      <c r="R14" s="306">
        <f t="shared" si="1"/>
        <v>0</v>
      </c>
      <c r="S14" s="306">
        <f t="shared" si="2"/>
        <v>7690.16</v>
      </c>
      <c r="T14" s="306">
        <f t="shared" si="3"/>
        <v>1691.8352</v>
      </c>
      <c r="U14" s="306">
        <f t="shared" si="4"/>
        <v>9381.9951999999994</v>
      </c>
      <c r="V14" s="306">
        <f t="shared" si="5"/>
        <v>112583.9424</v>
      </c>
      <c r="W14" s="306">
        <f t="shared" si="6"/>
        <v>34000.350604799998</v>
      </c>
    </row>
    <row r="15" spans="1:26" s="299" customFormat="1" ht="14.25" customHeight="1" x14ac:dyDescent="0.2">
      <c r="A15" s="1734" t="s">
        <v>863</v>
      </c>
      <c r="B15" s="1734"/>
      <c r="C15" s="303">
        <v>0.33</v>
      </c>
      <c r="D15" s="303">
        <v>12265</v>
      </c>
      <c r="E15" s="303"/>
      <c r="F15" s="303">
        <v>1.8</v>
      </c>
      <c r="G15" s="303"/>
      <c r="H15" s="303"/>
      <c r="I15" s="303"/>
      <c r="J15" s="306">
        <f>ROUND(C15*D15*F15,2)</f>
        <v>7285.41</v>
      </c>
      <c r="K15" s="306"/>
      <c r="L15" s="306">
        <f t="shared" si="0"/>
        <v>7285.41</v>
      </c>
      <c r="M15" s="313"/>
      <c r="N15" s="306"/>
      <c r="O15" s="306"/>
      <c r="P15" s="306"/>
      <c r="Q15" s="306"/>
      <c r="R15" s="306">
        <f t="shared" si="1"/>
        <v>0</v>
      </c>
      <c r="S15" s="306">
        <f t="shared" si="2"/>
        <v>7285.41</v>
      </c>
      <c r="T15" s="306">
        <f t="shared" si="3"/>
        <v>1602.7901999999999</v>
      </c>
      <c r="U15" s="306">
        <f t="shared" si="4"/>
        <v>8888.2001999999993</v>
      </c>
      <c r="V15" s="306">
        <f t="shared" si="5"/>
        <v>106658.40239999999</v>
      </c>
      <c r="W15" s="306">
        <f t="shared" si="6"/>
        <v>32210.837524799997</v>
      </c>
    </row>
    <row r="16" spans="1:26" s="299" customFormat="1" ht="14.25" customHeight="1" x14ac:dyDescent="0.2">
      <c r="A16" s="1734" t="s">
        <v>864</v>
      </c>
      <c r="B16" s="1734"/>
      <c r="C16" s="303">
        <v>0.33</v>
      </c>
      <c r="D16" s="303">
        <v>12265</v>
      </c>
      <c r="E16" s="303"/>
      <c r="F16" s="303">
        <v>1.75</v>
      </c>
      <c r="G16" s="303"/>
      <c r="H16" s="303"/>
      <c r="I16" s="303"/>
      <c r="J16" s="306">
        <f>ROUND(C16*D16*F16,2)</f>
        <v>7083.04</v>
      </c>
      <c r="K16" s="306"/>
      <c r="L16" s="306">
        <f>J16</f>
        <v>7083.04</v>
      </c>
      <c r="M16" s="306"/>
      <c r="N16" s="306"/>
      <c r="O16" s="306"/>
      <c r="P16" s="306"/>
      <c r="Q16" s="306"/>
      <c r="R16" s="306">
        <f>M16+N16+O16+P16+Q16</f>
        <v>0</v>
      </c>
      <c r="S16" s="306">
        <f>L16+R16</f>
        <v>7083.04</v>
      </c>
      <c r="T16" s="306">
        <f t="shared" si="3"/>
        <v>1558.2688000000001</v>
      </c>
      <c r="U16" s="306">
        <f>S16+T16</f>
        <v>8641.3088000000007</v>
      </c>
      <c r="V16" s="306">
        <f t="shared" si="5"/>
        <v>103695.70560000002</v>
      </c>
      <c r="W16" s="306">
        <f t="shared" si="6"/>
        <v>31316.103091200002</v>
      </c>
    </row>
    <row r="17" spans="1:23" s="299" customFormat="1" ht="14.25" customHeight="1" x14ac:dyDescent="0.2">
      <c r="A17" s="1734" t="s">
        <v>865</v>
      </c>
      <c r="B17" s="1734"/>
      <c r="C17" s="303">
        <v>1.39</v>
      </c>
      <c r="D17" s="303">
        <v>12265</v>
      </c>
      <c r="E17" s="303">
        <v>1.5</v>
      </c>
      <c r="F17" s="303"/>
      <c r="G17" s="303"/>
      <c r="H17" s="303"/>
      <c r="I17" s="303"/>
      <c r="J17" s="306">
        <f>ROUND(C17*D17*E17,2)</f>
        <v>25572.53</v>
      </c>
      <c r="K17" s="306"/>
      <c r="L17" s="306">
        <f t="shared" ref="L17" si="11">J17</f>
        <v>25572.53</v>
      </c>
      <c r="M17" s="306"/>
      <c r="N17" s="306"/>
      <c r="O17" s="306"/>
      <c r="P17" s="306"/>
      <c r="Q17" s="306"/>
      <c r="R17" s="306">
        <f t="shared" ref="R17" si="12">M17+N17+O17+P17+Q17</f>
        <v>0</v>
      </c>
      <c r="S17" s="306">
        <f t="shared" ref="S17" si="13">L17+R17</f>
        <v>25572.53</v>
      </c>
      <c r="T17" s="306">
        <f t="shared" si="3"/>
        <v>5625.9565999999995</v>
      </c>
      <c r="U17" s="306">
        <f t="shared" ref="U17" si="14">S17+T17</f>
        <v>31198.486599999997</v>
      </c>
      <c r="V17" s="306">
        <f t="shared" si="5"/>
        <v>374381.83919999993</v>
      </c>
      <c r="W17" s="306">
        <f t="shared" si="6"/>
        <v>113063.31543839998</v>
      </c>
    </row>
    <row r="18" spans="1:23" s="299" customFormat="1" ht="14.25" customHeight="1" x14ac:dyDescent="0.2">
      <c r="A18" s="1734" t="s">
        <v>866</v>
      </c>
      <c r="B18" s="1734"/>
      <c r="C18" s="303">
        <v>2.61</v>
      </c>
      <c r="D18" s="303">
        <v>12265</v>
      </c>
      <c r="E18" s="303"/>
      <c r="F18" s="303">
        <v>1.8</v>
      </c>
      <c r="G18" s="303"/>
      <c r="H18" s="303"/>
      <c r="I18" s="303"/>
      <c r="J18" s="306">
        <f>ROUND(C18*D18*F18,2)</f>
        <v>57620.97</v>
      </c>
      <c r="K18" s="306"/>
      <c r="L18" s="306">
        <f t="shared" si="0"/>
        <v>57620.97</v>
      </c>
      <c r="M18" s="306"/>
      <c r="N18" s="306"/>
      <c r="O18" s="306"/>
      <c r="P18" s="306"/>
      <c r="Q18" s="306"/>
      <c r="R18" s="306">
        <f t="shared" si="1"/>
        <v>0</v>
      </c>
      <c r="S18" s="306">
        <f t="shared" si="2"/>
        <v>57620.97</v>
      </c>
      <c r="T18" s="306">
        <f t="shared" si="3"/>
        <v>12676.6134</v>
      </c>
      <c r="U18" s="306">
        <f t="shared" si="4"/>
        <v>70297.583400000003</v>
      </c>
      <c r="V18" s="306">
        <f t="shared" si="5"/>
        <v>843571.00080000004</v>
      </c>
      <c r="W18" s="306">
        <f t="shared" si="6"/>
        <v>254758.44224160002</v>
      </c>
    </row>
    <row r="19" spans="1:23" s="299" customFormat="1" ht="14.25" customHeight="1" x14ac:dyDescent="0.2">
      <c r="A19" s="1734" t="s">
        <v>822</v>
      </c>
      <c r="B19" s="1734"/>
      <c r="C19" s="303"/>
      <c r="D19" s="303">
        <v>12265</v>
      </c>
      <c r="E19" s="303"/>
      <c r="F19" s="303">
        <v>1.9</v>
      </c>
      <c r="G19" s="303"/>
      <c r="H19" s="303"/>
      <c r="I19" s="303"/>
      <c r="J19" s="306">
        <f>ROUND(C19*D19*F19,2)</f>
        <v>0</v>
      </c>
      <c r="K19" s="306"/>
      <c r="L19" s="306">
        <f t="shared" si="0"/>
        <v>0</v>
      </c>
      <c r="M19" s="306"/>
      <c r="N19" s="306"/>
      <c r="O19" s="306"/>
      <c r="P19" s="306"/>
      <c r="Q19" s="306"/>
      <c r="R19" s="306">
        <f t="shared" si="1"/>
        <v>0</v>
      </c>
      <c r="S19" s="306">
        <f t="shared" si="2"/>
        <v>0</v>
      </c>
      <c r="T19" s="306">
        <f t="shared" si="3"/>
        <v>0</v>
      </c>
      <c r="U19" s="306">
        <f t="shared" si="4"/>
        <v>0</v>
      </c>
      <c r="V19" s="306">
        <f t="shared" si="5"/>
        <v>0</v>
      </c>
      <c r="W19" s="306">
        <f t="shared" si="6"/>
        <v>0</v>
      </c>
    </row>
    <row r="20" spans="1:23" s="299" customFormat="1" ht="14.25" customHeight="1" x14ac:dyDescent="0.2">
      <c r="A20" s="1734" t="s">
        <v>821</v>
      </c>
      <c r="B20" s="1734"/>
      <c r="C20" s="303"/>
      <c r="D20" s="303">
        <v>12265</v>
      </c>
      <c r="E20" s="303">
        <v>1.6</v>
      </c>
      <c r="F20" s="303"/>
      <c r="G20" s="303"/>
      <c r="H20" s="303"/>
      <c r="I20" s="303"/>
      <c r="J20" s="306">
        <f>ROUND(C20*D20*E20,2)</f>
        <v>0</v>
      </c>
      <c r="K20" s="306"/>
      <c r="L20" s="306">
        <f t="shared" si="0"/>
        <v>0</v>
      </c>
      <c r="M20" s="306"/>
      <c r="N20" s="306"/>
      <c r="O20" s="306"/>
      <c r="P20" s="306"/>
      <c r="Q20" s="306"/>
      <c r="R20" s="306">
        <f t="shared" si="1"/>
        <v>0</v>
      </c>
      <c r="S20" s="306">
        <f t="shared" si="2"/>
        <v>0</v>
      </c>
      <c r="T20" s="306">
        <f t="shared" si="3"/>
        <v>0</v>
      </c>
      <c r="U20" s="306">
        <f t="shared" si="4"/>
        <v>0</v>
      </c>
      <c r="V20" s="306">
        <f t="shared" si="5"/>
        <v>0</v>
      </c>
      <c r="W20" s="306">
        <f t="shared" si="6"/>
        <v>0</v>
      </c>
    </row>
    <row r="21" spans="1:23" s="299" customFormat="1" ht="14.25" customHeight="1" x14ac:dyDescent="0.2">
      <c r="A21" s="1734" t="s">
        <v>867</v>
      </c>
      <c r="B21" s="1734"/>
      <c r="C21" s="303">
        <v>0.25</v>
      </c>
      <c r="D21" s="303">
        <v>12265</v>
      </c>
      <c r="E21" s="303"/>
      <c r="F21" s="303"/>
      <c r="G21" s="303">
        <v>1.3</v>
      </c>
      <c r="H21" s="303"/>
      <c r="I21" s="303"/>
      <c r="J21" s="306">
        <f>ROUND(D21*G21*C21,2)</f>
        <v>3986.13</v>
      </c>
      <c r="K21" s="306"/>
      <c r="L21" s="306">
        <f>J21</f>
        <v>3986.13</v>
      </c>
      <c r="M21" s="306"/>
      <c r="N21" s="306"/>
      <c r="O21" s="306"/>
      <c r="P21" s="306"/>
      <c r="Q21" s="306"/>
      <c r="R21" s="306">
        <f>M21+N21+O21+P21+Q21</f>
        <v>0</v>
      </c>
      <c r="S21" s="306">
        <f>L21+R21</f>
        <v>3986.13</v>
      </c>
      <c r="T21" s="306">
        <f t="shared" si="3"/>
        <v>876.94860000000006</v>
      </c>
      <c r="U21" s="306">
        <f>S21+T21</f>
        <v>4863.0785999999998</v>
      </c>
      <c r="V21" s="306">
        <f t="shared" si="5"/>
        <v>58356.943199999994</v>
      </c>
      <c r="W21" s="306">
        <f t="shared" si="6"/>
        <v>17623.796846399997</v>
      </c>
    </row>
    <row r="22" spans="1:23" s="299" customFormat="1" ht="14.25" customHeight="1" x14ac:dyDescent="0.2">
      <c r="A22" s="1734" t="s">
        <v>868</v>
      </c>
      <c r="B22" s="1734"/>
      <c r="C22" s="303">
        <v>0.5</v>
      </c>
      <c r="D22" s="303">
        <v>12265</v>
      </c>
      <c r="E22" s="303"/>
      <c r="F22" s="303"/>
      <c r="G22" s="303"/>
      <c r="H22" s="303"/>
      <c r="I22" s="303">
        <v>1.2</v>
      </c>
      <c r="J22" s="306">
        <f>ROUND(D22*I22*C22,2)</f>
        <v>7359</v>
      </c>
      <c r="K22" s="306"/>
      <c r="L22" s="306">
        <f>J22</f>
        <v>7359</v>
      </c>
      <c r="M22" s="306"/>
      <c r="N22" s="306"/>
      <c r="O22" s="306"/>
      <c r="P22" s="306"/>
      <c r="Q22" s="306"/>
      <c r="R22" s="306">
        <f>M22+N22+O22+P22+Q22</f>
        <v>0</v>
      </c>
      <c r="S22" s="306">
        <f>L22+R22</f>
        <v>7359</v>
      </c>
      <c r="T22" s="306">
        <f t="shared" si="3"/>
        <v>1618.98</v>
      </c>
      <c r="U22" s="306">
        <f>S22+T22</f>
        <v>8977.98</v>
      </c>
      <c r="V22" s="306">
        <f t="shared" si="5"/>
        <v>107735.76</v>
      </c>
      <c r="W22" s="306">
        <f t="shared" si="6"/>
        <v>32536.199519999998</v>
      </c>
    </row>
    <row r="23" spans="1:23" s="299" customFormat="1" ht="14.25" customHeight="1" x14ac:dyDescent="0.2">
      <c r="A23" s="1734" t="s">
        <v>829</v>
      </c>
      <c r="B23" s="1734"/>
      <c r="C23" s="303">
        <v>4.7</v>
      </c>
      <c r="D23" s="303">
        <v>12265</v>
      </c>
      <c r="E23" s="303"/>
      <c r="F23" s="303"/>
      <c r="G23" s="303"/>
      <c r="H23" s="303">
        <v>2</v>
      </c>
      <c r="I23" s="303">
        <v>1.05</v>
      </c>
      <c r="J23" s="306">
        <f>ROUND(D23*I23*C23,2)</f>
        <v>60527.78</v>
      </c>
      <c r="K23" s="306"/>
      <c r="L23" s="306">
        <f>J23</f>
        <v>60527.78</v>
      </c>
      <c r="M23" s="306"/>
      <c r="N23" s="306"/>
      <c r="O23" s="306"/>
      <c r="P23" s="306"/>
      <c r="Q23" s="306"/>
      <c r="R23" s="306">
        <f>M23+N23+O23+P23+Q23</f>
        <v>0</v>
      </c>
      <c r="S23" s="306">
        <f>L23+R23</f>
        <v>60527.78</v>
      </c>
      <c r="T23" s="306">
        <f t="shared" si="3"/>
        <v>13316.1116</v>
      </c>
      <c r="U23" s="306">
        <f>S23+T23</f>
        <v>73843.891600000003</v>
      </c>
      <c r="V23" s="306">
        <f t="shared" si="5"/>
        <v>886126.69920000003</v>
      </c>
      <c r="W23" s="306">
        <f t="shared" si="6"/>
        <v>267610.26315840002</v>
      </c>
    </row>
    <row r="24" spans="1:23" s="299" customFormat="1" ht="14.25" customHeight="1" x14ac:dyDescent="0.2">
      <c r="A24" s="1734" t="s">
        <v>869</v>
      </c>
      <c r="B24" s="1734"/>
      <c r="C24" s="303">
        <v>1</v>
      </c>
      <c r="D24" s="303">
        <v>12265</v>
      </c>
      <c r="E24" s="303"/>
      <c r="F24" s="303"/>
      <c r="G24" s="303">
        <v>1.8</v>
      </c>
      <c r="H24" s="303"/>
      <c r="I24" s="303"/>
      <c r="J24" s="306">
        <f>ROUND(D24*G24*C24,2)</f>
        <v>22077</v>
      </c>
      <c r="K24" s="306">
        <v>5000</v>
      </c>
      <c r="L24" s="306">
        <f>J24+K24</f>
        <v>27077</v>
      </c>
      <c r="M24" s="306"/>
      <c r="N24" s="306"/>
      <c r="O24" s="306"/>
      <c r="P24" s="306"/>
      <c r="Q24" s="306"/>
      <c r="R24" s="306">
        <f t="shared" si="1"/>
        <v>0</v>
      </c>
      <c r="S24" s="306">
        <f t="shared" si="2"/>
        <v>27077</v>
      </c>
      <c r="T24" s="306">
        <f t="shared" si="3"/>
        <v>5956.94</v>
      </c>
      <c r="U24" s="306">
        <f t="shared" si="4"/>
        <v>33033.94</v>
      </c>
      <c r="V24" s="306">
        <f t="shared" si="5"/>
        <v>396407.28</v>
      </c>
      <c r="W24" s="306">
        <f t="shared" si="6"/>
        <v>119714.99856000001</v>
      </c>
    </row>
    <row r="25" spans="1:23" s="299" customFormat="1" ht="14.25" customHeight="1" x14ac:dyDescent="0.2">
      <c r="A25" s="1734" t="s">
        <v>830</v>
      </c>
      <c r="B25" s="1734"/>
      <c r="C25" s="303">
        <v>2</v>
      </c>
      <c r="D25" s="303">
        <v>12265</v>
      </c>
      <c r="E25" s="303"/>
      <c r="F25" s="303"/>
      <c r="G25" s="303"/>
      <c r="H25" s="303">
        <v>1</v>
      </c>
      <c r="I25" s="303">
        <v>1.05</v>
      </c>
      <c r="J25" s="306">
        <f>ROUND(D25*I25*C25,2)</f>
        <v>25756.5</v>
      </c>
      <c r="K25" s="306"/>
      <c r="L25" s="306">
        <f>J25</f>
        <v>25756.5</v>
      </c>
      <c r="M25" s="306"/>
      <c r="N25" s="306"/>
      <c r="O25" s="306"/>
      <c r="P25" s="306"/>
      <c r="Q25" s="306"/>
      <c r="R25" s="306">
        <f>M25+N25+O25+P25+Q25</f>
        <v>0</v>
      </c>
      <c r="S25" s="306">
        <f>L25+R25</f>
        <v>25756.5</v>
      </c>
      <c r="T25" s="306">
        <f t="shared" si="3"/>
        <v>5666.43</v>
      </c>
      <c r="U25" s="306">
        <f>S25+T25</f>
        <v>31422.93</v>
      </c>
      <c r="V25" s="306">
        <f t="shared" si="5"/>
        <v>377075.16000000003</v>
      </c>
      <c r="W25" s="306">
        <f t="shared" si="6"/>
        <v>113876.69832000001</v>
      </c>
    </row>
    <row r="26" spans="1:23" s="299" customFormat="1" ht="14.25" customHeight="1" x14ac:dyDescent="0.2">
      <c r="A26" s="1734" t="s">
        <v>870</v>
      </c>
      <c r="B26" s="1734"/>
      <c r="C26" s="303">
        <v>2</v>
      </c>
      <c r="D26" s="303">
        <v>12265</v>
      </c>
      <c r="E26" s="303"/>
      <c r="F26" s="303"/>
      <c r="G26" s="303"/>
      <c r="H26" s="303">
        <v>1</v>
      </c>
      <c r="I26" s="303">
        <v>1.05</v>
      </c>
      <c r="J26" s="306">
        <f>ROUND(D26*I26*C26,2)</f>
        <v>25756.5</v>
      </c>
      <c r="K26" s="306"/>
      <c r="L26" s="306">
        <f>J26</f>
        <v>25756.5</v>
      </c>
      <c r="M26" s="306"/>
      <c r="N26" s="339"/>
      <c r="O26" s="306"/>
      <c r="P26" s="306"/>
      <c r="Q26" s="306"/>
      <c r="R26" s="306">
        <f>M26+N26+O26+P26+Q26</f>
        <v>0</v>
      </c>
      <c r="S26" s="306">
        <f>L26+R26</f>
        <v>25756.5</v>
      </c>
      <c r="T26" s="306">
        <f t="shared" si="3"/>
        <v>5666.43</v>
      </c>
      <c r="U26" s="306">
        <f>S26+T26</f>
        <v>31422.93</v>
      </c>
      <c r="V26" s="306">
        <f t="shared" si="5"/>
        <v>377075.16000000003</v>
      </c>
      <c r="W26" s="306">
        <f t="shared" si="6"/>
        <v>113876.69832000001</v>
      </c>
    </row>
    <row r="27" spans="1:23" s="299" customFormat="1" ht="14.25" customHeight="1" x14ac:dyDescent="0.2">
      <c r="A27" s="1734" t="s">
        <v>871</v>
      </c>
      <c r="B27" s="1734"/>
      <c r="C27" s="303">
        <v>1</v>
      </c>
      <c r="D27" s="303">
        <v>12265</v>
      </c>
      <c r="E27" s="303"/>
      <c r="F27" s="303"/>
      <c r="G27" s="303">
        <v>1.2</v>
      </c>
      <c r="H27" s="303"/>
      <c r="I27" s="303"/>
      <c r="J27" s="306">
        <f>ROUND(D27*G27*C27,2)</f>
        <v>14718</v>
      </c>
      <c r="K27" s="306"/>
      <c r="L27" s="306">
        <f t="shared" si="0"/>
        <v>14718</v>
      </c>
      <c r="M27" s="306"/>
      <c r="N27" s="306"/>
      <c r="O27" s="306"/>
      <c r="P27" s="306"/>
      <c r="Q27" s="306"/>
      <c r="R27" s="306">
        <f t="shared" si="1"/>
        <v>0</v>
      </c>
      <c r="S27" s="306">
        <f t="shared" si="2"/>
        <v>14718</v>
      </c>
      <c r="T27" s="306">
        <f t="shared" si="3"/>
        <v>3237.96</v>
      </c>
      <c r="U27" s="306">
        <f>S27+T27</f>
        <v>17955.96</v>
      </c>
      <c r="V27" s="306">
        <f t="shared" si="5"/>
        <v>215471.52</v>
      </c>
      <c r="W27" s="306">
        <f t="shared" si="6"/>
        <v>65072.399039999997</v>
      </c>
    </row>
    <row r="28" spans="1:23" s="315" customFormat="1" ht="13.5" customHeight="1" x14ac:dyDescent="0.2">
      <c r="A28" s="1748" t="s">
        <v>189</v>
      </c>
      <c r="B28" s="1748"/>
      <c r="C28" s="314">
        <f>SUM(C6:C27)</f>
        <v>44.25</v>
      </c>
      <c r="D28" s="314"/>
      <c r="E28" s="314"/>
      <c r="F28" s="314"/>
      <c r="G28" s="314"/>
      <c r="H28" s="314"/>
      <c r="I28" s="314"/>
      <c r="J28" s="313">
        <f t="shared" ref="J28:T28" si="15">SUM(J6:J27)</f>
        <v>1007517.6400000001</v>
      </c>
      <c r="K28" s="313">
        <f t="shared" si="15"/>
        <v>73387</v>
      </c>
      <c r="L28" s="313">
        <f>SUM(L6:L27)</f>
        <v>1080904.6400000001</v>
      </c>
      <c r="M28" s="313">
        <f t="shared" si="15"/>
        <v>28719.079999999998</v>
      </c>
      <c r="N28" s="313">
        <f t="shared" si="15"/>
        <v>64642.86</v>
      </c>
      <c r="O28" s="313">
        <f t="shared" si="15"/>
        <v>0</v>
      </c>
      <c r="P28" s="313">
        <f t="shared" si="15"/>
        <v>0</v>
      </c>
      <c r="Q28" s="313">
        <f t="shared" si="15"/>
        <v>0</v>
      </c>
      <c r="R28" s="313">
        <f t="shared" si="15"/>
        <v>93361.94</v>
      </c>
      <c r="S28" s="313">
        <f>SUM(S6:S27)</f>
        <v>1174266.58</v>
      </c>
      <c r="T28" s="313">
        <f t="shared" si="15"/>
        <v>237799.0208</v>
      </c>
      <c r="U28" s="313">
        <f>SUM(U6:U27)</f>
        <v>1411929.4807999996</v>
      </c>
      <c r="V28" s="313">
        <f>SUM(V6:V27)</f>
        <v>16943153.7696</v>
      </c>
      <c r="W28" s="313">
        <f>SUM(W6:W27)</f>
        <v>5116832.4384192005</v>
      </c>
    </row>
    <row r="29" spans="1:23" ht="1.5" hidden="1" customHeight="1" x14ac:dyDescent="0.2">
      <c r="A29" s="316"/>
      <c r="B29" s="316"/>
      <c r="C29" s="317"/>
      <c r="D29" s="317"/>
      <c r="E29" s="317"/>
      <c r="F29" s="317"/>
      <c r="G29" s="317"/>
      <c r="H29" s="317"/>
      <c r="I29" s="317"/>
      <c r="J29" s="318"/>
      <c r="K29" s="318"/>
      <c r="L29" s="318"/>
      <c r="M29" s="319"/>
      <c r="N29" s="319"/>
      <c r="O29" s="319"/>
      <c r="P29" s="319"/>
      <c r="Q29" s="319"/>
      <c r="R29" s="319"/>
      <c r="S29" s="319"/>
      <c r="T29" s="320">
        <f>3609598.94+54272.4/4-S28</f>
        <v>2448900.46</v>
      </c>
      <c r="U29" s="319"/>
      <c r="V29" s="319"/>
      <c r="W29" s="319"/>
    </row>
    <row r="30" spans="1:23" hidden="1" x14ac:dyDescent="0.2">
      <c r="A30" s="316"/>
      <c r="B30" s="2055"/>
      <c r="C30" s="2055"/>
      <c r="D30" s="2055"/>
      <c r="E30" s="2055"/>
      <c r="F30" s="2055"/>
      <c r="G30" s="2055"/>
      <c r="H30" s="321"/>
      <c r="I30" s="317"/>
      <c r="J30" s="322"/>
      <c r="K30" s="322"/>
      <c r="L30" s="317"/>
      <c r="M30" s="321"/>
      <c r="N30" s="323"/>
      <c r="O30" s="324"/>
      <c r="P30" s="325"/>
      <c r="Q30" s="325"/>
      <c r="R30" s="325"/>
      <c r="S30" s="325"/>
      <c r="T30" s="326">
        <f>T29*100/L28</f>
        <v>226.56026899838267</v>
      </c>
      <c r="U30" s="327">
        <f>U28*30.22%</f>
        <v>426685.0890977598</v>
      </c>
      <c r="V30" s="328" t="s">
        <v>831</v>
      </c>
      <c r="W30" s="324"/>
    </row>
    <row r="31" spans="1:23" hidden="1" x14ac:dyDescent="0.2">
      <c r="A31" s="317"/>
      <c r="B31" s="317"/>
      <c r="C31" s="317"/>
      <c r="D31" s="317"/>
      <c r="E31" s="317"/>
      <c r="F31" s="329"/>
      <c r="G31" s="317"/>
      <c r="H31" s="317"/>
      <c r="I31" s="317"/>
      <c r="J31" s="322"/>
      <c r="K31" s="322"/>
      <c r="L31" s="317"/>
      <c r="M31" s="317"/>
      <c r="N31" s="317"/>
      <c r="O31" s="330"/>
      <c r="P31" s="331"/>
      <c r="Q31" s="331"/>
      <c r="R31" s="331"/>
      <c r="S31" s="332" t="s">
        <v>832</v>
      </c>
      <c r="T31" s="333">
        <f>S28*5%</f>
        <v>58713.329000000005</v>
      </c>
      <c r="U31" s="316" t="s">
        <v>833</v>
      </c>
      <c r="V31" s="333">
        <f>T31*12</f>
        <v>704559.94800000009</v>
      </c>
      <c r="W31" s="316" t="s">
        <v>834</v>
      </c>
    </row>
    <row r="32" spans="1:23" hidden="1" x14ac:dyDescent="0.2">
      <c r="A32" s="317"/>
      <c r="B32" s="317"/>
      <c r="C32" s="317"/>
      <c r="D32" s="317"/>
      <c r="E32" s="317"/>
      <c r="F32" s="329"/>
      <c r="G32" s="317"/>
      <c r="H32" s="317"/>
      <c r="I32" s="317"/>
      <c r="J32" s="322"/>
      <c r="K32" s="322"/>
      <c r="L32" s="317"/>
      <c r="M32" s="317"/>
      <c r="N32" s="317"/>
      <c r="O32" s="330"/>
      <c r="P32" s="331"/>
      <c r="Q32" s="331"/>
      <c r="R32" s="331"/>
      <c r="S32" s="332" t="s">
        <v>835</v>
      </c>
      <c r="T32" s="333">
        <f>U28*2%</f>
        <v>28238.58961599999</v>
      </c>
      <c r="U32" s="316" t="s">
        <v>836</v>
      </c>
      <c r="V32" s="333">
        <f>T32*12</f>
        <v>338863.07539199991</v>
      </c>
      <c r="W32" s="316" t="s">
        <v>837</v>
      </c>
    </row>
    <row r="33" spans="1:23" ht="16.5" customHeight="1" x14ac:dyDescent="0.2">
      <c r="A33" s="317"/>
      <c r="B33" s="317"/>
      <c r="C33" s="317"/>
      <c r="D33" s="317"/>
      <c r="E33" s="317"/>
      <c r="F33" s="329"/>
      <c r="G33" s="317"/>
      <c r="H33" s="317"/>
      <c r="I33" s="317"/>
      <c r="J33" s="322"/>
      <c r="K33" s="322"/>
      <c r="L33" s="317"/>
      <c r="M33" s="317"/>
      <c r="N33" s="317"/>
      <c r="O33" s="330"/>
      <c r="P33" s="331"/>
      <c r="Q33" s="331"/>
      <c r="R33" s="331"/>
      <c r="S33" s="332"/>
      <c r="T33" s="333"/>
      <c r="U33" s="316"/>
      <c r="V33" s="482"/>
      <c r="W33" s="330"/>
    </row>
    <row r="34" spans="1:23" x14ac:dyDescent="0.2">
      <c r="W34" s="307">
        <f>V28+W28</f>
        <v>22059986.208019201</v>
      </c>
    </row>
    <row r="35" spans="1:23" x14ac:dyDescent="0.2">
      <c r="U35" s="307"/>
      <c r="W35" s="302">
        <v>23071130</v>
      </c>
    </row>
    <row r="36" spans="1:23" x14ac:dyDescent="0.2">
      <c r="W36" s="307">
        <f>W34-W35</f>
        <v>-1011143.7919807993</v>
      </c>
    </row>
    <row r="37" spans="1:23" x14ac:dyDescent="0.2">
      <c r="W37" s="307">
        <f>SUM(V12:V21)*1.302</f>
        <v>15715505.683886399</v>
      </c>
    </row>
    <row r="38" spans="1:23" x14ac:dyDescent="0.2">
      <c r="W38" s="307">
        <f>W37*6.9%</f>
        <v>1084369.8921881616</v>
      </c>
    </row>
  </sheetData>
  <mergeCells count="48">
    <mergeCell ref="A19:B19"/>
    <mergeCell ref="A20:B20"/>
    <mergeCell ref="A21:B21"/>
    <mergeCell ref="A22:B22"/>
    <mergeCell ref="A23:B23"/>
    <mergeCell ref="B30:G30"/>
    <mergeCell ref="A24:B24"/>
    <mergeCell ref="A25:B25"/>
    <mergeCell ref="A26:B26"/>
    <mergeCell ref="A27:B27"/>
    <mergeCell ref="A28:B28"/>
    <mergeCell ref="A18:B18"/>
    <mergeCell ref="A8:B8"/>
    <mergeCell ref="A9:B9"/>
    <mergeCell ref="A10:B10"/>
    <mergeCell ref="A11:B11"/>
    <mergeCell ref="A12:B12"/>
    <mergeCell ref="A13:B13"/>
    <mergeCell ref="A14:B14"/>
    <mergeCell ref="A15:B15"/>
    <mergeCell ref="A16:B16"/>
    <mergeCell ref="A17:B17"/>
    <mergeCell ref="A7:B7"/>
    <mergeCell ref="T2:T4"/>
    <mergeCell ref="U2:U4"/>
    <mergeCell ref="V2:V4"/>
    <mergeCell ref="W2:W4"/>
    <mergeCell ref="E3:F3"/>
    <mergeCell ref="G3:G4"/>
    <mergeCell ref="H3:I3"/>
    <mergeCell ref="M3:M4"/>
    <mergeCell ref="N3:N4"/>
    <mergeCell ref="O3:O4"/>
    <mergeCell ref="P3:P4"/>
    <mergeCell ref="Q3:Q4"/>
    <mergeCell ref="R3:R4"/>
    <mergeCell ref="A5:B5"/>
    <mergeCell ref="A6:B6"/>
    <mergeCell ref="A1:V1"/>
    <mergeCell ref="A2:B4"/>
    <mergeCell ref="C2:C4"/>
    <mergeCell ref="D2:D4"/>
    <mergeCell ref="E2:I2"/>
    <mergeCell ref="J2:J4"/>
    <mergeCell ref="K2:K4"/>
    <mergeCell ref="L2:L4"/>
    <mergeCell ref="M2:R2"/>
    <mergeCell ref="S2:S4"/>
  </mergeCells>
  <printOptions horizontalCentered="1" verticalCentered="1"/>
  <pageMargins left="0.23622047244094491" right="0.23622047244094491" top="0" bottom="0" header="0.31496062992125984" footer="0.31496062992125984"/>
  <pageSetup paperSize="9" scale="53"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F245"/>
  <sheetViews>
    <sheetView view="pageBreakPreview" zoomScale="60" zoomScaleNormal="56" workbookViewId="0">
      <pane xSplit="1" ySplit="10" topLeftCell="B222" activePane="bottomRight" state="frozen"/>
      <selection pane="topRight" activeCell="B1" sqref="B1"/>
      <selection pane="bottomLeft" activeCell="A11" sqref="A11"/>
      <selection pane="bottomRight" activeCell="G225" sqref="G225"/>
    </sheetView>
  </sheetViews>
  <sheetFormatPr defaultColWidth="9.140625" defaultRowHeight="15.75" x14ac:dyDescent="0.2"/>
  <cols>
    <col min="1" max="1" width="40.28515625" style="610" customWidth="1"/>
    <col min="2" max="2" width="11.5703125" style="610" customWidth="1"/>
    <col min="3" max="3" width="9.42578125" style="610" customWidth="1"/>
    <col min="4" max="4" width="11.7109375" style="610" customWidth="1"/>
    <col min="5" max="5" width="20.85546875" style="644" customWidth="1"/>
    <col min="6" max="6" width="19.7109375" style="645" customWidth="1"/>
    <col min="7" max="7" width="20.28515625" style="645" customWidth="1"/>
    <col min="8" max="8" width="21.42578125" style="645" customWidth="1"/>
    <col min="9" max="9" width="14.42578125" style="611" customWidth="1"/>
    <col min="10" max="10" width="14.7109375" style="645" customWidth="1"/>
    <col min="11" max="11" width="20.140625" style="645" customWidth="1"/>
    <col min="12" max="12" width="19.85546875" style="645" customWidth="1"/>
    <col min="13" max="13" width="22.85546875" style="644" customWidth="1"/>
    <col min="14" max="14" width="18.42578125" style="645" customWidth="1"/>
    <col min="15" max="15" width="15.85546875" style="645" customWidth="1"/>
    <col min="16" max="16" width="18.5703125" style="645" customWidth="1"/>
    <col min="17" max="17" width="16.28515625" style="611" customWidth="1"/>
    <col min="18" max="18" width="11.5703125" style="645" customWidth="1"/>
    <col min="19" max="19" width="19" style="645" customWidth="1"/>
    <col min="20" max="20" width="20.140625" style="645" customWidth="1"/>
    <col min="21" max="21" width="22.140625" style="644" customWidth="1"/>
    <col min="22" max="22" width="20" style="645" customWidth="1"/>
    <col min="23" max="23" width="18.140625" style="645" customWidth="1"/>
    <col min="24" max="24" width="22.7109375" style="645" customWidth="1"/>
    <col min="25" max="25" width="14.140625" style="611" customWidth="1"/>
    <col min="26" max="26" width="12.28515625" style="645" customWidth="1"/>
    <col min="27" max="27" width="19" style="645" customWidth="1"/>
    <col min="28" max="28" width="22.42578125" style="645" customWidth="1"/>
    <col min="29" max="29" width="20" style="612" customWidth="1"/>
    <col min="30" max="30" width="19.28515625" style="610" customWidth="1"/>
    <col min="31" max="31" width="18" style="610" customWidth="1"/>
    <col min="32" max="32" width="17.5703125" style="610" bestFit="1" customWidth="1"/>
    <col min="33" max="16384" width="9.140625" style="610"/>
  </cols>
  <sheetData>
    <row r="1" spans="1:29" ht="51.75" customHeight="1" x14ac:dyDescent="0.2">
      <c r="Z1" s="1572" t="s">
        <v>721</v>
      </c>
      <c r="AA1" s="1573"/>
      <c r="AB1" s="1573"/>
    </row>
    <row r="2" spans="1:29" ht="31.9" customHeight="1" x14ac:dyDescent="0.2">
      <c r="Z2" s="1573" t="s">
        <v>722</v>
      </c>
      <c r="AA2" s="1573"/>
      <c r="AB2" s="1573"/>
    </row>
    <row r="3" spans="1:29" s="614" customFormat="1" ht="24.75" customHeight="1" x14ac:dyDescent="0.2">
      <c r="A3" s="1574" t="s">
        <v>1249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613"/>
      <c r="Z3" s="644"/>
      <c r="AA3" s="644"/>
      <c r="AB3" s="644"/>
      <c r="AC3" s="612"/>
    </row>
    <row r="4" spans="1:29" s="614" customFormat="1" ht="25.5" customHeight="1" x14ac:dyDescent="0.2">
      <c r="A4" s="1574" t="s">
        <v>1435</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613"/>
      <c r="Z4" s="644"/>
      <c r="AA4" s="644"/>
      <c r="AB4" s="644"/>
      <c r="AC4" s="612"/>
    </row>
    <row r="5" spans="1:29" x14ac:dyDescent="0.2">
      <c r="A5" s="610" t="s">
        <v>723</v>
      </c>
      <c r="D5" s="1575" t="s">
        <v>204</v>
      </c>
      <c r="E5" s="1576"/>
      <c r="F5" s="1576"/>
      <c r="G5" s="1576"/>
      <c r="H5" s="1576"/>
      <c r="I5" s="1576"/>
      <c r="J5" s="1576"/>
      <c r="K5" s="1576"/>
      <c r="L5" s="1576"/>
      <c r="M5" s="1576"/>
      <c r="N5" s="1576"/>
      <c r="O5" s="1576"/>
      <c r="P5" s="1576"/>
    </row>
    <row r="7" spans="1:29" s="614" customFormat="1" ht="37.5" customHeight="1" x14ac:dyDescent="0.2">
      <c r="A7" s="1565" t="s">
        <v>724</v>
      </c>
      <c r="B7" s="1566" t="s">
        <v>577</v>
      </c>
      <c r="C7" s="1566" t="s">
        <v>578</v>
      </c>
      <c r="D7" s="1566" t="s">
        <v>579</v>
      </c>
      <c r="E7" s="1567" t="s">
        <v>725</v>
      </c>
      <c r="F7" s="1567"/>
      <c r="G7" s="1567"/>
      <c r="H7" s="1567"/>
      <c r="I7" s="1567"/>
      <c r="J7" s="1567"/>
      <c r="K7" s="1567"/>
      <c r="L7" s="1567"/>
      <c r="M7" s="1567" t="s">
        <v>726</v>
      </c>
      <c r="N7" s="1567"/>
      <c r="O7" s="1567"/>
      <c r="P7" s="1567"/>
      <c r="Q7" s="1567"/>
      <c r="R7" s="1567"/>
      <c r="S7" s="1567"/>
      <c r="T7" s="1567"/>
      <c r="U7" s="1567" t="s">
        <v>727</v>
      </c>
      <c r="V7" s="1567"/>
      <c r="W7" s="1567"/>
      <c r="X7" s="1567"/>
      <c r="Y7" s="1567"/>
      <c r="Z7" s="1567"/>
      <c r="AA7" s="1567"/>
      <c r="AB7" s="1567"/>
      <c r="AC7" s="2299" t="s">
        <v>1178</v>
      </c>
    </row>
    <row r="8" spans="1:29" s="616" customFormat="1" ht="39.75" customHeight="1" x14ac:dyDescent="0.2">
      <c r="A8" s="1565"/>
      <c r="B8" s="1566"/>
      <c r="C8" s="1566"/>
      <c r="D8" s="1566"/>
      <c r="E8" s="1568" t="s">
        <v>6</v>
      </c>
      <c r="F8" s="1569" t="s">
        <v>52</v>
      </c>
      <c r="G8" s="1569"/>
      <c r="H8" s="1569"/>
      <c r="I8" s="1569"/>
      <c r="J8" s="1569"/>
      <c r="K8" s="1569"/>
      <c r="L8" s="1569"/>
      <c r="M8" s="1578" t="s">
        <v>6</v>
      </c>
      <c r="N8" s="1569" t="s">
        <v>52</v>
      </c>
      <c r="O8" s="1569"/>
      <c r="P8" s="1569"/>
      <c r="Q8" s="1569"/>
      <c r="R8" s="1569"/>
      <c r="S8" s="1569"/>
      <c r="T8" s="1569"/>
      <c r="U8" s="1578" t="s">
        <v>6</v>
      </c>
      <c r="V8" s="1569" t="s">
        <v>52</v>
      </c>
      <c r="W8" s="1569"/>
      <c r="X8" s="1569"/>
      <c r="Y8" s="1569"/>
      <c r="Z8" s="1569"/>
      <c r="AA8" s="1569"/>
      <c r="AB8" s="1569"/>
      <c r="AC8" s="2299"/>
    </row>
    <row r="9" spans="1:29" s="616" customFormat="1" ht="39.75" customHeight="1" x14ac:dyDescent="0.2">
      <c r="A9" s="1565"/>
      <c r="B9" s="1566"/>
      <c r="C9" s="1566"/>
      <c r="D9" s="1566"/>
      <c r="E9" s="1568"/>
      <c r="F9" s="1570" t="s">
        <v>35</v>
      </c>
      <c r="G9" s="1570"/>
      <c r="H9" s="1570"/>
      <c r="I9" s="1570" t="s">
        <v>45</v>
      </c>
      <c r="J9" s="1570"/>
      <c r="K9" s="1570"/>
      <c r="L9" s="1571" t="s">
        <v>46</v>
      </c>
      <c r="M9" s="1578"/>
      <c r="N9" s="1570" t="s">
        <v>35</v>
      </c>
      <c r="O9" s="1570"/>
      <c r="P9" s="1570"/>
      <c r="Q9" s="1570" t="s">
        <v>45</v>
      </c>
      <c r="R9" s="1570"/>
      <c r="S9" s="1570"/>
      <c r="T9" s="1571" t="s">
        <v>46</v>
      </c>
      <c r="U9" s="1578"/>
      <c r="V9" s="1570" t="s">
        <v>35</v>
      </c>
      <c r="W9" s="1570"/>
      <c r="X9" s="1570"/>
      <c r="Y9" s="1570" t="s">
        <v>45</v>
      </c>
      <c r="Z9" s="1570"/>
      <c r="AA9" s="1570"/>
      <c r="AB9" s="1571" t="s">
        <v>46</v>
      </c>
      <c r="AC9" s="2299"/>
    </row>
    <row r="10" spans="1:29" s="616" customFormat="1" ht="69" customHeight="1" x14ac:dyDescent="0.2">
      <c r="A10" s="1565"/>
      <c r="B10" s="1566"/>
      <c r="C10" s="1566"/>
      <c r="D10" s="1566"/>
      <c r="E10" s="1568"/>
      <c r="F10" s="642" t="s">
        <v>43</v>
      </c>
      <c r="G10" s="642" t="s">
        <v>592</v>
      </c>
      <c r="H10" s="642" t="s">
        <v>44</v>
      </c>
      <c r="I10" s="617" t="s">
        <v>55</v>
      </c>
      <c r="J10" s="642" t="s">
        <v>43</v>
      </c>
      <c r="K10" s="642" t="s">
        <v>44</v>
      </c>
      <c r="L10" s="1571"/>
      <c r="M10" s="1578"/>
      <c r="N10" s="642" t="s">
        <v>43</v>
      </c>
      <c r="O10" s="642" t="s">
        <v>592</v>
      </c>
      <c r="P10" s="642" t="s">
        <v>44</v>
      </c>
      <c r="Q10" s="617" t="s">
        <v>55</v>
      </c>
      <c r="R10" s="642" t="s">
        <v>43</v>
      </c>
      <c r="S10" s="642" t="s">
        <v>44</v>
      </c>
      <c r="T10" s="1571"/>
      <c r="U10" s="1578"/>
      <c r="V10" s="642" t="s">
        <v>43</v>
      </c>
      <c r="W10" s="642" t="s">
        <v>592</v>
      </c>
      <c r="X10" s="642" t="s">
        <v>44</v>
      </c>
      <c r="Y10" s="617" t="s">
        <v>55</v>
      </c>
      <c r="Z10" s="642" t="s">
        <v>43</v>
      </c>
      <c r="AA10" s="642" t="s">
        <v>44</v>
      </c>
      <c r="AB10" s="1571"/>
      <c r="AC10" s="2299"/>
    </row>
    <row r="11" spans="1:29" ht="31.5" x14ac:dyDescent="0.2">
      <c r="A11" s="618" t="s">
        <v>909</v>
      </c>
      <c r="B11" s="619" t="s">
        <v>747</v>
      </c>
      <c r="C11" s="620"/>
      <c r="D11" s="620">
        <v>510</v>
      </c>
      <c r="E11" s="596">
        <f>L11+K11+J11+H11+G11+F11</f>
        <v>332433.68</v>
      </c>
      <c r="F11" s="595">
        <f>'Прилож 4 24 (3)'!V11</f>
        <v>0</v>
      </c>
      <c r="G11" s="595">
        <f>'Прилож 4 24 (3)'!W11</f>
        <v>0</v>
      </c>
      <c r="H11" s="595">
        <f>'Прилож 4 24 (3)'!X11</f>
        <v>255285.97</v>
      </c>
      <c r="I11" s="621"/>
      <c r="J11" s="595">
        <f>'Прилож 4 24 (3)'!Z11</f>
        <v>0</v>
      </c>
      <c r="K11" s="595">
        <f>'Прилож 4 24 (3)'!AA11</f>
        <v>0</v>
      </c>
      <c r="L11" s="595">
        <f>'Прилож 4 24 (3)'!AB11</f>
        <v>77147.710000000006</v>
      </c>
      <c r="M11" s="596">
        <f>N11+P11+R11+S11+T11+O11</f>
        <v>0</v>
      </c>
      <c r="N11" s="595"/>
      <c r="O11" s="595"/>
      <c r="P11" s="595"/>
      <c r="Q11" s="621"/>
      <c r="R11" s="595"/>
      <c r="S11" s="595"/>
      <c r="T11" s="595"/>
      <c r="U11" s="596">
        <f>X11+AB11</f>
        <v>332433.68</v>
      </c>
      <c r="V11" s="595">
        <f>F11+N11</f>
        <v>0</v>
      </c>
      <c r="W11" s="595">
        <f>O11+G11</f>
        <v>0</v>
      </c>
      <c r="X11" s="595">
        <f>P11+H11</f>
        <v>255285.97</v>
      </c>
      <c r="Y11" s="621"/>
      <c r="Z11" s="595">
        <f>R11+J11</f>
        <v>0</v>
      </c>
      <c r="AA11" s="595">
        <f>S11+K11</f>
        <v>0</v>
      </c>
      <c r="AB11" s="595">
        <f>T11+L11</f>
        <v>77147.710000000006</v>
      </c>
      <c r="AC11" s="622"/>
    </row>
    <row r="12" spans="1:29" ht="109.5" customHeight="1" x14ac:dyDescent="0.2">
      <c r="A12" s="618" t="s">
        <v>728</v>
      </c>
      <c r="B12" s="619" t="s">
        <v>747</v>
      </c>
      <c r="C12" s="620">
        <v>130</v>
      </c>
      <c r="D12" s="620">
        <v>131</v>
      </c>
      <c r="E12" s="596">
        <f t="shared" ref="E12:E98" si="0">L12+K12+J12+H12+G12+F12</f>
        <v>23228700</v>
      </c>
      <c r="F12" s="595">
        <f>'Прилож 4 24 (3)'!V12</f>
        <v>16891100</v>
      </c>
      <c r="G12" s="595">
        <f>'Прилож 4 24 (3)'!W12</f>
        <v>0</v>
      </c>
      <c r="H12" s="595">
        <f>'Прилож 4 24 (3)'!X12</f>
        <v>6337600</v>
      </c>
      <c r="I12" s="621"/>
      <c r="J12" s="595">
        <f>'Прилож 4 24 (3)'!Z12</f>
        <v>0</v>
      </c>
      <c r="K12" s="595">
        <f>'Прилож 4 24 (3)'!AA12</f>
        <v>0</v>
      </c>
      <c r="L12" s="595">
        <f>'Прилож 4 24 (3)'!AB12</f>
        <v>0</v>
      </c>
      <c r="M12" s="596">
        <f t="shared" ref="M12:M28" si="1">N12+P12+R12+S12+T12+O12</f>
        <v>0</v>
      </c>
      <c r="N12" s="595"/>
      <c r="O12" s="595"/>
      <c r="P12" s="595"/>
      <c r="Q12" s="621"/>
      <c r="R12" s="595"/>
      <c r="S12" s="595"/>
      <c r="T12" s="595"/>
      <c r="U12" s="596">
        <f>V12+X12+Z12+AA12+AB12+W12</f>
        <v>23228700</v>
      </c>
      <c r="V12" s="595">
        <f t="shared" ref="V12:V28" si="2">F12+N12</f>
        <v>16891100</v>
      </c>
      <c r="W12" s="595">
        <f t="shared" ref="W12:X28" si="3">O12+G12</f>
        <v>0</v>
      </c>
      <c r="X12" s="595">
        <f t="shared" si="3"/>
        <v>6337600</v>
      </c>
      <c r="Y12" s="621"/>
      <c r="Z12" s="595">
        <f t="shared" ref="Z12:AB77" si="4">R12+J12</f>
        <v>0</v>
      </c>
      <c r="AA12" s="595">
        <f t="shared" si="4"/>
        <v>0</v>
      </c>
      <c r="AB12" s="595">
        <f t="shared" si="4"/>
        <v>0</v>
      </c>
      <c r="AC12" s="622"/>
    </row>
    <row r="13" spans="1:29" ht="58.5" customHeight="1" x14ac:dyDescent="0.2">
      <c r="A13" s="618" t="s">
        <v>580</v>
      </c>
      <c r="B13" s="619" t="s">
        <v>729</v>
      </c>
      <c r="C13" s="620">
        <v>130</v>
      </c>
      <c r="D13" s="620">
        <v>131</v>
      </c>
      <c r="E13" s="596">
        <f t="shared" si="0"/>
        <v>926500</v>
      </c>
      <c r="F13" s="595">
        <f>'Прилож 4 24 (3)'!V13</f>
        <v>0</v>
      </c>
      <c r="G13" s="595">
        <f>'Прилож 4 24 (3)'!W13</f>
        <v>0</v>
      </c>
      <c r="H13" s="595">
        <f>'Прилож 4 24 (3)'!X13</f>
        <v>926500</v>
      </c>
      <c r="I13" s="621"/>
      <c r="J13" s="595">
        <f>'Прилож 4 24 (3)'!Z13</f>
        <v>0</v>
      </c>
      <c r="K13" s="595">
        <f>'Прилож 4 24 (3)'!AA13</f>
        <v>0</v>
      </c>
      <c r="L13" s="595">
        <f>'Прилож 4 24 (3)'!AB13</f>
        <v>0</v>
      </c>
      <c r="M13" s="596">
        <f t="shared" si="1"/>
        <v>0</v>
      </c>
      <c r="N13" s="595"/>
      <c r="O13" s="595"/>
      <c r="P13" s="595"/>
      <c r="Q13" s="621"/>
      <c r="R13" s="595"/>
      <c r="S13" s="595"/>
      <c r="T13" s="595"/>
      <c r="U13" s="596">
        <f t="shared" ref="U13:U28" si="5">V13+X13+Z13+AA13+AB13+W13</f>
        <v>926500</v>
      </c>
      <c r="V13" s="595">
        <f t="shared" si="2"/>
        <v>0</v>
      </c>
      <c r="W13" s="595">
        <f t="shared" si="3"/>
        <v>0</v>
      </c>
      <c r="X13" s="595">
        <f t="shared" si="3"/>
        <v>926500</v>
      </c>
      <c r="Y13" s="621"/>
      <c r="Z13" s="595">
        <f t="shared" si="4"/>
        <v>0</v>
      </c>
      <c r="AA13" s="595">
        <f t="shared" si="4"/>
        <v>0</v>
      </c>
      <c r="AB13" s="595">
        <f t="shared" si="4"/>
        <v>0</v>
      </c>
      <c r="AC13" s="622"/>
    </row>
    <row r="14" spans="1:29" ht="106.5" customHeight="1" x14ac:dyDescent="0.2">
      <c r="A14" s="618" t="s">
        <v>728</v>
      </c>
      <c r="B14" s="619" t="s">
        <v>729</v>
      </c>
      <c r="C14" s="620">
        <v>130</v>
      </c>
      <c r="D14" s="620">
        <v>131</v>
      </c>
      <c r="E14" s="596">
        <f t="shared" si="0"/>
        <v>27785676</v>
      </c>
      <c r="F14" s="595">
        <f>'Прилож 4 24 (3)'!V14</f>
        <v>23071130</v>
      </c>
      <c r="G14" s="595">
        <f>'Прилож 4 24 (3)'!W14</f>
        <v>1093680</v>
      </c>
      <c r="H14" s="595">
        <f>'Прилож 4 24 (3)'!X14</f>
        <v>3620866</v>
      </c>
      <c r="I14" s="621"/>
      <c r="J14" s="595">
        <f>'Прилож 4 24 (3)'!Z14</f>
        <v>0</v>
      </c>
      <c r="K14" s="595">
        <f>'Прилож 4 24 (3)'!AA14</f>
        <v>0</v>
      </c>
      <c r="L14" s="595">
        <f>'Прилож 4 24 (3)'!AB14</f>
        <v>0</v>
      </c>
      <c r="M14" s="596">
        <f t="shared" si="1"/>
        <v>1476800</v>
      </c>
      <c r="N14" s="835">
        <v>1476800</v>
      </c>
      <c r="O14" s="595"/>
      <c r="P14" s="595"/>
      <c r="Q14" s="621"/>
      <c r="R14" s="595"/>
      <c r="S14" s="595"/>
      <c r="T14" s="595"/>
      <c r="U14" s="596">
        <f t="shared" si="5"/>
        <v>29262476</v>
      </c>
      <c r="V14" s="595">
        <f t="shared" si="2"/>
        <v>24547930</v>
      </c>
      <c r="W14" s="595">
        <f t="shared" si="3"/>
        <v>1093680</v>
      </c>
      <c r="X14" s="595">
        <f t="shared" si="3"/>
        <v>3620866</v>
      </c>
      <c r="Y14" s="621"/>
      <c r="Z14" s="595">
        <f t="shared" si="4"/>
        <v>0</v>
      </c>
      <c r="AA14" s="595">
        <f t="shared" si="4"/>
        <v>0</v>
      </c>
      <c r="AB14" s="595">
        <f t="shared" si="4"/>
        <v>0</v>
      </c>
      <c r="AC14" s="622" t="s">
        <v>1351</v>
      </c>
    </row>
    <row r="15" spans="1:29" ht="118.5" customHeight="1" x14ac:dyDescent="0.2">
      <c r="A15" s="618" t="s">
        <v>945</v>
      </c>
      <c r="B15" s="619" t="s">
        <v>729</v>
      </c>
      <c r="C15" s="620">
        <v>130</v>
      </c>
      <c r="D15" s="620">
        <v>131</v>
      </c>
      <c r="E15" s="596">
        <f t="shared" si="0"/>
        <v>354251.13</v>
      </c>
      <c r="F15" s="595">
        <f>'Прилож 4 24 (3)'!V15</f>
        <v>116903.03999999999</v>
      </c>
      <c r="G15" s="595">
        <f>'Прилож 4 24 (3)'!W15</f>
        <v>237348.09</v>
      </c>
      <c r="H15" s="595">
        <f>'Прилож 4 24 (3)'!X15</f>
        <v>0</v>
      </c>
      <c r="I15" s="621"/>
      <c r="J15" s="595">
        <f>'Прилож 4 24 (3)'!Z15</f>
        <v>0</v>
      </c>
      <c r="K15" s="595">
        <f>'Прилож 4 24 (3)'!AA15</f>
        <v>0</v>
      </c>
      <c r="L15" s="595">
        <f>'Прилож 4 24 (3)'!AB15</f>
        <v>0</v>
      </c>
      <c r="M15" s="596">
        <f t="shared" si="1"/>
        <v>0</v>
      </c>
      <c r="N15" s="595"/>
      <c r="O15" s="595"/>
      <c r="P15" s="595"/>
      <c r="Q15" s="621"/>
      <c r="R15" s="595"/>
      <c r="S15" s="595"/>
      <c r="T15" s="595"/>
      <c r="U15" s="596">
        <f t="shared" si="5"/>
        <v>354251.13</v>
      </c>
      <c r="V15" s="595">
        <f t="shared" si="2"/>
        <v>116903.03999999999</v>
      </c>
      <c r="W15" s="595">
        <f t="shared" si="3"/>
        <v>237348.09</v>
      </c>
      <c r="X15" s="595">
        <f t="shared" si="3"/>
        <v>0</v>
      </c>
      <c r="Y15" s="621"/>
      <c r="Z15" s="595">
        <f t="shared" si="4"/>
        <v>0</v>
      </c>
      <c r="AA15" s="595">
        <f t="shared" si="4"/>
        <v>0</v>
      </c>
      <c r="AB15" s="595">
        <f t="shared" si="4"/>
        <v>0</v>
      </c>
      <c r="AC15" s="622"/>
    </row>
    <row r="16" spans="1:29" ht="57" customHeight="1" x14ac:dyDescent="0.2">
      <c r="A16" s="618" t="s">
        <v>582</v>
      </c>
      <c r="B16" s="619" t="s">
        <v>691</v>
      </c>
      <c r="C16" s="620">
        <v>130</v>
      </c>
      <c r="D16" s="620">
        <v>131</v>
      </c>
      <c r="E16" s="596">
        <f t="shared" si="0"/>
        <v>352345.7</v>
      </c>
      <c r="F16" s="595">
        <f>'Прилож 4 24 (3)'!V16</f>
        <v>32288.77</v>
      </c>
      <c r="G16" s="595">
        <f>'Прилож 4 24 (3)'!W16</f>
        <v>0</v>
      </c>
      <c r="H16" s="595">
        <f>'Прилож 4 24 (3)'!X16</f>
        <v>320056.93</v>
      </c>
      <c r="I16" s="621"/>
      <c r="J16" s="595">
        <f>'Прилож 4 24 (3)'!Z16</f>
        <v>0</v>
      </c>
      <c r="K16" s="595">
        <f>'Прилож 4 24 (3)'!AA16</f>
        <v>0</v>
      </c>
      <c r="L16" s="595">
        <f>'Прилож 4 24 (3)'!AB16</f>
        <v>0</v>
      </c>
      <c r="M16" s="596">
        <f t="shared" si="1"/>
        <v>0</v>
      </c>
      <c r="N16" s="595"/>
      <c r="O16" s="595"/>
      <c r="P16" s="595"/>
      <c r="Q16" s="621"/>
      <c r="R16" s="595"/>
      <c r="S16" s="595"/>
      <c r="T16" s="595"/>
      <c r="U16" s="596">
        <f t="shared" si="5"/>
        <v>352345.7</v>
      </c>
      <c r="V16" s="595">
        <f t="shared" si="2"/>
        <v>32288.77</v>
      </c>
      <c r="W16" s="595">
        <f t="shared" si="3"/>
        <v>0</v>
      </c>
      <c r="X16" s="595">
        <f t="shared" si="3"/>
        <v>320056.93</v>
      </c>
      <c r="Y16" s="621"/>
      <c r="Z16" s="595">
        <f t="shared" si="4"/>
        <v>0</v>
      </c>
      <c r="AA16" s="595">
        <f t="shared" si="4"/>
        <v>0</v>
      </c>
      <c r="AB16" s="595">
        <f t="shared" si="4"/>
        <v>0</v>
      </c>
      <c r="AC16" s="622"/>
    </row>
    <row r="17" spans="1:32" ht="62.25" customHeight="1" x14ac:dyDescent="0.2">
      <c r="A17" s="618" t="s">
        <v>283</v>
      </c>
      <c r="B17" s="619" t="s">
        <v>729</v>
      </c>
      <c r="C17" s="620">
        <v>130</v>
      </c>
      <c r="D17" s="620">
        <v>131</v>
      </c>
      <c r="E17" s="596">
        <f t="shared" si="0"/>
        <v>80080</v>
      </c>
      <c r="F17" s="595">
        <f>'Прилож 4 24 (3)'!V17</f>
        <v>0</v>
      </c>
      <c r="G17" s="595">
        <f>'Прилож 4 24 (3)'!W17</f>
        <v>0</v>
      </c>
      <c r="H17" s="595">
        <f>'Прилож 4 24 (3)'!X17</f>
        <v>0</v>
      </c>
      <c r="I17" s="621"/>
      <c r="J17" s="595">
        <f>'Прилож 4 24 (3)'!Z17</f>
        <v>0</v>
      </c>
      <c r="K17" s="595">
        <f>'Прилож 4 24 (3)'!AA17</f>
        <v>0</v>
      </c>
      <c r="L17" s="595">
        <f>'Прилож 4 24 (3)'!AB17</f>
        <v>80080</v>
      </c>
      <c r="M17" s="596">
        <f t="shared" si="1"/>
        <v>0</v>
      </c>
      <c r="N17" s="595"/>
      <c r="O17" s="595"/>
      <c r="P17" s="595"/>
      <c r="Q17" s="621"/>
      <c r="R17" s="595"/>
      <c r="S17" s="595"/>
      <c r="T17" s="595"/>
      <c r="U17" s="596">
        <f t="shared" si="5"/>
        <v>80080</v>
      </c>
      <c r="V17" s="595">
        <f t="shared" si="2"/>
        <v>0</v>
      </c>
      <c r="W17" s="595">
        <f t="shared" si="3"/>
        <v>0</v>
      </c>
      <c r="X17" s="595">
        <f t="shared" si="3"/>
        <v>0</v>
      </c>
      <c r="Y17" s="621"/>
      <c r="Z17" s="595">
        <f t="shared" si="4"/>
        <v>0</v>
      </c>
      <c r="AA17" s="595">
        <f t="shared" si="4"/>
        <v>0</v>
      </c>
      <c r="AB17" s="595">
        <f t="shared" si="4"/>
        <v>80080</v>
      </c>
      <c r="AC17" s="622"/>
    </row>
    <row r="18" spans="1:32" ht="63.75" customHeight="1" x14ac:dyDescent="0.2">
      <c r="A18" s="618" t="s">
        <v>282</v>
      </c>
      <c r="B18" s="619" t="s">
        <v>729</v>
      </c>
      <c r="C18" s="620">
        <v>130</v>
      </c>
      <c r="D18" s="620">
        <v>134</v>
      </c>
      <c r="E18" s="596">
        <f t="shared" si="0"/>
        <v>0</v>
      </c>
      <c r="F18" s="595">
        <f>'Прилож 4 24 (3)'!V18</f>
        <v>0</v>
      </c>
      <c r="G18" s="595">
        <f>'Прилож 4 24 (3)'!W18</f>
        <v>0</v>
      </c>
      <c r="H18" s="595">
        <f>'Прилож 4 24 (3)'!X18</f>
        <v>0</v>
      </c>
      <c r="I18" s="621"/>
      <c r="J18" s="595">
        <f>'Прилож 4 24 (3)'!Z18</f>
        <v>0</v>
      </c>
      <c r="K18" s="595">
        <f>'Прилож 4 24 (3)'!AA18</f>
        <v>0</v>
      </c>
      <c r="L18" s="595">
        <f>'Прилож 4 24 (3)'!AB18</f>
        <v>0</v>
      </c>
      <c r="M18" s="596">
        <f t="shared" si="1"/>
        <v>1214568.26</v>
      </c>
      <c r="N18" s="595"/>
      <c r="O18" s="595"/>
      <c r="P18" s="595"/>
      <c r="Q18" s="621"/>
      <c r="R18" s="595"/>
      <c r="S18" s="595"/>
      <c r="T18" s="595">
        <v>1214568.26</v>
      </c>
      <c r="U18" s="596">
        <f t="shared" si="5"/>
        <v>1214568.26</v>
      </c>
      <c r="V18" s="595">
        <f t="shared" si="2"/>
        <v>0</v>
      </c>
      <c r="W18" s="595">
        <f t="shared" si="3"/>
        <v>0</v>
      </c>
      <c r="X18" s="595">
        <f t="shared" si="3"/>
        <v>0</v>
      </c>
      <c r="Y18" s="621"/>
      <c r="Z18" s="595">
        <f t="shared" si="4"/>
        <v>0</v>
      </c>
      <c r="AA18" s="595">
        <f t="shared" si="4"/>
        <v>0</v>
      </c>
      <c r="AB18" s="595">
        <f t="shared" si="4"/>
        <v>1214568.26</v>
      </c>
      <c r="AC18" s="622" t="s">
        <v>1349</v>
      </c>
    </row>
    <row r="19" spans="1:32" ht="52.5" customHeight="1" x14ac:dyDescent="0.2">
      <c r="A19" s="618" t="s">
        <v>273</v>
      </c>
      <c r="B19" s="619" t="s">
        <v>729</v>
      </c>
      <c r="C19" s="620">
        <v>130</v>
      </c>
      <c r="D19" s="620">
        <v>121</v>
      </c>
      <c r="E19" s="596">
        <f t="shared" si="0"/>
        <v>0</v>
      </c>
      <c r="F19" s="595">
        <f>'Прилож 4 24 (3)'!V19</f>
        <v>0</v>
      </c>
      <c r="G19" s="595">
        <f>'Прилож 4 24 (3)'!W19</f>
        <v>0</v>
      </c>
      <c r="H19" s="595">
        <f>'Прилож 4 24 (3)'!X19</f>
        <v>0</v>
      </c>
      <c r="I19" s="621"/>
      <c r="J19" s="595">
        <f>'Прилож 4 24 (3)'!Z19</f>
        <v>0</v>
      </c>
      <c r="K19" s="595">
        <f>'Прилож 4 24 (3)'!AA19</f>
        <v>0</v>
      </c>
      <c r="L19" s="595">
        <f>'Прилож 4 24 (3)'!AB19</f>
        <v>0</v>
      </c>
      <c r="M19" s="596">
        <f t="shared" si="1"/>
        <v>14510.07</v>
      </c>
      <c r="N19" s="595"/>
      <c r="O19" s="595"/>
      <c r="P19" s="595"/>
      <c r="Q19" s="621"/>
      <c r="R19" s="595"/>
      <c r="S19" s="595"/>
      <c r="T19" s="595">
        <v>14510.07</v>
      </c>
      <c r="U19" s="596">
        <f t="shared" si="5"/>
        <v>14510.07</v>
      </c>
      <c r="V19" s="595">
        <f t="shared" si="2"/>
        <v>0</v>
      </c>
      <c r="W19" s="595">
        <f t="shared" si="3"/>
        <v>0</v>
      </c>
      <c r="X19" s="595">
        <f t="shared" si="3"/>
        <v>0</v>
      </c>
      <c r="Y19" s="621"/>
      <c r="Z19" s="595">
        <f t="shared" si="4"/>
        <v>0</v>
      </c>
      <c r="AA19" s="595">
        <f t="shared" si="4"/>
        <v>0</v>
      </c>
      <c r="AB19" s="595">
        <f t="shared" si="4"/>
        <v>14510.07</v>
      </c>
      <c r="AC19" s="622" t="s">
        <v>1353</v>
      </c>
    </row>
    <row r="20" spans="1:32" ht="31.5" x14ac:dyDescent="0.2">
      <c r="A20" s="618" t="s">
        <v>789</v>
      </c>
      <c r="B20" s="619" t="s">
        <v>747</v>
      </c>
      <c r="C20" s="620">
        <v>130</v>
      </c>
      <c r="D20" s="620">
        <v>131</v>
      </c>
      <c r="E20" s="596">
        <f t="shared" si="0"/>
        <v>1170130</v>
      </c>
      <c r="F20" s="595">
        <f>'Прилож 4 24 (3)'!V20</f>
        <v>0</v>
      </c>
      <c r="G20" s="595">
        <f>'Прилож 4 24 (3)'!W20</f>
        <v>0</v>
      </c>
      <c r="H20" s="595">
        <f>'Прилож 4 24 (3)'!X20</f>
        <v>0</v>
      </c>
      <c r="I20" s="621"/>
      <c r="J20" s="595">
        <f>'Прилож 4 24 (3)'!Z20</f>
        <v>0</v>
      </c>
      <c r="K20" s="595">
        <f>'Прилож 4 24 (3)'!AA20</f>
        <v>0</v>
      </c>
      <c r="L20" s="595">
        <f>'Прилож 4 24 (3)'!AB20</f>
        <v>1170130</v>
      </c>
      <c r="M20" s="596">
        <f t="shared" si="1"/>
        <v>0</v>
      </c>
      <c r="N20" s="595"/>
      <c r="O20" s="595"/>
      <c r="P20" s="595"/>
      <c r="Q20" s="621"/>
      <c r="R20" s="595"/>
      <c r="S20" s="595"/>
      <c r="T20" s="595"/>
      <c r="U20" s="596">
        <f t="shared" si="5"/>
        <v>1170130</v>
      </c>
      <c r="V20" s="595">
        <f t="shared" si="2"/>
        <v>0</v>
      </c>
      <c r="W20" s="595">
        <f t="shared" si="3"/>
        <v>0</v>
      </c>
      <c r="X20" s="595">
        <f t="shared" si="3"/>
        <v>0</v>
      </c>
      <c r="Y20" s="621"/>
      <c r="Z20" s="595">
        <f t="shared" si="4"/>
        <v>0</v>
      </c>
      <c r="AA20" s="595">
        <f t="shared" si="4"/>
        <v>0</v>
      </c>
      <c r="AB20" s="595">
        <f t="shared" si="4"/>
        <v>1170130</v>
      </c>
      <c r="AC20" s="622"/>
    </row>
    <row r="21" spans="1:32" ht="111.75" customHeight="1" x14ac:dyDescent="0.2">
      <c r="A21" s="618" t="s">
        <v>1237</v>
      </c>
      <c r="B21" s="619" t="s">
        <v>747</v>
      </c>
      <c r="C21" s="620">
        <v>150</v>
      </c>
      <c r="D21" s="620">
        <v>152</v>
      </c>
      <c r="E21" s="596">
        <f t="shared" si="0"/>
        <v>0</v>
      </c>
      <c r="F21" s="595">
        <f>'Прилож 4 24 (3)'!V21</f>
        <v>0</v>
      </c>
      <c r="G21" s="595">
        <f>'Прилож 4 24 (3)'!W21</f>
        <v>0</v>
      </c>
      <c r="H21" s="595">
        <f>'Прилож 4 24 (3)'!X21</f>
        <v>0</v>
      </c>
      <c r="I21" s="621"/>
      <c r="J21" s="595">
        <f>'Прилож 4 24 (3)'!Z21</f>
        <v>0</v>
      </c>
      <c r="K21" s="595">
        <f>'Прилож 4 24 (3)'!AA21</f>
        <v>0</v>
      </c>
      <c r="L21" s="595">
        <f>'Прилож 4 24 (3)'!AB21</f>
        <v>0</v>
      </c>
      <c r="M21" s="596">
        <f t="shared" si="1"/>
        <v>0</v>
      </c>
      <c r="N21" s="595"/>
      <c r="O21" s="595"/>
      <c r="P21" s="595"/>
      <c r="Q21" s="621"/>
      <c r="R21" s="595"/>
      <c r="S21" s="595"/>
      <c r="T21" s="595"/>
      <c r="U21" s="596">
        <f t="shared" si="5"/>
        <v>0</v>
      </c>
      <c r="V21" s="595">
        <f t="shared" si="2"/>
        <v>0</v>
      </c>
      <c r="W21" s="595">
        <f t="shared" si="3"/>
        <v>0</v>
      </c>
      <c r="X21" s="595">
        <f t="shared" si="3"/>
        <v>0</v>
      </c>
      <c r="Y21" s="621"/>
      <c r="Z21" s="595">
        <f t="shared" si="4"/>
        <v>0</v>
      </c>
      <c r="AA21" s="595">
        <f t="shared" si="4"/>
        <v>0</v>
      </c>
      <c r="AB21" s="595">
        <f t="shared" si="4"/>
        <v>0</v>
      </c>
      <c r="AC21" s="622"/>
    </row>
    <row r="22" spans="1:32" ht="111.75" customHeight="1" x14ac:dyDescent="0.2">
      <c r="A22" s="618" t="s">
        <v>1321</v>
      </c>
      <c r="B22" s="619" t="s">
        <v>729</v>
      </c>
      <c r="C22" s="620">
        <v>150</v>
      </c>
      <c r="D22" s="620">
        <v>152</v>
      </c>
      <c r="E22" s="596">
        <f t="shared" si="0"/>
        <v>116466</v>
      </c>
      <c r="F22" s="595">
        <f>'Прилож 4 24 (3)'!V22</f>
        <v>0</v>
      </c>
      <c r="G22" s="595">
        <f>'Прилож 4 24 (3)'!W22</f>
        <v>0</v>
      </c>
      <c r="H22" s="595">
        <f>'Прилож 4 24 (3)'!X22</f>
        <v>0</v>
      </c>
      <c r="I22" s="621" t="s">
        <v>1226</v>
      </c>
      <c r="J22" s="595">
        <f>'Прилож 4 24 (3)'!Z22</f>
        <v>0</v>
      </c>
      <c r="K22" s="595">
        <f>'Прилож 4 24 (3)'!AA22</f>
        <v>116466</v>
      </c>
      <c r="L22" s="595">
        <f>'Прилож 4 24 (3)'!AB22</f>
        <v>0</v>
      </c>
      <c r="M22" s="596">
        <f t="shared" si="1"/>
        <v>100000</v>
      </c>
      <c r="N22" s="595"/>
      <c r="O22" s="595"/>
      <c r="P22" s="595"/>
      <c r="Q22" s="621" t="s">
        <v>1226</v>
      </c>
      <c r="R22" s="595"/>
      <c r="S22" s="595">
        <v>100000</v>
      </c>
      <c r="T22" s="595"/>
      <c r="U22" s="596">
        <f t="shared" si="5"/>
        <v>216466</v>
      </c>
      <c r="V22" s="595">
        <f t="shared" si="2"/>
        <v>0</v>
      </c>
      <c r="W22" s="595">
        <f t="shared" si="3"/>
        <v>0</v>
      </c>
      <c r="X22" s="595">
        <f t="shared" si="3"/>
        <v>0</v>
      </c>
      <c r="Y22" s="621" t="s">
        <v>1226</v>
      </c>
      <c r="Z22" s="595">
        <f t="shared" si="4"/>
        <v>0</v>
      </c>
      <c r="AA22" s="595">
        <f t="shared" si="4"/>
        <v>216466</v>
      </c>
      <c r="AB22" s="595">
        <f t="shared" si="4"/>
        <v>0</v>
      </c>
      <c r="AC22" s="622" t="s">
        <v>1363</v>
      </c>
    </row>
    <row r="23" spans="1:32" ht="111.75" customHeight="1" x14ac:dyDescent="0.2">
      <c r="A23" s="618" t="s">
        <v>297</v>
      </c>
      <c r="B23" s="619" t="s">
        <v>729</v>
      </c>
      <c r="C23" s="620">
        <v>150</v>
      </c>
      <c r="D23" s="620">
        <v>152</v>
      </c>
      <c r="E23" s="596">
        <f t="shared" si="0"/>
        <v>5491259.7999999998</v>
      </c>
      <c r="F23" s="595">
        <f>'Прилож 4 24 (3)'!V23</f>
        <v>0</v>
      </c>
      <c r="G23" s="595">
        <f>'Прилож 4 24 (3)'!W23</f>
        <v>0</v>
      </c>
      <c r="H23" s="595">
        <f>'Прилож 4 24 (3)'!X23</f>
        <v>0</v>
      </c>
      <c r="I23" s="621" t="s">
        <v>1314</v>
      </c>
      <c r="J23" s="595">
        <f>'Прилож 4 24 (3)'!Z23</f>
        <v>0</v>
      </c>
      <c r="K23" s="595">
        <f>'Прилож 4 24 (3)'!AA23</f>
        <v>5491259.7999999998</v>
      </c>
      <c r="L23" s="595">
        <f>'Прилож 4 24 (3)'!AB23</f>
        <v>0</v>
      </c>
      <c r="M23" s="596">
        <f t="shared" si="1"/>
        <v>0</v>
      </c>
      <c r="N23" s="595"/>
      <c r="O23" s="595"/>
      <c r="P23" s="595"/>
      <c r="Q23" s="621"/>
      <c r="R23" s="595"/>
      <c r="S23" s="595"/>
      <c r="T23" s="595"/>
      <c r="U23" s="596">
        <f t="shared" si="5"/>
        <v>5491259.7999999998</v>
      </c>
      <c r="V23" s="595">
        <f t="shared" si="2"/>
        <v>0</v>
      </c>
      <c r="W23" s="595">
        <f t="shared" si="3"/>
        <v>0</v>
      </c>
      <c r="X23" s="595">
        <f t="shared" si="3"/>
        <v>0</v>
      </c>
      <c r="Y23" s="621" t="s">
        <v>1314</v>
      </c>
      <c r="Z23" s="595">
        <f t="shared" si="4"/>
        <v>0</v>
      </c>
      <c r="AA23" s="595">
        <f t="shared" si="4"/>
        <v>5491259.7999999998</v>
      </c>
      <c r="AB23" s="595">
        <f t="shared" si="4"/>
        <v>0</v>
      </c>
      <c r="AC23" s="622"/>
    </row>
    <row r="24" spans="1:32" ht="111.75" customHeight="1" x14ac:dyDescent="0.2">
      <c r="A24" s="618" t="s">
        <v>1253</v>
      </c>
      <c r="B24" s="619" t="s">
        <v>747</v>
      </c>
      <c r="C24" s="620">
        <v>150</v>
      </c>
      <c r="D24" s="620">
        <v>152</v>
      </c>
      <c r="E24" s="596">
        <f t="shared" si="0"/>
        <v>814122.4</v>
      </c>
      <c r="F24" s="595">
        <f>'Прилож 4 24 (3)'!V24</f>
        <v>0</v>
      </c>
      <c r="G24" s="595">
        <f>'Прилож 4 24 (3)'!W24</f>
        <v>0</v>
      </c>
      <c r="H24" s="595">
        <f>'Прилож 4 24 (3)'!X24</f>
        <v>0</v>
      </c>
      <c r="I24" s="621" t="s">
        <v>1322</v>
      </c>
      <c r="J24" s="595">
        <f>'Прилож 4 24 (3)'!Z24</f>
        <v>0</v>
      </c>
      <c r="K24" s="595">
        <f>'Прилож 4 24 (3)'!AA24</f>
        <v>814122.4</v>
      </c>
      <c r="L24" s="595">
        <f>'Прилож 4 24 (3)'!AB24</f>
        <v>0</v>
      </c>
      <c r="M24" s="596">
        <f t="shared" si="1"/>
        <v>0</v>
      </c>
      <c r="N24" s="595"/>
      <c r="O24" s="595"/>
      <c r="P24" s="595"/>
      <c r="Q24" s="621"/>
      <c r="R24" s="595"/>
      <c r="S24" s="595"/>
      <c r="T24" s="595"/>
      <c r="U24" s="596">
        <f t="shared" si="5"/>
        <v>814122.4</v>
      </c>
      <c r="V24" s="595">
        <f t="shared" si="2"/>
        <v>0</v>
      </c>
      <c r="W24" s="595">
        <f t="shared" si="3"/>
        <v>0</v>
      </c>
      <c r="X24" s="595">
        <f t="shared" si="3"/>
        <v>0</v>
      </c>
      <c r="Y24" s="621" t="s">
        <v>1322</v>
      </c>
      <c r="Z24" s="595">
        <f t="shared" si="4"/>
        <v>0</v>
      </c>
      <c r="AA24" s="595">
        <f t="shared" si="4"/>
        <v>814122.4</v>
      </c>
      <c r="AB24" s="595">
        <f t="shared" si="4"/>
        <v>0</v>
      </c>
      <c r="AC24" s="622"/>
    </row>
    <row r="25" spans="1:32" ht="32.25" customHeight="1" x14ac:dyDescent="0.2">
      <c r="A25" s="618" t="s">
        <v>581</v>
      </c>
      <c r="B25" s="619" t="s">
        <v>64</v>
      </c>
      <c r="C25" s="620">
        <v>150</v>
      </c>
      <c r="D25" s="620">
        <v>152</v>
      </c>
      <c r="E25" s="596">
        <f t="shared" si="0"/>
        <v>87037.3</v>
      </c>
      <c r="F25" s="595">
        <f>'Прилож 4 24 (3)'!V25</f>
        <v>0</v>
      </c>
      <c r="G25" s="595">
        <f>'Прилож 4 24 (3)'!W25</f>
        <v>0</v>
      </c>
      <c r="H25" s="595">
        <f>'Прилож 4 24 (3)'!X25</f>
        <v>0</v>
      </c>
      <c r="I25" s="621"/>
      <c r="J25" s="595">
        <f>'Прилож 4 24 (3)'!Z25</f>
        <v>0</v>
      </c>
      <c r="K25" s="595">
        <f>'Прилож 4 24 (3)'!AA25</f>
        <v>87037.3</v>
      </c>
      <c r="L25" s="595">
        <f>'Прилож 4 24 (3)'!AB25</f>
        <v>0</v>
      </c>
      <c r="M25" s="596">
        <f t="shared" si="1"/>
        <v>0</v>
      </c>
      <c r="N25" s="595"/>
      <c r="O25" s="595"/>
      <c r="P25" s="595"/>
      <c r="Q25" s="621"/>
      <c r="R25" s="595"/>
      <c r="S25" s="595"/>
      <c r="T25" s="595"/>
      <c r="U25" s="596">
        <f t="shared" si="5"/>
        <v>87037.3</v>
      </c>
      <c r="V25" s="595">
        <f t="shared" si="2"/>
        <v>0</v>
      </c>
      <c r="W25" s="595">
        <f t="shared" si="3"/>
        <v>0</v>
      </c>
      <c r="X25" s="595">
        <f t="shared" si="3"/>
        <v>0</v>
      </c>
      <c r="Y25" s="621"/>
      <c r="Z25" s="595">
        <f t="shared" si="4"/>
        <v>0</v>
      </c>
      <c r="AA25" s="595">
        <f t="shared" si="4"/>
        <v>87037.3</v>
      </c>
      <c r="AB25" s="595">
        <f t="shared" si="4"/>
        <v>0</v>
      </c>
      <c r="AC25" s="622"/>
    </row>
    <row r="26" spans="1:32" ht="84" customHeight="1" x14ac:dyDescent="0.2">
      <c r="A26" s="618" t="s">
        <v>790</v>
      </c>
      <c r="B26" s="619" t="s">
        <v>791</v>
      </c>
      <c r="C26" s="620">
        <v>130</v>
      </c>
      <c r="D26" s="620">
        <v>131</v>
      </c>
      <c r="E26" s="596">
        <f t="shared" si="0"/>
        <v>600000</v>
      </c>
      <c r="F26" s="595">
        <f>'Прилож 4 24 (3)'!V26</f>
        <v>600000</v>
      </c>
      <c r="G26" s="595">
        <f>'Прилож 4 24 (3)'!W26</f>
        <v>0</v>
      </c>
      <c r="H26" s="595">
        <f>'Прилож 4 24 (3)'!X26</f>
        <v>0</v>
      </c>
      <c r="I26" s="621"/>
      <c r="J26" s="595">
        <f>'Прилож 4 24 (3)'!Z26</f>
        <v>0</v>
      </c>
      <c r="K26" s="595">
        <f>'Прилож 4 24 (3)'!AA26</f>
        <v>0</v>
      </c>
      <c r="L26" s="595">
        <f>'Прилож 4 24 (3)'!AB26</f>
        <v>0</v>
      </c>
      <c r="M26" s="596">
        <f t="shared" si="1"/>
        <v>0</v>
      </c>
      <c r="N26" s="595"/>
      <c r="O26" s="595"/>
      <c r="P26" s="595"/>
      <c r="Q26" s="621"/>
      <c r="R26" s="595"/>
      <c r="S26" s="595"/>
      <c r="T26" s="595"/>
      <c r="U26" s="596">
        <f t="shared" si="5"/>
        <v>600000</v>
      </c>
      <c r="V26" s="595">
        <f t="shared" si="2"/>
        <v>600000</v>
      </c>
      <c r="W26" s="595">
        <f t="shared" si="3"/>
        <v>0</v>
      </c>
      <c r="X26" s="595">
        <f t="shared" si="3"/>
        <v>0</v>
      </c>
      <c r="Y26" s="621"/>
      <c r="Z26" s="595">
        <f t="shared" si="4"/>
        <v>0</v>
      </c>
      <c r="AA26" s="595">
        <f t="shared" si="4"/>
        <v>0</v>
      </c>
      <c r="AB26" s="595">
        <f t="shared" si="4"/>
        <v>0</v>
      </c>
      <c r="AC26" s="622"/>
    </row>
    <row r="27" spans="1:32" ht="109.5" customHeight="1" x14ac:dyDescent="0.2">
      <c r="A27" s="618" t="s">
        <v>1236</v>
      </c>
      <c r="B27" s="619" t="s">
        <v>729</v>
      </c>
      <c r="C27" s="620">
        <v>150</v>
      </c>
      <c r="D27" s="620">
        <v>152</v>
      </c>
      <c r="E27" s="596">
        <f t="shared" si="0"/>
        <v>0</v>
      </c>
      <c r="F27" s="595">
        <f>'Прилож 4 24 (3)'!V27</f>
        <v>0</v>
      </c>
      <c r="G27" s="595">
        <f>'Прилож 4 24 (3)'!W27</f>
        <v>0</v>
      </c>
      <c r="H27" s="595">
        <f>'Прилож 4 24 (3)'!X27</f>
        <v>0</v>
      </c>
      <c r="I27" s="621"/>
      <c r="J27" s="595">
        <f>'Прилож 4 24 (3)'!Z27</f>
        <v>0</v>
      </c>
      <c r="K27" s="595">
        <f>'Прилож 4 24 (3)'!AA27</f>
        <v>0</v>
      </c>
      <c r="L27" s="595">
        <f>'Прилож 4 24 (3)'!AB27</f>
        <v>0</v>
      </c>
      <c r="M27" s="596">
        <f t="shared" si="1"/>
        <v>0</v>
      </c>
      <c r="N27" s="595"/>
      <c r="O27" s="595"/>
      <c r="P27" s="595"/>
      <c r="Q27" s="623"/>
      <c r="R27" s="595"/>
      <c r="S27" s="595"/>
      <c r="T27" s="595"/>
      <c r="U27" s="596">
        <f t="shared" si="5"/>
        <v>0</v>
      </c>
      <c r="V27" s="595">
        <f t="shared" si="2"/>
        <v>0</v>
      </c>
      <c r="W27" s="595">
        <f t="shared" si="3"/>
        <v>0</v>
      </c>
      <c r="X27" s="595">
        <f t="shared" si="3"/>
        <v>0</v>
      </c>
      <c r="Y27" s="621"/>
      <c r="Z27" s="595">
        <f t="shared" si="4"/>
        <v>0</v>
      </c>
      <c r="AA27" s="595">
        <f t="shared" si="4"/>
        <v>0</v>
      </c>
      <c r="AB27" s="595">
        <f t="shared" si="4"/>
        <v>0</v>
      </c>
      <c r="AC27" s="622"/>
    </row>
    <row r="28" spans="1:32" ht="60" customHeight="1" x14ac:dyDescent="0.2">
      <c r="A28" s="618" t="s">
        <v>284</v>
      </c>
      <c r="B28" s="619" t="s">
        <v>691</v>
      </c>
      <c r="C28" s="620">
        <v>130</v>
      </c>
      <c r="D28" s="620">
        <v>134</v>
      </c>
      <c r="E28" s="596">
        <f t="shared" si="0"/>
        <v>0</v>
      </c>
      <c r="F28" s="595">
        <f>'Прилож 4 24 (3)'!V28</f>
        <v>0</v>
      </c>
      <c r="G28" s="595">
        <f>'Прилож 4 24 (3)'!W28</f>
        <v>0</v>
      </c>
      <c r="H28" s="595">
        <f>'Прилож 4 24 (3)'!X28</f>
        <v>0</v>
      </c>
      <c r="I28" s="621"/>
      <c r="J28" s="595">
        <f>'Прилож 4 24 (3)'!Z28</f>
        <v>0</v>
      </c>
      <c r="K28" s="595">
        <f>'Прилож 4 24 (3)'!AA28</f>
        <v>0</v>
      </c>
      <c r="L28" s="875">
        <f>'Прилож 4 24 (3)'!AB28</f>
        <v>0</v>
      </c>
      <c r="M28" s="876">
        <f t="shared" si="1"/>
        <v>1426.95</v>
      </c>
      <c r="N28" s="875"/>
      <c r="O28" s="875"/>
      <c r="P28" s="875"/>
      <c r="Q28" s="877"/>
      <c r="R28" s="875"/>
      <c r="S28" s="875"/>
      <c r="T28" s="875">
        <v>1426.95</v>
      </c>
      <c r="U28" s="876">
        <f t="shared" si="5"/>
        <v>1426.95</v>
      </c>
      <c r="V28" s="875">
        <f t="shared" si="2"/>
        <v>0</v>
      </c>
      <c r="W28" s="875">
        <f t="shared" si="3"/>
        <v>0</v>
      </c>
      <c r="X28" s="875">
        <f t="shared" si="3"/>
        <v>0</v>
      </c>
      <c r="Y28" s="877"/>
      <c r="Z28" s="875">
        <f t="shared" si="4"/>
        <v>0</v>
      </c>
      <c r="AA28" s="875">
        <f t="shared" si="4"/>
        <v>0</v>
      </c>
      <c r="AB28" s="875">
        <f t="shared" si="4"/>
        <v>1426.95</v>
      </c>
      <c r="AC28" s="878"/>
    </row>
    <row r="29" spans="1:32" s="614" customFormat="1" ht="28.5" customHeight="1" x14ac:dyDescent="0.2">
      <c r="A29" s="624" t="s">
        <v>730</v>
      </c>
      <c r="B29" s="596">
        <f>SUM(B12:B28)</f>
        <v>0</v>
      </c>
      <c r="C29" s="596"/>
      <c r="D29" s="596"/>
      <c r="E29" s="596">
        <f>SUM(E12:E28)</f>
        <v>61006568.329999998</v>
      </c>
      <c r="F29" s="595">
        <f>'Прилож 4 24 (3)'!V29</f>
        <v>40711421.810000002</v>
      </c>
      <c r="G29" s="595">
        <f>'Прилож 4 24 (3)'!W29</f>
        <v>1331028.0900000001</v>
      </c>
      <c r="H29" s="595">
        <f>'Прилож 4 24 (3)'!X29</f>
        <v>11205022.93</v>
      </c>
      <c r="I29" s="596">
        <f t="shared" ref="I29" si="6">SUM(I12:I28)</f>
        <v>0</v>
      </c>
      <c r="J29" s="595">
        <f>'Прилож 4 24 (3)'!Z29</f>
        <v>0</v>
      </c>
      <c r="K29" s="595">
        <f>'Прилож 4 24 (3)'!AA29</f>
        <v>6508885.5</v>
      </c>
      <c r="L29" s="875">
        <f>'Прилож 4 24 (3)'!AB29</f>
        <v>1250210</v>
      </c>
      <c r="M29" s="876">
        <f>SUM(M12:M28)</f>
        <v>2807305.28</v>
      </c>
      <c r="N29" s="876">
        <f>SUM(N12:N28)</f>
        <v>1476800</v>
      </c>
      <c r="O29" s="876">
        <f t="shared" ref="O29:P29" si="7">SUM(O12:O28)</f>
        <v>0</v>
      </c>
      <c r="P29" s="876">
        <f t="shared" si="7"/>
        <v>0</v>
      </c>
      <c r="Q29" s="876"/>
      <c r="R29" s="876">
        <f t="shared" ref="R29:S29" si="8">SUM(R12:R28)</f>
        <v>0</v>
      </c>
      <c r="S29" s="876">
        <f t="shared" si="8"/>
        <v>100000</v>
      </c>
      <c r="T29" s="876">
        <f>SUM(T12:T28)</f>
        <v>1230505.28</v>
      </c>
      <c r="U29" s="876">
        <f>E29+M29</f>
        <v>63813873.609999999</v>
      </c>
      <c r="V29" s="875">
        <f>F29+N29</f>
        <v>42188221.810000002</v>
      </c>
      <c r="W29" s="875">
        <f>O29+G29</f>
        <v>1331028.0900000001</v>
      </c>
      <c r="X29" s="875">
        <f>P29+H29</f>
        <v>11205022.93</v>
      </c>
      <c r="Y29" s="876">
        <f t="shared" ref="Y29" si="9">SUM(Y12:Y28)</f>
        <v>0</v>
      </c>
      <c r="Z29" s="875">
        <f t="shared" si="4"/>
        <v>0</v>
      </c>
      <c r="AA29" s="875">
        <f>S29+K29</f>
        <v>6608885.5</v>
      </c>
      <c r="AB29" s="875">
        <f t="shared" si="4"/>
        <v>2480715.2800000003</v>
      </c>
      <c r="AC29" s="879"/>
      <c r="AD29" s="818">
        <f>V29+W29+X29</f>
        <v>54724272.830000006</v>
      </c>
    </row>
    <row r="30" spans="1:32" ht="78.75" x14ac:dyDescent="0.2">
      <c r="A30" s="620" t="s">
        <v>731</v>
      </c>
      <c r="B30" s="619" t="s">
        <v>747</v>
      </c>
      <c r="C30" s="620">
        <v>111</v>
      </c>
      <c r="D30" s="620">
        <v>211</v>
      </c>
      <c r="E30" s="596">
        <f t="shared" si="0"/>
        <v>14441714.18</v>
      </c>
      <c r="F30" s="595">
        <f>'Прилож 4 24 (3)'!V30</f>
        <v>12099601.689999999</v>
      </c>
      <c r="G30" s="595">
        <f>'Прилож 4 24 (3)'!W30</f>
        <v>0</v>
      </c>
      <c r="H30" s="595">
        <f>'Прилож 4 24 (3)'!X30</f>
        <v>2342112.4900000002</v>
      </c>
      <c r="I30" s="621"/>
      <c r="J30" s="595">
        <f>'Прилож 4 24 (3)'!Z30</f>
        <v>0</v>
      </c>
      <c r="K30" s="595">
        <f>'Прилож 4 24 (3)'!AA30</f>
        <v>0</v>
      </c>
      <c r="L30" s="875">
        <f>'Прилож 4 24 (3)'!AB30</f>
        <v>0</v>
      </c>
      <c r="M30" s="876">
        <f>N30+P30+R30+S30+T30+O30</f>
        <v>-539626.32999999996</v>
      </c>
      <c r="N30" s="875">
        <v>-441722.3</v>
      </c>
      <c r="O30" s="875"/>
      <c r="P30" s="875">
        <v>-97904.03</v>
      </c>
      <c r="Q30" s="877"/>
      <c r="R30" s="875"/>
      <c r="S30" s="875"/>
      <c r="T30" s="875"/>
      <c r="U30" s="876">
        <f>E30+M30</f>
        <v>13902087.85</v>
      </c>
      <c r="V30" s="875">
        <f t="shared" ref="V30:V93" si="10">F30+N30</f>
        <v>11657879.389999999</v>
      </c>
      <c r="W30" s="875">
        <f t="shared" ref="W30:W93" si="11">O30+G30</f>
        <v>0</v>
      </c>
      <c r="X30" s="875">
        <f t="shared" ref="X30:X93" si="12">P30+H30</f>
        <v>2244208.4600000004</v>
      </c>
      <c r="Y30" s="877"/>
      <c r="Z30" s="875">
        <f t="shared" si="4"/>
        <v>0</v>
      </c>
      <c r="AA30" s="875">
        <f t="shared" ref="AA30:AB93" si="13">S30+K30</f>
        <v>0</v>
      </c>
      <c r="AB30" s="875">
        <f t="shared" si="4"/>
        <v>0</v>
      </c>
      <c r="AC30" s="878" t="s">
        <v>1428</v>
      </c>
      <c r="AD30" s="820"/>
      <c r="AF30" s="820">
        <f>X30+X31+X34</f>
        <v>3003367.0600000005</v>
      </c>
    </row>
    <row r="31" spans="1:32" ht="52.5" customHeight="1" x14ac:dyDescent="0.2">
      <c r="A31" s="620" t="s">
        <v>731</v>
      </c>
      <c r="B31" s="619" t="s">
        <v>729</v>
      </c>
      <c r="C31" s="620">
        <v>111</v>
      </c>
      <c r="D31" s="620">
        <v>211</v>
      </c>
      <c r="E31" s="596">
        <f t="shared" si="0"/>
        <v>18414753.77</v>
      </c>
      <c r="F31" s="595">
        <f>'Прилож 4 24 (3)'!V31</f>
        <v>16863153.77</v>
      </c>
      <c r="G31" s="595">
        <f>'Прилож 4 24 (3)'!W31</f>
        <v>840000</v>
      </c>
      <c r="H31" s="595">
        <f>'Прилож 4 24 (3)'!X31</f>
        <v>711600</v>
      </c>
      <c r="I31" s="621"/>
      <c r="J31" s="595">
        <f>'Прилож 4 24 (3)'!Z31</f>
        <v>0</v>
      </c>
      <c r="K31" s="595">
        <f>'Прилож 4 24 (3)'!AA31</f>
        <v>0</v>
      </c>
      <c r="L31" s="875">
        <f>'Прилож 4 24 (3)'!AB31</f>
        <v>0</v>
      </c>
      <c r="M31" s="876">
        <f t="shared" ref="M31:M94" si="14">N31+P31+R31+S31+T31+O31</f>
        <v>944868.03</v>
      </c>
      <c r="N31" s="875">
        <v>944868.03</v>
      </c>
      <c r="O31" s="875"/>
      <c r="P31" s="875"/>
      <c r="Q31" s="877"/>
      <c r="R31" s="875"/>
      <c r="S31" s="875"/>
      <c r="T31" s="875"/>
      <c r="U31" s="876">
        <f t="shared" ref="U31:V94" si="15">E31+M31</f>
        <v>19359621.800000001</v>
      </c>
      <c r="V31" s="875">
        <f t="shared" si="10"/>
        <v>17808021.800000001</v>
      </c>
      <c r="W31" s="875">
        <f t="shared" si="11"/>
        <v>840000</v>
      </c>
      <c r="X31" s="875">
        <f t="shared" si="12"/>
        <v>711600</v>
      </c>
      <c r="Y31" s="877"/>
      <c r="Z31" s="875">
        <f t="shared" si="4"/>
        <v>0</v>
      </c>
      <c r="AA31" s="875">
        <f t="shared" si="13"/>
        <v>0</v>
      </c>
      <c r="AB31" s="875">
        <f t="shared" si="4"/>
        <v>0</v>
      </c>
      <c r="AC31" s="880" t="s">
        <v>1348</v>
      </c>
      <c r="AD31" s="820"/>
    </row>
    <row r="32" spans="1:32" x14ac:dyDescent="0.2">
      <c r="A32" s="620" t="s">
        <v>943</v>
      </c>
      <c r="B32" s="619" t="s">
        <v>729</v>
      </c>
      <c r="C32" s="620">
        <v>111</v>
      </c>
      <c r="D32" s="620">
        <v>211</v>
      </c>
      <c r="E32" s="596">
        <f t="shared" si="0"/>
        <v>272082.28000000003</v>
      </c>
      <c r="F32" s="595">
        <f>'Прилож 4 24 (3)'!V32</f>
        <v>89787.28</v>
      </c>
      <c r="G32" s="595">
        <f>'Прилож 4 24 (3)'!W32</f>
        <v>182295</v>
      </c>
      <c r="H32" s="595">
        <f>'Прилож 4 24 (3)'!X32</f>
        <v>0</v>
      </c>
      <c r="I32" s="621"/>
      <c r="J32" s="595">
        <f>'Прилож 4 24 (3)'!Z32</f>
        <v>0</v>
      </c>
      <c r="K32" s="595">
        <f>'Прилож 4 24 (3)'!AA32</f>
        <v>0</v>
      </c>
      <c r="L32" s="875">
        <f>'Прилож 4 24 (3)'!AB32</f>
        <v>0</v>
      </c>
      <c r="M32" s="876">
        <f t="shared" si="14"/>
        <v>0</v>
      </c>
      <c r="N32" s="875"/>
      <c r="O32" s="875"/>
      <c r="P32" s="875"/>
      <c r="Q32" s="877"/>
      <c r="R32" s="875"/>
      <c r="S32" s="875"/>
      <c r="T32" s="875"/>
      <c r="U32" s="876">
        <f t="shared" si="15"/>
        <v>272082.28000000003</v>
      </c>
      <c r="V32" s="875">
        <f t="shared" si="10"/>
        <v>89787.28</v>
      </c>
      <c r="W32" s="875">
        <f t="shared" si="11"/>
        <v>182295</v>
      </c>
      <c r="X32" s="875">
        <f t="shared" si="12"/>
        <v>0</v>
      </c>
      <c r="Y32" s="877"/>
      <c r="Z32" s="875">
        <f t="shared" si="4"/>
        <v>0</v>
      </c>
      <c r="AA32" s="875">
        <f t="shared" si="13"/>
        <v>0</v>
      </c>
      <c r="AB32" s="875">
        <f t="shared" si="4"/>
        <v>0</v>
      </c>
      <c r="AC32" s="878"/>
      <c r="AD32" s="820"/>
    </row>
    <row r="33" spans="1:30" x14ac:dyDescent="0.2">
      <c r="A33" s="620" t="s">
        <v>731</v>
      </c>
      <c r="B33" s="619" t="s">
        <v>64</v>
      </c>
      <c r="C33" s="620">
        <v>111</v>
      </c>
      <c r="D33" s="620">
        <v>211</v>
      </c>
      <c r="E33" s="596">
        <f t="shared" si="0"/>
        <v>64391.3</v>
      </c>
      <c r="F33" s="595">
        <f>'Прилож 4 24 (3)'!V33</f>
        <v>0</v>
      </c>
      <c r="G33" s="595">
        <f>'Прилож 4 24 (3)'!W33</f>
        <v>0</v>
      </c>
      <c r="H33" s="595">
        <f>'Прилож 4 24 (3)'!X33</f>
        <v>0</v>
      </c>
      <c r="I33" s="621"/>
      <c r="J33" s="595">
        <f>'Прилож 4 24 (3)'!Z33</f>
        <v>0</v>
      </c>
      <c r="K33" s="595">
        <f>'Прилож 4 24 (3)'!AA33</f>
        <v>64391.3</v>
      </c>
      <c r="L33" s="875">
        <f>'Прилож 4 24 (3)'!AB33</f>
        <v>0</v>
      </c>
      <c r="M33" s="876">
        <f t="shared" si="14"/>
        <v>0</v>
      </c>
      <c r="N33" s="875"/>
      <c r="O33" s="875"/>
      <c r="P33" s="875"/>
      <c r="Q33" s="877"/>
      <c r="R33" s="875"/>
      <c r="S33" s="875"/>
      <c r="T33" s="875"/>
      <c r="U33" s="876">
        <f t="shared" si="15"/>
        <v>64391.3</v>
      </c>
      <c r="V33" s="875">
        <f t="shared" si="10"/>
        <v>0</v>
      </c>
      <c r="W33" s="875">
        <f t="shared" si="11"/>
        <v>0</v>
      </c>
      <c r="X33" s="875">
        <f t="shared" si="12"/>
        <v>0</v>
      </c>
      <c r="Y33" s="877"/>
      <c r="Z33" s="875">
        <f t="shared" si="4"/>
        <v>0</v>
      </c>
      <c r="AA33" s="875">
        <f t="shared" si="13"/>
        <v>64391.3</v>
      </c>
      <c r="AB33" s="875">
        <f t="shared" si="4"/>
        <v>0</v>
      </c>
      <c r="AC33" s="878"/>
      <c r="AD33" s="820"/>
    </row>
    <row r="34" spans="1:30" x14ac:dyDescent="0.2">
      <c r="A34" s="620" t="s">
        <v>731</v>
      </c>
      <c r="B34" s="619" t="s">
        <v>691</v>
      </c>
      <c r="C34" s="620">
        <v>111</v>
      </c>
      <c r="D34" s="620">
        <v>211</v>
      </c>
      <c r="E34" s="596">
        <f t="shared" si="0"/>
        <v>56017.74</v>
      </c>
      <c r="F34" s="595">
        <f>'Прилож 4 24 (3)'!V34</f>
        <v>0</v>
      </c>
      <c r="G34" s="595">
        <f>'Прилож 4 24 (3)'!W34</f>
        <v>0</v>
      </c>
      <c r="H34" s="595">
        <f>'Прилож 4 24 (3)'!X34</f>
        <v>47558.6</v>
      </c>
      <c r="I34" s="621"/>
      <c r="J34" s="595">
        <f>'Прилож 4 24 (3)'!Z34</f>
        <v>0</v>
      </c>
      <c r="K34" s="595">
        <f>'Прилож 4 24 (3)'!AA34</f>
        <v>0</v>
      </c>
      <c r="L34" s="875">
        <f>'Прилож 4 24 (3)'!AB34</f>
        <v>8459.14</v>
      </c>
      <c r="M34" s="876">
        <f t="shared" si="14"/>
        <v>0</v>
      </c>
      <c r="N34" s="875"/>
      <c r="O34" s="875"/>
      <c r="P34" s="875"/>
      <c r="Q34" s="877"/>
      <c r="R34" s="875"/>
      <c r="S34" s="875"/>
      <c r="T34" s="875"/>
      <c r="U34" s="876">
        <f t="shared" si="15"/>
        <v>56017.74</v>
      </c>
      <c r="V34" s="875">
        <f t="shared" si="10"/>
        <v>0</v>
      </c>
      <c r="W34" s="875">
        <f t="shared" si="11"/>
        <v>0</v>
      </c>
      <c r="X34" s="875">
        <f t="shared" si="12"/>
        <v>47558.6</v>
      </c>
      <c r="Y34" s="877"/>
      <c r="Z34" s="875">
        <f t="shared" si="4"/>
        <v>0</v>
      </c>
      <c r="AA34" s="875">
        <f t="shared" si="13"/>
        <v>0</v>
      </c>
      <c r="AB34" s="875">
        <f t="shared" si="4"/>
        <v>8459.14</v>
      </c>
      <c r="AC34" s="878"/>
      <c r="AD34" s="820"/>
    </row>
    <row r="35" spans="1:30" s="614" customFormat="1" x14ac:dyDescent="0.2">
      <c r="A35" s="624" t="s">
        <v>732</v>
      </c>
      <c r="B35" s="624"/>
      <c r="C35" s="624"/>
      <c r="D35" s="624"/>
      <c r="E35" s="596">
        <f t="shared" si="0"/>
        <v>33248959.270000003</v>
      </c>
      <c r="F35" s="595">
        <f>'Прилож 4 24 (3)'!V35</f>
        <v>29052542.740000002</v>
      </c>
      <c r="G35" s="595">
        <f>'Прилож 4 24 (3)'!W35</f>
        <v>1022295</v>
      </c>
      <c r="H35" s="595">
        <f>'Прилож 4 24 (3)'!X35</f>
        <v>3101271.0900000003</v>
      </c>
      <c r="I35" s="626"/>
      <c r="J35" s="595">
        <f>'Прилож 4 24 (3)'!Z35</f>
        <v>0</v>
      </c>
      <c r="K35" s="595">
        <f>'Прилож 4 24 (3)'!AA35</f>
        <v>64391.3</v>
      </c>
      <c r="L35" s="875">
        <f>'Прилож 4 24 (3)'!AB35</f>
        <v>8459.14</v>
      </c>
      <c r="M35" s="876">
        <f t="shared" si="14"/>
        <v>405241.70000000007</v>
      </c>
      <c r="N35" s="876">
        <f>SUM(N30:N34)</f>
        <v>503145.73000000004</v>
      </c>
      <c r="O35" s="876"/>
      <c r="P35" s="876">
        <f>SUM(P30:P34)</f>
        <v>-97904.03</v>
      </c>
      <c r="Q35" s="881"/>
      <c r="R35" s="876"/>
      <c r="S35" s="876"/>
      <c r="T35" s="876"/>
      <c r="U35" s="876">
        <f t="shared" si="15"/>
        <v>33654200.970000006</v>
      </c>
      <c r="V35" s="875">
        <f t="shared" si="10"/>
        <v>29555688.470000003</v>
      </c>
      <c r="W35" s="875">
        <f t="shared" si="11"/>
        <v>1022295</v>
      </c>
      <c r="X35" s="875">
        <f t="shared" si="12"/>
        <v>3003367.0600000005</v>
      </c>
      <c r="Y35" s="881"/>
      <c r="Z35" s="875">
        <f t="shared" si="4"/>
        <v>0</v>
      </c>
      <c r="AA35" s="875">
        <f t="shared" si="13"/>
        <v>64391.3</v>
      </c>
      <c r="AB35" s="875">
        <f t="shared" si="4"/>
        <v>8459.14</v>
      </c>
      <c r="AC35" s="879"/>
      <c r="AD35" s="820"/>
    </row>
    <row r="36" spans="1:30" s="614" customFormat="1" ht="57.75" customHeight="1" x14ac:dyDescent="0.2">
      <c r="A36" s="618" t="s">
        <v>1339</v>
      </c>
      <c r="B36" s="620">
        <v>701</v>
      </c>
      <c r="C36" s="620">
        <v>321</v>
      </c>
      <c r="D36" s="620">
        <v>264</v>
      </c>
      <c r="E36" s="596">
        <f t="shared" si="0"/>
        <v>88171.02</v>
      </c>
      <c r="F36" s="595">
        <f>'Прилож 4 24 (3)'!V36</f>
        <v>88171.02</v>
      </c>
      <c r="G36" s="595">
        <f>'Прилож 4 24 (3)'!W36</f>
        <v>0</v>
      </c>
      <c r="H36" s="595">
        <f>'Прилож 4 24 (3)'!X36</f>
        <v>0</v>
      </c>
      <c r="I36" s="625"/>
      <c r="J36" s="595">
        <f>'Прилож 4 24 (3)'!Z36</f>
        <v>0</v>
      </c>
      <c r="K36" s="595">
        <f>'Прилож 4 24 (3)'!AA36</f>
        <v>0</v>
      </c>
      <c r="L36" s="875">
        <f>'Прилож 4 24 (3)'!AB36</f>
        <v>0</v>
      </c>
      <c r="M36" s="876">
        <f t="shared" si="14"/>
        <v>0</v>
      </c>
      <c r="N36" s="875"/>
      <c r="O36" s="875"/>
      <c r="P36" s="875"/>
      <c r="Q36" s="882"/>
      <c r="R36" s="875"/>
      <c r="S36" s="875"/>
      <c r="T36" s="875"/>
      <c r="U36" s="876">
        <f t="shared" si="15"/>
        <v>88171.02</v>
      </c>
      <c r="V36" s="875">
        <f t="shared" si="10"/>
        <v>88171.02</v>
      </c>
      <c r="W36" s="875">
        <f t="shared" si="11"/>
        <v>0</v>
      </c>
      <c r="X36" s="875">
        <f t="shared" si="12"/>
        <v>0</v>
      </c>
      <c r="Y36" s="882"/>
      <c r="Z36" s="875">
        <f t="shared" si="4"/>
        <v>0</v>
      </c>
      <c r="AA36" s="875">
        <f t="shared" si="13"/>
        <v>0</v>
      </c>
      <c r="AB36" s="875">
        <f t="shared" si="4"/>
        <v>0</v>
      </c>
      <c r="AC36" s="878"/>
      <c r="AD36" s="820"/>
    </row>
    <row r="37" spans="1:30" s="614" customFormat="1" x14ac:dyDescent="0.2">
      <c r="A37" s="624" t="s">
        <v>1342</v>
      </c>
      <c r="B37" s="624"/>
      <c r="C37" s="624"/>
      <c r="D37" s="624"/>
      <c r="E37" s="596">
        <f>E36</f>
        <v>88171.02</v>
      </c>
      <c r="F37" s="595">
        <f>'Прилож 4 24 (3)'!V37</f>
        <v>88171.02</v>
      </c>
      <c r="G37" s="595">
        <f>'Прилож 4 24 (3)'!W37</f>
        <v>0</v>
      </c>
      <c r="H37" s="595">
        <f>'Прилож 4 24 (3)'!X37</f>
        <v>0</v>
      </c>
      <c r="I37" s="626"/>
      <c r="J37" s="595">
        <f>'Прилож 4 24 (3)'!Z37</f>
        <v>0</v>
      </c>
      <c r="K37" s="595">
        <f>'Прилож 4 24 (3)'!AA37</f>
        <v>0</v>
      </c>
      <c r="L37" s="875">
        <f>'Прилож 4 24 (3)'!AB37</f>
        <v>0</v>
      </c>
      <c r="M37" s="876">
        <f t="shared" si="14"/>
        <v>0</v>
      </c>
      <c r="N37" s="876"/>
      <c r="O37" s="876"/>
      <c r="P37" s="876"/>
      <c r="Q37" s="881"/>
      <c r="R37" s="876"/>
      <c r="S37" s="876"/>
      <c r="T37" s="876"/>
      <c r="U37" s="876">
        <f t="shared" si="15"/>
        <v>88171.02</v>
      </c>
      <c r="V37" s="875">
        <f t="shared" si="10"/>
        <v>88171.02</v>
      </c>
      <c r="W37" s="875">
        <f t="shared" si="11"/>
        <v>0</v>
      </c>
      <c r="X37" s="875">
        <f t="shared" si="12"/>
        <v>0</v>
      </c>
      <c r="Y37" s="881"/>
      <c r="Z37" s="875">
        <f t="shared" si="4"/>
        <v>0</v>
      </c>
      <c r="AA37" s="875">
        <f t="shared" si="13"/>
        <v>0</v>
      </c>
      <c r="AB37" s="875">
        <f t="shared" si="4"/>
        <v>0</v>
      </c>
      <c r="AC37" s="879"/>
      <c r="AD37" s="820"/>
    </row>
    <row r="38" spans="1:30" ht="74.45" customHeight="1" x14ac:dyDescent="0.2">
      <c r="A38" s="618" t="s">
        <v>845</v>
      </c>
      <c r="B38" s="619" t="s">
        <v>747</v>
      </c>
      <c r="C38" s="620">
        <v>111</v>
      </c>
      <c r="D38" s="620">
        <v>266</v>
      </c>
      <c r="E38" s="596">
        <f t="shared" si="0"/>
        <v>100000</v>
      </c>
      <c r="F38" s="595">
        <f>'Прилож 4 24 (3)'!V38</f>
        <v>100000</v>
      </c>
      <c r="G38" s="595">
        <f>'Прилож 4 24 (3)'!W38</f>
        <v>0</v>
      </c>
      <c r="H38" s="595">
        <f>'Прилож 4 24 (3)'!X38</f>
        <v>0</v>
      </c>
      <c r="I38" s="621"/>
      <c r="J38" s="595">
        <f>'Прилож 4 24 (3)'!Z38</f>
        <v>0</v>
      </c>
      <c r="K38" s="595">
        <f>'Прилож 4 24 (3)'!AA38</f>
        <v>0</v>
      </c>
      <c r="L38" s="875">
        <f>'Прилож 4 24 (3)'!AB38</f>
        <v>0</v>
      </c>
      <c r="M38" s="876">
        <f t="shared" si="14"/>
        <v>0</v>
      </c>
      <c r="N38" s="875"/>
      <c r="O38" s="875"/>
      <c r="P38" s="875"/>
      <c r="Q38" s="877"/>
      <c r="R38" s="875"/>
      <c r="S38" s="875"/>
      <c r="T38" s="875"/>
      <c r="U38" s="876">
        <f t="shared" si="15"/>
        <v>100000</v>
      </c>
      <c r="V38" s="875">
        <f t="shared" si="10"/>
        <v>100000</v>
      </c>
      <c r="W38" s="875">
        <f t="shared" si="11"/>
        <v>0</v>
      </c>
      <c r="X38" s="875">
        <f t="shared" si="12"/>
        <v>0</v>
      </c>
      <c r="Y38" s="877"/>
      <c r="Z38" s="875">
        <f t="shared" si="4"/>
        <v>0</v>
      </c>
      <c r="AA38" s="875">
        <f t="shared" si="13"/>
        <v>0</v>
      </c>
      <c r="AB38" s="875">
        <f t="shared" si="4"/>
        <v>0</v>
      </c>
      <c r="AC38" s="878"/>
    </row>
    <row r="39" spans="1:30" ht="51.75" customHeight="1" x14ac:dyDescent="0.2">
      <c r="A39" s="618" t="s">
        <v>845</v>
      </c>
      <c r="B39" s="619" t="s">
        <v>729</v>
      </c>
      <c r="C39" s="620">
        <v>111</v>
      </c>
      <c r="D39" s="620">
        <v>266</v>
      </c>
      <c r="E39" s="596">
        <f t="shared" si="0"/>
        <v>80000</v>
      </c>
      <c r="F39" s="595">
        <f>'Прилож 4 24 (3)'!V39</f>
        <v>80000</v>
      </c>
      <c r="G39" s="595">
        <f>'Прилож 4 24 (3)'!W39</f>
        <v>0</v>
      </c>
      <c r="H39" s="595">
        <f>'Прилож 4 24 (3)'!X39</f>
        <v>0</v>
      </c>
      <c r="I39" s="621"/>
      <c r="J39" s="595">
        <f>'Прилож 4 24 (3)'!Z39</f>
        <v>0</v>
      </c>
      <c r="K39" s="595">
        <f>'Прилож 4 24 (3)'!AA39</f>
        <v>0</v>
      </c>
      <c r="L39" s="875">
        <f>'Прилож 4 24 (3)'!AB39</f>
        <v>0</v>
      </c>
      <c r="M39" s="876">
        <f t="shared" si="14"/>
        <v>0</v>
      </c>
      <c r="N39" s="875"/>
      <c r="O39" s="875"/>
      <c r="P39" s="875"/>
      <c r="Q39" s="877"/>
      <c r="R39" s="875"/>
      <c r="S39" s="875"/>
      <c r="T39" s="875"/>
      <c r="U39" s="876">
        <f t="shared" si="15"/>
        <v>80000</v>
      </c>
      <c r="V39" s="875">
        <f t="shared" si="10"/>
        <v>80000</v>
      </c>
      <c r="W39" s="875">
        <f t="shared" si="11"/>
        <v>0</v>
      </c>
      <c r="X39" s="875">
        <f t="shared" si="12"/>
        <v>0</v>
      </c>
      <c r="Y39" s="877"/>
      <c r="Z39" s="875">
        <f t="shared" si="4"/>
        <v>0</v>
      </c>
      <c r="AA39" s="875">
        <f t="shared" si="13"/>
        <v>0</v>
      </c>
      <c r="AB39" s="875">
        <f t="shared" si="13"/>
        <v>0</v>
      </c>
      <c r="AC39" s="878"/>
    </row>
    <row r="40" spans="1:30" s="614" customFormat="1" x14ac:dyDescent="0.2">
      <c r="A40" s="624" t="s">
        <v>847</v>
      </c>
      <c r="B40" s="624"/>
      <c r="C40" s="624"/>
      <c r="D40" s="624"/>
      <c r="E40" s="596">
        <f>L40+K40+J40+H40+G40+F40</f>
        <v>180000</v>
      </c>
      <c r="F40" s="595">
        <f>'Прилож 4 24 (3)'!V40</f>
        <v>180000</v>
      </c>
      <c r="G40" s="595">
        <f>'Прилож 4 24 (3)'!W40</f>
        <v>0</v>
      </c>
      <c r="H40" s="595">
        <f>'Прилож 4 24 (3)'!X40</f>
        <v>0</v>
      </c>
      <c r="I40" s="626">
        <f t="shared" ref="I40:I42" si="16">SUM(I38:I39)</f>
        <v>0</v>
      </c>
      <c r="J40" s="595">
        <f>'Прилож 4 24 (3)'!Z40</f>
        <v>0</v>
      </c>
      <c r="K40" s="595">
        <f>'Прилож 4 24 (3)'!AA40</f>
        <v>0</v>
      </c>
      <c r="L40" s="875">
        <f>'Прилож 4 24 (3)'!AB40</f>
        <v>0</v>
      </c>
      <c r="M40" s="876">
        <f t="shared" si="14"/>
        <v>0</v>
      </c>
      <c r="N40" s="876"/>
      <c r="O40" s="876"/>
      <c r="P40" s="876"/>
      <c r="Q40" s="881"/>
      <c r="R40" s="876"/>
      <c r="S40" s="876"/>
      <c r="T40" s="876"/>
      <c r="U40" s="876">
        <f t="shared" si="15"/>
        <v>180000</v>
      </c>
      <c r="V40" s="875">
        <f t="shared" si="10"/>
        <v>180000</v>
      </c>
      <c r="W40" s="875">
        <f t="shared" si="11"/>
        <v>0</v>
      </c>
      <c r="X40" s="875">
        <f t="shared" si="12"/>
        <v>0</v>
      </c>
      <c r="Y40" s="881">
        <f t="shared" ref="Y40:Y42" si="17">SUM(Y38:Y39)</f>
        <v>0</v>
      </c>
      <c r="Z40" s="875">
        <f t="shared" si="4"/>
        <v>0</v>
      </c>
      <c r="AA40" s="875">
        <f t="shared" si="13"/>
        <v>0</v>
      </c>
      <c r="AB40" s="875">
        <f t="shared" si="13"/>
        <v>0</v>
      </c>
      <c r="AC40" s="879"/>
    </row>
    <row r="41" spans="1:30" ht="66.75" customHeight="1" x14ac:dyDescent="0.2">
      <c r="A41" s="618" t="s">
        <v>1270</v>
      </c>
      <c r="B41" s="619" t="s">
        <v>691</v>
      </c>
      <c r="C41" s="620">
        <v>112</v>
      </c>
      <c r="D41" s="620">
        <v>222</v>
      </c>
      <c r="E41" s="596">
        <f t="shared" si="0"/>
        <v>2727.9</v>
      </c>
      <c r="F41" s="595">
        <f>'Прилож 4 24 (3)'!V41</f>
        <v>0</v>
      </c>
      <c r="G41" s="595">
        <f>'Прилож 4 24 (3)'!W41</f>
        <v>0</v>
      </c>
      <c r="H41" s="595">
        <f>'Прилож 4 24 (3)'!X41</f>
        <v>2315.96</v>
      </c>
      <c r="I41" s="621"/>
      <c r="J41" s="595">
        <f>'Прилож 4 24 (3)'!Z41</f>
        <v>0</v>
      </c>
      <c r="K41" s="595">
        <f>'Прилож 4 24 (3)'!AA41</f>
        <v>0</v>
      </c>
      <c r="L41" s="875">
        <f>'Прилож 4 24 (3)'!AB41</f>
        <v>411.94</v>
      </c>
      <c r="M41" s="876">
        <f t="shared" si="14"/>
        <v>-2727.9</v>
      </c>
      <c r="N41" s="875"/>
      <c r="O41" s="875"/>
      <c r="P41" s="875">
        <v>-2315.96</v>
      </c>
      <c r="Q41" s="877"/>
      <c r="R41" s="875"/>
      <c r="S41" s="875"/>
      <c r="T41" s="875">
        <v>-411.94</v>
      </c>
      <c r="U41" s="876">
        <f t="shared" si="15"/>
        <v>0</v>
      </c>
      <c r="V41" s="875">
        <f t="shared" si="10"/>
        <v>0</v>
      </c>
      <c r="W41" s="875">
        <f t="shared" si="11"/>
        <v>0</v>
      </c>
      <c r="X41" s="875">
        <f t="shared" si="12"/>
        <v>0</v>
      </c>
      <c r="Y41" s="877"/>
      <c r="Z41" s="875">
        <f t="shared" si="4"/>
        <v>0</v>
      </c>
      <c r="AA41" s="875">
        <f t="shared" si="13"/>
        <v>0</v>
      </c>
      <c r="AB41" s="875">
        <f t="shared" si="13"/>
        <v>0</v>
      </c>
      <c r="AC41" s="878" t="s">
        <v>1355</v>
      </c>
    </row>
    <row r="42" spans="1:30" s="614" customFormat="1" x14ac:dyDescent="0.2">
      <c r="A42" s="624" t="s">
        <v>1264</v>
      </c>
      <c r="B42" s="624"/>
      <c r="C42" s="624"/>
      <c r="D42" s="624"/>
      <c r="E42" s="596">
        <f>SUM(E41)</f>
        <v>2727.9</v>
      </c>
      <c r="F42" s="595">
        <f>'Прилож 4 24 (3)'!V42</f>
        <v>0</v>
      </c>
      <c r="G42" s="595">
        <f>'Прилож 4 24 (3)'!W42</f>
        <v>0</v>
      </c>
      <c r="H42" s="595">
        <f>'Прилож 4 24 (3)'!X42</f>
        <v>2315.96</v>
      </c>
      <c r="I42" s="626">
        <f t="shared" si="16"/>
        <v>0</v>
      </c>
      <c r="J42" s="595">
        <f>'Прилож 4 24 (3)'!Z42</f>
        <v>0</v>
      </c>
      <c r="K42" s="595">
        <f>'Прилож 4 24 (3)'!AA42</f>
        <v>0</v>
      </c>
      <c r="L42" s="875">
        <f>'Прилож 4 24 (3)'!AB42</f>
        <v>411.94</v>
      </c>
      <c r="M42" s="876">
        <f t="shared" si="14"/>
        <v>-2727.9</v>
      </c>
      <c r="N42" s="876"/>
      <c r="O42" s="876"/>
      <c r="P42" s="876">
        <f>SUM(P41)</f>
        <v>-2315.96</v>
      </c>
      <c r="Q42" s="881"/>
      <c r="R42" s="876"/>
      <c r="S42" s="876">
        <f>SUM(S41)</f>
        <v>0</v>
      </c>
      <c r="T42" s="876">
        <f>SUM(T41)</f>
        <v>-411.94</v>
      </c>
      <c r="U42" s="876">
        <f t="shared" si="15"/>
        <v>0</v>
      </c>
      <c r="V42" s="875">
        <f t="shared" si="10"/>
        <v>0</v>
      </c>
      <c r="W42" s="875">
        <f t="shared" si="11"/>
        <v>0</v>
      </c>
      <c r="X42" s="875">
        <f t="shared" si="12"/>
        <v>0</v>
      </c>
      <c r="Y42" s="881">
        <f t="shared" si="17"/>
        <v>0</v>
      </c>
      <c r="Z42" s="875">
        <f t="shared" si="4"/>
        <v>0</v>
      </c>
      <c r="AA42" s="875">
        <f t="shared" si="13"/>
        <v>0</v>
      </c>
      <c r="AB42" s="875">
        <f t="shared" si="13"/>
        <v>0</v>
      </c>
      <c r="AC42" s="879"/>
    </row>
    <row r="43" spans="1:30" s="614" customFormat="1" ht="78.75" x14ac:dyDescent="0.2">
      <c r="A43" s="618" t="s">
        <v>748</v>
      </c>
      <c r="B43" s="619" t="s">
        <v>747</v>
      </c>
      <c r="C43" s="620">
        <v>119</v>
      </c>
      <c r="D43" s="620">
        <v>213</v>
      </c>
      <c r="E43" s="596">
        <f t="shared" si="0"/>
        <v>4391597.68</v>
      </c>
      <c r="F43" s="595">
        <f>'Прилож 4 24 (3)'!V43</f>
        <v>3684279.71</v>
      </c>
      <c r="G43" s="595">
        <f>'Прилож 4 24 (3)'!W43</f>
        <v>0</v>
      </c>
      <c r="H43" s="595">
        <f>'Прилож 4 24 (3)'!X43</f>
        <v>707317.97</v>
      </c>
      <c r="I43" s="628"/>
      <c r="J43" s="595">
        <f>'Прилож 4 24 (3)'!Z43</f>
        <v>0</v>
      </c>
      <c r="K43" s="595">
        <f>'Прилож 4 24 (3)'!AA43</f>
        <v>0</v>
      </c>
      <c r="L43" s="875">
        <f>'Прилож 4 24 (3)'!AB43</f>
        <v>0</v>
      </c>
      <c r="M43" s="876">
        <f t="shared" si="14"/>
        <v>-193167.15</v>
      </c>
      <c r="N43" s="875">
        <v>-163600.13</v>
      </c>
      <c r="O43" s="875"/>
      <c r="P43" s="875">
        <v>-29567.02</v>
      </c>
      <c r="Q43" s="883"/>
      <c r="R43" s="875"/>
      <c r="S43" s="875"/>
      <c r="T43" s="875"/>
      <c r="U43" s="876">
        <f t="shared" si="15"/>
        <v>4198430.5299999993</v>
      </c>
      <c r="V43" s="875">
        <f t="shared" si="10"/>
        <v>3520679.58</v>
      </c>
      <c r="W43" s="875">
        <f t="shared" si="11"/>
        <v>0</v>
      </c>
      <c r="X43" s="875">
        <f t="shared" si="12"/>
        <v>677750.95</v>
      </c>
      <c r="Y43" s="883"/>
      <c r="Z43" s="875">
        <f t="shared" si="4"/>
        <v>0</v>
      </c>
      <c r="AA43" s="875">
        <f t="shared" si="13"/>
        <v>0</v>
      </c>
      <c r="AB43" s="875">
        <f t="shared" si="13"/>
        <v>0</v>
      </c>
      <c r="AC43" s="878" t="s">
        <v>1428</v>
      </c>
    </row>
    <row r="44" spans="1:30" s="614" customFormat="1" ht="78.75" x14ac:dyDescent="0.2">
      <c r="A44" s="618" t="s">
        <v>748</v>
      </c>
      <c r="B44" s="619" t="s">
        <v>729</v>
      </c>
      <c r="C44" s="620">
        <v>119</v>
      </c>
      <c r="D44" s="620">
        <v>213</v>
      </c>
      <c r="E44" s="596">
        <f t="shared" si="0"/>
        <v>5561252.4400000004</v>
      </c>
      <c r="F44" s="595">
        <f>'Прилож 4 24 (3)'!V44</f>
        <v>5092672.4400000004</v>
      </c>
      <c r="G44" s="595">
        <f>'Прилож 4 24 (3)'!W44</f>
        <v>253680</v>
      </c>
      <c r="H44" s="595">
        <f>'Прилож 4 24 (3)'!X44</f>
        <v>214900</v>
      </c>
      <c r="I44" s="628"/>
      <c r="J44" s="595">
        <f>'Прилож 4 24 (3)'!Z44</f>
        <v>0</v>
      </c>
      <c r="K44" s="595">
        <f>'Прилож 4 24 (3)'!AA44</f>
        <v>0</v>
      </c>
      <c r="L44" s="875">
        <f>'Прилож 4 24 (3)'!AB44</f>
        <v>0</v>
      </c>
      <c r="M44" s="876">
        <f t="shared" si="14"/>
        <v>285350.14</v>
      </c>
      <c r="N44" s="875">
        <v>285350.14</v>
      </c>
      <c r="O44" s="875"/>
      <c r="P44" s="875"/>
      <c r="Q44" s="883"/>
      <c r="R44" s="875"/>
      <c r="S44" s="875"/>
      <c r="T44" s="875"/>
      <c r="U44" s="876">
        <f t="shared" si="15"/>
        <v>5846602.5800000001</v>
      </c>
      <c r="V44" s="875">
        <f t="shared" si="10"/>
        <v>5378022.5800000001</v>
      </c>
      <c r="W44" s="875">
        <f t="shared" si="11"/>
        <v>253680</v>
      </c>
      <c r="X44" s="875">
        <f t="shared" si="12"/>
        <v>214900</v>
      </c>
      <c r="Y44" s="883"/>
      <c r="Z44" s="875">
        <f t="shared" si="4"/>
        <v>0</v>
      </c>
      <c r="AA44" s="875">
        <f t="shared" si="13"/>
        <v>0</v>
      </c>
      <c r="AB44" s="875">
        <f t="shared" si="13"/>
        <v>0</v>
      </c>
      <c r="AC44" s="878" t="s">
        <v>1348</v>
      </c>
    </row>
    <row r="45" spans="1:30" s="614" customFormat="1" ht="78.75" x14ac:dyDescent="0.2">
      <c r="A45" s="618" t="s">
        <v>944</v>
      </c>
      <c r="B45" s="619" t="s">
        <v>729</v>
      </c>
      <c r="C45" s="620">
        <v>119</v>
      </c>
      <c r="D45" s="620">
        <v>213</v>
      </c>
      <c r="E45" s="596">
        <f t="shared" si="0"/>
        <v>82168.849999999991</v>
      </c>
      <c r="F45" s="595">
        <f>'Прилож 4 24 (3)'!V45</f>
        <v>27115.759999999998</v>
      </c>
      <c r="G45" s="595">
        <f>'Прилож 4 24 (3)'!W45</f>
        <v>55053.09</v>
      </c>
      <c r="H45" s="595">
        <f>'Прилож 4 24 (3)'!X45</f>
        <v>0</v>
      </c>
      <c r="I45" s="628"/>
      <c r="J45" s="595">
        <f>'Прилож 4 24 (3)'!Z45</f>
        <v>0</v>
      </c>
      <c r="K45" s="595">
        <f>'Прилож 4 24 (3)'!AA45</f>
        <v>0</v>
      </c>
      <c r="L45" s="875">
        <f>'Прилож 4 24 (3)'!AB45</f>
        <v>0</v>
      </c>
      <c r="M45" s="876">
        <f t="shared" si="14"/>
        <v>0</v>
      </c>
      <c r="N45" s="875"/>
      <c r="O45" s="875"/>
      <c r="P45" s="875"/>
      <c r="Q45" s="883"/>
      <c r="R45" s="875"/>
      <c r="S45" s="875"/>
      <c r="T45" s="875"/>
      <c r="U45" s="876">
        <f t="shared" si="15"/>
        <v>82168.849999999991</v>
      </c>
      <c r="V45" s="875">
        <f t="shared" si="10"/>
        <v>27115.759999999998</v>
      </c>
      <c r="W45" s="875">
        <f t="shared" si="11"/>
        <v>55053.09</v>
      </c>
      <c r="X45" s="875">
        <f t="shared" si="12"/>
        <v>0</v>
      </c>
      <c r="Y45" s="883"/>
      <c r="Z45" s="875">
        <f t="shared" si="4"/>
        <v>0</v>
      </c>
      <c r="AA45" s="875">
        <f t="shared" si="13"/>
        <v>0</v>
      </c>
      <c r="AB45" s="875">
        <f t="shared" si="13"/>
        <v>0</v>
      </c>
      <c r="AC45" s="878"/>
    </row>
    <row r="46" spans="1:30" s="614" customFormat="1" ht="78.75" x14ac:dyDescent="0.2">
      <c r="A46" s="618" t="s">
        <v>748</v>
      </c>
      <c r="B46" s="619" t="s">
        <v>64</v>
      </c>
      <c r="C46" s="620">
        <v>119</v>
      </c>
      <c r="D46" s="620">
        <v>213</v>
      </c>
      <c r="E46" s="596">
        <f t="shared" si="0"/>
        <v>19446</v>
      </c>
      <c r="F46" s="595">
        <f>'Прилож 4 24 (3)'!V46</f>
        <v>0</v>
      </c>
      <c r="G46" s="595">
        <f>'Прилож 4 24 (3)'!W46</f>
        <v>0</v>
      </c>
      <c r="H46" s="595">
        <f>'Прилож 4 24 (3)'!X46</f>
        <v>0</v>
      </c>
      <c r="I46" s="621"/>
      <c r="J46" s="595">
        <f>'Прилож 4 24 (3)'!Z46</f>
        <v>0</v>
      </c>
      <c r="K46" s="595">
        <f>'Прилож 4 24 (3)'!AA46</f>
        <v>19446</v>
      </c>
      <c r="L46" s="875">
        <f>'Прилож 4 24 (3)'!AB46</f>
        <v>0</v>
      </c>
      <c r="M46" s="876">
        <f t="shared" si="14"/>
        <v>0</v>
      </c>
      <c r="N46" s="875"/>
      <c r="O46" s="875"/>
      <c r="P46" s="875"/>
      <c r="Q46" s="883"/>
      <c r="R46" s="875"/>
      <c r="S46" s="875"/>
      <c r="T46" s="875"/>
      <c r="U46" s="876">
        <f t="shared" si="15"/>
        <v>19446</v>
      </c>
      <c r="V46" s="875">
        <f t="shared" si="10"/>
        <v>0</v>
      </c>
      <c r="W46" s="875">
        <f t="shared" si="11"/>
        <v>0</v>
      </c>
      <c r="X46" s="875">
        <f t="shared" si="12"/>
        <v>0</v>
      </c>
      <c r="Y46" s="877"/>
      <c r="Z46" s="875">
        <f t="shared" si="4"/>
        <v>0</v>
      </c>
      <c r="AA46" s="875">
        <f t="shared" si="13"/>
        <v>19446</v>
      </c>
      <c r="AB46" s="875">
        <f t="shared" si="13"/>
        <v>0</v>
      </c>
      <c r="AC46" s="878"/>
    </row>
    <row r="47" spans="1:30" s="614" customFormat="1" ht="78.75" x14ac:dyDescent="0.2">
      <c r="A47" s="618" t="s">
        <v>748</v>
      </c>
      <c r="B47" s="619" t="s">
        <v>691</v>
      </c>
      <c r="C47" s="620">
        <v>119</v>
      </c>
      <c r="D47" s="620">
        <v>213</v>
      </c>
      <c r="E47" s="596">
        <f t="shared" si="0"/>
        <v>16917.36</v>
      </c>
      <c r="F47" s="595">
        <f>'Прилож 4 24 (3)'!V47</f>
        <v>0</v>
      </c>
      <c r="G47" s="595">
        <f>'Прилож 4 24 (3)'!W47</f>
        <v>0</v>
      </c>
      <c r="H47" s="595">
        <f>'Прилож 4 24 (3)'!X47</f>
        <v>14362.7</v>
      </c>
      <c r="I47" s="628"/>
      <c r="J47" s="595">
        <f>'Прилож 4 24 (3)'!Z47</f>
        <v>0</v>
      </c>
      <c r="K47" s="595">
        <f>'Прилож 4 24 (3)'!AA47</f>
        <v>0</v>
      </c>
      <c r="L47" s="875">
        <f>'Прилож 4 24 (3)'!AB47</f>
        <v>2554.66</v>
      </c>
      <c r="M47" s="876">
        <f t="shared" si="14"/>
        <v>0</v>
      </c>
      <c r="N47" s="875"/>
      <c r="O47" s="875"/>
      <c r="P47" s="875"/>
      <c r="Q47" s="883"/>
      <c r="R47" s="875"/>
      <c r="S47" s="875"/>
      <c r="T47" s="875"/>
      <c r="U47" s="876">
        <f t="shared" si="15"/>
        <v>16917.36</v>
      </c>
      <c r="V47" s="875">
        <f t="shared" si="10"/>
        <v>0</v>
      </c>
      <c r="W47" s="875">
        <f t="shared" si="11"/>
        <v>0</v>
      </c>
      <c r="X47" s="875">
        <f t="shared" si="12"/>
        <v>14362.7</v>
      </c>
      <c r="Y47" s="883"/>
      <c r="Z47" s="875">
        <f t="shared" si="4"/>
        <v>0</v>
      </c>
      <c r="AA47" s="875">
        <f t="shared" si="13"/>
        <v>0</v>
      </c>
      <c r="AB47" s="875">
        <f t="shared" si="13"/>
        <v>2554.66</v>
      </c>
      <c r="AC47" s="878"/>
    </row>
    <row r="48" spans="1:30" s="614" customFormat="1" x14ac:dyDescent="0.2">
      <c r="A48" s="630" t="s">
        <v>733</v>
      </c>
      <c r="B48" s="631"/>
      <c r="C48" s="624"/>
      <c r="D48" s="624"/>
      <c r="E48" s="596">
        <f>L48+K48+J48+H48+G48+F48</f>
        <v>10071382.33</v>
      </c>
      <c r="F48" s="595">
        <f>'Прилож 4 24 (3)'!V48</f>
        <v>8804067.9100000001</v>
      </c>
      <c r="G48" s="595">
        <f>'Прилож 4 24 (3)'!W48</f>
        <v>308733.08999999997</v>
      </c>
      <c r="H48" s="595">
        <f>'Прилож 4 24 (3)'!X48</f>
        <v>936580.66999999993</v>
      </c>
      <c r="I48" s="626"/>
      <c r="J48" s="595">
        <f>'Прилож 4 24 (3)'!Z48</f>
        <v>0</v>
      </c>
      <c r="K48" s="595">
        <f>'Прилож 4 24 (3)'!AA48</f>
        <v>19446</v>
      </c>
      <c r="L48" s="875">
        <f>'Прилож 4 24 (3)'!AB48</f>
        <v>2554.66</v>
      </c>
      <c r="M48" s="876">
        <f t="shared" si="14"/>
        <v>92182.99</v>
      </c>
      <c r="N48" s="876">
        <f>SUM(N43:N47)</f>
        <v>121750.01000000001</v>
      </c>
      <c r="O48" s="876"/>
      <c r="P48" s="876">
        <f>SUM(P43:P47)</f>
        <v>-29567.02</v>
      </c>
      <c r="Q48" s="881"/>
      <c r="R48" s="876"/>
      <c r="S48" s="876"/>
      <c r="T48" s="876"/>
      <c r="U48" s="876">
        <f t="shared" si="15"/>
        <v>10163565.32</v>
      </c>
      <c r="V48" s="875">
        <f t="shared" si="10"/>
        <v>8925817.9199999999</v>
      </c>
      <c r="W48" s="875">
        <f t="shared" si="11"/>
        <v>308733.08999999997</v>
      </c>
      <c r="X48" s="875">
        <f t="shared" si="12"/>
        <v>907013.64999999991</v>
      </c>
      <c r="Y48" s="881"/>
      <c r="Z48" s="875">
        <f t="shared" si="4"/>
        <v>0</v>
      </c>
      <c r="AA48" s="875">
        <f t="shared" si="13"/>
        <v>19446</v>
      </c>
      <c r="AB48" s="875">
        <f t="shared" si="13"/>
        <v>2554.66</v>
      </c>
      <c r="AC48" s="879"/>
      <c r="AD48" s="818"/>
    </row>
    <row r="49" spans="1:29" ht="31.5" x14ac:dyDescent="0.2">
      <c r="A49" s="618" t="s">
        <v>1183</v>
      </c>
      <c r="B49" s="619" t="s">
        <v>747</v>
      </c>
      <c r="C49" s="620">
        <v>244</v>
      </c>
      <c r="D49" s="620">
        <v>221</v>
      </c>
      <c r="E49" s="596">
        <f t="shared" si="0"/>
        <v>14452.3</v>
      </c>
      <c r="F49" s="595">
        <f>'Прилож 4 24 (3)'!V49</f>
        <v>0</v>
      </c>
      <c r="G49" s="595">
        <f>'Прилож 4 24 (3)'!W49</f>
        <v>0</v>
      </c>
      <c r="H49" s="595">
        <f>'Прилож 4 24 (3)'!X49</f>
        <v>14452.3</v>
      </c>
      <c r="I49" s="628"/>
      <c r="J49" s="595">
        <f>'Прилож 4 24 (3)'!Z49</f>
        <v>0</v>
      </c>
      <c r="K49" s="595">
        <f>'Прилож 4 24 (3)'!AA49</f>
        <v>0</v>
      </c>
      <c r="L49" s="875">
        <f>'Прилож 4 24 (3)'!AB49</f>
        <v>0</v>
      </c>
      <c r="M49" s="876">
        <f t="shared" si="14"/>
        <v>0</v>
      </c>
      <c r="N49" s="875"/>
      <c r="O49" s="875"/>
      <c r="P49" s="875"/>
      <c r="Q49" s="877"/>
      <c r="R49" s="875"/>
      <c r="S49" s="875"/>
      <c r="T49" s="875"/>
      <c r="U49" s="876">
        <f t="shared" si="15"/>
        <v>14452.3</v>
      </c>
      <c r="V49" s="875">
        <f t="shared" si="10"/>
        <v>0</v>
      </c>
      <c r="W49" s="875">
        <f t="shared" si="11"/>
        <v>0</v>
      </c>
      <c r="X49" s="875">
        <f t="shared" si="12"/>
        <v>14452.3</v>
      </c>
      <c r="Y49" s="883"/>
      <c r="Z49" s="875">
        <f t="shared" si="4"/>
        <v>0</v>
      </c>
      <c r="AA49" s="875">
        <f t="shared" si="13"/>
        <v>0</v>
      </c>
      <c r="AB49" s="875">
        <f t="shared" si="13"/>
        <v>0</v>
      </c>
      <c r="AC49" s="878"/>
    </row>
    <row r="50" spans="1:29" x14ac:dyDescent="0.2">
      <c r="A50" s="618" t="s">
        <v>1184</v>
      </c>
      <c r="B50" s="619" t="s">
        <v>747</v>
      </c>
      <c r="C50" s="620">
        <v>244</v>
      </c>
      <c r="D50" s="620">
        <v>221</v>
      </c>
      <c r="E50" s="596">
        <f t="shared" si="0"/>
        <v>36000</v>
      </c>
      <c r="F50" s="595">
        <f>'Прилож 4 24 (3)'!V50</f>
        <v>0</v>
      </c>
      <c r="G50" s="595">
        <f>'Прилож 4 24 (3)'!W50</f>
        <v>0</v>
      </c>
      <c r="H50" s="595">
        <f>'Прилож 4 24 (3)'!X50</f>
        <v>36000</v>
      </c>
      <c r="I50" s="628"/>
      <c r="J50" s="595">
        <f>'Прилож 4 24 (3)'!Z50</f>
        <v>0</v>
      </c>
      <c r="K50" s="595">
        <f>'Прилож 4 24 (3)'!AA50</f>
        <v>0</v>
      </c>
      <c r="L50" s="875">
        <f>'Прилож 4 24 (3)'!AB50</f>
        <v>0</v>
      </c>
      <c r="M50" s="876">
        <f t="shared" si="14"/>
        <v>0</v>
      </c>
      <c r="N50" s="875"/>
      <c r="O50" s="875"/>
      <c r="P50" s="875"/>
      <c r="Q50" s="877"/>
      <c r="R50" s="875"/>
      <c r="S50" s="875"/>
      <c r="T50" s="875"/>
      <c r="U50" s="876">
        <f t="shared" si="15"/>
        <v>36000</v>
      </c>
      <c r="V50" s="875">
        <f t="shared" si="10"/>
        <v>0</v>
      </c>
      <c r="W50" s="875">
        <f t="shared" si="11"/>
        <v>0</v>
      </c>
      <c r="X50" s="875">
        <f t="shared" si="12"/>
        <v>36000</v>
      </c>
      <c r="Y50" s="883"/>
      <c r="Z50" s="875">
        <f t="shared" si="4"/>
        <v>0</v>
      </c>
      <c r="AA50" s="875">
        <f t="shared" si="13"/>
        <v>0</v>
      </c>
      <c r="AB50" s="875">
        <f t="shared" si="13"/>
        <v>0</v>
      </c>
      <c r="AC50" s="878"/>
    </row>
    <row r="51" spans="1:29" x14ac:dyDescent="0.2">
      <c r="A51" s="618" t="s">
        <v>158</v>
      </c>
      <c r="B51" s="619" t="s">
        <v>747</v>
      </c>
      <c r="C51" s="620">
        <v>244</v>
      </c>
      <c r="D51" s="620">
        <v>221</v>
      </c>
      <c r="E51" s="596">
        <f t="shared" si="0"/>
        <v>6600</v>
      </c>
      <c r="F51" s="595">
        <f>'Прилож 4 24 (3)'!V51</f>
        <v>0</v>
      </c>
      <c r="G51" s="595">
        <f>'Прилож 4 24 (3)'!W51</f>
        <v>0</v>
      </c>
      <c r="H51" s="595">
        <f>'Прилож 4 24 (3)'!X51</f>
        <v>6600</v>
      </c>
      <c r="I51" s="628"/>
      <c r="J51" s="595">
        <f>'Прилож 4 24 (3)'!Z51</f>
        <v>0</v>
      </c>
      <c r="K51" s="595">
        <f>'Прилож 4 24 (3)'!AA51</f>
        <v>0</v>
      </c>
      <c r="L51" s="875">
        <f>'Прилож 4 24 (3)'!AB51</f>
        <v>0</v>
      </c>
      <c r="M51" s="876">
        <f t="shared" si="14"/>
        <v>0</v>
      </c>
      <c r="N51" s="875"/>
      <c r="O51" s="875"/>
      <c r="P51" s="875"/>
      <c r="Q51" s="877"/>
      <c r="R51" s="875"/>
      <c r="S51" s="875"/>
      <c r="T51" s="875"/>
      <c r="U51" s="876">
        <f t="shared" si="15"/>
        <v>6600</v>
      </c>
      <c r="V51" s="875">
        <f t="shared" si="10"/>
        <v>0</v>
      </c>
      <c r="W51" s="875">
        <f t="shared" si="11"/>
        <v>0</v>
      </c>
      <c r="X51" s="875">
        <f t="shared" si="12"/>
        <v>6600</v>
      </c>
      <c r="Y51" s="883"/>
      <c r="Z51" s="875">
        <f t="shared" si="4"/>
        <v>0</v>
      </c>
      <c r="AA51" s="875">
        <f t="shared" si="13"/>
        <v>0</v>
      </c>
      <c r="AB51" s="875">
        <f t="shared" si="13"/>
        <v>0</v>
      </c>
      <c r="AC51" s="878"/>
    </row>
    <row r="52" spans="1:29" s="637" customFormat="1" x14ac:dyDescent="0.2">
      <c r="A52" s="632" t="s">
        <v>1143</v>
      </c>
      <c r="B52" s="633" t="s">
        <v>747</v>
      </c>
      <c r="C52" s="634">
        <v>244</v>
      </c>
      <c r="D52" s="634">
        <v>221</v>
      </c>
      <c r="E52" s="597">
        <f>SUM(E49:E51)</f>
        <v>57052.3</v>
      </c>
      <c r="F52" s="595">
        <f>'Прилож 4 24 (3)'!V52</f>
        <v>0</v>
      </c>
      <c r="G52" s="595">
        <f>'Прилож 4 24 (3)'!W52</f>
        <v>0</v>
      </c>
      <c r="H52" s="595">
        <f>'Прилож 4 24 (3)'!X52</f>
        <v>57052.3</v>
      </c>
      <c r="I52" s="635"/>
      <c r="J52" s="595">
        <f>'Прилож 4 24 (3)'!Z52</f>
        <v>0</v>
      </c>
      <c r="K52" s="595">
        <f>'Прилож 4 24 (3)'!AA52</f>
        <v>0</v>
      </c>
      <c r="L52" s="875">
        <f>'Прилож 4 24 (3)'!AB52</f>
        <v>0</v>
      </c>
      <c r="M52" s="876">
        <f t="shared" si="14"/>
        <v>0</v>
      </c>
      <c r="N52" s="884"/>
      <c r="O52" s="884"/>
      <c r="P52" s="884"/>
      <c r="Q52" s="885"/>
      <c r="R52" s="884"/>
      <c r="S52" s="884"/>
      <c r="T52" s="884"/>
      <c r="U52" s="876">
        <f t="shared" si="15"/>
        <v>57052.3</v>
      </c>
      <c r="V52" s="875">
        <f t="shared" si="10"/>
        <v>0</v>
      </c>
      <c r="W52" s="875">
        <f t="shared" si="11"/>
        <v>0</v>
      </c>
      <c r="X52" s="875">
        <f t="shared" si="12"/>
        <v>57052.3</v>
      </c>
      <c r="Y52" s="885"/>
      <c r="Z52" s="875">
        <f t="shared" si="4"/>
        <v>0</v>
      </c>
      <c r="AA52" s="875">
        <f t="shared" si="13"/>
        <v>0</v>
      </c>
      <c r="AB52" s="875">
        <f t="shared" si="13"/>
        <v>0</v>
      </c>
      <c r="AC52" s="886"/>
    </row>
    <row r="53" spans="1:29" ht="31.5" x14ac:dyDescent="0.2">
      <c r="A53" s="618" t="s">
        <v>1183</v>
      </c>
      <c r="B53" s="619" t="s">
        <v>729</v>
      </c>
      <c r="C53" s="620">
        <v>244</v>
      </c>
      <c r="D53" s="620">
        <v>221</v>
      </c>
      <c r="E53" s="596">
        <f t="shared" si="0"/>
        <v>44560.93</v>
      </c>
      <c r="F53" s="595">
        <f>'Прилож 4 24 (3)'!V53</f>
        <v>0</v>
      </c>
      <c r="G53" s="595">
        <f>'Прилож 4 24 (3)'!W53</f>
        <v>0</v>
      </c>
      <c r="H53" s="595">
        <f>'Прилож 4 24 (3)'!X53</f>
        <v>44560.93</v>
      </c>
      <c r="I53" s="628"/>
      <c r="J53" s="595">
        <f>'Прилож 4 24 (3)'!Z53</f>
        <v>0</v>
      </c>
      <c r="K53" s="595">
        <f>'Прилож 4 24 (3)'!AA53</f>
        <v>0</v>
      </c>
      <c r="L53" s="875">
        <f>'Прилож 4 24 (3)'!AB53</f>
        <v>0</v>
      </c>
      <c r="M53" s="876">
        <f t="shared" si="14"/>
        <v>0</v>
      </c>
      <c r="N53" s="875"/>
      <c r="O53" s="875"/>
      <c r="P53" s="875"/>
      <c r="Q53" s="877"/>
      <c r="R53" s="875"/>
      <c r="S53" s="875"/>
      <c r="T53" s="875"/>
      <c r="U53" s="876">
        <f t="shared" si="15"/>
        <v>44560.93</v>
      </c>
      <c r="V53" s="875">
        <f t="shared" si="10"/>
        <v>0</v>
      </c>
      <c r="W53" s="875">
        <f t="shared" si="11"/>
        <v>0</v>
      </c>
      <c r="X53" s="875">
        <f t="shared" si="12"/>
        <v>44560.93</v>
      </c>
      <c r="Y53" s="883"/>
      <c r="Z53" s="875">
        <f t="shared" si="4"/>
        <v>0</v>
      </c>
      <c r="AA53" s="875">
        <f t="shared" si="13"/>
        <v>0</v>
      </c>
      <c r="AB53" s="875">
        <f t="shared" si="13"/>
        <v>0</v>
      </c>
      <c r="AC53" s="878"/>
    </row>
    <row r="54" spans="1:29" x14ac:dyDescent="0.2">
      <c r="A54" s="618" t="s">
        <v>597</v>
      </c>
      <c r="B54" s="619" t="s">
        <v>729</v>
      </c>
      <c r="C54" s="620">
        <v>244</v>
      </c>
      <c r="D54" s="620">
        <v>221</v>
      </c>
      <c r="E54" s="596">
        <f t="shared" si="0"/>
        <v>34080</v>
      </c>
      <c r="F54" s="595">
        <f>'Прилож 4 24 (3)'!V54</f>
        <v>0</v>
      </c>
      <c r="G54" s="595">
        <f>'Прилож 4 24 (3)'!W54</f>
        <v>0</v>
      </c>
      <c r="H54" s="595">
        <f>'Прилож 4 24 (3)'!X54</f>
        <v>34080</v>
      </c>
      <c r="I54" s="628"/>
      <c r="J54" s="595">
        <f>'Прилож 4 24 (3)'!Z54</f>
        <v>0</v>
      </c>
      <c r="K54" s="595">
        <f>'Прилож 4 24 (3)'!AA54</f>
        <v>0</v>
      </c>
      <c r="L54" s="875">
        <f>'Прилож 4 24 (3)'!AB54</f>
        <v>0</v>
      </c>
      <c r="M54" s="876">
        <f t="shared" si="14"/>
        <v>0</v>
      </c>
      <c r="N54" s="875"/>
      <c r="O54" s="875"/>
      <c r="P54" s="875"/>
      <c r="Q54" s="877"/>
      <c r="R54" s="875"/>
      <c r="S54" s="875"/>
      <c r="T54" s="875"/>
      <c r="U54" s="876">
        <f t="shared" si="15"/>
        <v>34080</v>
      </c>
      <c r="V54" s="875">
        <f t="shared" si="10"/>
        <v>0</v>
      </c>
      <c r="W54" s="875">
        <f t="shared" si="11"/>
        <v>0</v>
      </c>
      <c r="X54" s="875">
        <f t="shared" si="12"/>
        <v>34080</v>
      </c>
      <c r="Y54" s="883"/>
      <c r="Z54" s="875">
        <f t="shared" si="4"/>
        <v>0</v>
      </c>
      <c r="AA54" s="875">
        <f t="shared" si="13"/>
        <v>0</v>
      </c>
      <c r="AB54" s="875">
        <f t="shared" si="13"/>
        <v>0</v>
      </c>
      <c r="AC54" s="878"/>
    </row>
    <row r="55" spans="1:29" x14ac:dyDescent="0.2">
      <c r="A55" s="618" t="s">
        <v>158</v>
      </c>
      <c r="B55" s="619" t="s">
        <v>729</v>
      </c>
      <c r="C55" s="620">
        <v>244</v>
      </c>
      <c r="D55" s="620">
        <v>221</v>
      </c>
      <c r="E55" s="596">
        <f t="shared" si="0"/>
        <v>6600</v>
      </c>
      <c r="F55" s="595">
        <f>'Прилож 4 24 (3)'!V55</f>
        <v>0</v>
      </c>
      <c r="G55" s="595">
        <f>'Прилож 4 24 (3)'!W55</f>
        <v>0</v>
      </c>
      <c r="H55" s="595">
        <f>'Прилож 4 24 (3)'!X55</f>
        <v>6600</v>
      </c>
      <c r="I55" s="628"/>
      <c r="J55" s="595">
        <f>'Прилож 4 24 (3)'!Z55</f>
        <v>0</v>
      </c>
      <c r="K55" s="595">
        <f>'Прилож 4 24 (3)'!AA55</f>
        <v>0</v>
      </c>
      <c r="L55" s="875">
        <f>'Прилож 4 24 (3)'!AB55</f>
        <v>0</v>
      </c>
      <c r="M55" s="876">
        <f t="shared" si="14"/>
        <v>0</v>
      </c>
      <c r="N55" s="875"/>
      <c r="O55" s="875"/>
      <c r="P55" s="875"/>
      <c r="Q55" s="877"/>
      <c r="R55" s="875"/>
      <c r="S55" s="875"/>
      <c r="T55" s="875"/>
      <c r="U55" s="876">
        <f t="shared" si="15"/>
        <v>6600</v>
      </c>
      <c r="V55" s="875">
        <f t="shared" si="10"/>
        <v>0</v>
      </c>
      <c r="W55" s="875">
        <f t="shared" si="11"/>
        <v>0</v>
      </c>
      <c r="X55" s="875">
        <f t="shared" si="12"/>
        <v>6600</v>
      </c>
      <c r="Y55" s="883"/>
      <c r="Z55" s="875">
        <f t="shared" si="4"/>
        <v>0</v>
      </c>
      <c r="AA55" s="875">
        <f t="shared" si="13"/>
        <v>0</v>
      </c>
      <c r="AB55" s="875">
        <f t="shared" si="13"/>
        <v>0</v>
      </c>
      <c r="AC55" s="878"/>
    </row>
    <row r="56" spans="1:29" s="637" customFormat="1" x14ac:dyDescent="0.2">
      <c r="A56" s="632" t="s">
        <v>1143</v>
      </c>
      <c r="B56" s="633" t="s">
        <v>729</v>
      </c>
      <c r="C56" s="634">
        <v>244</v>
      </c>
      <c r="D56" s="634">
        <v>221</v>
      </c>
      <c r="E56" s="597">
        <f>SUM(E53:E55)</f>
        <v>85240.93</v>
      </c>
      <c r="F56" s="595">
        <f>'Прилож 4 24 (3)'!V56</f>
        <v>0</v>
      </c>
      <c r="G56" s="595">
        <f>'Прилож 4 24 (3)'!W56</f>
        <v>0</v>
      </c>
      <c r="H56" s="595">
        <f>'Прилож 4 24 (3)'!X56</f>
        <v>85240.93</v>
      </c>
      <c r="I56" s="635"/>
      <c r="J56" s="595">
        <f>'Прилож 4 24 (3)'!Z56</f>
        <v>0</v>
      </c>
      <c r="K56" s="595">
        <f>'Прилож 4 24 (3)'!AA56</f>
        <v>0</v>
      </c>
      <c r="L56" s="875">
        <f>'Прилож 4 24 (3)'!AB56</f>
        <v>0</v>
      </c>
      <c r="M56" s="876">
        <f t="shared" si="14"/>
        <v>0</v>
      </c>
      <c r="N56" s="884"/>
      <c r="O56" s="884"/>
      <c r="P56" s="884"/>
      <c r="Q56" s="885"/>
      <c r="R56" s="884"/>
      <c r="S56" s="884"/>
      <c r="T56" s="884"/>
      <c r="U56" s="876">
        <f t="shared" si="15"/>
        <v>85240.93</v>
      </c>
      <c r="V56" s="875">
        <f t="shared" si="10"/>
        <v>0</v>
      </c>
      <c r="W56" s="875">
        <f t="shared" si="11"/>
        <v>0</v>
      </c>
      <c r="X56" s="875">
        <f t="shared" si="12"/>
        <v>85240.93</v>
      </c>
      <c r="Y56" s="885"/>
      <c r="Z56" s="875">
        <f t="shared" si="4"/>
        <v>0</v>
      </c>
      <c r="AA56" s="875">
        <f t="shared" si="13"/>
        <v>0</v>
      </c>
      <c r="AB56" s="875">
        <f t="shared" si="13"/>
        <v>0</v>
      </c>
      <c r="AC56" s="886"/>
    </row>
    <row r="57" spans="1:29" s="614" customFormat="1" x14ac:dyDescent="0.2">
      <c r="A57" s="630" t="s">
        <v>734</v>
      </c>
      <c r="B57" s="631"/>
      <c r="C57" s="624"/>
      <c r="D57" s="624"/>
      <c r="E57" s="596">
        <f>E56+E52</f>
        <v>142293.22999999998</v>
      </c>
      <c r="F57" s="595">
        <f>'Прилож 4 24 (3)'!V57</f>
        <v>0</v>
      </c>
      <c r="G57" s="595">
        <f>'Прилож 4 24 (3)'!W57</f>
        <v>0</v>
      </c>
      <c r="H57" s="595">
        <f>'Прилож 4 24 (3)'!X57</f>
        <v>142293.22999999998</v>
      </c>
      <c r="I57" s="626"/>
      <c r="J57" s="595">
        <f>'Прилож 4 24 (3)'!Z57</f>
        <v>0</v>
      </c>
      <c r="K57" s="595">
        <f>'Прилож 4 24 (3)'!AA57</f>
        <v>0</v>
      </c>
      <c r="L57" s="875">
        <f>'Прилож 4 24 (3)'!AB57</f>
        <v>0</v>
      </c>
      <c r="M57" s="876">
        <f t="shared" si="14"/>
        <v>0</v>
      </c>
      <c r="N57" s="876"/>
      <c r="O57" s="876"/>
      <c r="P57" s="876"/>
      <c r="Q57" s="881"/>
      <c r="R57" s="876"/>
      <c r="S57" s="876"/>
      <c r="T57" s="876"/>
      <c r="U57" s="876">
        <f t="shared" si="15"/>
        <v>142293.22999999998</v>
      </c>
      <c r="V57" s="875">
        <f t="shared" si="10"/>
        <v>0</v>
      </c>
      <c r="W57" s="875">
        <f t="shared" si="11"/>
        <v>0</v>
      </c>
      <c r="X57" s="875">
        <f t="shared" si="12"/>
        <v>142293.22999999998</v>
      </c>
      <c r="Y57" s="881"/>
      <c r="Z57" s="875">
        <f t="shared" si="4"/>
        <v>0</v>
      </c>
      <c r="AA57" s="875">
        <f t="shared" si="13"/>
        <v>0</v>
      </c>
      <c r="AB57" s="875">
        <f t="shared" si="13"/>
        <v>0</v>
      </c>
      <c r="AC57" s="879"/>
    </row>
    <row r="58" spans="1:29" x14ac:dyDescent="0.2">
      <c r="A58" s="618" t="s">
        <v>126</v>
      </c>
      <c r="B58" s="619" t="s">
        <v>747</v>
      </c>
      <c r="C58" s="620">
        <v>244</v>
      </c>
      <c r="D58" s="620">
        <v>223</v>
      </c>
      <c r="E58" s="596">
        <f t="shared" si="0"/>
        <v>30113.4</v>
      </c>
      <c r="F58" s="595">
        <f>'Прилож 4 24 (3)'!V58</f>
        <v>0</v>
      </c>
      <c r="G58" s="595">
        <f>'Прилож 4 24 (3)'!W58</f>
        <v>0</v>
      </c>
      <c r="H58" s="595">
        <f>'Прилож 4 24 (3)'!X58</f>
        <v>30113.4</v>
      </c>
      <c r="I58" s="628"/>
      <c r="J58" s="595">
        <f>'Прилож 4 24 (3)'!Z58</f>
        <v>0</v>
      </c>
      <c r="K58" s="595">
        <f>'Прилож 4 24 (3)'!AA58</f>
        <v>0</v>
      </c>
      <c r="L58" s="875">
        <f>'Прилож 4 24 (3)'!AB58</f>
        <v>0</v>
      </c>
      <c r="M58" s="876">
        <f t="shared" si="14"/>
        <v>0</v>
      </c>
      <c r="N58" s="875"/>
      <c r="O58" s="875"/>
      <c r="P58" s="875"/>
      <c r="Q58" s="877"/>
      <c r="R58" s="875"/>
      <c r="S58" s="875"/>
      <c r="T58" s="875"/>
      <c r="U58" s="876">
        <f t="shared" si="15"/>
        <v>30113.4</v>
      </c>
      <c r="V58" s="875">
        <f t="shared" si="10"/>
        <v>0</v>
      </c>
      <c r="W58" s="875">
        <f t="shared" si="11"/>
        <v>0</v>
      </c>
      <c r="X58" s="875">
        <f t="shared" si="12"/>
        <v>30113.4</v>
      </c>
      <c r="Y58" s="883"/>
      <c r="Z58" s="875">
        <f t="shared" si="4"/>
        <v>0</v>
      </c>
      <c r="AA58" s="875">
        <f t="shared" si="13"/>
        <v>0</v>
      </c>
      <c r="AB58" s="875">
        <f t="shared" si="13"/>
        <v>0</v>
      </c>
      <c r="AC58" s="878"/>
    </row>
    <row r="59" spans="1:29" x14ac:dyDescent="0.2">
      <c r="A59" s="618" t="s">
        <v>1261</v>
      </c>
      <c r="B59" s="619" t="s">
        <v>747</v>
      </c>
      <c r="C59" s="620">
        <v>244</v>
      </c>
      <c r="D59" s="620">
        <v>223</v>
      </c>
      <c r="E59" s="596">
        <f t="shared" si="0"/>
        <v>40636.9</v>
      </c>
      <c r="F59" s="595">
        <f>'Прилож 4 24 (3)'!V59</f>
        <v>0</v>
      </c>
      <c r="G59" s="595">
        <f>'Прилож 4 24 (3)'!W59</f>
        <v>0</v>
      </c>
      <c r="H59" s="595">
        <f>'Прилож 4 24 (3)'!X59</f>
        <v>40636.9</v>
      </c>
      <c r="I59" s="628"/>
      <c r="J59" s="595">
        <f>'Прилож 4 24 (3)'!Z59</f>
        <v>0</v>
      </c>
      <c r="K59" s="595">
        <f>'Прилож 4 24 (3)'!AA59</f>
        <v>0</v>
      </c>
      <c r="L59" s="875">
        <f>'Прилож 4 24 (3)'!AB59</f>
        <v>0</v>
      </c>
      <c r="M59" s="876">
        <f t="shared" si="14"/>
        <v>0</v>
      </c>
      <c r="N59" s="875"/>
      <c r="O59" s="875"/>
      <c r="P59" s="875"/>
      <c r="Q59" s="877"/>
      <c r="R59" s="875"/>
      <c r="S59" s="875"/>
      <c r="T59" s="875"/>
      <c r="U59" s="876">
        <f t="shared" si="15"/>
        <v>40636.9</v>
      </c>
      <c r="V59" s="875">
        <f t="shared" si="10"/>
        <v>0</v>
      </c>
      <c r="W59" s="875">
        <f t="shared" si="11"/>
        <v>0</v>
      </c>
      <c r="X59" s="875">
        <f t="shared" si="12"/>
        <v>40636.9</v>
      </c>
      <c r="Y59" s="883"/>
      <c r="Z59" s="875">
        <f t="shared" si="4"/>
        <v>0</v>
      </c>
      <c r="AA59" s="875">
        <f t="shared" si="13"/>
        <v>0</v>
      </c>
      <c r="AB59" s="875">
        <f t="shared" si="13"/>
        <v>0</v>
      </c>
      <c r="AC59" s="878"/>
    </row>
    <row r="60" spans="1:29" x14ac:dyDescent="0.2">
      <c r="A60" s="618" t="s">
        <v>128</v>
      </c>
      <c r="B60" s="619" t="s">
        <v>747</v>
      </c>
      <c r="C60" s="620">
        <v>244</v>
      </c>
      <c r="D60" s="620">
        <v>223</v>
      </c>
      <c r="E60" s="596">
        <f t="shared" si="0"/>
        <v>75941.84</v>
      </c>
      <c r="F60" s="595">
        <f>'Прилож 4 24 (3)'!V60</f>
        <v>0</v>
      </c>
      <c r="G60" s="595">
        <f>'Прилож 4 24 (3)'!W60</f>
        <v>0</v>
      </c>
      <c r="H60" s="595">
        <f>'Прилож 4 24 (3)'!X60</f>
        <v>75941.84</v>
      </c>
      <c r="I60" s="628"/>
      <c r="J60" s="595">
        <f>'Прилож 4 24 (3)'!Z60</f>
        <v>0</v>
      </c>
      <c r="K60" s="595">
        <f>'Прилож 4 24 (3)'!AA60</f>
        <v>0</v>
      </c>
      <c r="L60" s="875">
        <f>'Прилож 4 24 (3)'!AB60</f>
        <v>0</v>
      </c>
      <c r="M60" s="876">
        <f t="shared" si="14"/>
        <v>0</v>
      </c>
      <c r="N60" s="875"/>
      <c r="O60" s="875"/>
      <c r="P60" s="875"/>
      <c r="Q60" s="877"/>
      <c r="R60" s="875"/>
      <c r="S60" s="875"/>
      <c r="T60" s="875"/>
      <c r="U60" s="876">
        <f t="shared" si="15"/>
        <v>75941.84</v>
      </c>
      <c r="V60" s="875">
        <f t="shared" si="10"/>
        <v>0</v>
      </c>
      <c r="W60" s="875">
        <f t="shared" si="11"/>
        <v>0</v>
      </c>
      <c r="X60" s="875">
        <f t="shared" si="12"/>
        <v>75941.84</v>
      </c>
      <c r="Y60" s="883"/>
      <c r="Z60" s="875">
        <f t="shared" si="4"/>
        <v>0</v>
      </c>
      <c r="AA60" s="875">
        <f t="shared" si="13"/>
        <v>0</v>
      </c>
      <c r="AB60" s="875">
        <f t="shared" si="13"/>
        <v>0</v>
      </c>
      <c r="AC60" s="878"/>
    </row>
    <row r="61" spans="1:29" x14ac:dyDescent="0.2">
      <c r="A61" s="618" t="s">
        <v>1259</v>
      </c>
      <c r="B61" s="619" t="s">
        <v>747</v>
      </c>
      <c r="C61" s="620">
        <v>244</v>
      </c>
      <c r="D61" s="620">
        <v>223</v>
      </c>
      <c r="E61" s="596">
        <f t="shared" si="0"/>
        <v>78343.55</v>
      </c>
      <c r="F61" s="595">
        <f>'Прилож 4 24 (3)'!V61</f>
        <v>0</v>
      </c>
      <c r="G61" s="595">
        <f>'Прилож 4 24 (3)'!W61</f>
        <v>0</v>
      </c>
      <c r="H61" s="595">
        <f>'Прилож 4 24 (3)'!X61</f>
        <v>78343.55</v>
      </c>
      <c r="I61" s="628"/>
      <c r="J61" s="595">
        <f>'Прилож 4 24 (3)'!Z61</f>
        <v>0</v>
      </c>
      <c r="K61" s="595">
        <f>'Прилож 4 24 (3)'!AA61</f>
        <v>0</v>
      </c>
      <c r="L61" s="875">
        <f>'Прилож 4 24 (3)'!AB61</f>
        <v>0</v>
      </c>
      <c r="M61" s="876">
        <f t="shared" si="14"/>
        <v>0</v>
      </c>
      <c r="N61" s="875"/>
      <c r="O61" s="875"/>
      <c r="P61" s="875"/>
      <c r="Q61" s="877"/>
      <c r="R61" s="875"/>
      <c r="S61" s="875"/>
      <c r="T61" s="875"/>
      <c r="U61" s="876">
        <f t="shared" si="15"/>
        <v>78343.55</v>
      </c>
      <c r="V61" s="875">
        <f t="shared" si="10"/>
        <v>0</v>
      </c>
      <c r="W61" s="875">
        <f t="shared" si="11"/>
        <v>0</v>
      </c>
      <c r="X61" s="875">
        <f t="shared" si="12"/>
        <v>78343.55</v>
      </c>
      <c r="Y61" s="883"/>
      <c r="Z61" s="875">
        <f t="shared" si="4"/>
        <v>0</v>
      </c>
      <c r="AA61" s="875">
        <f t="shared" si="13"/>
        <v>0</v>
      </c>
      <c r="AB61" s="875">
        <f t="shared" si="13"/>
        <v>0</v>
      </c>
      <c r="AC61" s="878"/>
    </row>
    <row r="62" spans="1:29" ht="31.5" x14ac:dyDescent="0.2">
      <c r="A62" s="618" t="s">
        <v>1238</v>
      </c>
      <c r="B62" s="619" t="s">
        <v>747</v>
      </c>
      <c r="C62" s="620">
        <v>244</v>
      </c>
      <c r="D62" s="620">
        <v>223</v>
      </c>
      <c r="E62" s="596">
        <f t="shared" si="0"/>
        <v>37970.92</v>
      </c>
      <c r="F62" s="595">
        <f>'Прилож 4 24 (3)'!V62</f>
        <v>0</v>
      </c>
      <c r="G62" s="595">
        <f>'Прилож 4 24 (3)'!W62</f>
        <v>0</v>
      </c>
      <c r="H62" s="595">
        <f>'Прилож 4 24 (3)'!X62</f>
        <v>37970.92</v>
      </c>
      <c r="I62" s="628"/>
      <c r="J62" s="595">
        <f>'Прилож 4 24 (3)'!Z62</f>
        <v>0</v>
      </c>
      <c r="K62" s="595">
        <f>'Прилож 4 24 (3)'!AA62</f>
        <v>0</v>
      </c>
      <c r="L62" s="875">
        <f>'Прилож 4 24 (3)'!AB62</f>
        <v>0</v>
      </c>
      <c r="M62" s="876">
        <f t="shared" si="14"/>
        <v>0</v>
      </c>
      <c r="N62" s="875"/>
      <c r="O62" s="875"/>
      <c r="P62" s="875"/>
      <c r="Q62" s="877"/>
      <c r="R62" s="875"/>
      <c r="S62" s="875"/>
      <c r="T62" s="875"/>
      <c r="U62" s="876">
        <f t="shared" si="15"/>
        <v>37970.92</v>
      </c>
      <c r="V62" s="875">
        <f t="shared" si="10"/>
        <v>0</v>
      </c>
      <c r="W62" s="875">
        <f t="shared" si="11"/>
        <v>0</v>
      </c>
      <c r="X62" s="875">
        <f t="shared" si="12"/>
        <v>37970.92</v>
      </c>
      <c r="Y62" s="883"/>
      <c r="Z62" s="875">
        <f t="shared" si="4"/>
        <v>0</v>
      </c>
      <c r="AA62" s="875">
        <f t="shared" si="13"/>
        <v>0</v>
      </c>
      <c r="AB62" s="875">
        <f t="shared" si="13"/>
        <v>0</v>
      </c>
      <c r="AC62" s="878"/>
    </row>
    <row r="63" spans="1:29" ht="31.5" x14ac:dyDescent="0.2">
      <c r="A63" s="618" t="s">
        <v>1262</v>
      </c>
      <c r="B63" s="619" t="s">
        <v>747</v>
      </c>
      <c r="C63" s="620">
        <v>244</v>
      </c>
      <c r="D63" s="620">
        <v>223</v>
      </c>
      <c r="E63" s="596">
        <f t="shared" si="0"/>
        <v>39171.78</v>
      </c>
      <c r="F63" s="595">
        <f>'Прилож 4 24 (3)'!V63</f>
        <v>0</v>
      </c>
      <c r="G63" s="595">
        <f>'Прилож 4 24 (3)'!W63</f>
        <v>0</v>
      </c>
      <c r="H63" s="595">
        <f>'Прилож 4 24 (3)'!X63</f>
        <v>39171.78</v>
      </c>
      <c r="I63" s="628"/>
      <c r="J63" s="595">
        <f>'Прилож 4 24 (3)'!Z63</f>
        <v>0</v>
      </c>
      <c r="K63" s="595">
        <f>'Прилож 4 24 (3)'!AA63</f>
        <v>0</v>
      </c>
      <c r="L63" s="875">
        <f>'Прилож 4 24 (3)'!AB63</f>
        <v>0</v>
      </c>
      <c r="M63" s="876">
        <f t="shared" si="14"/>
        <v>0</v>
      </c>
      <c r="N63" s="875"/>
      <c r="O63" s="875"/>
      <c r="P63" s="875"/>
      <c r="Q63" s="877"/>
      <c r="R63" s="875"/>
      <c r="S63" s="875"/>
      <c r="T63" s="875"/>
      <c r="U63" s="876">
        <f t="shared" si="15"/>
        <v>39171.78</v>
      </c>
      <c r="V63" s="875">
        <f t="shared" si="10"/>
        <v>0</v>
      </c>
      <c r="W63" s="875">
        <f t="shared" si="11"/>
        <v>0</v>
      </c>
      <c r="X63" s="875">
        <f t="shared" si="12"/>
        <v>39171.78</v>
      </c>
      <c r="Y63" s="883"/>
      <c r="Z63" s="875">
        <f t="shared" si="4"/>
        <v>0</v>
      </c>
      <c r="AA63" s="875">
        <f t="shared" si="13"/>
        <v>0</v>
      </c>
      <c r="AB63" s="875">
        <f t="shared" si="13"/>
        <v>0</v>
      </c>
      <c r="AC63" s="878"/>
    </row>
    <row r="64" spans="1:29" ht="31.5" x14ac:dyDescent="0.2">
      <c r="A64" s="618" t="s">
        <v>1140</v>
      </c>
      <c r="B64" s="619" t="s">
        <v>747</v>
      </c>
      <c r="C64" s="620">
        <v>244</v>
      </c>
      <c r="D64" s="620">
        <v>223</v>
      </c>
      <c r="E64" s="596">
        <f t="shared" si="0"/>
        <v>9612.2000000000007</v>
      </c>
      <c r="F64" s="595">
        <f>'Прилож 4 24 (3)'!V64</f>
        <v>0</v>
      </c>
      <c r="G64" s="595">
        <f>'Прилож 4 24 (3)'!W64</f>
        <v>0</v>
      </c>
      <c r="H64" s="595">
        <f>'Прилож 4 24 (3)'!X64</f>
        <v>9612.2000000000007</v>
      </c>
      <c r="I64" s="628"/>
      <c r="J64" s="595">
        <f>'Прилож 4 24 (3)'!Z64</f>
        <v>0</v>
      </c>
      <c r="K64" s="595">
        <f>'Прилож 4 24 (3)'!AA64</f>
        <v>0</v>
      </c>
      <c r="L64" s="875">
        <f>'Прилож 4 24 (3)'!AB64</f>
        <v>0</v>
      </c>
      <c r="M64" s="876">
        <f t="shared" si="14"/>
        <v>0</v>
      </c>
      <c r="N64" s="875"/>
      <c r="O64" s="875"/>
      <c r="P64" s="875"/>
      <c r="Q64" s="877"/>
      <c r="R64" s="875"/>
      <c r="S64" s="875"/>
      <c r="T64" s="875"/>
      <c r="U64" s="876">
        <f t="shared" si="15"/>
        <v>9612.2000000000007</v>
      </c>
      <c r="V64" s="875">
        <f t="shared" si="10"/>
        <v>0</v>
      </c>
      <c r="W64" s="875">
        <f t="shared" si="11"/>
        <v>0</v>
      </c>
      <c r="X64" s="875">
        <f t="shared" si="12"/>
        <v>9612.2000000000007</v>
      </c>
      <c r="Y64" s="883"/>
      <c r="Z64" s="875">
        <f t="shared" si="4"/>
        <v>0</v>
      </c>
      <c r="AA64" s="875">
        <f t="shared" si="13"/>
        <v>0</v>
      </c>
      <c r="AB64" s="875">
        <f t="shared" si="13"/>
        <v>0</v>
      </c>
      <c r="AC64" s="878"/>
    </row>
    <row r="65" spans="1:29" ht="48.75" customHeight="1" x14ac:dyDescent="0.2">
      <c r="A65" s="618" t="s">
        <v>1141</v>
      </c>
      <c r="B65" s="619" t="s">
        <v>747</v>
      </c>
      <c r="C65" s="620">
        <v>244</v>
      </c>
      <c r="D65" s="620">
        <v>223</v>
      </c>
      <c r="E65" s="596">
        <f t="shared" si="0"/>
        <v>9008.24</v>
      </c>
      <c r="F65" s="595">
        <f>'Прилож 4 24 (3)'!V65</f>
        <v>0</v>
      </c>
      <c r="G65" s="595">
        <f>'Прилож 4 24 (3)'!W65</f>
        <v>0</v>
      </c>
      <c r="H65" s="595">
        <f>'Прилож 4 24 (3)'!X65</f>
        <v>9008.24</v>
      </c>
      <c r="I65" s="628"/>
      <c r="J65" s="595">
        <f>'Прилож 4 24 (3)'!Z65</f>
        <v>0</v>
      </c>
      <c r="K65" s="595">
        <f>'Прилож 4 24 (3)'!AA65</f>
        <v>0</v>
      </c>
      <c r="L65" s="875">
        <f>'Прилож 4 24 (3)'!AB65</f>
        <v>0</v>
      </c>
      <c r="M65" s="876">
        <f t="shared" si="14"/>
        <v>0</v>
      </c>
      <c r="N65" s="875"/>
      <c r="O65" s="875"/>
      <c r="P65" s="875"/>
      <c r="Q65" s="877"/>
      <c r="R65" s="875"/>
      <c r="S65" s="875"/>
      <c r="T65" s="875"/>
      <c r="U65" s="876">
        <f t="shared" si="15"/>
        <v>9008.24</v>
      </c>
      <c r="V65" s="875">
        <f t="shared" si="10"/>
        <v>0</v>
      </c>
      <c r="W65" s="875">
        <f t="shared" si="11"/>
        <v>0</v>
      </c>
      <c r="X65" s="875">
        <f t="shared" si="12"/>
        <v>9008.24</v>
      </c>
      <c r="Y65" s="883"/>
      <c r="Z65" s="875">
        <f t="shared" si="4"/>
        <v>0</v>
      </c>
      <c r="AA65" s="875">
        <f t="shared" si="13"/>
        <v>0</v>
      </c>
      <c r="AB65" s="875">
        <f t="shared" si="13"/>
        <v>0</v>
      </c>
      <c r="AC65" s="878"/>
    </row>
    <row r="66" spans="1:29" ht="48.75" customHeight="1" x14ac:dyDescent="0.2">
      <c r="A66" s="618" t="s">
        <v>130</v>
      </c>
      <c r="B66" s="619" t="s">
        <v>747</v>
      </c>
      <c r="C66" s="620">
        <v>244</v>
      </c>
      <c r="D66" s="620">
        <v>223</v>
      </c>
      <c r="E66" s="596">
        <f t="shared" si="0"/>
        <v>50838.7</v>
      </c>
      <c r="F66" s="595">
        <f>'Прилож 4 24 (3)'!V66</f>
        <v>0</v>
      </c>
      <c r="G66" s="595">
        <f>'Прилож 4 24 (3)'!W66</f>
        <v>0</v>
      </c>
      <c r="H66" s="595">
        <f>'Прилож 4 24 (3)'!X66</f>
        <v>50838.7</v>
      </c>
      <c r="I66" s="628"/>
      <c r="J66" s="595">
        <f>'Прилож 4 24 (3)'!Z66</f>
        <v>0</v>
      </c>
      <c r="K66" s="595">
        <f>'Прилож 4 24 (3)'!AA66</f>
        <v>0</v>
      </c>
      <c r="L66" s="875">
        <f>'Прилож 4 24 (3)'!AB66</f>
        <v>0</v>
      </c>
      <c r="M66" s="876">
        <f t="shared" si="14"/>
        <v>0</v>
      </c>
      <c r="N66" s="875"/>
      <c r="O66" s="875"/>
      <c r="P66" s="875"/>
      <c r="Q66" s="877"/>
      <c r="R66" s="875"/>
      <c r="S66" s="875"/>
      <c r="T66" s="875"/>
      <c r="U66" s="876">
        <f t="shared" si="15"/>
        <v>50838.7</v>
      </c>
      <c r="V66" s="875">
        <f t="shared" si="10"/>
        <v>0</v>
      </c>
      <c r="W66" s="875">
        <f t="shared" si="11"/>
        <v>0</v>
      </c>
      <c r="X66" s="875">
        <f t="shared" si="12"/>
        <v>50838.7</v>
      </c>
      <c r="Y66" s="883"/>
      <c r="Z66" s="875">
        <f t="shared" si="4"/>
        <v>0</v>
      </c>
      <c r="AA66" s="875">
        <f t="shared" si="13"/>
        <v>0</v>
      </c>
      <c r="AB66" s="875">
        <f t="shared" si="13"/>
        <v>0</v>
      </c>
      <c r="AC66" s="878"/>
    </row>
    <row r="67" spans="1:29" s="637" customFormat="1" ht="16.5" customHeight="1" x14ac:dyDescent="0.2">
      <c r="A67" s="632" t="s">
        <v>1143</v>
      </c>
      <c r="B67" s="633" t="s">
        <v>747</v>
      </c>
      <c r="C67" s="634">
        <v>244</v>
      </c>
      <c r="D67" s="634">
        <v>223</v>
      </c>
      <c r="E67" s="597">
        <f>SUM(E58:E66)</f>
        <v>371637.53</v>
      </c>
      <c r="F67" s="595">
        <f>'Прилож 4 24 (3)'!V67</f>
        <v>0</v>
      </c>
      <c r="G67" s="595">
        <f>'Прилож 4 24 (3)'!W67</f>
        <v>0</v>
      </c>
      <c r="H67" s="595">
        <f>'Прилож 4 24 (3)'!X67</f>
        <v>371637.53</v>
      </c>
      <c r="I67" s="639"/>
      <c r="J67" s="595">
        <f>'Прилож 4 24 (3)'!Z67</f>
        <v>0</v>
      </c>
      <c r="K67" s="595">
        <f>'Прилож 4 24 (3)'!AA67</f>
        <v>0</v>
      </c>
      <c r="L67" s="875">
        <f>'Прилож 4 24 (3)'!AB67</f>
        <v>0</v>
      </c>
      <c r="M67" s="876">
        <f t="shared" si="14"/>
        <v>0</v>
      </c>
      <c r="N67" s="887"/>
      <c r="O67" s="887"/>
      <c r="P67" s="887"/>
      <c r="Q67" s="888"/>
      <c r="R67" s="887"/>
      <c r="S67" s="887"/>
      <c r="T67" s="887"/>
      <c r="U67" s="876">
        <f t="shared" si="15"/>
        <v>371637.53</v>
      </c>
      <c r="V67" s="875">
        <f t="shared" si="10"/>
        <v>0</v>
      </c>
      <c r="W67" s="875">
        <f t="shared" si="11"/>
        <v>0</v>
      </c>
      <c r="X67" s="875">
        <f t="shared" si="12"/>
        <v>371637.53</v>
      </c>
      <c r="Y67" s="889"/>
      <c r="Z67" s="875">
        <f t="shared" si="4"/>
        <v>0</v>
      </c>
      <c r="AA67" s="875">
        <f t="shared" si="13"/>
        <v>0</v>
      </c>
      <c r="AB67" s="875">
        <f t="shared" si="13"/>
        <v>0</v>
      </c>
      <c r="AC67" s="886"/>
    </row>
    <row r="68" spans="1:29" ht="31.5" x14ac:dyDescent="0.2">
      <c r="A68" s="618" t="s">
        <v>126</v>
      </c>
      <c r="B68" s="619" t="s">
        <v>729</v>
      </c>
      <c r="C68" s="620">
        <v>244</v>
      </c>
      <c r="D68" s="620">
        <v>223</v>
      </c>
      <c r="E68" s="596">
        <f t="shared" si="0"/>
        <v>9511.2999999999993</v>
      </c>
      <c r="F68" s="595">
        <f>'Прилож 4 24 (3)'!V68</f>
        <v>0</v>
      </c>
      <c r="G68" s="595">
        <f>'Прилож 4 24 (3)'!W68</f>
        <v>0</v>
      </c>
      <c r="H68" s="595">
        <f>'Прилож 4 24 (3)'!X68</f>
        <v>9511.2999999999993</v>
      </c>
      <c r="I68" s="628"/>
      <c r="J68" s="595">
        <f>'Прилож 4 24 (3)'!Z68</f>
        <v>0</v>
      </c>
      <c r="K68" s="595">
        <f>'Прилож 4 24 (3)'!AA68</f>
        <v>0</v>
      </c>
      <c r="L68" s="875">
        <f>'Прилож 4 24 (3)'!AB68</f>
        <v>0</v>
      </c>
      <c r="M68" s="876">
        <f t="shared" si="14"/>
        <v>8306.76</v>
      </c>
      <c r="N68" s="875"/>
      <c r="O68" s="875"/>
      <c r="P68" s="875"/>
      <c r="Q68" s="877"/>
      <c r="R68" s="875"/>
      <c r="S68" s="875"/>
      <c r="T68" s="875">
        <v>8306.76</v>
      </c>
      <c r="U68" s="876">
        <f t="shared" si="15"/>
        <v>17818.059999999998</v>
      </c>
      <c r="V68" s="875">
        <f t="shared" si="10"/>
        <v>0</v>
      </c>
      <c r="W68" s="875">
        <f t="shared" si="11"/>
        <v>0</v>
      </c>
      <c r="X68" s="875">
        <f t="shared" si="12"/>
        <v>9511.2999999999993</v>
      </c>
      <c r="Y68" s="883"/>
      <c r="Z68" s="875">
        <f t="shared" si="4"/>
        <v>0</v>
      </c>
      <c r="AA68" s="875">
        <f t="shared" si="13"/>
        <v>0</v>
      </c>
      <c r="AB68" s="875">
        <f t="shared" si="13"/>
        <v>8306.76</v>
      </c>
      <c r="AC68" s="878" t="s">
        <v>1349</v>
      </c>
    </row>
    <row r="69" spans="1:29" ht="31.5" x14ac:dyDescent="0.2">
      <c r="A69" s="618" t="s">
        <v>127</v>
      </c>
      <c r="B69" s="619" t="s">
        <v>729</v>
      </c>
      <c r="C69" s="620">
        <v>244</v>
      </c>
      <c r="D69" s="620">
        <v>223</v>
      </c>
      <c r="E69" s="596">
        <f t="shared" si="0"/>
        <v>4191.91</v>
      </c>
      <c r="F69" s="595">
        <f>'Прилож 4 24 (3)'!V69</f>
        <v>0</v>
      </c>
      <c r="G69" s="595">
        <f>'Прилож 4 24 (3)'!W69</f>
        <v>0</v>
      </c>
      <c r="H69" s="595">
        <f>'Прилож 4 24 (3)'!X69</f>
        <v>4191.91</v>
      </c>
      <c r="I69" s="628"/>
      <c r="J69" s="595">
        <f>'Прилож 4 24 (3)'!Z69</f>
        <v>0</v>
      </c>
      <c r="K69" s="595">
        <f>'Прилож 4 24 (3)'!AA69</f>
        <v>0</v>
      </c>
      <c r="L69" s="875">
        <f>'Прилож 4 24 (3)'!AB69</f>
        <v>0</v>
      </c>
      <c r="M69" s="876">
        <f t="shared" si="14"/>
        <v>6384.69</v>
      </c>
      <c r="N69" s="875"/>
      <c r="O69" s="875"/>
      <c r="P69" s="875"/>
      <c r="Q69" s="877"/>
      <c r="R69" s="875"/>
      <c r="S69" s="875"/>
      <c r="T69" s="875">
        <v>6384.69</v>
      </c>
      <c r="U69" s="876">
        <f t="shared" si="15"/>
        <v>10576.599999999999</v>
      </c>
      <c r="V69" s="875">
        <f t="shared" si="10"/>
        <v>0</v>
      </c>
      <c r="W69" s="875">
        <f t="shared" si="11"/>
        <v>0</v>
      </c>
      <c r="X69" s="875">
        <f t="shared" si="12"/>
        <v>4191.91</v>
      </c>
      <c r="Y69" s="883"/>
      <c r="Z69" s="875">
        <f t="shared" si="4"/>
        <v>0</v>
      </c>
      <c r="AA69" s="875">
        <f t="shared" si="13"/>
        <v>0</v>
      </c>
      <c r="AB69" s="875">
        <f t="shared" si="13"/>
        <v>6384.69</v>
      </c>
      <c r="AC69" s="878" t="s">
        <v>1349</v>
      </c>
    </row>
    <row r="70" spans="1:29" ht="31.5" x14ac:dyDescent="0.2">
      <c r="A70" s="618" t="s">
        <v>128</v>
      </c>
      <c r="B70" s="619" t="s">
        <v>729</v>
      </c>
      <c r="C70" s="620">
        <v>244</v>
      </c>
      <c r="D70" s="620">
        <v>223</v>
      </c>
      <c r="E70" s="596">
        <f t="shared" si="0"/>
        <v>19267.8</v>
      </c>
      <c r="F70" s="595">
        <f>'Прилож 4 24 (3)'!V70</f>
        <v>0</v>
      </c>
      <c r="G70" s="595">
        <f>'Прилож 4 24 (3)'!W70</f>
        <v>0</v>
      </c>
      <c r="H70" s="595">
        <f>'Прилож 4 24 (3)'!X70</f>
        <v>19267.8</v>
      </c>
      <c r="I70" s="628"/>
      <c r="J70" s="595">
        <f>'Прилож 4 24 (3)'!Z70</f>
        <v>0</v>
      </c>
      <c r="K70" s="595">
        <f>'Прилож 4 24 (3)'!AA70</f>
        <v>0</v>
      </c>
      <c r="L70" s="875">
        <f>'Прилож 4 24 (3)'!AB70</f>
        <v>0</v>
      </c>
      <c r="M70" s="876">
        <f t="shared" si="14"/>
        <v>17273.46</v>
      </c>
      <c r="N70" s="875"/>
      <c r="O70" s="875"/>
      <c r="P70" s="875"/>
      <c r="Q70" s="877"/>
      <c r="R70" s="875"/>
      <c r="S70" s="875"/>
      <c r="T70" s="875">
        <v>17273.46</v>
      </c>
      <c r="U70" s="876">
        <f t="shared" si="15"/>
        <v>36541.259999999995</v>
      </c>
      <c r="V70" s="875">
        <f t="shared" si="10"/>
        <v>0</v>
      </c>
      <c r="W70" s="875">
        <f t="shared" si="11"/>
        <v>0</v>
      </c>
      <c r="X70" s="875">
        <f t="shared" si="12"/>
        <v>19267.8</v>
      </c>
      <c r="Y70" s="883"/>
      <c r="Z70" s="875">
        <f t="shared" si="4"/>
        <v>0</v>
      </c>
      <c r="AA70" s="875">
        <f t="shared" si="13"/>
        <v>0</v>
      </c>
      <c r="AB70" s="875">
        <f t="shared" si="13"/>
        <v>17273.46</v>
      </c>
      <c r="AC70" s="878" t="s">
        <v>1349</v>
      </c>
    </row>
    <row r="71" spans="1:29" ht="31.5" x14ac:dyDescent="0.2">
      <c r="A71" s="618" t="s">
        <v>129</v>
      </c>
      <c r="B71" s="619" t="s">
        <v>729</v>
      </c>
      <c r="C71" s="620">
        <v>244</v>
      </c>
      <c r="D71" s="620">
        <v>223</v>
      </c>
      <c r="E71" s="596">
        <f t="shared" si="0"/>
        <v>12829.48</v>
      </c>
      <c r="F71" s="595">
        <f>'Прилож 4 24 (3)'!V71</f>
        <v>0</v>
      </c>
      <c r="G71" s="595">
        <f>'Прилож 4 24 (3)'!W71</f>
        <v>0</v>
      </c>
      <c r="H71" s="595">
        <f>'Прилож 4 24 (3)'!X71</f>
        <v>12829.48</v>
      </c>
      <c r="I71" s="628"/>
      <c r="J71" s="595">
        <f>'Прилож 4 24 (3)'!Z71</f>
        <v>0</v>
      </c>
      <c r="K71" s="595">
        <f>'Прилож 4 24 (3)'!AA71</f>
        <v>0</v>
      </c>
      <c r="L71" s="875">
        <f>'Прилож 4 24 (3)'!AB71</f>
        <v>0</v>
      </c>
      <c r="M71" s="876">
        <f t="shared" si="14"/>
        <v>13171.92</v>
      </c>
      <c r="N71" s="875"/>
      <c r="O71" s="875"/>
      <c r="P71" s="875"/>
      <c r="Q71" s="877"/>
      <c r="R71" s="875"/>
      <c r="S71" s="875"/>
      <c r="T71" s="875">
        <v>13171.92</v>
      </c>
      <c r="U71" s="876">
        <f t="shared" si="15"/>
        <v>26001.4</v>
      </c>
      <c r="V71" s="875">
        <f t="shared" si="10"/>
        <v>0</v>
      </c>
      <c r="W71" s="875">
        <f t="shared" si="11"/>
        <v>0</v>
      </c>
      <c r="X71" s="875">
        <f t="shared" si="12"/>
        <v>12829.48</v>
      </c>
      <c r="Y71" s="883"/>
      <c r="Z71" s="875">
        <f t="shared" si="4"/>
        <v>0</v>
      </c>
      <c r="AA71" s="875">
        <f t="shared" si="13"/>
        <v>0</v>
      </c>
      <c r="AB71" s="875">
        <f t="shared" si="13"/>
        <v>13171.92</v>
      </c>
      <c r="AC71" s="878" t="s">
        <v>1349</v>
      </c>
    </row>
    <row r="72" spans="1:29" ht="31.5" x14ac:dyDescent="0.2">
      <c r="A72" s="618" t="s">
        <v>1238</v>
      </c>
      <c r="B72" s="619" t="s">
        <v>729</v>
      </c>
      <c r="C72" s="620">
        <v>244</v>
      </c>
      <c r="D72" s="620">
        <v>223</v>
      </c>
      <c r="E72" s="596">
        <f t="shared" si="0"/>
        <v>9633.9</v>
      </c>
      <c r="F72" s="595">
        <f>'Прилож 4 24 (3)'!V72</f>
        <v>0</v>
      </c>
      <c r="G72" s="595">
        <f>'Прилож 4 24 (3)'!W72</f>
        <v>0</v>
      </c>
      <c r="H72" s="595">
        <f>'Прилож 4 24 (3)'!X72</f>
        <v>9633.9</v>
      </c>
      <c r="I72" s="628"/>
      <c r="J72" s="595">
        <f>'Прилож 4 24 (3)'!Z72</f>
        <v>0</v>
      </c>
      <c r="K72" s="595">
        <f>'Прилож 4 24 (3)'!AA72</f>
        <v>0</v>
      </c>
      <c r="L72" s="875">
        <f>'Прилож 4 24 (3)'!AB72</f>
        <v>0</v>
      </c>
      <c r="M72" s="876">
        <f t="shared" si="14"/>
        <v>8636.73</v>
      </c>
      <c r="N72" s="875"/>
      <c r="O72" s="875"/>
      <c r="P72" s="875"/>
      <c r="Q72" s="877"/>
      <c r="R72" s="875"/>
      <c r="S72" s="875"/>
      <c r="T72" s="875">
        <v>8636.73</v>
      </c>
      <c r="U72" s="876">
        <f t="shared" si="15"/>
        <v>18270.629999999997</v>
      </c>
      <c r="V72" s="875">
        <f t="shared" si="10"/>
        <v>0</v>
      </c>
      <c r="W72" s="875">
        <f t="shared" si="11"/>
        <v>0</v>
      </c>
      <c r="X72" s="875">
        <f t="shared" si="12"/>
        <v>9633.9</v>
      </c>
      <c r="Y72" s="883"/>
      <c r="Z72" s="875">
        <f t="shared" si="4"/>
        <v>0</v>
      </c>
      <c r="AA72" s="875">
        <f t="shared" si="13"/>
        <v>0</v>
      </c>
      <c r="AB72" s="875">
        <f t="shared" si="13"/>
        <v>8636.73</v>
      </c>
      <c r="AC72" s="878" t="s">
        <v>1349</v>
      </c>
    </row>
    <row r="73" spans="1:29" ht="31.5" x14ac:dyDescent="0.2">
      <c r="A73" s="618" t="s">
        <v>1239</v>
      </c>
      <c r="B73" s="619" t="s">
        <v>729</v>
      </c>
      <c r="C73" s="620">
        <v>244</v>
      </c>
      <c r="D73" s="620">
        <v>223</v>
      </c>
      <c r="E73" s="596">
        <f t="shared" si="0"/>
        <v>6414.74</v>
      </c>
      <c r="F73" s="595">
        <f>'Прилож 4 24 (3)'!V73</f>
        <v>0</v>
      </c>
      <c r="G73" s="595">
        <f>'Прилож 4 24 (3)'!W73</f>
        <v>0</v>
      </c>
      <c r="H73" s="595">
        <f>'Прилож 4 24 (3)'!X73</f>
        <v>6414.74</v>
      </c>
      <c r="I73" s="628"/>
      <c r="J73" s="595">
        <f>'Прилож 4 24 (3)'!Z73</f>
        <v>0</v>
      </c>
      <c r="K73" s="595">
        <f>'Прилож 4 24 (3)'!AA73</f>
        <v>0</v>
      </c>
      <c r="L73" s="875">
        <f>'Прилож 4 24 (3)'!AB73</f>
        <v>0</v>
      </c>
      <c r="M73" s="876">
        <f t="shared" si="14"/>
        <v>6585.96</v>
      </c>
      <c r="N73" s="875"/>
      <c r="O73" s="875"/>
      <c r="P73" s="875"/>
      <c r="Q73" s="877"/>
      <c r="R73" s="875"/>
      <c r="S73" s="875"/>
      <c r="T73" s="875">
        <v>6585.96</v>
      </c>
      <c r="U73" s="876">
        <f t="shared" si="15"/>
        <v>13000.7</v>
      </c>
      <c r="V73" s="875">
        <f t="shared" si="10"/>
        <v>0</v>
      </c>
      <c r="W73" s="875">
        <f t="shared" si="11"/>
        <v>0</v>
      </c>
      <c r="X73" s="875">
        <f t="shared" si="12"/>
        <v>6414.74</v>
      </c>
      <c r="Y73" s="883"/>
      <c r="Z73" s="875">
        <f t="shared" si="4"/>
        <v>0</v>
      </c>
      <c r="AA73" s="875">
        <f t="shared" si="13"/>
        <v>0</v>
      </c>
      <c r="AB73" s="875">
        <f t="shared" si="13"/>
        <v>6585.96</v>
      </c>
      <c r="AC73" s="878" t="s">
        <v>1349</v>
      </c>
    </row>
    <row r="74" spans="1:29" ht="31.5" x14ac:dyDescent="0.2">
      <c r="A74" s="618" t="s">
        <v>1140</v>
      </c>
      <c r="B74" s="619" t="s">
        <v>729</v>
      </c>
      <c r="C74" s="620">
        <v>244</v>
      </c>
      <c r="D74" s="620">
        <v>223</v>
      </c>
      <c r="E74" s="596">
        <f t="shared" si="0"/>
        <v>30788.12</v>
      </c>
      <c r="F74" s="595">
        <f>'Прилож 4 24 (3)'!V74</f>
        <v>0</v>
      </c>
      <c r="G74" s="595">
        <f>'Прилож 4 24 (3)'!W74</f>
        <v>0</v>
      </c>
      <c r="H74" s="595">
        <f>'Прилож 4 24 (3)'!X74</f>
        <v>30788.12</v>
      </c>
      <c r="I74" s="628"/>
      <c r="J74" s="595">
        <f>'Прилож 4 24 (3)'!Z74</f>
        <v>0</v>
      </c>
      <c r="K74" s="595">
        <f>'Прилож 4 24 (3)'!AA74</f>
        <v>0</v>
      </c>
      <c r="L74" s="875">
        <f>'Прилож 4 24 (3)'!AB74</f>
        <v>0</v>
      </c>
      <c r="M74" s="876">
        <f t="shared" si="14"/>
        <v>0</v>
      </c>
      <c r="N74" s="875"/>
      <c r="O74" s="875"/>
      <c r="P74" s="875"/>
      <c r="Q74" s="877"/>
      <c r="R74" s="875"/>
      <c r="S74" s="875"/>
      <c r="T74" s="875"/>
      <c r="U74" s="876">
        <f t="shared" si="15"/>
        <v>30788.12</v>
      </c>
      <c r="V74" s="875">
        <f t="shared" si="10"/>
        <v>0</v>
      </c>
      <c r="W74" s="875">
        <f t="shared" si="11"/>
        <v>0</v>
      </c>
      <c r="X74" s="875">
        <f t="shared" si="12"/>
        <v>30788.12</v>
      </c>
      <c r="Y74" s="883"/>
      <c r="Z74" s="875">
        <f t="shared" si="4"/>
        <v>0</v>
      </c>
      <c r="AA74" s="875">
        <f t="shared" si="13"/>
        <v>0</v>
      </c>
      <c r="AB74" s="875">
        <f t="shared" si="13"/>
        <v>0</v>
      </c>
      <c r="AC74" s="878"/>
    </row>
    <row r="75" spans="1:29" ht="31.5" x14ac:dyDescent="0.2">
      <c r="A75" s="618" t="s">
        <v>1141</v>
      </c>
      <c r="B75" s="619" t="s">
        <v>729</v>
      </c>
      <c r="C75" s="620">
        <v>244</v>
      </c>
      <c r="D75" s="620">
        <v>223</v>
      </c>
      <c r="E75" s="596">
        <f t="shared" si="0"/>
        <v>28826.37</v>
      </c>
      <c r="F75" s="595">
        <f>'Прилож 4 24 (3)'!V75</f>
        <v>0</v>
      </c>
      <c r="G75" s="595">
        <f>'Прилож 4 24 (3)'!W75</f>
        <v>0</v>
      </c>
      <c r="H75" s="595">
        <f>'Прилож 4 24 (3)'!X75</f>
        <v>28826.37</v>
      </c>
      <c r="I75" s="628"/>
      <c r="J75" s="595">
        <f>'Прилож 4 24 (3)'!Z75</f>
        <v>0</v>
      </c>
      <c r="K75" s="595">
        <f>'Прилож 4 24 (3)'!AA75</f>
        <v>0</v>
      </c>
      <c r="L75" s="875">
        <f>'Прилож 4 24 (3)'!AB75</f>
        <v>0</v>
      </c>
      <c r="M75" s="876">
        <f t="shared" si="14"/>
        <v>0</v>
      </c>
      <c r="N75" s="875"/>
      <c r="O75" s="875"/>
      <c r="P75" s="875"/>
      <c r="Q75" s="877"/>
      <c r="R75" s="875"/>
      <c r="S75" s="875"/>
      <c r="T75" s="875"/>
      <c r="U75" s="876">
        <f t="shared" si="15"/>
        <v>28826.37</v>
      </c>
      <c r="V75" s="875">
        <f t="shared" si="10"/>
        <v>0</v>
      </c>
      <c r="W75" s="875">
        <f t="shared" si="11"/>
        <v>0</v>
      </c>
      <c r="X75" s="875">
        <f t="shared" si="12"/>
        <v>28826.37</v>
      </c>
      <c r="Y75" s="883"/>
      <c r="Z75" s="875">
        <f t="shared" si="4"/>
        <v>0</v>
      </c>
      <c r="AA75" s="875">
        <f t="shared" si="13"/>
        <v>0</v>
      </c>
      <c r="AB75" s="875">
        <f t="shared" si="13"/>
        <v>0</v>
      </c>
      <c r="AC75" s="878"/>
    </row>
    <row r="76" spans="1:29" ht="44.25" customHeight="1" x14ac:dyDescent="0.2">
      <c r="A76" s="618" t="s">
        <v>130</v>
      </c>
      <c r="B76" s="619" t="s">
        <v>729</v>
      </c>
      <c r="C76" s="620">
        <v>244</v>
      </c>
      <c r="D76" s="620">
        <v>223</v>
      </c>
      <c r="E76" s="596">
        <f t="shared" si="0"/>
        <v>38000</v>
      </c>
      <c r="F76" s="595">
        <f>'Прилож 4 24 (3)'!V76</f>
        <v>0</v>
      </c>
      <c r="G76" s="595">
        <f>'Прилож 4 24 (3)'!W76</f>
        <v>0</v>
      </c>
      <c r="H76" s="595">
        <f>'Прилож 4 24 (3)'!X76</f>
        <v>38000</v>
      </c>
      <c r="I76" s="628"/>
      <c r="J76" s="595">
        <f>'Прилож 4 24 (3)'!Z76</f>
        <v>0</v>
      </c>
      <c r="K76" s="595">
        <f>'Прилож 4 24 (3)'!AA76</f>
        <v>0</v>
      </c>
      <c r="L76" s="875">
        <f>'Прилож 4 24 (3)'!AB76</f>
        <v>0</v>
      </c>
      <c r="M76" s="876">
        <f t="shared" si="14"/>
        <v>0</v>
      </c>
      <c r="N76" s="875"/>
      <c r="O76" s="875"/>
      <c r="P76" s="875"/>
      <c r="Q76" s="877"/>
      <c r="R76" s="875"/>
      <c r="S76" s="875"/>
      <c r="T76" s="875"/>
      <c r="U76" s="876">
        <f t="shared" si="15"/>
        <v>38000</v>
      </c>
      <c r="V76" s="875">
        <f t="shared" si="10"/>
        <v>0</v>
      </c>
      <c r="W76" s="875">
        <f t="shared" si="11"/>
        <v>0</v>
      </c>
      <c r="X76" s="875">
        <f t="shared" si="12"/>
        <v>38000</v>
      </c>
      <c r="Y76" s="883"/>
      <c r="Z76" s="875">
        <f t="shared" si="4"/>
        <v>0</v>
      </c>
      <c r="AA76" s="875">
        <f t="shared" si="13"/>
        <v>0</v>
      </c>
      <c r="AB76" s="875">
        <f t="shared" si="13"/>
        <v>0</v>
      </c>
      <c r="AC76" s="878"/>
    </row>
    <row r="77" spans="1:29" s="637" customFormat="1" ht="35.25" customHeight="1" x14ac:dyDescent="0.2">
      <c r="A77" s="632" t="s">
        <v>1143</v>
      </c>
      <c r="B77" s="633" t="s">
        <v>729</v>
      </c>
      <c r="C77" s="634">
        <v>244</v>
      </c>
      <c r="D77" s="634">
        <v>223</v>
      </c>
      <c r="E77" s="597">
        <f>SUM(E68:E76)</f>
        <v>159463.62</v>
      </c>
      <c r="F77" s="595">
        <f>'Прилож 4 24 (3)'!V77</f>
        <v>0</v>
      </c>
      <c r="G77" s="595">
        <f>'Прилож 4 24 (3)'!W77</f>
        <v>0</v>
      </c>
      <c r="H77" s="595">
        <f>'Прилож 4 24 (3)'!X77</f>
        <v>159463.62</v>
      </c>
      <c r="I77" s="635"/>
      <c r="J77" s="595">
        <f>'Прилож 4 24 (3)'!Z77</f>
        <v>0</v>
      </c>
      <c r="K77" s="595">
        <f>'Прилож 4 24 (3)'!AA77</f>
        <v>0</v>
      </c>
      <c r="L77" s="875">
        <f>'Прилож 4 24 (3)'!AB77</f>
        <v>0</v>
      </c>
      <c r="M77" s="876">
        <f t="shared" si="14"/>
        <v>60359.519999999997</v>
      </c>
      <c r="N77" s="884"/>
      <c r="O77" s="884"/>
      <c r="P77" s="884"/>
      <c r="Q77" s="885"/>
      <c r="R77" s="884"/>
      <c r="S77" s="884"/>
      <c r="T77" s="884">
        <f>SUM(T68:T76)</f>
        <v>60359.519999999997</v>
      </c>
      <c r="U77" s="876">
        <f t="shared" si="15"/>
        <v>219823.13999999998</v>
      </c>
      <c r="V77" s="875">
        <f t="shared" si="10"/>
        <v>0</v>
      </c>
      <c r="W77" s="875">
        <f t="shared" si="11"/>
        <v>0</v>
      </c>
      <c r="X77" s="875">
        <f t="shared" si="12"/>
        <v>159463.62</v>
      </c>
      <c r="Y77" s="885"/>
      <c r="Z77" s="875">
        <f t="shared" si="4"/>
        <v>0</v>
      </c>
      <c r="AA77" s="875">
        <f t="shared" si="13"/>
        <v>0</v>
      </c>
      <c r="AB77" s="875">
        <f t="shared" si="13"/>
        <v>60359.519999999997</v>
      </c>
      <c r="AC77" s="878" t="s">
        <v>1349</v>
      </c>
    </row>
    <row r="78" spans="1:29" s="614" customFormat="1" x14ac:dyDescent="0.2">
      <c r="A78" s="630" t="s">
        <v>736</v>
      </c>
      <c r="B78" s="631"/>
      <c r="C78" s="624"/>
      <c r="D78" s="624"/>
      <c r="E78" s="596">
        <f>E77+E67</f>
        <v>531101.15</v>
      </c>
      <c r="F78" s="595">
        <f>'Прилож 4 24 (3)'!V78</f>
        <v>0</v>
      </c>
      <c r="G78" s="595">
        <f>'Прилож 4 24 (3)'!W78</f>
        <v>0</v>
      </c>
      <c r="H78" s="595">
        <f>'Прилож 4 24 (3)'!X78</f>
        <v>531101.15</v>
      </c>
      <c r="I78" s="626"/>
      <c r="J78" s="595">
        <f>'Прилож 4 24 (3)'!Z78</f>
        <v>0</v>
      </c>
      <c r="K78" s="595">
        <f>'Прилож 4 24 (3)'!AA78</f>
        <v>0</v>
      </c>
      <c r="L78" s="875">
        <f>'Прилож 4 24 (3)'!AB78</f>
        <v>0</v>
      </c>
      <c r="M78" s="876">
        <f t="shared" si="14"/>
        <v>60359.519999999997</v>
      </c>
      <c r="N78" s="876"/>
      <c r="O78" s="876"/>
      <c r="P78" s="876"/>
      <c r="Q78" s="881"/>
      <c r="R78" s="876"/>
      <c r="S78" s="876"/>
      <c r="T78" s="876">
        <f>T67+T77</f>
        <v>60359.519999999997</v>
      </c>
      <c r="U78" s="876">
        <f t="shared" si="15"/>
        <v>591460.67000000004</v>
      </c>
      <c r="V78" s="875">
        <f t="shared" si="10"/>
        <v>0</v>
      </c>
      <c r="W78" s="875">
        <f t="shared" si="11"/>
        <v>0</v>
      </c>
      <c r="X78" s="875">
        <f t="shared" si="12"/>
        <v>531101.15</v>
      </c>
      <c r="Y78" s="881"/>
      <c r="Z78" s="875">
        <f t="shared" ref="Z78:Z141" si="18">R78+J78</f>
        <v>0</v>
      </c>
      <c r="AA78" s="875">
        <f t="shared" si="13"/>
        <v>0</v>
      </c>
      <c r="AB78" s="875">
        <f t="shared" si="13"/>
        <v>60359.519999999997</v>
      </c>
      <c r="AC78" s="878"/>
    </row>
    <row r="79" spans="1:29" x14ac:dyDescent="0.2">
      <c r="A79" s="618" t="s">
        <v>131</v>
      </c>
      <c r="B79" s="619" t="s">
        <v>747</v>
      </c>
      <c r="C79" s="620">
        <v>247</v>
      </c>
      <c r="D79" s="620">
        <v>223</v>
      </c>
      <c r="E79" s="596">
        <f>L79+K79+J79+H79+G79+F79</f>
        <v>546600</v>
      </c>
      <c r="F79" s="595">
        <f>'Прилож 4 24 (3)'!V79</f>
        <v>0</v>
      </c>
      <c r="G79" s="595">
        <f>'Прилож 4 24 (3)'!W79</f>
        <v>0</v>
      </c>
      <c r="H79" s="595">
        <f>'Прилож 4 24 (3)'!X79</f>
        <v>546600</v>
      </c>
      <c r="I79" s="621"/>
      <c r="J79" s="595">
        <f>'Прилож 4 24 (3)'!Z79</f>
        <v>0</v>
      </c>
      <c r="K79" s="595">
        <f>'Прилож 4 24 (3)'!AA79</f>
        <v>0</v>
      </c>
      <c r="L79" s="875">
        <f>'Прилож 4 24 (3)'!AB79</f>
        <v>0</v>
      </c>
      <c r="M79" s="876">
        <f t="shared" si="14"/>
        <v>0</v>
      </c>
      <c r="N79" s="875"/>
      <c r="O79" s="875"/>
      <c r="P79" s="875"/>
      <c r="Q79" s="877"/>
      <c r="R79" s="875"/>
      <c r="S79" s="875"/>
      <c r="T79" s="875"/>
      <c r="U79" s="876">
        <f t="shared" si="15"/>
        <v>546600</v>
      </c>
      <c r="V79" s="875">
        <f t="shared" si="10"/>
        <v>0</v>
      </c>
      <c r="W79" s="875">
        <f t="shared" si="11"/>
        <v>0</v>
      </c>
      <c r="X79" s="875">
        <f t="shared" si="12"/>
        <v>546600</v>
      </c>
      <c r="Y79" s="877"/>
      <c r="Z79" s="875">
        <f t="shared" si="18"/>
        <v>0</v>
      </c>
      <c r="AA79" s="875">
        <f t="shared" si="13"/>
        <v>0</v>
      </c>
      <c r="AB79" s="875">
        <f t="shared" si="13"/>
        <v>0</v>
      </c>
      <c r="AC79" s="878"/>
    </row>
    <row r="80" spans="1:29" ht="16.5" customHeight="1" x14ac:dyDescent="0.2">
      <c r="A80" s="618" t="s">
        <v>133</v>
      </c>
      <c r="B80" s="619" t="s">
        <v>747</v>
      </c>
      <c r="C80" s="620">
        <v>247</v>
      </c>
      <c r="D80" s="620">
        <v>223</v>
      </c>
      <c r="E80" s="596">
        <f t="shared" si="0"/>
        <v>465510.83</v>
      </c>
      <c r="F80" s="595">
        <f>'Прилож 4 24 (3)'!V80</f>
        <v>0</v>
      </c>
      <c r="G80" s="595">
        <f>'Прилож 4 24 (3)'!W80</f>
        <v>0</v>
      </c>
      <c r="H80" s="595">
        <f>'Прилож 4 24 (3)'!X80</f>
        <v>465510.83</v>
      </c>
      <c r="I80" s="621"/>
      <c r="J80" s="595">
        <f>'Прилож 4 24 (3)'!Z80</f>
        <v>0</v>
      </c>
      <c r="K80" s="595">
        <f>'Прилож 4 24 (3)'!AA80</f>
        <v>0</v>
      </c>
      <c r="L80" s="875">
        <f>'Прилож 4 24 (3)'!AB80</f>
        <v>0</v>
      </c>
      <c r="M80" s="876">
        <f t="shared" si="14"/>
        <v>0</v>
      </c>
      <c r="N80" s="875"/>
      <c r="O80" s="875"/>
      <c r="P80" s="875"/>
      <c r="Q80" s="877"/>
      <c r="R80" s="875"/>
      <c r="S80" s="875"/>
      <c r="T80" s="875"/>
      <c r="U80" s="876">
        <f t="shared" si="15"/>
        <v>465510.83</v>
      </c>
      <c r="V80" s="875">
        <f t="shared" si="10"/>
        <v>0</v>
      </c>
      <c r="W80" s="875">
        <f t="shared" si="11"/>
        <v>0</v>
      </c>
      <c r="X80" s="875">
        <f t="shared" si="12"/>
        <v>465510.83</v>
      </c>
      <c r="Y80" s="877"/>
      <c r="Z80" s="875">
        <f t="shared" si="18"/>
        <v>0</v>
      </c>
      <c r="AA80" s="875">
        <f t="shared" si="13"/>
        <v>0</v>
      </c>
      <c r="AB80" s="875">
        <f t="shared" si="13"/>
        <v>0</v>
      </c>
      <c r="AC80" s="878"/>
    </row>
    <row r="81" spans="1:29" ht="16.5" customHeight="1" x14ac:dyDescent="0.2">
      <c r="A81" s="618" t="s">
        <v>1260</v>
      </c>
      <c r="B81" s="619" t="s">
        <v>747</v>
      </c>
      <c r="C81" s="620">
        <v>247</v>
      </c>
      <c r="D81" s="620">
        <v>223</v>
      </c>
      <c r="E81" s="596">
        <f t="shared" si="0"/>
        <v>318968.24</v>
      </c>
      <c r="F81" s="595">
        <f>'Прилож 4 24 (3)'!V81</f>
        <v>0</v>
      </c>
      <c r="G81" s="595">
        <f>'Прилож 4 24 (3)'!W81</f>
        <v>0</v>
      </c>
      <c r="H81" s="595">
        <f>'Прилож 4 24 (3)'!X81</f>
        <v>318968.24</v>
      </c>
      <c r="I81" s="621"/>
      <c r="J81" s="595">
        <f>'Прилож 4 24 (3)'!Z81</f>
        <v>0</v>
      </c>
      <c r="K81" s="595">
        <f>'Прилож 4 24 (3)'!AA81</f>
        <v>0</v>
      </c>
      <c r="L81" s="875">
        <f>'Прилож 4 24 (3)'!AB81</f>
        <v>0</v>
      </c>
      <c r="M81" s="876">
        <f t="shared" si="14"/>
        <v>0</v>
      </c>
      <c r="N81" s="875"/>
      <c r="O81" s="875"/>
      <c r="P81" s="875"/>
      <c r="Q81" s="877"/>
      <c r="R81" s="875"/>
      <c r="S81" s="875"/>
      <c r="T81" s="875"/>
      <c r="U81" s="876">
        <f t="shared" si="15"/>
        <v>318968.24</v>
      </c>
      <c r="V81" s="875">
        <f t="shared" si="10"/>
        <v>0</v>
      </c>
      <c r="W81" s="875">
        <f t="shared" si="11"/>
        <v>0</v>
      </c>
      <c r="X81" s="875">
        <f t="shared" si="12"/>
        <v>318968.24</v>
      </c>
      <c r="Y81" s="877"/>
      <c r="Z81" s="875">
        <f t="shared" si="18"/>
        <v>0</v>
      </c>
      <c r="AA81" s="875">
        <f t="shared" si="13"/>
        <v>0</v>
      </c>
      <c r="AB81" s="875">
        <f t="shared" si="13"/>
        <v>0</v>
      </c>
      <c r="AC81" s="878"/>
    </row>
    <row r="82" spans="1:29" ht="31.5" x14ac:dyDescent="0.2">
      <c r="A82" s="618" t="s">
        <v>1240</v>
      </c>
      <c r="B82" s="619" t="s">
        <v>747</v>
      </c>
      <c r="C82" s="620">
        <v>247</v>
      </c>
      <c r="D82" s="620">
        <v>223</v>
      </c>
      <c r="E82" s="596">
        <f t="shared" si="0"/>
        <v>63447.51</v>
      </c>
      <c r="F82" s="595">
        <f>'Прилож 4 24 (3)'!V82</f>
        <v>0</v>
      </c>
      <c r="G82" s="595">
        <f>'Прилож 4 24 (3)'!W82</f>
        <v>0</v>
      </c>
      <c r="H82" s="595">
        <f>'Прилож 4 24 (3)'!X82</f>
        <v>63447.51</v>
      </c>
      <c r="I82" s="621"/>
      <c r="J82" s="595">
        <f>'Прилож 4 24 (3)'!Z82</f>
        <v>0</v>
      </c>
      <c r="K82" s="595">
        <f>'Прилож 4 24 (3)'!AA82</f>
        <v>0</v>
      </c>
      <c r="L82" s="875">
        <f>'Прилож 4 24 (3)'!AB82</f>
        <v>0</v>
      </c>
      <c r="M82" s="876">
        <f t="shared" si="14"/>
        <v>0</v>
      </c>
      <c r="N82" s="875"/>
      <c r="O82" s="875"/>
      <c r="P82" s="875"/>
      <c r="Q82" s="877"/>
      <c r="R82" s="875"/>
      <c r="S82" s="875"/>
      <c r="T82" s="875"/>
      <c r="U82" s="876">
        <f t="shared" si="15"/>
        <v>63447.51</v>
      </c>
      <c r="V82" s="875">
        <f t="shared" si="10"/>
        <v>0</v>
      </c>
      <c r="W82" s="875">
        <f t="shared" si="11"/>
        <v>0</v>
      </c>
      <c r="X82" s="875">
        <f t="shared" si="12"/>
        <v>63447.51</v>
      </c>
      <c r="Y82" s="877"/>
      <c r="Z82" s="875">
        <f t="shared" si="18"/>
        <v>0</v>
      </c>
      <c r="AA82" s="875">
        <f t="shared" si="13"/>
        <v>0</v>
      </c>
      <c r="AB82" s="875">
        <f t="shared" si="13"/>
        <v>0</v>
      </c>
      <c r="AC82" s="878"/>
    </row>
    <row r="83" spans="1:29" ht="31.5" x14ac:dyDescent="0.2">
      <c r="A83" s="618" t="s">
        <v>1241</v>
      </c>
      <c r="B83" s="619" t="s">
        <v>747</v>
      </c>
      <c r="C83" s="620">
        <v>247</v>
      </c>
      <c r="D83" s="620">
        <v>223</v>
      </c>
      <c r="E83" s="596">
        <f t="shared" si="0"/>
        <v>52047.07</v>
      </c>
      <c r="F83" s="595">
        <f>'Прилож 4 24 (3)'!V83</f>
        <v>0</v>
      </c>
      <c r="G83" s="595">
        <f>'Прилож 4 24 (3)'!W83</f>
        <v>0</v>
      </c>
      <c r="H83" s="595">
        <f>'Прилож 4 24 (3)'!X83</f>
        <v>52047.07</v>
      </c>
      <c r="I83" s="621"/>
      <c r="J83" s="595">
        <f>'Прилож 4 24 (3)'!Z83</f>
        <v>0</v>
      </c>
      <c r="K83" s="595">
        <f>'Прилож 4 24 (3)'!AA83</f>
        <v>0</v>
      </c>
      <c r="L83" s="875">
        <f>'Прилож 4 24 (3)'!AB83</f>
        <v>0</v>
      </c>
      <c r="M83" s="876">
        <f t="shared" si="14"/>
        <v>0</v>
      </c>
      <c r="N83" s="875"/>
      <c r="O83" s="875"/>
      <c r="P83" s="875"/>
      <c r="Q83" s="877"/>
      <c r="R83" s="875"/>
      <c r="S83" s="875"/>
      <c r="T83" s="875"/>
      <c r="U83" s="876">
        <f t="shared" si="15"/>
        <v>52047.07</v>
      </c>
      <c r="V83" s="875">
        <f t="shared" si="10"/>
        <v>0</v>
      </c>
      <c r="W83" s="875">
        <f t="shared" si="11"/>
        <v>0</v>
      </c>
      <c r="X83" s="875">
        <f t="shared" si="12"/>
        <v>52047.07</v>
      </c>
      <c r="Y83" s="877"/>
      <c r="Z83" s="875">
        <f t="shared" si="18"/>
        <v>0</v>
      </c>
      <c r="AA83" s="875">
        <f t="shared" si="13"/>
        <v>0</v>
      </c>
      <c r="AB83" s="875">
        <f t="shared" si="13"/>
        <v>0</v>
      </c>
      <c r="AC83" s="878"/>
    </row>
    <row r="84" spans="1:29" ht="31.5" x14ac:dyDescent="0.2">
      <c r="A84" s="618" t="s">
        <v>1242</v>
      </c>
      <c r="B84" s="619" t="s">
        <v>747</v>
      </c>
      <c r="C84" s="620">
        <v>247</v>
      </c>
      <c r="D84" s="620">
        <v>223</v>
      </c>
      <c r="E84" s="596">
        <f t="shared" si="0"/>
        <v>40719.379999999997</v>
      </c>
      <c r="F84" s="595">
        <f>'Прилож 4 24 (3)'!V84</f>
        <v>0</v>
      </c>
      <c r="G84" s="595">
        <f>'Прилож 4 24 (3)'!W84</f>
        <v>0</v>
      </c>
      <c r="H84" s="595">
        <f>'Прилож 4 24 (3)'!X84</f>
        <v>40719.379999999997</v>
      </c>
      <c r="I84" s="621"/>
      <c r="J84" s="595">
        <f>'Прилож 4 24 (3)'!Z84</f>
        <v>0</v>
      </c>
      <c r="K84" s="595">
        <f>'Прилож 4 24 (3)'!AA84</f>
        <v>0</v>
      </c>
      <c r="L84" s="875">
        <f>'Прилож 4 24 (3)'!AB84</f>
        <v>0</v>
      </c>
      <c r="M84" s="876">
        <f t="shared" si="14"/>
        <v>0</v>
      </c>
      <c r="N84" s="875"/>
      <c r="O84" s="875"/>
      <c r="P84" s="875"/>
      <c r="Q84" s="877"/>
      <c r="R84" s="875"/>
      <c r="S84" s="875"/>
      <c r="T84" s="875"/>
      <c r="U84" s="876">
        <f t="shared" si="15"/>
        <v>40719.379999999997</v>
      </c>
      <c r="V84" s="875">
        <f t="shared" si="10"/>
        <v>0</v>
      </c>
      <c r="W84" s="875">
        <f t="shared" si="11"/>
        <v>0</v>
      </c>
      <c r="X84" s="875">
        <f t="shared" si="12"/>
        <v>40719.379999999997</v>
      </c>
      <c r="Y84" s="877"/>
      <c r="Z84" s="875">
        <f t="shared" si="18"/>
        <v>0</v>
      </c>
      <c r="AA84" s="875">
        <f t="shared" si="13"/>
        <v>0</v>
      </c>
      <c r="AB84" s="875">
        <f t="shared" si="13"/>
        <v>0</v>
      </c>
      <c r="AC84" s="878"/>
    </row>
    <row r="85" spans="1:29" ht="31.5" x14ac:dyDescent="0.2">
      <c r="A85" s="618" t="s">
        <v>1242</v>
      </c>
      <c r="B85" s="619" t="s">
        <v>747</v>
      </c>
      <c r="C85" s="620">
        <v>247</v>
      </c>
      <c r="D85" s="620">
        <v>223</v>
      </c>
      <c r="E85" s="596">
        <f t="shared" si="0"/>
        <v>52360.07</v>
      </c>
      <c r="F85" s="595">
        <f>'Прилож 4 24 (3)'!V85</f>
        <v>0</v>
      </c>
      <c r="G85" s="595">
        <f>'Прилож 4 24 (3)'!W85</f>
        <v>0</v>
      </c>
      <c r="H85" s="595">
        <f>'Прилож 4 24 (3)'!X85</f>
        <v>52360.07</v>
      </c>
      <c r="I85" s="621"/>
      <c r="J85" s="595">
        <f>'Прилож 4 24 (3)'!Z85</f>
        <v>0</v>
      </c>
      <c r="K85" s="595">
        <f>'Прилож 4 24 (3)'!AA85</f>
        <v>0</v>
      </c>
      <c r="L85" s="875">
        <f>'Прилож 4 24 (3)'!AB85</f>
        <v>0</v>
      </c>
      <c r="M85" s="876">
        <f t="shared" si="14"/>
        <v>0</v>
      </c>
      <c r="N85" s="875"/>
      <c r="O85" s="875"/>
      <c r="P85" s="875"/>
      <c r="Q85" s="877"/>
      <c r="R85" s="875"/>
      <c r="S85" s="875"/>
      <c r="T85" s="875"/>
      <c r="U85" s="876">
        <f t="shared" si="15"/>
        <v>52360.07</v>
      </c>
      <c r="V85" s="875">
        <f t="shared" si="10"/>
        <v>0</v>
      </c>
      <c r="W85" s="875">
        <f t="shared" si="11"/>
        <v>0</v>
      </c>
      <c r="X85" s="875">
        <f t="shared" si="12"/>
        <v>52360.07</v>
      </c>
      <c r="Y85" s="877"/>
      <c r="Z85" s="875">
        <f t="shared" si="18"/>
        <v>0</v>
      </c>
      <c r="AA85" s="875">
        <f t="shared" si="13"/>
        <v>0</v>
      </c>
      <c r="AB85" s="875">
        <f t="shared" si="13"/>
        <v>0</v>
      </c>
      <c r="AC85" s="878"/>
    </row>
    <row r="86" spans="1:29" s="637" customFormat="1" x14ac:dyDescent="0.2">
      <c r="A86" s="632" t="s">
        <v>1143</v>
      </c>
      <c r="B86" s="633" t="s">
        <v>747</v>
      </c>
      <c r="C86" s="634">
        <v>247</v>
      </c>
      <c r="D86" s="634">
        <v>223</v>
      </c>
      <c r="E86" s="597">
        <f>SUM(E79:E85)</f>
        <v>1539653.1</v>
      </c>
      <c r="F86" s="595">
        <f>'Прилож 4 24 (3)'!V86</f>
        <v>0</v>
      </c>
      <c r="G86" s="595">
        <f>'Прилож 4 24 (3)'!W86</f>
        <v>0</v>
      </c>
      <c r="H86" s="595">
        <f>'Прилож 4 24 (3)'!X86</f>
        <v>1539653.1</v>
      </c>
      <c r="I86" s="635"/>
      <c r="J86" s="595">
        <f>'Прилож 4 24 (3)'!Z86</f>
        <v>0</v>
      </c>
      <c r="K86" s="595">
        <f>'Прилож 4 24 (3)'!AA86</f>
        <v>0</v>
      </c>
      <c r="L86" s="875">
        <f>'Прилож 4 24 (3)'!AB86</f>
        <v>0</v>
      </c>
      <c r="M86" s="876">
        <f t="shared" si="14"/>
        <v>0</v>
      </c>
      <c r="N86" s="884"/>
      <c r="O86" s="884"/>
      <c r="P86" s="884"/>
      <c r="Q86" s="885"/>
      <c r="R86" s="884"/>
      <c r="S86" s="884"/>
      <c r="T86" s="884"/>
      <c r="U86" s="876">
        <f t="shared" si="15"/>
        <v>1539653.1</v>
      </c>
      <c r="V86" s="875">
        <f t="shared" si="10"/>
        <v>0</v>
      </c>
      <c r="W86" s="875">
        <f t="shared" si="11"/>
        <v>0</v>
      </c>
      <c r="X86" s="875">
        <f t="shared" si="12"/>
        <v>1539653.1</v>
      </c>
      <c r="Y86" s="885"/>
      <c r="Z86" s="875">
        <f t="shared" si="18"/>
        <v>0</v>
      </c>
      <c r="AA86" s="875">
        <f t="shared" si="13"/>
        <v>0</v>
      </c>
      <c r="AB86" s="875">
        <f t="shared" si="13"/>
        <v>0</v>
      </c>
      <c r="AC86" s="886"/>
    </row>
    <row r="87" spans="1:29" ht="31.5" x14ac:dyDescent="0.2">
      <c r="A87" s="618" t="s">
        <v>131</v>
      </c>
      <c r="B87" s="619" t="s">
        <v>729</v>
      </c>
      <c r="C87" s="620">
        <v>247</v>
      </c>
      <c r="D87" s="620">
        <v>223</v>
      </c>
      <c r="E87" s="596">
        <f>L87+K87+J87+H87+G87+F87</f>
        <v>446000</v>
      </c>
      <c r="F87" s="595">
        <f>'Прилож 4 24 (3)'!V87</f>
        <v>0</v>
      </c>
      <c r="G87" s="595">
        <f>'Прилож 4 24 (3)'!W87</f>
        <v>0</v>
      </c>
      <c r="H87" s="595">
        <f>'Прилож 4 24 (3)'!X87</f>
        <v>446000</v>
      </c>
      <c r="I87" s="621"/>
      <c r="J87" s="595">
        <f>'Прилож 4 24 (3)'!Z87</f>
        <v>0</v>
      </c>
      <c r="K87" s="595">
        <f>'Прилож 4 24 (3)'!AA87</f>
        <v>0</v>
      </c>
      <c r="L87" s="875">
        <f>'Прилож 4 24 (3)'!AB87</f>
        <v>0</v>
      </c>
      <c r="M87" s="876">
        <f t="shared" si="14"/>
        <v>493599.21</v>
      </c>
      <c r="N87" s="875"/>
      <c r="O87" s="875"/>
      <c r="P87" s="875"/>
      <c r="Q87" s="877"/>
      <c r="R87" s="875"/>
      <c r="S87" s="875"/>
      <c r="T87" s="875">
        <v>493599.21</v>
      </c>
      <c r="U87" s="876">
        <f t="shared" si="15"/>
        <v>939599.21</v>
      </c>
      <c r="V87" s="875">
        <f t="shared" si="10"/>
        <v>0</v>
      </c>
      <c r="W87" s="875">
        <f t="shared" si="11"/>
        <v>0</v>
      </c>
      <c r="X87" s="875">
        <f t="shared" si="12"/>
        <v>446000</v>
      </c>
      <c r="Y87" s="877"/>
      <c r="Z87" s="875">
        <f t="shared" si="18"/>
        <v>0</v>
      </c>
      <c r="AA87" s="875">
        <f t="shared" si="13"/>
        <v>0</v>
      </c>
      <c r="AB87" s="875">
        <f t="shared" si="13"/>
        <v>493599.21</v>
      </c>
      <c r="AC87" s="878" t="s">
        <v>1349</v>
      </c>
    </row>
    <row r="88" spans="1:29" ht="30" customHeight="1" x14ac:dyDescent="0.2">
      <c r="A88" s="618" t="s">
        <v>133</v>
      </c>
      <c r="B88" s="619" t="s">
        <v>729</v>
      </c>
      <c r="C88" s="620">
        <v>247</v>
      </c>
      <c r="D88" s="620">
        <v>223</v>
      </c>
      <c r="E88" s="596">
        <f t="shared" ref="E88:E93" si="19">L88+K88+J88+H88+G88+F88</f>
        <v>1088533.3600000001</v>
      </c>
      <c r="F88" s="595">
        <f>'Прилож 4 24 (3)'!V88</f>
        <v>0</v>
      </c>
      <c r="G88" s="595">
        <f>'Прилож 4 24 (3)'!W88</f>
        <v>0</v>
      </c>
      <c r="H88" s="595">
        <f>'Прилож 4 24 (3)'!X88</f>
        <v>1088533.3600000001</v>
      </c>
      <c r="I88" s="621"/>
      <c r="J88" s="595">
        <f>'Прилож 4 24 (3)'!Z88</f>
        <v>0</v>
      </c>
      <c r="K88" s="595">
        <f>'Прилож 4 24 (3)'!AA88</f>
        <v>0</v>
      </c>
      <c r="L88" s="875">
        <f>'Прилож 4 24 (3)'!AB88</f>
        <v>0</v>
      </c>
      <c r="M88" s="876">
        <f t="shared" si="14"/>
        <v>344572.26</v>
      </c>
      <c r="N88" s="875"/>
      <c r="O88" s="875"/>
      <c r="P88" s="875"/>
      <c r="Q88" s="877"/>
      <c r="R88" s="875"/>
      <c r="S88" s="875"/>
      <c r="T88" s="875">
        <v>344572.26</v>
      </c>
      <c r="U88" s="876">
        <f t="shared" si="15"/>
        <v>1433105.62</v>
      </c>
      <c r="V88" s="875">
        <f t="shared" si="10"/>
        <v>0</v>
      </c>
      <c r="W88" s="875">
        <f t="shared" si="11"/>
        <v>0</v>
      </c>
      <c r="X88" s="875">
        <f t="shared" si="12"/>
        <v>1088533.3600000001</v>
      </c>
      <c r="Y88" s="877"/>
      <c r="Z88" s="875">
        <f t="shared" si="18"/>
        <v>0</v>
      </c>
      <c r="AA88" s="875">
        <f t="shared" si="13"/>
        <v>0</v>
      </c>
      <c r="AB88" s="875">
        <f t="shared" si="13"/>
        <v>344572.26</v>
      </c>
      <c r="AC88" s="878" t="s">
        <v>1349</v>
      </c>
    </row>
    <row r="89" spans="1:29" ht="34.5" customHeight="1" x14ac:dyDescent="0.2">
      <c r="A89" s="618" t="s">
        <v>1260</v>
      </c>
      <c r="B89" s="619" t="s">
        <v>729</v>
      </c>
      <c r="C89" s="620">
        <v>247</v>
      </c>
      <c r="D89" s="620">
        <v>223</v>
      </c>
      <c r="E89" s="596">
        <f t="shared" si="19"/>
        <v>618609.81999999995</v>
      </c>
      <c r="F89" s="595">
        <f>'Прилож 4 24 (3)'!V89</f>
        <v>0</v>
      </c>
      <c r="G89" s="595">
        <f>'Прилож 4 24 (3)'!W89</f>
        <v>0</v>
      </c>
      <c r="H89" s="595">
        <f>'Прилож 4 24 (3)'!X89</f>
        <v>618609.81999999995</v>
      </c>
      <c r="I89" s="621"/>
      <c r="J89" s="595">
        <f>'Прилож 4 24 (3)'!Z89</f>
        <v>0</v>
      </c>
      <c r="K89" s="595">
        <f>'Прилож 4 24 (3)'!AA89</f>
        <v>0</v>
      </c>
      <c r="L89" s="875">
        <f>'Прилож 4 24 (3)'!AB89</f>
        <v>0</v>
      </c>
      <c r="M89" s="876">
        <f t="shared" si="14"/>
        <v>281203.68</v>
      </c>
      <c r="N89" s="875"/>
      <c r="O89" s="875"/>
      <c r="P89" s="875"/>
      <c r="Q89" s="877"/>
      <c r="R89" s="875"/>
      <c r="S89" s="875"/>
      <c r="T89" s="875">
        <v>281203.68</v>
      </c>
      <c r="U89" s="876">
        <f t="shared" si="15"/>
        <v>899813.5</v>
      </c>
      <c r="V89" s="875">
        <f t="shared" si="10"/>
        <v>0</v>
      </c>
      <c r="W89" s="875">
        <f t="shared" si="11"/>
        <v>0</v>
      </c>
      <c r="X89" s="875">
        <f t="shared" si="12"/>
        <v>618609.81999999995</v>
      </c>
      <c r="Y89" s="877"/>
      <c r="Z89" s="875">
        <f t="shared" si="18"/>
        <v>0</v>
      </c>
      <c r="AA89" s="875">
        <f t="shared" si="13"/>
        <v>0</v>
      </c>
      <c r="AB89" s="875">
        <f t="shared" si="13"/>
        <v>281203.68</v>
      </c>
      <c r="AC89" s="878" t="s">
        <v>1349</v>
      </c>
    </row>
    <row r="90" spans="1:29" ht="31.5" x14ac:dyDescent="0.2">
      <c r="A90" s="618" t="s">
        <v>1240</v>
      </c>
      <c r="B90" s="619" t="s">
        <v>729</v>
      </c>
      <c r="C90" s="620">
        <v>247</v>
      </c>
      <c r="D90" s="620">
        <v>223</v>
      </c>
      <c r="E90" s="596">
        <f t="shared" si="19"/>
        <v>15346.51</v>
      </c>
      <c r="F90" s="595">
        <f>'Прилож 4 24 (3)'!V90</f>
        <v>0</v>
      </c>
      <c r="G90" s="595">
        <f>'Прилож 4 24 (3)'!W90</f>
        <v>0</v>
      </c>
      <c r="H90" s="595">
        <f>'Прилож 4 24 (3)'!X90</f>
        <v>15346.51</v>
      </c>
      <c r="I90" s="621"/>
      <c r="J90" s="595">
        <f>'Прилож 4 24 (3)'!Z90</f>
        <v>0</v>
      </c>
      <c r="K90" s="595">
        <f>'Прилож 4 24 (3)'!AA90</f>
        <v>0</v>
      </c>
      <c r="L90" s="875">
        <f>'Прилож 4 24 (3)'!AB90</f>
        <v>0</v>
      </c>
      <c r="M90" s="876">
        <f t="shared" si="14"/>
        <v>10879.99</v>
      </c>
      <c r="N90" s="875"/>
      <c r="O90" s="875"/>
      <c r="P90" s="875"/>
      <c r="Q90" s="877"/>
      <c r="R90" s="875"/>
      <c r="S90" s="875"/>
      <c r="T90" s="875">
        <v>10879.99</v>
      </c>
      <c r="U90" s="876">
        <f t="shared" si="15"/>
        <v>26226.5</v>
      </c>
      <c r="V90" s="875">
        <f t="shared" si="10"/>
        <v>0</v>
      </c>
      <c r="W90" s="875">
        <f t="shared" si="11"/>
        <v>0</v>
      </c>
      <c r="X90" s="875">
        <f t="shared" si="12"/>
        <v>15346.51</v>
      </c>
      <c r="Y90" s="877"/>
      <c r="Z90" s="875">
        <f t="shared" si="18"/>
        <v>0</v>
      </c>
      <c r="AA90" s="875">
        <f t="shared" si="13"/>
        <v>0</v>
      </c>
      <c r="AB90" s="875">
        <f t="shared" si="13"/>
        <v>10879.99</v>
      </c>
      <c r="AC90" s="878" t="s">
        <v>1349</v>
      </c>
    </row>
    <row r="91" spans="1:29" ht="31.5" x14ac:dyDescent="0.2">
      <c r="A91" s="618" t="s">
        <v>1241</v>
      </c>
      <c r="B91" s="619" t="s">
        <v>729</v>
      </c>
      <c r="C91" s="620">
        <v>247</v>
      </c>
      <c r="D91" s="620">
        <v>223</v>
      </c>
      <c r="E91" s="596">
        <f t="shared" si="19"/>
        <v>13515.22</v>
      </c>
      <c r="F91" s="595">
        <f>'Прилож 4 24 (3)'!V91</f>
        <v>0</v>
      </c>
      <c r="G91" s="595">
        <f>'Прилож 4 24 (3)'!W91</f>
        <v>0</v>
      </c>
      <c r="H91" s="595">
        <f>'Прилож 4 24 (3)'!X91</f>
        <v>13515.22</v>
      </c>
      <c r="I91" s="621"/>
      <c r="J91" s="595">
        <f>'Прилож 4 24 (3)'!Z91</f>
        <v>0</v>
      </c>
      <c r="K91" s="595">
        <f>'Прилож 4 24 (3)'!AA91</f>
        <v>0</v>
      </c>
      <c r="L91" s="875">
        <f>'Прилож 4 24 (3)'!AB91</f>
        <v>0</v>
      </c>
      <c r="M91" s="876">
        <f t="shared" si="14"/>
        <v>8927.11</v>
      </c>
      <c r="N91" s="875"/>
      <c r="O91" s="875"/>
      <c r="P91" s="875"/>
      <c r="Q91" s="877"/>
      <c r="R91" s="875"/>
      <c r="S91" s="875"/>
      <c r="T91" s="875">
        <v>8927.11</v>
      </c>
      <c r="U91" s="876">
        <f t="shared" si="15"/>
        <v>22442.33</v>
      </c>
      <c r="V91" s="875">
        <f t="shared" si="10"/>
        <v>0</v>
      </c>
      <c r="W91" s="875">
        <f t="shared" si="11"/>
        <v>0</v>
      </c>
      <c r="X91" s="875">
        <f t="shared" si="12"/>
        <v>13515.22</v>
      </c>
      <c r="Y91" s="877"/>
      <c r="Z91" s="875">
        <f t="shared" si="18"/>
        <v>0</v>
      </c>
      <c r="AA91" s="875">
        <f t="shared" si="13"/>
        <v>0</v>
      </c>
      <c r="AB91" s="875">
        <f t="shared" si="13"/>
        <v>8927.11</v>
      </c>
      <c r="AC91" s="878" t="s">
        <v>1349</v>
      </c>
    </row>
    <row r="92" spans="1:29" ht="31.5" x14ac:dyDescent="0.2">
      <c r="A92" s="618" t="s">
        <v>1242</v>
      </c>
      <c r="B92" s="619" t="s">
        <v>729</v>
      </c>
      <c r="C92" s="620">
        <v>247</v>
      </c>
      <c r="D92" s="620">
        <v>223</v>
      </c>
      <c r="E92" s="596">
        <f t="shared" si="19"/>
        <v>9599.83</v>
      </c>
      <c r="F92" s="595">
        <f>'Прилож 4 24 (3)'!V92</f>
        <v>0</v>
      </c>
      <c r="G92" s="595">
        <f>'Прилож 4 24 (3)'!W92</f>
        <v>0</v>
      </c>
      <c r="H92" s="595">
        <f>'Прилож 4 24 (3)'!X92</f>
        <v>9599.83</v>
      </c>
      <c r="I92" s="621"/>
      <c r="J92" s="595">
        <f>'Прилож 4 24 (3)'!Z92</f>
        <v>0</v>
      </c>
      <c r="K92" s="595">
        <f>'Прилож 4 24 (3)'!AA92</f>
        <v>0</v>
      </c>
      <c r="L92" s="875">
        <f>'Прилож 4 24 (3)'!AB92</f>
        <v>0</v>
      </c>
      <c r="M92" s="876">
        <f t="shared" si="14"/>
        <v>7491.46</v>
      </c>
      <c r="N92" s="875"/>
      <c r="O92" s="875"/>
      <c r="P92" s="875"/>
      <c r="Q92" s="877"/>
      <c r="R92" s="875"/>
      <c r="S92" s="875"/>
      <c r="T92" s="875">
        <v>7491.46</v>
      </c>
      <c r="U92" s="876">
        <f t="shared" si="15"/>
        <v>17091.29</v>
      </c>
      <c r="V92" s="875">
        <f t="shared" si="10"/>
        <v>0</v>
      </c>
      <c r="W92" s="875">
        <f t="shared" si="11"/>
        <v>0</v>
      </c>
      <c r="X92" s="875">
        <f t="shared" si="12"/>
        <v>9599.83</v>
      </c>
      <c r="Y92" s="877"/>
      <c r="Z92" s="875">
        <f t="shared" si="18"/>
        <v>0</v>
      </c>
      <c r="AA92" s="875">
        <f t="shared" si="13"/>
        <v>0</v>
      </c>
      <c r="AB92" s="875">
        <f t="shared" si="13"/>
        <v>7491.46</v>
      </c>
      <c r="AC92" s="878" t="s">
        <v>1349</v>
      </c>
    </row>
    <row r="93" spans="1:29" ht="31.5" x14ac:dyDescent="0.2">
      <c r="A93" s="618" t="s">
        <v>1242</v>
      </c>
      <c r="B93" s="619" t="s">
        <v>729</v>
      </c>
      <c r="C93" s="620">
        <v>247</v>
      </c>
      <c r="D93" s="620">
        <v>223</v>
      </c>
      <c r="E93" s="596">
        <f t="shared" si="19"/>
        <v>10621.01</v>
      </c>
      <c r="F93" s="595">
        <f>'Прилож 4 24 (3)'!V93</f>
        <v>0</v>
      </c>
      <c r="G93" s="595">
        <f>'Прилож 4 24 (3)'!W93</f>
        <v>0</v>
      </c>
      <c r="H93" s="595">
        <f>'Прилож 4 24 (3)'!X93</f>
        <v>10621.01</v>
      </c>
      <c r="I93" s="621"/>
      <c r="J93" s="595">
        <f>'Прилож 4 24 (3)'!Z93</f>
        <v>0</v>
      </c>
      <c r="K93" s="595">
        <f>'Прилож 4 24 (3)'!AA93</f>
        <v>0</v>
      </c>
      <c r="L93" s="875">
        <f>'Прилож 4 24 (3)'!AB93</f>
        <v>0</v>
      </c>
      <c r="M93" s="876">
        <f t="shared" si="14"/>
        <v>7535.03</v>
      </c>
      <c r="N93" s="875"/>
      <c r="O93" s="875"/>
      <c r="P93" s="875"/>
      <c r="Q93" s="877"/>
      <c r="R93" s="875"/>
      <c r="S93" s="875"/>
      <c r="T93" s="875">
        <v>7535.03</v>
      </c>
      <c r="U93" s="876">
        <f t="shared" si="15"/>
        <v>18156.04</v>
      </c>
      <c r="V93" s="875">
        <f t="shared" si="10"/>
        <v>0</v>
      </c>
      <c r="W93" s="875">
        <f t="shared" si="11"/>
        <v>0</v>
      </c>
      <c r="X93" s="875">
        <f t="shared" si="12"/>
        <v>10621.01</v>
      </c>
      <c r="Y93" s="877"/>
      <c r="Z93" s="875">
        <f t="shared" si="18"/>
        <v>0</v>
      </c>
      <c r="AA93" s="875">
        <f t="shared" si="13"/>
        <v>0</v>
      </c>
      <c r="AB93" s="875">
        <f t="shared" si="13"/>
        <v>7535.03</v>
      </c>
      <c r="AC93" s="878" t="s">
        <v>1349</v>
      </c>
    </row>
    <row r="94" spans="1:29" s="637" customFormat="1" ht="31.5" x14ac:dyDescent="0.2">
      <c r="A94" s="632" t="s">
        <v>1143</v>
      </c>
      <c r="B94" s="633" t="s">
        <v>729</v>
      </c>
      <c r="C94" s="634">
        <v>247</v>
      </c>
      <c r="D94" s="634">
        <v>223</v>
      </c>
      <c r="E94" s="597">
        <f>SUM(E87:E93)</f>
        <v>2202225.75</v>
      </c>
      <c r="F94" s="595">
        <f>'Прилож 4 24 (3)'!V94</f>
        <v>0</v>
      </c>
      <c r="G94" s="595">
        <f>'Прилож 4 24 (3)'!W94</f>
        <v>0</v>
      </c>
      <c r="H94" s="595">
        <f>'Прилож 4 24 (3)'!X94</f>
        <v>2202225.75</v>
      </c>
      <c r="I94" s="635"/>
      <c r="J94" s="595">
        <f>'Прилож 4 24 (3)'!Z94</f>
        <v>0</v>
      </c>
      <c r="K94" s="595">
        <f>'Прилож 4 24 (3)'!AA94</f>
        <v>0</v>
      </c>
      <c r="L94" s="875">
        <f>'Прилож 4 24 (3)'!AB94</f>
        <v>0</v>
      </c>
      <c r="M94" s="876">
        <f t="shared" si="14"/>
        <v>1154208.74</v>
      </c>
      <c r="N94" s="884"/>
      <c r="O94" s="884"/>
      <c r="P94" s="884"/>
      <c r="Q94" s="885"/>
      <c r="R94" s="884"/>
      <c r="S94" s="884"/>
      <c r="T94" s="884">
        <f>SUM(T87:T93)</f>
        <v>1154208.74</v>
      </c>
      <c r="U94" s="876">
        <f t="shared" si="15"/>
        <v>3356434.49</v>
      </c>
      <c r="V94" s="875">
        <f t="shared" si="15"/>
        <v>0</v>
      </c>
      <c r="W94" s="875">
        <f t="shared" ref="W94:W157" si="20">O94+G94</f>
        <v>0</v>
      </c>
      <c r="X94" s="875">
        <f t="shared" ref="X94:X157" si="21">P94+H94</f>
        <v>2202225.75</v>
      </c>
      <c r="Y94" s="885"/>
      <c r="Z94" s="875">
        <f t="shared" si="18"/>
        <v>0</v>
      </c>
      <c r="AA94" s="875">
        <f t="shared" ref="AA94:AB157" si="22">S94+K94</f>
        <v>0</v>
      </c>
      <c r="AB94" s="875">
        <f t="shared" si="22"/>
        <v>1154208.74</v>
      </c>
      <c r="AC94" s="878" t="s">
        <v>1349</v>
      </c>
    </row>
    <row r="95" spans="1:29" s="614" customFormat="1" x14ac:dyDescent="0.2">
      <c r="A95" s="630" t="s">
        <v>737</v>
      </c>
      <c r="B95" s="631"/>
      <c r="C95" s="624"/>
      <c r="D95" s="624"/>
      <c r="E95" s="596">
        <f>E94+E86</f>
        <v>3741878.85</v>
      </c>
      <c r="F95" s="595">
        <f>'Прилож 4 24 (3)'!V95</f>
        <v>0</v>
      </c>
      <c r="G95" s="595">
        <f>'Прилож 4 24 (3)'!W95</f>
        <v>0</v>
      </c>
      <c r="H95" s="595">
        <f>'Прилож 4 24 (3)'!X95</f>
        <v>3741878.85</v>
      </c>
      <c r="I95" s="626"/>
      <c r="J95" s="595">
        <f>'Прилож 4 24 (3)'!Z95</f>
        <v>0</v>
      </c>
      <c r="K95" s="595">
        <f>'Прилож 4 24 (3)'!AA95</f>
        <v>0</v>
      </c>
      <c r="L95" s="875">
        <f>'Прилож 4 24 (3)'!AB95</f>
        <v>0</v>
      </c>
      <c r="M95" s="876">
        <f t="shared" ref="M95:M158" si="23">N95+P95+R95+S95+T95+O95</f>
        <v>1154208.74</v>
      </c>
      <c r="N95" s="876"/>
      <c r="O95" s="876"/>
      <c r="P95" s="876"/>
      <c r="Q95" s="881"/>
      <c r="R95" s="876"/>
      <c r="S95" s="876"/>
      <c r="T95" s="876">
        <f>T86+T94</f>
        <v>1154208.74</v>
      </c>
      <c r="U95" s="876">
        <f t="shared" ref="U95:V158" si="24">E95+M95</f>
        <v>4896087.59</v>
      </c>
      <c r="V95" s="875">
        <f t="shared" si="24"/>
        <v>0</v>
      </c>
      <c r="W95" s="875">
        <f t="shared" si="20"/>
        <v>0</v>
      </c>
      <c r="X95" s="875">
        <f t="shared" si="21"/>
        <v>3741878.85</v>
      </c>
      <c r="Y95" s="881"/>
      <c r="Z95" s="875">
        <f t="shared" si="18"/>
        <v>0</v>
      </c>
      <c r="AA95" s="875">
        <f t="shared" si="22"/>
        <v>0</v>
      </c>
      <c r="AB95" s="875">
        <f t="shared" si="22"/>
        <v>1154208.74</v>
      </c>
      <c r="AC95" s="879"/>
    </row>
    <row r="96" spans="1:29" ht="31.5" x14ac:dyDescent="0.2">
      <c r="A96" s="618" t="s">
        <v>1230</v>
      </c>
      <c r="B96" s="619" t="s">
        <v>729</v>
      </c>
      <c r="C96" s="620">
        <v>243</v>
      </c>
      <c r="D96" s="620">
        <v>225</v>
      </c>
      <c r="E96" s="595">
        <f>K96</f>
        <v>0</v>
      </c>
      <c r="F96" s="595">
        <f>'Прилож 4 24 (3)'!V96</f>
        <v>0</v>
      </c>
      <c r="G96" s="595">
        <f>'Прилож 4 24 (3)'!W96</f>
        <v>0</v>
      </c>
      <c r="H96" s="595">
        <f>'Прилож 4 24 (3)'!X96</f>
        <v>0</v>
      </c>
      <c r="I96" s="621"/>
      <c r="J96" s="595">
        <f>'Прилож 4 24 (3)'!Z96</f>
        <v>0</v>
      </c>
      <c r="K96" s="595">
        <f>'Прилож 4 24 (3)'!AA96</f>
        <v>0</v>
      </c>
      <c r="L96" s="875">
        <f>'Прилож 4 24 (3)'!AB96</f>
        <v>0</v>
      </c>
      <c r="M96" s="876">
        <f t="shared" si="23"/>
        <v>0</v>
      </c>
      <c r="N96" s="875"/>
      <c r="O96" s="875"/>
      <c r="P96" s="875"/>
      <c r="Q96" s="890"/>
      <c r="R96" s="875"/>
      <c r="S96" s="875"/>
      <c r="T96" s="875"/>
      <c r="U96" s="876">
        <f t="shared" si="24"/>
        <v>0</v>
      </c>
      <c r="V96" s="875">
        <f t="shared" si="24"/>
        <v>0</v>
      </c>
      <c r="W96" s="875">
        <f t="shared" si="20"/>
        <v>0</v>
      </c>
      <c r="X96" s="875">
        <f t="shared" si="21"/>
        <v>0</v>
      </c>
      <c r="Y96" s="877"/>
      <c r="Z96" s="875">
        <f t="shared" si="18"/>
        <v>0</v>
      </c>
      <c r="AA96" s="875">
        <f t="shared" si="22"/>
        <v>0</v>
      </c>
      <c r="AB96" s="875">
        <f t="shared" si="22"/>
        <v>0</v>
      </c>
      <c r="AC96" s="878"/>
    </row>
    <row r="97" spans="1:29" s="614" customFormat="1" ht="28.5" customHeight="1" x14ac:dyDescent="0.2">
      <c r="A97" s="630" t="s">
        <v>1312</v>
      </c>
      <c r="B97" s="631" t="s">
        <v>729</v>
      </c>
      <c r="C97" s="624">
        <v>243</v>
      </c>
      <c r="D97" s="624">
        <v>225</v>
      </c>
      <c r="E97" s="596">
        <f>K97</f>
        <v>0</v>
      </c>
      <c r="F97" s="595">
        <f>'Прилож 4 24 (3)'!V97</f>
        <v>0</v>
      </c>
      <c r="G97" s="595">
        <f>'Прилож 4 24 (3)'!W97</f>
        <v>0</v>
      </c>
      <c r="H97" s="595">
        <f>'Прилож 4 24 (3)'!X97</f>
        <v>0</v>
      </c>
      <c r="I97" s="626"/>
      <c r="J97" s="595">
        <f>'Прилож 4 24 (3)'!Z97</f>
        <v>0</v>
      </c>
      <c r="K97" s="595">
        <f>'Прилож 4 24 (3)'!AA97</f>
        <v>0</v>
      </c>
      <c r="L97" s="875">
        <f>'Прилож 4 24 (3)'!AB97</f>
        <v>0</v>
      </c>
      <c r="M97" s="876">
        <f t="shared" si="23"/>
        <v>0</v>
      </c>
      <c r="N97" s="876"/>
      <c r="O97" s="876"/>
      <c r="P97" s="876"/>
      <c r="Q97" s="881"/>
      <c r="R97" s="876"/>
      <c r="S97" s="876"/>
      <c r="T97" s="876"/>
      <c r="U97" s="876">
        <f t="shared" si="24"/>
        <v>0</v>
      </c>
      <c r="V97" s="875">
        <f t="shared" si="24"/>
        <v>0</v>
      </c>
      <c r="W97" s="875">
        <f t="shared" si="20"/>
        <v>0</v>
      </c>
      <c r="X97" s="875">
        <f t="shared" si="21"/>
        <v>0</v>
      </c>
      <c r="Y97" s="881"/>
      <c r="Z97" s="875">
        <f t="shared" si="18"/>
        <v>0</v>
      </c>
      <c r="AA97" s="875">
        <f t="shared" si="22"/>
        <v>0</v>
      </c>
      <c r="AB97" s="875">
        <f t="shared" si="22"/>
        <v>0</v>
      </c>
      <c r="AC97" s="879"/>
    </row>
    <row r="98" spans="1:29" ht="77.45" customHeight="1" x14ac:dyDescent="0.2">
      <c r="A98" s="618" t="s">
        <v>1188</v>
      </c>
      <c r="B98" s="619" t="s">
        <v>747</v>
      </c>
      <c r="C98" s="620">
        <v>244</v>
      </c>
      <c r="D98" s="620">
        <v>225</v>
      </c>
      <c r="E98" s="596">
        <f t="shared" si="0"/>
        <v>50400</v>
      </c>
      <c r="F98" s="595">
        <f>'Прилож 4 24 (3)'!V98</f>
        <v>0</v>
      </c>
      <c r="G98" s="595">
        <f>'Прилож 4 24 (3)'!W98</f>
        <v>0</v>
      </c>
      <c r="H98" s="595">
        <f>'Прилож 4 24 (3)'!X98</f>
        <v>50400</v>
      </c>
      <c r="I98" s="628"/>
      <c r="J98" s="595">
        <f>'Прилож 4 24 (3)'!Z98</f>
        <v>0</v>
      </c>
      <c r="K98" s="595">
        <f>'Прилож 4 24 (3)'!AA98</f>
        <v>0</v>
      </c>
      <c r="L98" s="875">
        <f>'Прилож 4 24 (3)'!AB98</f>
        <v>0</v>
      </c>
      <c r="M98" s="876">
        <f t="shared" si="23"/>
        <v>0</v>
      </c>
      <c r="N98" s="875"/>
      <c r="O98" s="875"/>
      <c r="P98" s="875"/>
      <c r="Q98" s="877"/>
      <c r="R98" s="875"/>
      <c r="S98" s="875"/>
      <c r="T98" s="875"/>
      <c r="U98" s="876">
        <f t="shared" si="24"/>
        <v>50400</v>
      </c>
      <c r="V98" s="875">
        <f t="shared" si="24"/>
        <v>0</v>
      </c>
      <c r="W98" s="875">
        <f t="shared" si="20"/>
        <v>0</v>
      </c>
      <c r="X98" s="875">
        <f t="shared" si="21"/>
        <v>50400</v>
      </c>
      <c r="Y98" s="883"/>
      <c r="Z98" s="875">
        <f t="shared" si="18"/>
        <v>0</v>
      </c>
      <c r="AA98" s="875">
        <f t="shared" si="22"/>
        <v>0</v>
      </c>
      <c r="AB98" s="875">
        <f t="shared" si="22"/>
        <v>0</v>
      </c>
      <c r="AC98" s="878"/>
    </row>
    <row r="99" spans="1:29" x14ac:dyDescent="0.2">
      <c r="A99" s="618" t="s">
        <v>1193</v>
      </c>
      <c r="B99" s="619" t="s">
        <v>747</v>
      </c>
      <c r="C99" s="620">
        <v>244</v>
      </c>
      <c r="D99" s="620">
        <v>225</v>
      </c>
      <c r="E99" s="596">
        <f t="shared" ref="E99:E170" si="25">L99+K99+J99+H99+G99+F99</f>
        <v>49836</v>
      </c>
      <c r="F99" s="595">
        <f>'Прилож 4 24 (3)'!V99</f>
        <v>0</v>
      </c>
      <c r="G99" s="595">
        <f>'Прилож 4 24 (3)'!W99</f>
        <v>0</v>
      </c>
      <c r="H99" s="595">
        <f>'Прилож 4 24 (3)'!X99</f>
        <v>49836</v>
      </c>
      <c r="I99" s="628"/>
      <c r="J99" s="595">
        <f>'Прилож 4 24 (3)'!Z99</f>
        <v>0</v>
      </c>
      <c r="K99" s="595">
        <f>'Прилож 4 24 (3)'!AA99</f>
        <v>0</v>
      </c>
      <c r="L99" s="875">
        <f>'Прилож 4 24 (3)'!AB99</f>
        <v>0</v>
      </c>
      <c r="M99" s="876">
        <f t="shared" si="23"/>
        <v>0</v>
      </c>
      <c r="N99" s="875"/>
      <c r="O99" s="875"/>
      <c r="P99" s="875"/>
      <c r="Q99" s="877"/>
      <c r="R99" s="875"/>
      <c r="S99" s="875"/>
      <c r="T99" s="875"/>
      <c r="U99" s="876">
        <f t="shared" si="24"/>
        <v>49836</v>
      </c>
      <c r="V99" s="875">
        <f t="shared" si="24"/>
        <v>0</v>
      </c>
      <c r="W99" s="875">
        <f t="shared" si="20"/>
        <v>0</v>
      </c>
      <c r="X99" s="875">
        <f t="shared" si="21"/>
        <v>49836</v>
      </c>
      <c r="Y99" s="883"/>
      <c r="Z99" s="875">
        <f t="shared" si="18"/>
        <v>0</v>
      </c>
      <c r="AA99" s="875">
        <f t="shared" si="22"/>
        <v>0</v>
      </c>
      <c r="AB99" s="875">
        <f t="shared" si="22"/>
        <v>0</v>
      </c>
      <c r="AC99" s="878"/>
    </row>
    <row r="100" spans="1:29" ht="54" customHeight="1" x14ac:dyDescent="0.2">
      <c r="A100" s="618" t="s">
        <v>1192</v>
      </c>
      <c r="B100" s="619" t="s">
        <v>747</v>
      </c>
      <c r="C100" s="620">
        <v>244</v>
      </c>
      <c r="D100" s="620">
        <v>225</v>
      </c>
      <c r="E100" s="596">
        <f t="shared" si="25"/>
        <v>3859</v>
      </c>
      <c r="F100" s="595">
        <f>'Прилож 4 24 (3)'!V100</f>
        <v>0</v>
      </c>
      <c r="G100" s="595">
        <f>'Прилож 4 24 (3)'!W100</f>
        <v>0</v>
      </c>
      <c r="H100" s="595">
        <f>'Прилож 4 24 (3)'!X100</f>
        <v>3859</v>
      </c>
      <c r="I100" s="628"/>
      <c r="J100" s="595">
        <f>'Прилож 4 24 (3)'!Z100</f>
        <v>0</v>
      </c>
      <c r="K100" s="595">
        <f>'Прилож 4 24 (3)'!AA100</f>
        <v>0</v>
      </c>
      <c r="L100" s="875">
        <f>'Прилож 4 24 (3)'!AB100</f>
        <v>0</v>
      </c>
      <c r="M100" s="876">
        <f t="shared" si="23"/>
        <v>0</v>
      </c>
      <c r="N100" s="875"/>
      <c r="O100" s="875"/>
      <c r="P100" s="875"/>
      <c r="Q100" s="877"/>
      <c r="R100" s="875"/>
      <c r="S100" s="875"/>
      <c r="T100" s="875"/>
      <c r="U100" s="876">
        <f t="shared" si="24"/>
        <v>3859</v>
      </c>
      <c r="V100" s="875">
        <f t="shared" si="24"/>
        <v>0</v>
      </c>
      <c r="W100" s="875">
        <f t="shared" si="20"/>
        <v>0</v>
      </c>
      <c r="X100" s="875">
        <f t="shared" si="21"/>
        <v>3859</v>
      </c>
      <c r="Y100" s="883"/>
      <c r="Z100" s="875">
        <f t="shared" si="18"/>
        <v>0</v>
      </c>
      <c r="AA100" s="875">
        <f t="shared" si="22"/>
        <v>0</v>
      </c>
      <c r="AB100" s="875">
        <f t="shared" si="22"/>
        <v>0</v>
      </c>
      <c r="AC100" s="878"/>
    </row>
    <row r="101" spans="1:29" ht="31.5" x14ac:dyDescent="0.2">
      <c r="A101" s="618" t="s">
        <v>1187</v>
      </c>
      <c r="B101" s="619" t="s">
        <v>747</v>
      </c>
      <c r="C101" s="620">
        <v>244</v>
      </c>
      <c r="D101" s="620">
        <v>225</v>
      </c>
      <c r="E101" s="596">
        <f t="shared" si="25"/>
        <v>21600</v>
      </c>
      <c r="F101" s="595">
        <f>'Прилож 4 24 (3)'!V101</f>
        <v>0</v>
      </c>
      <c r="G101" s="595">
        <f>'Прилож 4 24 (3)'!W101</f>
        <v>0</v>
      </c>
      <c r="H101" s="595">
        <f>'Прилож 4 24 (3)'!X101</f>
        <v>21600</v>
      </c>
      <c r="I101" s="628"/>
      <c r="J101" s="595">
        <f>'Прилож 4 24 (3)'!Z101</f>
        <v>0</v>
      </c>
      <c r="K101" s="595">
        <f>'Прилож 4 24 (3)'!AA101</f>
        <v>0</v>
      </c>
      <c r="L101" s="875">
        <f>'Прилож 4 24 (3)'!AB101</f>
        <v>0</v>
      </c>
      <c r="M101" s="876">
        <f t="shared" si="23"/>
        <v>0</v>
      </c>
      <c r="N101" s="875"/>
      <c r="O101" s="875"/>
      <c r="P101" s="875"/>
      <c r="Q101" s="877"/>
      <c r="R101" s="875"/>
      <c r="S101" s="875"/>
      <c r="T101" s="875"/>
      <c r="U101" s="876">
        <f t="shared" si="24"/>
        <v>21600</v>
      </c>
      <c r="V101" s="875">
        <f t="shared" si="24"/>
        <v>0</v>
      </c>
      <c r="W101" s="875">
        <f t="shared" si="20"/>
        <v>0</v>
      </c>
      <c r="X101" s="875">
        <f t="shared" si="21"/>
        <v>21600</v>
      </c>
      <c r="Y101" s="883"/>
      <c r="Z101" s="875">
        <f t="shared" si="18"/>
        <v>0</v>
      </c>
      <c r="AA101" s="875">
        <f t="shared" si="22"/>
        <v>0</v>
      </c>
      <c r="AB101" s="875">
        <f t="shared" si="22"/>
        <v>0</v>
      </c>
      <c r="AC101" s="878"/>
    </row>
    <row r="102" spans="1:29" s="612" customFormat="1" ht="31.5" x14ac:dyDescent="0.2">
      <c r="A102" s="618" t="s">
        <v>1203</v>
      </c>
      <c r="B102" s="619" t="s">
        <v>747</v>
      </c>
      <c r="C102" s="620">
        <v>244</v>
      </c>
      <c r="D102" s="620">
        <v>225</v>
      </c>
      <c r="E102" s="596">
        <f t="shared" si="25"/>
        <v>15000</v>
      </c>
      <c r="F102" s="595">
        <f>'Прилож 4 24 (3)'!V102</f>
        <v>0</v>
      </c>
      <c r="G102" s="595">
        <f>'Прилож 4 24 (3)'!W102</f>
        <v>0</v>
      </c>
      <c r="H102" s="595">
        <f>'Прилож 4 24 (3)'!X102</f>
        <v>15000</v>
      </c>
      <c r="I102" s="628"/>
      <c r="J102" s="595">
        <f>'Прилож 4 24 (3)'!Z102</f>
        <v>0</v>
      </c>
      <c r="K102" s="595">
        <f>'Прилож 4 24 (3)'!AA102</f>
        <v>0</v>
      </c>
      <c r="L102" s="875">
        <f>'Прилож 4 24 (3)'!AB102</f>
        <v>0</v>
      </c>
      <c r="M102" s="876">
        <f t="shared" si="23"/>
        <v>1551.1</v>
      </c>
      <c r="N102" s="875"/>
      <c r="O102" s="875"/>
      <c r="P102" s="875">
        <v>1551.1</v>
      </c>
      <c r="Q102" s="877"/>
      <c r="R102" s="875"/>
      <c r="S102" s="875"/>
      <c r="T102" s="875"/>
      <c r="U102" s="876">
        <f t="shared" si="24"/>
        <v>16551.099999999999</v>
      </c>
      <c r="V102" s="875">
        <f t="shared" si="24"/>
        <v>0</v>
      </c>
      <c r="W102" s="875">
        <f t="shared" si="20"/>
        <v>0</v>
      </c>
      <c r="X102" s="875">
        <f t="shared" si="21"/>
        <v>16551.099999999999</v>
      </c>
      <c r="Y102" s="883"/>
      <c r="Z102" s="875">
        <f t="shared" si="18"/>
        <v>0</v>
      </c>
      <c r="AA102" s="875">
        <f t="shared" si="22"/>
        <v>0</v>
      </c>
      <c r="AB102" s="875">
        <f t="shared" si="22"/>
        <v>0</v>
      </c>
      <c r="AC102" s="878" t="s">
        <v>1354</v>
      </c>
    </row>
    <row r="103" spans="1:29" s="612" customFormat="1" ht="32.25" customHeight="1" x14ac:dyDescent="0.2">
      <c r="A103" s="618" t="s">
        <v>583</v>
      </c>
      <c r="B103" s="619" t="s">
        <v>747</v>
      </c>
      <c r="C103" s="620">
        <v>244</v>
      </c>
      <c r="D103" s="620">
        <v>225</v>
      </c>
      <c r="E103" s="596">
        <f t="shared" si="25"/>
        <v>5000</v>
      </c>
      <c r="F103" s="595">
        <f>'Прилож 4 24 (3)'!V103</f>
        <v>0</v>
      </c>
      <c r="G103" s="595">
        <f>'Прилож 4 24 (3)'!W103</f>
        <v>0</v>
      </c>
      <c r="H103" s="595">
        <f>'Прилож 4 24 (3)'!X103</f>
        <v>5000</v>
      </c>
      <c r="I103" s="628"/>
      <c r="J103" s="595">
        <f>'Прилож 4 24 (3)'!Z103</f>
        <v>0</v>
      </c>
      <c r="K103" s="595">
        <f>'Прилож 4 24 (3)'!AA103</f>
        <v>0</v>
      </c>
      <c r="L103" s="875">
        <f>'Прилож 4 24 (3)'!AB103</f>
        <v>0</v>
      </c>
      <c r="M103" s="876">
        <f t="shared" si="23"/>
        <v>3330</v>
      </c>
      <c r="N103" s="875"/>
      <c r="O103" s="875"/>
      <c r="P103" s="875">
        <v>3330</v>
      </c>
      <c r="Q103" s="877"/>
      <c r="R103" s="875"/>
      <c r="S103" s="875"/>
      <c r="T103" s="875"/>
      <c r="U103" s="876">
        <f t="shared" si="24"/>
        <v>8330</v>
      </c>
      <c r="V103" s="875">
        <f t="shared" si="24"/>
        <v>0</v>
      </c>
      <c r="W103" s="875">
        <f t="shared" si="20"/>
        <v>0</v>
      </c>
      <c r="X103" s="875">
        <f t="shared" si="21"/>
        <v>8330</v>
      </c>
      <c r="Y103" s="883"/>
      <c r="Z103" s="875">
        <f t="shared" si="18"/>
        <v>0</v>
      </c>
      <c r="AA103" s="875">
        <f t="shared" si="22"/>
        <v>0</v>
      </c>
      <c r="AB103" s="875">
        <f t="shared" si="22"/>
        <v>0</v>
      </c>
      <c r="AC103" s="878" t="s">
        <v>1354</v>
      </c>
    </row>
    <row r="104" spans="1:29" s="612" customFormat="1" x14ac:dyDescent="0.2">
      <c r="A104" s="618" t="s">
        <v>1297</v>
      </c>
      <c r="B104" s="619" t="s">
        <v>747</v>
      </c>
      <c r="C104" s="620">
        <v>244</v>
      </c>
      <c r="D104" s="620">
        <v>225</v>
      </c>
      <c r="E104" s="596">
        <f t="shared" si="25"/>
        <v>4000</v>
      </c>
      <c r="F104" s="595">
        <f>'Прилож 4 24 (3)'!V104</f>
        <v>0</v>
      </c>
      <c r="G104" s="595">
        <f>'Прилож 4 24 (3)'!W104</f>
        <v>0</v>
      </c>
      <c r="H104" s="595">
        <f>'Прилож 4 24 (3)'!X104</f>
        <v>4000</v>
      </c>
      <c r="I104" s="628"/>
      <c r="J104" s="595">
        <f>'Прилож 4 24 (3)'!Z104</f>
        <v>0</v>
      </c>
      <c r="K104" s="595">
        <f>'Прилож 4 24 (3)'!AA104</f>
        <v>0</v>
      </c>
      <c r="L104" s="875">
        <f>'Прилож 4 24 (3)'!AB104</f>
        <v>0</v>
      </c>
      <c r="M104" s="876">
        <f t="shared" si="23"/>
        <v>0</v>
      </c>
      <c r="N104" s="875"/>
      <c r="O104" s="875"/>
      <c r="P104" s="875"/>
      <c r="Q104" s="877"/>
      <c r="R104" s="875"/>
      <c r="S104" s="875"/>
      <c r="T104" s="875"/>
      <c r="U104" s="876">
        <f t="shared" si="24"/>
        <v>4000</v>
      </c>
      <c r="V104" s="875">
        <f t="shared" si="24"/>
        <v>0</v>
      </c>
      <c r="W104" s="875">
        <f t="shared" si="20"/>
        <v>0</v>
      </c>
      <c r="X104" s="875">
        <f t="shared" si="21"/>
        <v>4000</v>
      </c>
      <c r="Y104" s="883"/>
      <c r="Z104" s="875">
        <f t="shared" si="18"/>
        <v>0</v>
      </c>
      <c r="AA104" s="875">
        <f t="shared" si="22"/>
        <v>0</v>
      </c>
      <c r="AB104" s="875">
        <f t="shared" si="22"/>
        <v>0</v>
      </c>
      <c r="AC104" s="878"/>
    </row>
    <row r="105" spans="1:29" s="612" customFormat="1" x14ac:dyDescent="0.2">
      <c r="A105" s="618" t="s">
        <v>1204</v>
      </c>
      <c r="B105" s="619" t="s">
        <v>747</v>
      </c>
      <c r="C105" s="620">
        <v>244</v>
      </c>
      <c r="D105" s="620">
        <v>225</v>
      </c>
      <c r="E105" s="596">
        <f t="shared" si="25"/>
        <v>20000</v>
      </c>
      <c r="F105" s="595">
        <f>'Прилож 4 24 (3)'!V105</f>
        <v>0</v>
      </c>
      <c r="G105" s="595">
        <f>'Прилож 4 24 (3)'!W105</f>
        <v>0</v>
      </c>
      <c r="H105" s="595">
        <f>'Прилож 4 24 (3)'!X105</f>
        <v>20000</v>
      </c>
      <c r="I105" s="628"/>
      <c r="J105" s="595">
        <f>'Прилож 4 24 (3)'!Z105</f>
        <v>0</v>
      </c>
      <c r="K105" s="595">
        <f>'Прилож 4 24 (3)'!AA105</f>
        <v>0</v>
      </c>
      <c r="L105" s="875">
        <f>'Прилож 4 24 (3)'!AB105</f>
        <v>0</v>
      </c>
      <c r="M105" s="876">
        <f t="shared" si="23"/>
        <v>0</v>
      </c>
      <c r="N105" s="875"/>
      <c r="O105" s="875"/>
      <c r="P105" s="875"/>
      <c r="Q105" s="877"/>
      <c r="R105" s="875"/>
      <c r="S105" s="875"/>
      <c r="T105" s="875"/>
      <c r="U105" s="876">
        <f t="shared" si="24"/>
        <v>20000</v>
      </c>
      <c r="V105" s="875">
        <f t="shared" si="24"/>
        <v>0</v>
      </c>
      <c r="W105" s="875">
        <f t="shared" si="20"/>
        <v>0</v>
      </c>
      <c r="X105" s="875">
        <f t="shared" si="21"/>
        <v>20000</v>
      </c>
      <c r="Y105" s="883"/>
      <c r="Z105" s="875">
        <f t="shared" si="18"/>
        <v>0</v>
      </c>
      <c r="AA105" s="875">
        <f t="shared" si="22"/>
        <v>0</v>
      </c>
      <c r="AB105" s="875">
        <f t="shared" si="22"/>
        <v>0</v>
      </c>
      <c r="AC105" s="878"/>
    </row>
    <row r="106" spans="1:29" s="612" customFormat="1" ht="48.75" customHeight="1" x14ac:dyDescent="0.2">
      <c r="A106" s="618" t="s">
        <v>143</v>
      </c>
      <c r="B106" s="619" t="s">
        <v>747</v>
      </c>
      <c r="C106" s="620">
        <v>244</v>
      </c>
      <c r="D106" s="620">
        <v>225</v>
      </c>
      <c r="E106" s="596">
        <f t="shared" si="25"/>
        <v>12000</v>
      </c>
      <c r="F106" s="595">
        <f>'Прилож 4 24 (3)'!V106</f>
        <v>0</v>
      </c>
      <c r="G106" s="595">
        <f>'Прилож 4 24 (3)'!W106</f>
        <v>0</v>
      </c>
      <c r="H106" s="595">
        <f>'Прилож 4 24 (3)'!X106</f>
        <v>12000</v>
      </c>
      <c r="I106" s="628"/>
      <c r="J106" s="595">
        <f>'Прилож 4 24 (3)'!Z106</f>
        <v>0</v>
      </c>
      <c r="K106" s="595">
        <f>'Прилож 4 24 (3)'!AA106</f>
        <v>0</v>
      </c>
      <c r="L106" s="875">
        <f>'Прилож 4 24 (3)'!AB106</f>
        <v>0</v>
      </c>
      <c r="M106" s="876">
        <f t="shared" si="23"/>
        <v>0</v>
      </c>
      <c r="N106" s="875"/>
      <c r="O106" s="875"/>
      <c r="P106" s="875"/>
      <c r="Q106" s="877"/>
      <c r="R106" s="875"/>
      <c r="S106" s="875"/>
      <c r="T106" s="875"/>
      <c r="U106" s="876">
        <f t="shared" si="24"/>
        <v>12000</v>
      </c>
      <c r="V106" s="875">
        <f t="shared" si="24"/>
        <v>0</v>
      </c>
      <c r="W106" s="875">
        <f t="shared" si="20"/>
        <v>0</v>
      </c>
      <c r="X106" s="875">
        <f t="shared" si="21"/>
        <v>12000</v>
      </c>
      <c r="Y106" s="883"/>
      <c r="Z106" s="875">
        <f t="shared" si="18"/>
        <v>0</v>
      </c>
      <c r="AA106" s="875">
        <f t="shared" si="22"/>
        <v>0</v>
      </c>
      <c r="AB106" s="875">
        <f t="shared" si="22"/>
        <v>0</v>
      </c>
      <c r="AC106" s="878"/>
    </row>
    <row r="107" spans="1:29" s="612" customFormat="1" ht="31.5" x14ac:dyDescent="0.2">
      <c r="A107" s="618" t="s">
        <v>645</v>
      </c>
      <c r="B107" s="619" t="s">
        <v>747</v>
      </c>
      <c r="C107" s="620">
        <v>244</v>
      </c>
      <c r="D107" s="620">
        <v>225</v>
      </c>
      <c r="E107" s="596">
        <f t="shared" si="25"/>
        <v>10000</v>
      </c>
      <c r="F107" s="595">
        <f>'Прилож 4 24 (3)'!V107</f>
        <v>0</v>
      </c>
      <c r="G107" s="595">
        <f>'Прилож 4 24 (3)'!W107</f>
        <v>0</v>
      </c>
      <c r="H107" s="595">
        <f>'Прилож 4 24 (3)'!X107</f>
        <v>10000</v>
      </c>
      <c r="I107" s="628"/>
      <c r="J107" s="595">
        <f>'Прилож 4 24 (3)'!Z107</f>
        <v>0</v>
      </c>
      <c r="K107" s="595">
        <f>'Прилож 4 24 (3)'!AA107</f>
        <v>0</v>
      </c>
      <c r="L107" s="875">
        <f>'Прилож 4 24 (3)'!AB107</f>
        <v>0</v>
      </c>
      <c r="M107" s="876">
        <f t="shared" si="23"/>
        <v>0</v>
      </c>
      <c r="N107" s="875"/>
      <c r="O107" s="875"/>
      <c r="P107" s="875"/>
      <c r="Q107" s="877"/>
      <c r="R107" s="875"/>
      <c r="S107" s="875"/>
      <c r="T107" s="875"/>
      <c r="U107" s="876">
        <f t="shared" si="24"/>
        <v>10000</v>
      </c>
      <c r="V107" s="875">
        <f t="shared" si="24"/>
        <v>0</v>
      </c>
      <c r="W107" s="875">
        <f t="shared" si="20"/>
        <v>0</v>
      </c>
      <c r="X107" s="875">
        <f t="shared" si="21"/>
        <v>10000</v>
      </c>
      <c r="Y107" s="883"/>
      <c r="Z107" s="875">
        <f t="shared" si="18"/>
        <v>0</v>
      </c>
      <c r="AA107" s="875">
        <f t="shared" si="22"/>
        <v>0</v>
      </c>
      <c r="AB107" s="875">
        <f t="shared" si="22"/>
        <v>0</v>
      </c>
      <c r="AC107" s="878"/>
    </row>
    <row r="108" spans="1:29" s="612" customFormat="1" ht="31.5" x14ac:dyDescent="0.2">
      <c r="A108" s="618" t="s">
        <v>646</v>
      </c>
      <c r="B108" s="619" t="s">
        <v>747</v>
      </c>
      <c r="C108" s="620">
        <v>244</v>
      </c>
      <c r="D108" s="620">
        <v>225</v>
      </c>
      <c r="E108" s="596">
        <f t="shared" si="25"/>
        <v>20000</v>
      </c>
      <c r="F108" s="595">
        <f>'Прилож 4 24 (3)'!V108</f>
        <v>0</v>
      </c>
      <c r="G108" s="595">
        <f>'Прилож 4 24 (3)'!W108</f>
        <v>0</v>
      </c>
      <c r="H108" s="595">
        <f>'Прилож 4 24 (3)'!X108</f>
        <v>20000</v>
      </c>
      <c r="I108" s="628"/>
      <c r="J108" s="595">
        <f>'Прилож 4 24 (3)'!Z108</f>
        <v>0</v>
      </c>
      <c r="K108" s="595">
        <f>'Прилож 4 24 (3)'!AA108</f>
        <v>0</v>
      </c>
      <c r="L108" s="875">
        <f>'Прилож 4 24 (3)'!AB108</f>
        <v>0</v>
      </c>
      <c r="M108" s="876">
        <f t="shared" si="23"/>
        <v>0</v>
      </c>
      <c r="N108" s="875"/>
      <c r="O108" s="875"/>
      <c r="P108" s="875"/>
      <c r="Q108" s="877"/>
      <c r="R108" s="875"/>
      <c r="S108" s="875"/>
      <c r="T108" s="875"/>
      <c r="U108" s="876">
        <f t="shared" si="24"/>
        <v>20000</v>
      </c>
      <c r="V108" s="875">
        <f t="shared" si="24"/>
        <v>0</v>
      </c>
      <c r="W108" s="875">
        <f t="shared" si="20"/>
        <v>0</v>
      </c>
      <c r="X108" s="875">
        <f t="shared" si="21"/>
        <v>20000</v>
      </c>
      <c r="Y108" s="883"/>
      <c r="Z108" s="875">
        <f t="shared" si="18"/>
        <v>0</v>
      </c>
      <c r="AA108" s="875">
        <f t="shared" si="22"/>
        <v>0</v>
      </c>
      <c r="AB108" s="875">
        <f t="shared" si="22"/>
        <v>0</v>
      </c>
      <c r="AC108" s="878"/>
    </row>
    <row r="109" spans="1:29" s="612" customFormat="1" ht="54" customHeight="1" x14ac:dyDescent="0.2">
      <c r="A109" s="618" t="s">
        <v>146</v>
      </c>
      <c r="B109" s="619" t="s">
        <v>747</v>
      </c>
      <c r="C109" s="620">
        <v>244</v>
      </c>
      <c r="D109" s="620">
        <v>225</v>
      </c>
      <c r="E109" s="596">
        <f t="shared" si="25"/>
        <v>20000</v>
      </c>
      <c r="F109" s="595">
        <f>'Прилож 4 24 (3)'!V109</f>
        <v>0</v>
      </c>
      <c r="G109" s="595">
        <f>'Прилож 4 24 (3)'!W109</f>
        <v>0</v>
      </c>
      <c r="H109" s="595">
        <f>'Прилож 4 24 (3)'!X109</f>
        <v>20000</v>
      </c>
      <c r="I109" s="628"/>
      <c r="J109" s="595">
        <f>'Прилож 4 24 (3)'!Z109</f>
        <v>0</v>
      </c>
      <c r="K109" s="595">
        <f>'Прилож 4 24 (3)'!AA109</f>
        <v>0</v>
      </c>
      <c r="L109" s="875">
        <f>'Прилож 4 24 (3)'!AB109</f>
        <v>0</v>
      </c>
      <c r="M109" s="876">
        <f t="shared" si="23"/>
        <v>0</v>
      </c>
      <c r="N109" s="875"/>
      <c r="O109" s="875"/>
      <c r="P109" s="875"/>
      <c r="Q109" s="877"/>
      <c r="R109" s="875"/>
      <c r="S109" s="875"/>
      <c r="T109" s="875"/>
      <c r="U109" s="876">
        <f t="shared" si="24"/>
        <v>20000</v>
      </c>
      <c r="V109" s="875">
        <f t="shared" si="24"/>
        <v>0</v>
      </c>
      <c r="W109" s="875">
        <f t="shared" si="20"/>
        <v>0</v>
      </c>
      <c r="X109" s="875">
        <f t="shared" si="21"/>
        <v>20000</v>
      </c>
      <c r="Y109" s="883"/>
      <c r="Z109" s="875">
        <f t="shared" si="18"/>
        <v>0</v>
      </c>
      <c r="AA109" s="875">
        <f t="shared" si="22"/>
        <v>0</v>
      </c>
      <c r="AB109" s="875">
        <f t="shared" si="22"/>
        <v>0</v>
      </c>
      <c r="AC109" s="878"/>
    </row>
    <row r="110" spans="1:29" s="612" customFormat="1" ht="47.25" x14ac:dyDescent="0.2">
      <c r="A110" s="618" t="s">
        <v>148</v>
      </c>
      <c r="B110" s="619" t="s">
        <v>747</v>
      </c>
      <c r="C110" s="620">
        <v>244</v>
      </c>
      <c r="D110" s="620">
        <v>225</v>
      </c>
      <c r="E110" s="596">
        <f t="shared" si="25"/>
        <v>12000</v>
      </c>
      <c r="F110" s="595">
        <f>'Прилож 4 24 (3)'!V110</f>
        <v>0</v>
      </c>
      <c r="G110" s="595">
        <f>'Прилож 4 24 (3)'!W110</f>
        <v>0</v>
      </c>
      <c r="H110" s="595">
        <f>'Прилож 4 24 (3)'!X110</f>
        <v>12000</v>
      </c>
      <c r="I110" s="628"/>
      <c r="J110" s="595">
        <f>'Прилож 4 24 (3)'!Z110</f>
        <v>0</v>
      </c>
      <c r="K110" s="595">
        <f>'Прилож 4 24 (3)'!AA110</f>
        <v>0</v>
      </c>
      <c r="L110" s="875">
        <f>'Прилож 4 24 (3)'!AB110</f>
        <v>0</v>
      </c>
      <c r="M110" s="876">
        <f t="shared" si="23"/>
        <v>0</v>
      </c>
      <c r="N110" s="875"/>
      <c r="O110" s="875"/>
      <c r="P110" s="875"/>
      <c r="Q110" s="877"/>
      <c r="R110" s="875"/>
      <c r="S110" s="875"/>
      <c r="T110" s="875"/>
      <c r="U110" s="876">
        <f t="shared" si="24"/>
        <v>12000</v>
      </c>
      <c r="V110" s="875">
        <f t="shared" si="24"/>
        <v>0</v>
      </c>
      <c r="W110" s="875">
        <f t="shared" si="20"/>
        <v>0</v>
      </c>
      <c r="X110" s="875">
        <f t="shared" si="21"/>
        <v>12000</v>
      </c>
      <c r="Y110" s="883"/>
      <c r="Z110" s="875">
        <f t="shared" si="18"/>
        <v>0</v>
      </c>
      <c r="AA110" s="875">
        <f t="shared" si="22"/>
        <v>0</v>
      </c>
      <c r="AB110" s="875">
        <f t="shared" si="22"/>
        <v>0</v>
      </c>
      <c r="AC110" s="878"/>
    </row>
    <row r="111" spans="1:29" s="612" customFormat="1" ht="48" customHeight="1" x14ac:dyDescent="0.2">
      <c r="A111" s="618" t="s">
        <v>149</v>
      </c>
      <c r="B111" s="619" t="s">
        <v>747</v>
      </c>
      <c r="C111" s="620">
        <v>244</v>
      </c>
      <c r="D111" s="620">
        <v>225</v>
      </c>
      <c r="E111" s="596">
        <f t="shared" si="25"/>
        <v>4000</v>
      </c>
      <c r="F111" s="595">
        <f>'Прилож 4 24 (3)'!V111</f>
        <v>0</v>
      </c>
      <c r="G111" s="595">
        <f>'Прилож 4 24 (3)'!W111</f>
        <v>0</v>
      </c>
      <c r="H111" s="595">
        <f>'Прилож 4 24 (3)'!X111</f>
        <v>4000</v>
      </c>
      <c r="I111" s="628"/>
      <c r="J111" s="595">
        <f>'Прилож 4 24 (3)'!Z111</f>
        <v>0</v>
      </c>
      <c r="K111" s="595">
        <f>'Прилож 4 24 (3)'!AA111</f>
        <v>0</v>
      </c>
      <c r="L111" s="875">
        <f>'Прилож 4 24 (3)'!AB111</f>
        <v>0</v>
      </c>
      <c r="M111" s="876">
        <f t="shared" si="23"/>
        <v>0</v>
      </c>
      <c r="N111" s="875"/>
      <c r="O111" s="875"/>
      <c r="P111" s="875"/>
      <c r="Q111" s="877"/>
      <c r="R111" s="875"/>
      <c r="S111" s="875"/>
      <c r="T111" s="875"/>
      <c r="U111" s="876">
        <f t="shared" si="24"/>
        <v>4000</v>
      </c>
      <c r="V111" s="875">
        <f t="shared" si="24"/>
        <v>0</v>
      </c>
      <c r="W111" s="875">
        <f t="shared" si="20"/>
        <v>0</v>
      </c>
      <c r="X111" s="875">
        <f t="shared" si="21"/>
        <v>4000</v>
      </c>
      <c r="Y111" s="883"/>
      <c r="Z111" s="875">
        <f t="shared" si="18"/>
        <v>0</v>
      </c>
      <c r="AA111" s="875">
        <f t="shared" si="22"/>
        <v>0</v>
      </c>
      <c r="AB111" s="875">
        <f t="shared" si="22"/>
        <v>0</v>
      </c>
      <c r="AC111" s="878"/>
    </row>
    <row r="112" spans="1:29" s="612" customFormat="1" x14ac:dyDescent="0.2">
      <c r="A112" s="618" t="s">
        <v>647</v>
      </c>
      <c r="B112" s="619" t="s">
        <v>747</v>
      </c>
      <c r="C112" s="620">
        <v>244</v>
      </c>
      <c r="D112" s="620">
        <v>225</v>
      </c>
      <c r="E112" s="596">
        <f t="shared" si="25"/>
        <v>10000</v>
      </c>
      <c r="F112" s="595">
        <f>'Прилож 4 24 (3)'!V112</f>
        <v>0</v>
      </c>
      <c r="G112" s="595">
        <f>'Прилож 4 24 (3)'!W112</f>
        <v>0</v>
      </c>
      <c r="H112" s="595">
        <f>'Прилож 4 24 (3)'!X112</f>
        <v>10000</v>
      </c>
      <c r="I112" s="628"/>
      <c r="J112" s="595">
        <f>'Прилож 4 24 (3)'!Z112</f>
        <v>0</v>
      </c>
      <c r="K112" s="595">
        <f>'Прилож 4 24 (3)'!AA112</f>
        <v>0</v>
      </c>
      <c r="L112" s="875">
        <f>'Прилож 4 24 (3)'!AB112</f>
        <v>0</v>
      </c>
      <c r="M112" s="876">
        <f t="shared" si="23"/>
        <v>0</v>
      </c>
      <c r="N112" s="875"/>
      <c r="O112" s="875"/>
      <c r="P112" s="875"/>
      <c r="Q112" s="877"/>
      <c r="R112" s="875"/>
      <c r="S112" s="875"/>
      <c r="T112" s="875"/>
      <c r="U112" s="876">
        <f t="shared" si="24"/>
        <v>10000</v>
      </c>
      <c r="V112" s="875">
        <f t="shared" si="24"/>
        <v>0</v>
      </c>
      <c r="W112" s="875">
        <f t="shared" si="20"/>
        <v>0</v>
      </c>
      <c r="X112" s="875">
        <f t="shared" si="21"/>
        <v>10000</v>
      </c>
      <c r="Y112" s="883"/>
      <c r="Z112" s="875">
        <f t="shared" si="18"/>
        <v>0</v>
      </c>
      <c r="AA112" s="875">
        <f t="shared" si="22"/>
        <v>0</v>
      </c>
      <c r="AB112" s="875">
        <f t="shared" si="22"/>
        <v>0</v>
      </c>
      <c r="AC112" s="878"/>
    </row>
    <row r="113" spans="1:29" s="612" customFormat="1" ht="31.5" x14ac:dyDescent="0.2">
      <c r="A113" s="618" t="s">
        <v>1185</v>
      </c>
      <c r="B113" s="619" t="s">
        <v>747</v>
      </c>
      <c r="C113" s="620">
        <v>244</v>
      </c>
      <c r="D113" s="620">
        <v>225</v>
      </c>
      <c r="E113" s="596">
        <f t="shared" si="25"/>
        <v>19716</v>
      </c>
      <c r="F113" s="595">
        <f>'Прилож 4 24 (3)'!V113</f>
        <v>0</v>
      </c>
      <c r="G113" s="595">
        <f>'Прилож 4 24 (3)'!W113</f>
        <v>0</v>
      </c>
      <c r="H113" s="595">
        <f>'Прилож 4 24 (3)'!X113</f>
        <v>19716</v>
      </c>
      <c r="I113" s="628"/>
      <c r="J113" s="595">
        <f>'Прилож 4 24 (3)'!Z113</f>
        <v>0</v>
      </c>
      <c r="K113" s="595">
        <f>'Прилож 4 24 (3)'!AA113</f>
        <v>0</v>
      </c>
      <c r="L113" s="875">
        <f>'Прилож 4 24 (3)'!AB113</f>
        <v>0</v>
      </c>
      <c r="M113" s="876">
        <f t="shared" si="23"/>
        <v>0</v>
      </c>
      <c r="N113" s="875"/>
      <c r="O113" s="875"/>
      <c r="P113" s="875"/>
      <c r="Q113" s="877"/>
      <c r="R113" s="875"/>
      <c r="S113" s="875"/>
      <c r="T113" s="875"/>
      <c r="U113" s="876">
        <f t="shared" si="24"/>
        <v>19716</v>
      </c>
      <c r="V113" s="875">
        <f t="shared" si="24"/>
        <v>0</v>
      </c>
      <c r="W113" s="875">
        <f t="shared" si="20"/>
        <v>0</v>
      </c>
      <c r="X113" s="875">
        <f t="shared" si="21"/>
        <v>19716</v>
      </c>
      <c r="Y113" s="883"/>
      <c r="Z113" s="875">
        <f t="shared" si="18"/>
        <v>0</v>
      </c>
      <c r="AA113" s="875">
        <f t="shared" si="22"/>
        <v>0</v>
      </c>
      <c r="AB113" s="875">
        <f t="shared" si="22"/>
        <v>0</v>
      </c>
      <c r="AC113" s="878"/>
    </row>
    <row r="114" spans="1:29" s="612" customFormat="1" ht="31.5" x14ac:dyDescent="0.2">
      <c r="A114" s="618" t="s">
        <v>587</v>
      </c>
      <c r="B114" s="619" t="s">
        <v>747</v>
      </c>
      <c r="C114" s="620">
        <v>244</v>
      </c>
      <c r="D114" s="620">
        <v>225</v>
      </c>
      <c r="E114" s="596">
        <f t="shared" si="25"/>
        <v>14952</v>
      </c>
      <c r="F114" s="595">
        <f>'Прилож 4 24 (3)'!V114</f>
        <v>0</v>
      </c>
      <c r="G114" s="595">
        <f>'Прилож 4 24 (3)'!W114</f>
        <v>0</v>
      </c>
      <c r="H114" s="595">
        <f>'Прилож 4 24 (3)'!X114</f>
        <v>14952</v>
      </c>
      <c r="I114" s="628"/>
      <c r="J114" s="595">
        <f>'Прилож 4 24 (3)'!Z114</f>
        <v>0</v>
      </c>
      <c r="K114" s="595">
        <f>'Прилож 4 24 (3)'!AA114</f>
        <v>0</v>
      </c>
      <c r="L114" s="875">
        <f>'Прилож 4 24 (3)'!AB114</f>
        <v>0</v>
      </c>
      <c r="M114" s="876">
        <f t="shared" si="23"/>
        <v>0</v>
      </c>
      <c r="N114" s="875"/>
      <c r="O114" s="875"/>
      <c r="P114" s="875"/>
      <c r="Q114" s="877"/>
      <c r="R114" s="875"/>
      <c r="S114" s="875"/>
      <c r="T114" s="875"/>
      <c r="U114" s="876">
        <f t="shared" si="24"/>
        <v>14952</v>
      </c>
      <c r="V114" s="875">
        <f t="shared" si="24"/>
        <v>0</v>
      </c>
      <c r="W114" s="875">
        <f t="shared" si="20"/>
        <v>0</v>
      </c>
      <c r="X114" s="875">
        <f t="shared" si="21"/>
        <v>14952</v>
      </c>
      <c r="Y114" s="883"/>
      <c r="Z114" s="875">
        <f t="shared" si="18"/>
        <v>0</v>
      </c>
      <c r="AA114" s="875">
        <f t="shared" si="22"/>
        <v>0</v>
      </c>
      <c r="AB114" s="875">
        <f t="shared" si="22"/>
        <v>0</v>
      </c>
      <c r="AC114" s="878"/>
    </row>
    <row r="115" spans="1:29" s="612" customFormat="1" x14ac:dyDescent="0.2">
      <c r="A115" s="618" t="s">
        <v>1109</v>
      </c>
      <c r="B115" s="619" t="s">
        <v>747</v>
      </c>
      <c r="C115" s="620">
        <v>244</v>
      </c>
      <c r="D115" s="620">
        <v>225</v>
      </c>
      <c r="E115" s="596">
        <f t="shared" si="25"/>
        <v>45398.879999999997</v>
      </c>
      <c r="F115" s="595">
        <f>'Прилож 4 24 (3)'!V115</f>
        <v>0</v>
      </c>
      <c r="G115" s="595">
        <f>'Прилож 4 24 (3)'!W115</f>
        <v>0</v>
      </c>
      <c r="H115" s="595">
        <f>'Прилож 4 24 (3)'!X115</f>
        <v>45398.879999999997</v>
      </c>
      <c r="I115" s="621"/>
      <c r="J115" s="595">
        <f>'Прилож 4 24 (3)'!Z115</f>
        <v>0</v>
      </c>
      <c r="K115" s="595">
        <f>'Прилож 4 24 (3)'!AA115</f>
        <v>0</v>
      </c>
      <c r="L115" s="875">
        <f>'Прилож 4 24 (3)'!AB115</f>
        <v>0</v>
      </c>
      <c r="M115" s="876">
        <f t="shared" si="23"/>
        <v>0</v>
      </c>
      <c r="N115" s="875"/>
      <c r="O115" s="875"/>
      <c r="P115" s="875"/>
      <c r="Q115" s="877"/>
      <c r="R115" s="875"/>
      <c r="S115" s="875"/>
      <c r="T115" s="875"/>
      <c r="U115" s="876">
        <f t="shared" si="24"/>
        <v>45398.879999999997</v>
      </c>
      <c r="V115" s="875">
        <f t="shared" si="24"/>
        <v>0</v>
      </c>
      <c r="W115" s="875">
        <f t="shared" si="20"/>
        <v>0</v>
      </c>
      <c r="X115" s="875">
        <f t="shared" si="21"/>
        <v>45398.879999999997</v>
      </c>
      <c r="Y115" s="877"/>
      <c r="Z115" s="875">
        <f t="shared" si="18"/>
        <v>0</v>
      </c>
      <c r="AA115" s="875">
        <f t="shared" si="22"/>
        <v>0</v>
      </c>
      <c r="AB115" s="875">
        <f t="shared" si="22"/>
        <v>0</v>
      </c>
      <c r="AC115" s="878"/>
    </row>
    <row r="116" spans="1:29" ht="31.5" x14ac:dyDescent="0.2">
      <c r="A116" s="618" t="s">
        <v>157</v>
      </c>
      <c r="B116" s="619" t="s">
        <v>747</v>
      </c>
      <c r="C116" s="620">
        <v>244</v>
      </c>
      <c r="D116" s="620">
        <v>225</v>
      </c>
      <c r="E116" s="596">
        <f t="shared" si="25"/>
        <v>10000</v>
      </c>
      <c r="F116" s="595">
        <f>'Прилож 4 24 (3)'!V116</f>
        <v>0</v>
      </c>
      <c r="G116" s="595">
        <f>'Прилож 4 24 (3)'!W116</f>
        <v>0</v>
      </c>
      <c r="H116" s="595">
        <f>'Прилож 4 24 (3)'!X116</f>
        <v>10000</v>
      </c>
      <c r="I116" s="628"/>
      <c r="J116" s="595">
        <f>'Прилож 4 24 (3)'!Z116</f>
        <v>0</v>
      </c>
      <c r="K116" s="595">
        <f>'Прилож 4 24 (3)'!AA116</f>
        <v>0</v>
      </c>
      <c r="L116" s="875">
        <f>'Прилож 4 24 (3)'!AB116</f>
        <v>0</v>
      </c>
      <c r="M116" s="876">
        <f t="shared" si="23"/>
        <v>0</v>
      </c>
      <c r="N116" s="875"/>
      <c r="O116" s="875"/>
      <c r="P116" s="875"/>
      <c r="Q116" s="877"/>
      <c r="R116" s="875"/>
      <c r="S116" s="875"/>
      <c r="T116" s="875"/>
      <c r="U116" s="876">
        <f t="shared" si="24"/>
        <v>10000</v>
      </c>
      <c r="V116" s="875">
        <f t="shared" si="24"/>
        <v>0</v>
      </c>
      <c r="W116" s="875">
        <f t="shared" si="20"/>
        <v>0</v>
      </c>
      <c r="X116" s="875">
        <f t="shared" si="21"/>
        <v>10000</v>
      </c>
      <c r="Y116" s="883"/>
      <c r="Z116" s="875">
        <f t="shared" si="18"/>
        <v>0</v>
      </c>
      <c r="AA116" s="875">
        <f t="shared" si="22"/>
        <v>0</v>
      </c>
      <c r="AB116" s="875">
        <f t="shared" si="22"/>
        <v>0</v>
      </c>
      <c r="AC116" s="878"/>
    </row>
    <row r="117" spans="1:29" ht="34.15" customHeight="1" x14ac:dyDescent="0.2">
      <c r="A117" s="618" t="s">
        <v>1317</v>
      </c>
      <c r="B117" s="619" t="s">
        <v>747</v>
      </c>
      <c r="C117" s="620">
        <v>244</v>
      </c>
      <c r="D117" s="620">
        <v>225</v>
      </c>
      <c r="E117" s="596">
        <f t="shared" si="25"/>
        <v>202823.2</v>
      </c>
      <c r="F117" s="595">
        <f>'Прилож 4 24 (3)'!V117</f>
        <v>0</v>
      </c>
      <c r="G117" s="595">
        <f>'Прилож 4 24 (3)'!W117</f>
        <v>0</v>
      </c>
      <c r="H117" s="595">
        <f>'Прилож 4 24 (3)'!X117</f>
        <v>0</v>
      </c>
      <c r="I117" s="621" t="s">
        <v>1322</v>
      </c>
      <c r="J117" s="595">
        <f>'Прилож 4 24 (3)'!Z117</f>
        <v>0</v>
      </c>
      <c r="K117" s="595">
        <f>'Прилож 4 24 (3)'!AA117</f>
        <v>202823.2</v>
      </c>
      <c r="L117" s="875">
        <f>'Прилож 4 24 (3)'!AB117</f>
        <v>0</v>
      </c>
      <c r="M117" s="876">
        <f t="shared" si="23"/>
        <v>0</v>
      </c>
      <c r="N117" s="875"/>
      <c r="O117" s="875"/>
      <c r="P117" s="875"/>
      <c r="Q117" s="877"/>
      <c r="R117" s="875"/>
      <c r="S117" s="875"/>
      <c r="T117" s="875"/>
      <c r="U117" s="876">
        <f t="shared" si="24"/>
        <v>202823.2</v>
      </c>
      <c r="V117" s="875">
        <f t="shared" si="24"/>
        <v>0</v>
      </c>
      <c r="W117" s="875">
        <f t="shared" si="20"/>
        <v>0</v>
      </c>
      <c r="X117" s="875">
        <f t="shared" si="21"/>
        <v>0</v>
      </c>
      <c r="Y117" s="877" t="s">
        <v>1322</v>
      </c>
      <c r="Z117" s="875">
        <f t="shared" si="18"/>
        <v>0</v>
      </c>
      <c r="AA117" s="875">
        <f t="shared" si="22"/>
        <v>202823.2</v>
      </c>
      <c r="AB117" s="875">
        <f t="shared" si="22"/>
        <v>0</v>
      </c>
      <c r="AC117" s="878"/>
    </row>
    <row r="118" spans="1:29" ht="34.15" customHeight="1" x14ac:dyDescent="0.2">
      <c r="A118" s="618" t="s">
        <v>1319</v>
      </c>
      <c r="B118" s="619" t="s">
        <v>747</v>
      </c>
      <c r="C118" s="620">
        <v>244</v>
      </c>
      <c r="D118" s="620">
        <v>225</v>
      </c>
      <c r="E118" s="596">
        <f t="shared" si="25"/>
        <v>271171.20000000001</v>
      </c>
      <c r="F118" s="595">
        <f>'Прилож 4 24 (3)'!V118</f>
        <v>0</v>
      </c>
      <c r="G118" s="595">
        <f>'Прилож 4 24 (3)'!W118</f>
        <v>0</v>
      </c>
      <c r="H118" s="595">
        <f>'Прилож 4 24 (3)'!X118</f>
        <v>0</v>
      </c>
      <c r="I118" s="621" t="s">
        <v>1322</v>
      </c>
      <c r="J118" s="595">
        <f>'Прилож 4 24 (3)'!Z118</f>
        <v>0</v>
      </c>
      <c r="K118" s="595">
        <f>'Прилож 4 24 (3)'!AA118</f>
        <v>271171.20000000001</v>
      </c>
      <c r="L118" s="875">
        <f>'Прилож 4 24 (3)'!AB118</f>
        <v>0</v>
      </c>
      <c r="M118" s="876">
        <f t="shared" si="23"/>
        <v>0</v>
      </c>
      <c r="N118" s="875"/>
      <c r="O118" s="875"/>
      <c r="P118" s="875"/>
      <c r="Q118" s="877"/>
      <c r="R118" s="875"/>
      <c r="S118" s="875"/>
      <c r="T118" s="875"/>
      <c r="U118" s="876">
        <f t="shared" si="24"/>
        <v>271171.20000000001</v>
      </c>
      <c r="V118" s="875">
        <f t="shared" si="24"/>
        <v>0</v>
      </c>
      <c r="W118" s="875">
        <f t="shared" si="20"/>
        <v>0</v>
      </c>
      <c r="X118" s="875">
        <f t="shared" si="21"/>
        <v>0</v>
      </c>
      <c r="Y118" s="877" t="s">
        <v>1322</v>
      </c>
      <c r="Z118" s="875">
        <f t="shared" si="18"/>
        <v>0</v>
      </c>
      <c r="AA118" s="875">
        <f t="shared" si="22"/>
        <v>271171.20000000001</v>
      </c>
      <c r="AB118" s="875">
        <f t="shared" si="22"/>
        <v>0</v>
      </c>
      <c r="AC118" s="878"/>
    </row>
    <row r="119" spans="1:29" ht="47.25" x14ac:dyDescent="0.2">
      <c r="A119" s="618" t="s">
        <v>1320</v>
      </c>
      <c r="B119" s="619" t="s">
        <v>747</v>
      </c>
      <c r="C119" s="620">
        <v>244</v>
      </c>
      <c r="D119" s="620">
        <v>225</v>
      </c>
      <c r="E119" s="596">
        <f t="shared" si="25"/>
        <v>340128</v>
      </c>
      <c r="F119" s="595">
        <f>'Прилож 4 24 (3)'!V119</f>
        <v>0</v>
      </c>
      <c r="G119" s="595">
        <f>'Прилож 4 24 (3)'!W119</f>
        <v>0</v>
      </c>
      <c r="H119" s="595">
        <f>'Прилож 4 24 (3)'!X119</f>
        <v>0</v>
      </c>
      <c r="I119" s="621" t="s">
        <v>1322</v>
      </c>
      <c r="J119" s="595">
        <f>'Прилож 4 24 (3)'!Z119</f>
        <v>0</v>
      </c>
      <c r="K119" s="595">
        <f>'Прилож 4 24 (3)'!AA119</f>
        <v>340128</v>
      </c>
      <c r="L119" s="875">
        <f>'Прилож 4 24 (3)'!AB119</f>
        <v>0</v>
      </c>
      <c r="M119" s="876">
        <f t="shared" si="23"/>
        <v>0</v>
      </c>
      <c r="N119" s="875"/>
      <c r="O119" s="875"/>
      <c r="P119" s="875"/>
      <c r="Q119" s="877"/>
      <c r="R119" s="875"/>
      <c r="S119" s="875"/>
      <c r="T119" s="875"/>
      <c r="U119" s="876">
        <f t="shared" si="24"/>
        <v>340128</v>
      </c>
      <c r="V119" s="875">
        <f t="shared" si="24"/>
        <v>0</v>
      </c>
      <c r="W119" s="875">
        <f t="shared" si="20"/>
        <v>0</v>
      </c>
      <c r="X119" s="875">
        <f t="shared" si="21"/>
        <v>0</v>
      </c>
      <c r="Y119" s="877" t="s">
        <v>1322</v>
      </c>
      <c r="Z119" s="875">
        <f t="shared" si="18"/>
        <v>0</v>
      </c>
      <c r="AA119" s="875">
        <f t="shared" si="22"/>
        <v>340128</v>
      </c>
      <c r="AB119" s="875">
        <f t="shared" si="22"/>
        <v>0</v>
      </c>
      <c r="AC119" s="878"/>
    </row>
    <row r="120" spans="1:29" s="637" customFormat="1" x14ac:dyDescent="0.2">
      <c r="A120" s="632" t="s">
        <v>1143</v>
      </c>
      <c r="B120" s="633" t="s">
        <v>747</v>
      </c>
      <c r="C120" s="634">
        <v>244</v>
      </c>
      <c r="D120" s="634">
        <v>225</v>
      </c>
      <c r="E120" s="597">
        <f>SUM(E98:E119)</f>
        <v>1161884.28</v>
      </c>
      <c r="F120" s="595">
        <f>'Прилож 4 24 (3)'!V120</f>
        <v>0</v>
      </c>
      <c r="G120" s="595">
        <f>'Прилож 4 24 (3)'!W120</f>
        <v>0</v>
      </c>
      <c r="H120" s="595">
        <f>'Прилож 4 24 (3)'!X120</f>
        <v>347761.88</v>
      </c>
      <c r="I120" s="635"/>
      <c r="J120" s="595">
        <f>'Прилож 4 24 (3)'!Z120</f>
        <v>0</v>
      </c>
      <c r="K120" s="595">
        <f>'Прилож 4 24 (3)'!AA120</f>
        <v>814122.4</v>
      </c>
      <c r="L120" s="875">
        <f>'Прилож 4 24 (3)'!AB120</f>
        <v>0</v>
      </c>
      <c r="M120" s="876">
        <f t="shared" si="23"/>
        <v>4881.1000000000004</v>
      </c>
      <c r="N120" s="884">
        <f>SUM(N98:N119)</f>
        <v>0</v>
      </c>
      <c r="O120" s="884"/>
      <c r="P120" s="884">
        <f>SUM(P98:P119)</f>
        <v>4881.1000000000004</v>
      </c>
      <c r="Q120" s="885"/>
      <c r="R120" s="884"/>
      <c r="S120" s="884"/>
      <c r="T120" s="884"/>
      <c r="U120" s="876">
        <f t="shared" si="24"/>
        <v>1166765.3800000001</v>
      </c>
      <c r="V120" s="875">
        <f t="shared" si="24"/>
        <v>0</v>
      </c>
      <c r="W120" s="875">
        <f t="shared" si="20"/>
        <v>0</v>
      </c>
      <c r="X120" s="875">
        <f t="shared" si="21"/>
        <v>352642.98</v>
      </c>
      <c r="Y120" s="885"/>
      <c r="Z120" s="875">
        <f t="shared" si="18"/>
        <v>0</v>
      </c>
      <c r="AA120" s="875">
        <f t="shared" si="22"/>
        <v>814122.4</v>
      </c>
      <c r="AB120" s="875">
        <f t="shared" si="22"/>
        <v>0</v>
      </c>
      <c r="AC120" s="886"/>
    </row>
    <row r="121" spans="1:29" ht="76.900000000000006" customHeight="1" x14ac:dyDescent="0.2">
      <c r="A121" s="618" t="s">
        <v>1188</v>
      </c>
      <c r="B121" s="619" t="s">
        <v>729</v>
      </c>
      <c r="C121" s="620">
        <v>244</v>
      </c>
      <c r="D121" s="620">
        <v>225</v>
      </c>
      <c r="E121" s="596">
        <f t="shared" si="25"/>
        <v>50400</v>
      </c>
      <c r="F121" s="595">
        <f>'Прилож 4 24 (3)'!V121</f>
        <v>0</v>
      </c>
      <c r="G121" s="595">
        <f>'Прилож 4 24 (3)'!W121</f>
        <v>0</v>
      </c>
      <c r="H121" s="595">
        <f>'Прилож 4 24 (3)'!X121</f>
        <v>50400</v>
      </c>
      <c r="I121" s="628"/>
      <c r="J121" s="595">
        <f>'Прилож 4 24 (3)'!Z121</f>
        <v>0</v>
      </c>
      <c r="K121" s="595">
        <f>'Прилож 4 24 (3)'!AA121</f>
        <v>0</v>
      </c>
      <c r="L121" s="875">
        <f>'Прилож 4 24 (3)'!AB121</f>
        <v>0</v>
      </c>
      <c r="M121" s="876">
        <f t="shared" si="23"/>
        <v>0</v>
      </c>
      <c r="N121" s="875"/>
      <c r="O121" s="875"/>
      <c r="P121" s="875"/>
      <c r="Q121" s="877"/>
      <c r="R121" s="875"/>
      <c r="S121" s="875"/>
      <c r="T121" s="875"/>
      <c r="U121" s="876">
        <f t="shared" si="24"/>
        <v>50400</v>
      </c>
      <c r="V121" s="875">
        <f t="shared" si="24"/>
        <v>0</v>
      </c>
      <c r="W121" s="875">
        <f t="shared" si="20"/>
        <v>0</v>
      </c>
      <c r="X121" s="875">
        <f t="shared" si="21"/>
        <v>50400</v>
      </c>
      <c r="Y121" s="883"/>
      <c r="Z121" s="875">
        <f t="shared" si="18"/>
        <v>0</v>
      </c>
      <c r="AA121" s="875">
        <f t="shared" si="22"/>
        <v>0</v>
      </c>
      <c r="AB121" s="875">
        <f t="shared" si="22"/>
        <v>0</v>
      </c>
      <c r="AC121" s="878"/>
    </row>
    <row r="122" spans="1:29" x14ac:dyDescent="0.2">
      <c r="A122" s="618" t="s">
        <v>1193</v>
      </c>
      <c r="B122" s="619" t="s">
        <v>729</v>
      </c>
      <c r="C122" s="620">
        <v>244</v>
      </c>
      <c r="D122" s="620">
        <v>225</v>
      </c>
      <c r="E122" s="596">
        <f t="shared" si="25"/>
        <v>73152</v>
      </c>
      <c r="F122" s="595">
        <f>'Прилож 4 24 (3)'!V122</f>
        <v>0</v>
      </c>
      <c r="G122" s="595">
        <f>'Прилож 4 24 (3)'!W122</f>
        <v>0</v>
      </c>
      <c r="H122" s="595">
        <f>'Прилож 4 24 (3)'!X122</f>
        <v>73152</v>
      </c>
      <c r="I122" s="628"/>
      <c r="J122" s="595">
        <f>'Прилож 4 24 (3)'!Z122</f>
        <v>0</v>
      </c>
      <c r="K122" s="595">
        <f>'Прилож 4 24 (3)'!AA122</f>
        <v>0</v>
      </c>
      <c r="L122" s="875">
        <f>'Прилож 4 24 (3)'!AB122</f>
        <v>0</v>
      </c>
      <c r="M122" s="876">
        <f t="shared" si="23"/>
        <v>0</v>
      </c>
      <c r="N122" s="875"/>
      <c r="O122" s="875"/>
      <c r="P122" s="875"/>
      <c r="Q122" s="877"/>
      <c r="R122" s="875"/>
      <c r="S122" s="875"/>
      <c r="T122" s="875"/>
      <c r="U122" s="876">
        <f t="shared" si="24"/>
        <v>73152</v>
      </c>
      <c r="V122" s="875">
        <f t="shared" si="24"/>
        <v>0</v>
      </c>
      <c r="W122" s="875">
        <f t="shared" si="20"/>
        <v>0</v>
      </c>
      <c r="X122" s="875">
        <f t="shared" si="21"/>
        <v>73152</v>
      </c>
      <c r="Y122" s="883"/>
      <c r="Z122" s="875">
        <f t="shared" si="18"/>
        <v>0</v>
      </c>
      <c r="AA122" s="875">
        <f t="shared" si="22"/>
        <v>0</v>
      </c>
      <c r="AB122" s="875">
        <f t="shared" si="22"/>
        <v>0</v>
      </c>
      <c r="AC122" s="878"/>
    </row>
    <row r="123" spans="1:29" ht="54" customHeight="1" x14ac:dyDescent="0.2">
      <c r="A123" s="618" t="s">
        <v>1192</v>
      </c>
      <c r="B123" s="619" t="s">
        <v>729</v>
      </c>
      <c r="C123" s="620">
        <v>244</v>
      </c>
      <c r="D123" s="620">
        <v>225</v>
      </c>
      <c r="E123" s="596">
        <f t="shared" si="25"/>
        <v>3859</v>
      </c>
      <c r="F123" s="595">
        <f>'Прилож 4 24 (3)'!V123</f>
        <v>0</v>
      </c>
      <c r="G123" s="595">
        <f>'Прилож 4 24 (3)'!W123</f>
        <v>0</v>
      </c>
      <c r="H123" s="595">
        <f>'Прилож 4 24 (3)'!X123</f>
        <v>3859</v>
      </c>
      <c r="I123" s="628"/>
      <c r="J123" s="595">
        <f>'Прилож 4 24 (3)'!Z123</f>
        <v>0</v>
      </c>
      <c r="K123" s="595">
        <f>'Прилож 4 24 (3)'!AA123</f>
        <v>0</v>
      </c>
      <c r="L123" s="875">
        <f>'Прилож 4 24 (3)'!AB123</f>
        <v>0</v>
      </c>
      <c r="M123" s="876">
        <f t="shared" si="23"/>
        <v>0</v>
      </c>
      <c r="N123" s="875"/>
      <c r="O123" s="875"/>
      <c r="P123" s="875"/>
      <c r="Q123" s="877"/>
      <c r="R123" s="875"/>
      <c r="S123" s="875"/>
      <c r="T123" s="875"/>
      <c r="U123" s="876">
        <f t="shared" si="24"/>
        <v>3859</v>
      </c>
      <c r="V123" s="875">
        <f t="shared" si="24"/>
        <v>0</v>
      </c>
      <c r="W123" s="875">
        <f t="shared" si="20"/>
        <v>0</v>
      </c>
      <c r="X123" s="875">
        <f t="shared" si="21"/>
        <v>3859</v>
      </c>
      <c r="Y123" s="883"/>
      <c r="Z123" s="875">
        <f t="shared" si="18"/>
        <v>0</v>
      </c>
      <c r="AA123" s="875">
        <f t="shared" si="22"/>
        <v>0</v>
      </c>
      <c r="AB123" s="875">
        <f t="shared" si="22"/>
        <v>0</v>
      </c>
      <c r="AC123" s="878"/>
    </row>
    <row r="124" spans="1:29" ht="31.5" x14ac:dyDescent="0.2">
      <c r="A124" s="618" t="s">
        <v>1186</v>
      </c>
      <c r="B124" s="619" t="s">
        <v>729</v>
      </c>
      <c r="C124" s="620">
        <v>244</v>
      </c>
      <c r="D124" s="620">
        <v>225</v>
      </c>
      <c r="E124" s="596">
        <f t="shared" si="25"/>
        <v>23457.360000000001</v>
      </c>
      <c r="F124" s="595">
        <f>'Прилож 4 24 (3)'!V124</f>
        <v>0</v>
      </c>
      <c r="G124" s="595">
        <f>'Прилож 4 24 (3)'!W124</f>
        <v>0</v>
      </c>
      <c r="H124" s="595">
        <f>'Прилож 4 24 (3)'!X124</f>
        <v>23457.360000000001</v>
      </c>
      <c r="I124" s="628"/>
      <c r="J124" s="595">
        <f>'Прилож 4 24 (3)'!Z124</f>
        <v>0</v>
      </c>
      <c r="K124" s="595">
        <f>'Прилож 4 24 (3)'!AA124</f>
        <v>0</v>
      </c>
      <c r="L124" s="875">
        <f>'Прилож 4 24 (3)'!AB124</f>
        <v>0</v>
      </c>
      <c r="M124" s="876">
        <f t="shared" si="23"/>
        <v>0</v>
      </c>
      <c r="N124" s="875"/>
      <c r="O124" s="875"/>
      <c r="P124" s="875"/>
      <c r="Q124" s="877"/>
      <c r="R124" s="875"/>
      <c r="S124" s="875"/>
      <c r="T124" s="875"/>
      <c r="U124" s="876">
        <f t="shared" si="24"/>
        <v>23457.360000000001</v>
      </c>
      <c r="V124" s="875">
        <f t="shared" si="24"/>
        <v>0</v>
      </c>
      <c r="W124" s="875">
        <f t="shared" si="20"/>
        <v>0</v>
      </c>
      <c r="X124" s="875">
        <f t="shared" si="21"/>
        <v>23457.360000000001</v>
      </c>
      <c r="Y124" s="883"/>
      <c r="Z124" s="875">
        <f t="shared" si="18"/>
        <v>0</v>
      </c>
      <c r="AA124" s="875">
        <f t="shared" si="22"/>
        <v>0</v>
      </c>
      <c r="AB124" s="875">
        <f t="shared" si="22"/>
        <v>0</v>
      </c>
      <c r="AC124" s="878"/>
    </row>
    <row r="125" spans="1:29" ht="55.5" customHeight="1" x14ac:dyDescent="0.2">
      <c r="A125" s="618" t="s">
        <v>148</v>
      </c>
      <c r="B125" s="619" t="s">
        <v>729</v>
      </c>
      <c r="C125" s="620">
        <v>244</v>
      </c>
      <c r="D125" s="620">
        <v>225</v>
      </c>
      <c r="E125" s="596">
        <f t="shared" si="25"/>
        <v>4000</v>
      </c>
      <c r="F125" s="595">
        <f>'Прилож 4 24 (3)'!V125</f>
        <v>0</v>
      </c>
      <c r="G125" s="595">
        <f>'Прилож 4 24 (3)'!W125</f>
        <v>0</v>
      </c>
      <c r="H125" s="595">
        <f>'Прилож 4 24 (3)'!X125</f>
        <v>4000</v>
      </c>
      <c r="I125" s="628"/>
      <c r="J125" s="595">
        <f>'Прилож 4 24 (3)'!Z125</f>
        <v>0</v>
      </c>
      <c r="K125" s="595">
        <f>'Прилож 4 24 (3)'!AA125</f>
        <v>0</v>
      </c>
      <c r="L125" s="875">
        <f>'Прилож 4 24 (3)'!AB125</f>
        <v>0</v>
      </c>
      <c r="M125" s="876">
        <f t="shared" si="23"/>
        <v>0</v>
      </c>
      <c r="N125" s="875"/>
      <c r="O125" s="875"/>
      <c r="P125" s="875"/>
      <c r="Q125" s="877"/>
      <c r="R125" s="875"/>
      <c r="S125" s="875"/>
      <c r="T125" s="875"/>
      <c r="U125" s="876">
        <f t="shared" si="24"/>
        <v>4000</v>
      </c>
      <c r="V125" s="875">
        <f t="shared" si="24"/>
        <v>0</v>
      </c>
      <c r="W125" s="875">
        <f t="shared" si="20"/>
        <v>0</v>
      </c>
      <c r="X125" s="875">
        <f t="shared" si="21"/>
        <v>4000</v>
      </c>
      <c r="Y125" s="883"/>
      <c r="Z125" s="875">
        <f t="shared" si="18"/>
        <v>0</v>
      </c>
      <c r="AA125" s="875">
        <f t="shared" si="22"/>
        <v>0</v>
      </c>
      <c r="AB125" s="875">
        <f t="shared" si="22"/>
        <v>0</v>
      </c>
      <c r="AC125" s="878"/>
    </row>
    <row r="126" spans="1:29" x14ac:dyDescent="0.2">
      <c r="A126" s="618" t="s">
        <v>627</v>
      </c>
      <c r="B126" s="619" t="s">
        <v>729</v>
      </c>
      <c r="C126" s="620">
        <v>244</v>
      </c>
      <c r="D126" s="620">
        <v>225</v>
      </c>
      <c r="E126" s="596">
        <f t="shared" si="25"/>
        <v>126092.16</v>
      </c>
      <c r="F126" s="595">
        <f>'Прилож 4 24 (3)'!V126</f>
        <v>0</v>
      </c>
      <c r="G126" s="595">
        <f>'Прилож 4 24 (3)'!W126</f>
        <v>0</v>
      </c>
      <c r="H126" s="595">
        <f>'Прилож 4 24 (3)'!X126</f>
        <v>126092.16</v>
      </c>
      <c r="I126" s="628"/>
      <c r="J126" s="595">
        <f>'Прилож 4 24 (3)'!Z126</f>
        <v>0</v>
      </c>
      <c r="K126" s="595">
        <f>'Прилож 4 24 (3)'!AA126</f>
        <v>0</v>
      </c>
      <c r="L126" s="875">
        <f>'Прилож 4 24 (3)'!AB126</f>
        <v>0</v>
      </c>
      <c r="M126" s="876">
        <f t="shared" si="23"/>
        <v>0</v>
      </c>
      <c r="N126" s="875"/>
      <c r="O126" s="875"/>
      <c r="P126" s="875"/>
      <c r="Q126" s="877"/>
      <c r="R126" s="875"/>
      <c r="S126" s="875"/>
      <c r="T126" s="875"/>
      <c r="U126" s="876">
        <f t="shared" si="24"/>
        <v>126092.16</v>
      </c>
      <c r="V126" s="875">
        <f t="shared" si="24"/>
        <v>0</v>
      </c>
      <c r="W126" s="875">
        <f t="shared" si="20"/>
        <v>0</v>
      </c>
      <c r="X126" s="875">
        <f t="shared" si="21"/>
        <v>126092.16</v>
      </c>
      <c r="Y126" s="883"/>
      <c r="Z126" s="875">
        <f t="shared" si="18"/>
        <v>0</v>
      </c>
      <c r="AA126" s="875">
        <f t="shared" si="22"/>
        <v>0</v>
      </c>
      <c r="AB126" s="875">
        <f t="shared" si="22"/>
        <v>0</v>
      </c>
      <c r="AC126" s="878"/>
    </row>
    <row r="127" spans="1:29" ht="54" customHeight="1" x14ac:dyDescent="0.2">
      <c r="A127" s="618" t="s">
        <v>759</v>
      </c>
      <c r="B127" s="619" t="s">
        <v>729</v>
      </c>
      <c r="C127" s="620">
        <v>244</v>
      </c>
      <c r="D127" s="620">
        <v>225</v>
      </c>
      <c r="E127" s="596">
        <f t="shared" si="25"/>
        <v>12000</v>
      </c>
      <c r="F127" s="595">
        <f>'Прилож 4 24 (3)'!V127</f>
        <v>0</v>
      </c>
      <c r="G127" s="595">
        <f>'Прилож 4 24 (3)'!W127</f>
        <v>0</v>
      </c>
      <c r="H127" s="595">
        <f>'Прилож 4 24 (3)'!X127</f>
        <v>12000</v>
      </c>
      <c r="I127" s="628"/>
      <c r="J127" s="595">
        <f>'Прилож 4 24 (3)'!Z127</f>
        <v>0</v>
      </c>
      <c r="K127" s="595">
        <f>'Прилож 4 24 (3)'!AA127</f>
        <v>0</v>
      </c>
      <c r="L127" s="875">
        <f>'Прилож 4 24 (3)'!AB127</f>
        <v>0</v>
      </c>
      <c r="M127" s="876">
        <f t="shared" si="23"/>
        <v>-12000</v>
      </c>
      <c r="N127" s="875"/>
      <c r="O127" s="875"/>
      <c r="P127" s="875">
        <v>-12000</v>
      </c>
      <c r="Q127" s="877"/>
      <c r="R127" s="875"/>
      <c r="S127" s="875"/>
      <c r="T127" s="875"/>
      <c r="U127" s="876">
        <f t="shared" si="24"/>
        <v>0</v>
      </c>
      <c r="V127" s="875">
        <f t="shared" si="24"/>
        <v>0</v>
      </c>
      <c r="W127" s="875">
        <f t="shared" si="20"/>
        <v>0</v>
      </c>
      <c r="X127" s="875">
        <f t="shared" si="21"/>
        <v>0</v>
      </c>
      <c r="Y127" s="883"/>
      <c r="Z127" s="875">
        <f t="shared" si="18"/>
        <v>0</v>
      </c>
      <c r="AA127" s="875">
        <f t="shared" si="22"/>
        <v>0</v>
      </c>
      <c r="AB127" s="875">
        <f t="shared" si="22"/>
        <v>0</v>
      </c>
      <c r="AC127" s="878" t="s">
        <v>1394</v>
      </c>
    </row>
    <row r="128" spans="1:29" ht="36" customHeight="1" x14ac:dyDescent="0.2">
      <c r="A128" s="618" t="s">
        <v>143</v>
      </c>
      <c r="B128" s="619" t="s">
        <v>729</v>
      </c>
      <c r="C128" s="620">
        <v>244</v>
      </c>
      <c r="D128" s="620">
        <v>225</v>
      </c>
      <c r="E128" s="596">
        <f t="shared" si="25"/>
        <v>36219.360000000001</v>
      </c>
      <c r="F128" s="595">
        <f>'Прилож 4 24 (3)'!V128</f>
        <v>0</v>
      </c>
      <c r="G128" s="595">
        <f>'Прилож 4 24 (3)'!W128</f>
        <v>0</v>
      </c>
      <c r="H128" s="595">
        <f>'Прилож 4 24 (3)'!X128</f>
        <v>36219.360000000001</v>
      </c>
      <c r="I128" s="628"/>
      <c r="J128" s="595">
        <f>'Прилож 4 24 (3)'!Z128</f>
        <v>0</v>
      </c>
      <c r="K128" s="595">
        <f>'Прилож 4 24 (3)'!AA128</f>
        <v>0</v>
      </c>
      <c r="L128" s="875">
        <f>'Прилож 4 24 (3)'!AB128</f>
        <v>0</v>
      </c>
      <c r="M128" s="876">
        <f t="shared" si="23"/>
        <v>0</v>
      </c>
      <c r="N128" s="875"/>
      <c r="O128" s="875"/>
      <c r="P128" s="875"/>
      <c r="Q128" s="877"/>
      <c r="R128" s="875"/>
      <c r="S128" s="875"/>
      <c r="T128" s="875"/>
      <c r="U128" s="876">
        <f t="shared" si="24"/>
        <v>36219.360000000001</v>
      </c>
      <c r="V128" s="875">
        <f t="shared" si="24"/>
        <v>0</v>
      </c>
      <c r="W128" s="875">
        <f t="shared" si="20"/>
        <v>0</v>
      </c>
      <c r="X128" s="875">
        <f t="shared" si="21"/>
        <v>36219.360000000001</v>
      </c>
      <c r="Y128" s="883"/>
      <c r="Z128" s="875">
        <f t="shared" si="18"/>
        <v>0</v>
      </c>
      <c r="AA128" s="875">
        <f t="shared" si="22"/>
        <v>0</v>
      </c>
      <c r="AB128" s="875">
        <f t="shared" si="22"/>
        <v>0</v>
      </c>
      <c r="AC128" s="878"/>
    </row>
    <row r="129" spans="1:30" ht="46.5" customHeight="1" x14ac:dyDescent="0.2">
      <c r="A129" s="618" t="s">
        <v>635</v>
      </c>
      <c r="B129" s="619" t="s">
        <v>729</v>
      </c>
      <c r="C129" s="620">
        <v>244</v>
      </c>
      <c r="D129" s="620">
        <v>225</v>
      </c>
      <c r="E129" s="596">
        <f t="shared" si="25"/>
        <v>70000</v>
      </c>
      <c r="F129" s="595">
        <f>'Прилож 4 24 (3)'!V129</f>
        <v>0</v>
      </c>
      <c r="G129" s="595">
        <f>'Прилож 4 24 (3)'!W129</f>
        <v>0</v>
      </c>
      <c r="H129" s="595">
        <f>'Прилож 4 24 (3)'!X129</f>
        <v>70000</v>
      </c>
      <c r="I129" s="628"/>
      <c r="J129" s="595">
        <f>'Прилож 4 24 (3)'!Z129</f>
        <v>0</v>
      </c>
      <c r="K129" s="595">
        <f>'Прилож 4 24 (3)'!AA129</f>
        <v>0</v>
      </c>
      <c r="L129" s="875">
        <f>'Прилож 4 24 (3)'!AB129</f>
        <v>0</v>
      </c>
      <c r="M129" s="876">
        <f t="shared" si="23"/>
        <v>0</v>
      </c>
      <c r="N129" s="875"/>
      <c r="O129" s="875"/>
      <c r="P129" s="875"/>
      <c r="Q129" s="877"/>
      <c r="R129" s="875"/>
      <c r="S129" s="875"/>
      <c r="T129" s="875"/>
      <c r="U129" s="876">
        <f t="shared" si="24"/>
        <v>70000</v>
      </c>
      <c r="V129" s="875">
        <f t="shared" si="24"/>
        <v>0</v>
      </c>
      <c r="W129" s="875">
        <f t="shared" si="20"/>
        <v>0</v>
      </c>
      <c r="X129" s="875">
        <f t="shared" si="21"/>
        <v>70000</v>
      </c>
      <c r="Y129" s="883"/>
      <c r="Z129" s="875">
        <f t="shared" si="18"/>
        <v>0</v>
      </c>
      <c r="AA129" s="875">
        <f t="shared" si="22"/>
        <v>0</v>
      </c>
      <c r="AB129" s="875">
        <f t="shared" si="22"/>
        <v>0</v>
      </c>
      <c r="AC129" s="878"/>
    </row>
    <row r="130" spans="1:30" ht="36.75" customHeight="1" x14ac:dyDescent="0.2">
      <c r="A130" s="618" t="s">
        <v>951</v>
      </c>
      <c r="B130" s="619" t="s">
        <v>729</v>
      </c>
      <c r="C130" s="620">
        <v>244</v>
      </c>
      <c r="D130" s="620">
        <v>225</v>
      </c>
      <c r="E130" s="596">
        <f t="shared" si="25"/>
        <v>10000</v>
      </c>
      <c r="F130" s="595">
        <f>'Прилож 4 24 (3)'!V130</f>
        <v>0</v>
      </c>
      <c r="G130" s="595">
        <f>'Прилож 4 24 (3)'!W130</f>
        <v>0</v>
      </c>
      <c r="H130" s="595">
        <f>'Прилож 4 24 (3)'!X130</f>
        <v>10000</v>
      </c>
      <c r="I130" s="628"/>
      <c r="J130" s="595">
        <f>'Прилож 4 24 (3)'!Z130</f>
        <v>0</v>
      </c>
      <c r="K130" s="595">
        <f>'Прилож 4 24 (3)'!AA130</f>
        <v>0</v>
      </c>
      <c r="L130" s="875">
        <f>'Прилож 4 24 (3)'!AB130</f>
        <v>0</v>
      </c>
      <c r="M130" s="876">
        <f t="shared" si="23"/>
        <v>12000</v>
      </c>
      <c r="N130" s="875"/>
      <c r="O130" s="875"/>
      <c r="P130" s="875">
        <v>12000</v>
      </c>
      <c r="Q130" s="877"/>
      <c r="R130" s="875"/>
      <c r="S130" s="875"/>
      <c r="T130" s="875"/>
      <c r="U130" s="876">
        <f t="shared" si="24"/>
        <v>22000</v>
      </c>
      <c r="V130" s="875">
        <f t="shared" si="24"/>
        <v>0</v>
      </c>
      <c r="W130" s="875">
        <f t="shared" si="20"/>
        <v>0</v>
      </c>
      <c r="X130" s="875">
        <f t="shared" si="21"/>
        <v>22000</v>
      </c>
      <c r="Y130" s="883"/>
      <c r="Z130" s="875">
        <f t="shared" si="18"/>
        <v>0</v>
      </c>
      <c r="AA130" s="875">
        <f t="shared" si="22"/>
        <v>0</v>
      </c>
      <c r="AB130" s="875">
        <f t="shared" si="22"/>
        <v>0</v>
      </c>
      <c r="AC130" s="878" t="s">
        <v>1352</v>
      </c>
    </row>
    <row r="131" spans="1:30" ht="45.75" customHeight="1" x14ac:dyDescent="0.2">
      <c r="A131" s="618" t="s">
        <v>150</v>
      </c>
      <c r="B131" s="619" t="s">
        <v>729</v>
      </c>
      <c r="C131" s="620">
        <v>244</v>
      </c>
      <c r="D131" s="620">
        <v>225</v>
      </c>
      <c r="E131" s="596">
        <f t="shared" si="25"/>
        <v>4500</v>
      </c>
      <c r="F131" s="595">
        <f>'Прилож 4 24 (3)'!V131</f>
        <v>0</v>
      </c>
      <c r="G131" s="595">
        <f>'Прилож 4 24 (3)'!W131</f>
        <v>0</v>
      </c>
      <c r="H131" s="595">
        <f>'Прилож 4 24 (3)'!X131</f>
        <v>4500</v>
      </c>
      <c r="I131" s="628"/>
      <c r="J131" s="595">
        <f>'Прилож 4 24 (3)'!Z131</f>
        <v>0</v>
      </c>
      <c r="K131" s="595">
        <f>'Прилож 4 24 (3)'!AA131</f>
        <v>0</v>
      </c>
      <c r="L131" s="875">
        <f>'Прилож 4 24 (3)'!AB131</f>
        <v>0</v>
      </c>
      <c r="M131" s="876">
        <f t="shared" si="23"/>
        <v>-4500</v>
      </c>
      <c r="N131" s="875"/>
      <c r="O131" s="875"/>
      <c r="P131" s="875">
        <v>-4500</v>
      </c>
      <c r="Q131" s="877"/>
      <c r="R131" s="875"/>
      <c r="S131" s="875"/>
      <c r="T131" s="875"/>
      <c r="U131" s="876">
        <f t="shared" si="24"/>
        <v>0</v>
      </c>
      <c r="V131" s="875">
        <f t="shared" si="24"/>
        <v>0</v>
      </c>
      <c r="W131" s="875">
        <f t="shared" si="20"/>
        <v>0</v>
      </c>
      <c r="X131" s="875">
        <f t="shared" si="21"/>
        <v>0</v>
      </c>
      <c r="Y131" s="883"/>
      <c r="Z131" s="875">
        <f t="shared" si="18"/>
        <v>0</v>
      </c>
      <c r="AA131" s="875">
        <f t="shared" si="22"/>
        <v>0</v>
      </c>
      <c r="AB131" s="875">
        <f t="shared" si="22"/>
        <v>0</v>
      </c>
      <c r="AC131" s="878" t="s">
        <v>1396</v>
      </c>
    </row>
    <row r="132" spans="1:30" ht="41.25" customHeight="1" x14ac:dyDescent="0.2">
      <c r="A132" s="618" t="s">
        <v>952</v>
      </c>
      <c r="B132" s="619" t="s">
        <v>729</v>
      </c>
      <c r="C132" s="620">
        <v>244</v>
      </c>
      <c r="D132" s="620">
        <v>225</v>
      </c>
      <c r="E132" s="596">
        <f t="shared" si="25"/>
        <v>20000</v>
      </c>
      <c r="F132" s="595">
        <f>'Прилож 4 24 (3)'!V132</f>
        <v>0</v>
      </c>
      <c r="G132" s="595">
        <f>'Прилож 4 24 (3)'!W132</f>
        <v>0</v>
      </c>
      <c r="H132" s="595">
        <f>'Прилож 4 24 (3)'!X132</f>
        <v>20000</v>
      </c>
      <c r="I132" s="628"/>
      <c r="J132" s="595">
        <f>'Прилож 4 24 (3)'!Z132</f>
        <v>0</v>
      </c>
      <c r="K132" s="595">
        <f>'Прилож 4 24 (3)'!AA132</f>
        <v>0</v>
      </c>
      <c r="L132" s="875">
        <f>'Прилож 4 24 (3)'!AB132</f>
        <v>0</v>
      </c>
      <c r="M132" s="876">
        <f t="shared" si="23"/>
        <v>1188</v>
      </c>
      <c r="N132" s="875"/>
      <c r="O132" s="875"/>
      <c r="P132" s="875">
        <v>1188</v>
      </c>
      <c r="Q132" s="877"/>
      <c r="R132" s="875"/>
      <c r="S132" s="875"/>
      <c r="T132" s="875"/>
      <c r="U132" s="876">
        <f t="shared" si="24"/>
        <v>21188</v>
      </c>
      <c r="V132" s="875">
        <f t="shared" si="24"/>
        <v>0</v>
      </c>
      <c r="W132" s="875">
        <f t="shared" si="20"/>
        <v>0</v>
      </c>
      <c r="X132" s="875">
        <f t="shared" si="21"/>
        <v>21188</v>
      </c>
      <c r="Y132" s="883"/>
      <c r="Z132" s="875">
        <f t="shared" si="18"/>
        <v>0</v>
      </c>
      <c r="AA132" s="875">
        <f t="shared" si="22"/>
        <v>0</v>
      </c>
      <c r="AB132" s="875">
        <f t="shared" si="22"/>
        <v>0</v>
      </c>
      <c r="AC132" s="878" t="s">
        <v>1354</v>
      </c>
    </row>
    <row r="133" spans="1:30" ht="45.75" customHeight="1" x14ac:dyDescent="0.2">
      <c r="A133" s="618" t="s">
        <v>149</v>
      </c>
      <c r="B133" s="619" t="s">
        <v>729</v>
      </c>
      <c r="C133" s="620">
        <v>244</v>
      </c>
      <c r="D133" s="620">
        <v>225</v>
      </c>
      <c r="E133" s="596">
        <f t="shared" si="25"/>
        <v>2652</v>
      </c>
      <c r="F133" s="595">
        <f>'Прилож 4 24 (3)'!V133</f>
        <v>0</v>
      </c>
      <c r="G133" s="595">
        <f>'Прилож 4 24 (3)'!W133</f>
        <v>0</v>
      </c>
      <c r="H133" s="595">
        <f>'Прилож 4 24 (3)'!X133</f>
        <v>2652</v>
      </c>
      <c r="I133" s="628"/>
      <c r="J133" s="595">
        <f>'Прилож 4 24 (3)'!Z133</f>
        <v>0</v>
      </c>
      <c r="K133" s="595">
        <f>'Прилож 4 24 (3)'!AA133</f>
        <v>0</v>
      </c>
      <c r="L133" s="875">
        <f>'Прилож 4 24 (3)'!AB133</f>
        <v>0</v>
      </c>
      <c r="M133" s="876">
        <f t="shared" si="23"/>
        <v>0</v>
      </c>
      <c r="N133" s="875"/>
      <c r="O133" s="875"/>
      <c r="P133" s="875"/>
      <c r="Q133" s="877"/>
      <c r="R133" s="875"/>
      <c r="S133" s="875"/>
      <c r="T133" s="875"/>
      <c r="U133" s="876">
        <f t="shared" si="24"/>
        <v>2652</v>
      </c>
      <c r="V133" s="875">
        <f t="shared" si="24"/>
        <v>0</v>
      </c>
      <c r="W133" s="875">
        <f t="shared" si="20"/>
        <v>0</v>
      </c>
      <c r="X133" s="875">
        <f t="shared" si="21"/>
        <v>2652</v>
      </c>
      <c r="Y133" s="883"/>
      <c r="Z133" s="875">
        <f t="shared" si="18"/>
        <v>0</v>
      </c>
      <c r="AA133" s="875">
        <f t="shared" si="22"/>
        <v>0</v>
      </c>
      <c r="AB133" s="875">
        <f t="shared" si="22"/>
        <v>0</v>
      </c>
      <c r="AC133" s="878"/>
    </row>
    <row r="134" spans="1:30" ht="31.5" x14ac:dyDescent="0.2">
      <c r="A134" s="618" t="s">
        <v>644</v>
      </c>
      <c r="B134" s="619" t="s">
        <v>729</v>
      </c>
      <c r="C134" s="620">
        <v>244</v>
      </c>
      <c r="D134" s="620">
        <v>225</v>
      </c>
      <c r="E134" s="596">
        <f t="shared" si="25"/>
        <v>15000</v>
      </c>
      <c r="F134" s="595">
        <f>'Прилож 4 24 (3)'!V134</f>
        <v>0</v>
      </c>
      <c r="G134" s="595">
        <f>'Прилож 4 24 (3)'!W134</f>
        <v>0</v>
      </c>
      <c r="H134" s="595">
        <f>'Прилож 4 24 (3)'!X134</f>
        <v>15000</v>
      </c>
      <c r="I134" s="628"/>
      <c r="J134" s="595">
        <f>'Прилож 4 24 (3)'!Z134</f>
        <v>0</v>
      </c>
      <c r="K134" s="595">
        <f>'Прилож 4 24 (3)'!AA134</f>
        <v>0</v>
      </c>
      <c r="L134" s="875">
        <f>'Прилож 4 24 (3)'!AB134</f>
        <v>0</v>
      </c>
      <c r="M134" s="876">
        <f t="shared" si="23"/>
        <v>0</v>
      </c>
      <c r="N134" s="875"/>
      <c r="O134" s="875"/>
      <c r="P134" s="875"/>
      <c r="Q134" s="877"/>
      <c r="R134" s="875"/>
      <c r="S134" s="875"/>
      <c r="T134" s="875"/>
      <c r="U134" s="876">
        <f t="shared" si="24"/>
        <v>15000</v>
      </c>
      <c r="V134" s="875">
        <f t="shared" si="24"/>
        <v>0</v>
      </c>
      <c r="W134" s="875">
        <f t="shared" si="20"/>
        <v>0</v>
      </c>
      <c r="X134" s="875">
        <f t="shared" si="21"/>
        <v>15000</v>
      </c>
      <c r="Y134" s="883"/>
      <c r="Z134" s="875">
        <f t="shared" si="18"/>
        <v>0</v>
      </c>
      <c r="AA134" s="875">
        <f t="shared" si="22"/>
        <v>0</v>
      </c>
      <c r="AB134" s="875">
        <f t="shared" si="22"/>
        <v>0</v>
      </c>
      <c r="AC134" s="878"/>
    </row>
    <row r="135" spans="1:30" ht="31.5" x14ac:dyDescent="0.2">
      <c r="A135" s="618" t="s">
        <v>587</v>
      </c>
      <c r="B135" s="619" t="s">
        <v>729</v>
      </c>
      <c r="C135" s="620">
        <v>244</v>
      </c>
      <c r="D135" s="620">
        <v>225</v>
      </c>
      <c r="E135" s="596">
        <f t="shared" si="25"/>
        <v>15624</v>
      </c>
      <c r="F135" s="595">
        <f>'Прилож 4 24 (3)'!V135</f>
        <v>0</v>
      </c>
      <c r="G135" s="595">
        <f>'Прилож 4 24 (3)'!W135</f>
        <v>0</v>
      </c>
      <c r="H135" s="595">
        <f>'Прилож 4 24 (3)'!X135</f>
        <v>15624</v>
      </c>
      <c r="I135" s="628"/>
      <c r="J135" s="595">
        <f>'Прилож 4 24 (3)'!Z135</f>
        <v>0</v>
      </c>
      <c r="K135" s="595">
        <f>'Прилож 4 24 (3)'!AA135</f>
        <v>0</v>
      </c>
      <c r="L135" s="875">
        <f>'Прилож 4 24 (3)'!AB135</f>
        <v>0</v>
      </c>
      <c r="M135" s="876">
        <f t="shared" si="23"/>
        <v>0</v>
      </c>
      <c r="N135" s="875"/>
      <c r="O135" s="875"/>
      <c r="P135" s="875"/>
      <c r="Q135" s="877"/>
      <c r="R135" s="875"/>
      <c r="S135" s="875"/>
      <c r="T135" s="875"/>
      <c r="U135" s="876">
        <f t="shared" si="24"/>
        <v>15624</v>
      </c>
      <c r="V135" s="875">
        <f t="shared" si="24"/>
        <v>0</v>
      </c>
      <c r="W135" s="875">
        <f t="shared" si="20"/>
        <v>0</v>
      </c>
      <c r="X135" s="875">
        <f t="shared" si="21"/>
        <v>15624</v>
      </c>
      <c r="Y135" s="883"/>
      <c r="Z135" s="875">
        <f t="shared" si="18"/>
        <v>0</v>
      </c>
      <c r="AA135" s="875">
        <f t="shared" si="22"/>
        <v>0</v>
      </c>
      <c r="AB135" s="875">
        <f t="shared" si="22"/>
        <v>0</v>
      </c>
      <c r="AC135" s="878"/>
    </row>
    <row r="136" spans="1:30" ht="59.45" customHeight="1" x14ac:dyDescent="0.2">
      <c r="A136" s="618" t="s">
        <v>1208</v>
      </c>
      <c r="B136" s="619" t="s">
        <v>729</v>
      </c>
      <c r="C136" s="620">
        <v>244</v>
      </c>
      <c r="D136" s="620">
        <v>225</v>
      </c>
      <c r="E136" s="596">
        <f t="shared" si="25"/>
        <v>17500</v>
      </c>
      <c r="F136" s="595">
        <f>'Прилож 4 24 (3)'!V136</f>
        <v>0</v>
      </c>
      <c r="G136" s="595">
        <f>'Прилож 4 24 (3)'!W136</f>
        <v>0</v>
      </c>
      <c r="H136" s="595">
        <f>'Прилож 4 24 (3)'!X136</f>
        <v>17500</v>
      </c>
      <c r="I136" s="628"/>
      <c r="J136" s="595">
        <f>'Прилож 4 24 (3)'!Z136</f>
        <v>0</v>
      </c>
      <c r="K136" s="595">
        <f>'Прилож 4 24 (3)'!AA136</f>
        <v>0</v>
      </c>
      <c r="L136" s="875">
        <f>'Прилож 4 24 (3)'!AB136</f>
        <v>0</v>
      </c>
      <c r="M136" s="876">
        <f t="shared" si="23"/>
        <v>-17500</v>
      </c>
      <c r="N136" s="875"/>
      <c r="O136" s="875"/>
      <c r="P136" s="875">
        <v>-17500</v>
      </c>
      <c r="Q136" s="877"/>
      <c r="R136" s="875"/>
      <c r="S136" s="875"/>
      <c r="T136" s="875"/>
      <c r="U136" s="876">
        <f t="shared" si="24"/>
        <v>0</v>
      </c>
      <c r="V136" s="875">
        <f t="shared" si="24"/>
        <v>0</v>
      </c>
      <c r="W136" s="875">
        <f t="shared" si="20"/>
        <v>0</v>
      </c>
      <c r="X136" s="875">
        <f t="shared" si="21"/>
        <v>0</v>
      </c>
      <c r="Y136" s="883"/>
      <c r="Z136" s="875">
        <f t="shared" si="18"/>
        <v>0</v>
      </c>
      <c r="AA136" s="875">
        <f t="shared" si="22"/>
        <v>0</v>
      </c>
      <c r="AB136" s="875">
        <f t="shared" si="22"/>
        <v>0</v>
      </c>
      <c r="AC136" s="878" t="s">
        <v>1395</v>
      </c>
    </row>
    <row r="137" spans="1:30" ht="31.5" x14ac:dyDescent="0.2">
      <c r="A137" s="618" t="s">
        <v>157</v>
      </c>
      <c r="B137" s="619" t="s">
        <v>729</v>
      </c>
      <c r="C137" s="620">
        <v>244</v>
      </c>
      <c r="D137" s="620">
        <v>225</v>
      </c>
      <c r="E137" s="596">
        <f t="shared" si="25"/>
        <v>10000</v>
      </c>
      <c r="F137" s="595">
        <f>'Прилож 4 24 (3)'!V137</f>
        <v>0</v>
      </c>
      <c r="G137" s="595">
        <f>'Прилож 4 24 (3)'!W137</f>
        <v>0</v>
      </c>
      <c r="H137" s="595">
        <f>'Прилож 4 24 (3)'!X137</f>
        <v>10000</v>
      </c>
      <c r="I137" s="628"/>
      <c r="J137" s="595">
        <f>'Прилож 4 24 (3)'!Z137</f>
        <v>0</v>
      </c>
      <c r="K137" s="595">
        <f>'Прилож 4 24 (3)'!AA137</f>
        <v>0</v>
      </c>
      <c r="L137" s="875">
        <f>'Прилож 4 24 (3)'!AB137</f>
        <v>0</v>
      </c>
      <c r="M137" s="876">
        <f t="shared" si="23"/>
        <v>0</v>
      </c>
      <c r="N137" s="875"/>
      <c r="O137" s="875"/>
      <c r="P137" s="875"/>
      <c r="Q137" s="877"/>
      <c r="R137" s="875"/>
      <c r="S137" s="875"/>
      <c r="T137" s="875"/>
      <c r="U137" s="876">
        <f t="shared" si="24"/>
        <v>10000</v>
      </c>
      <c r="V137" s="875">
        <f t="shared" si="24"/>
        <v>0</v>
      </c>
      <c r="W137" s="875">
        <f t="shared" si="20"/>
        <v>0</v>
      </c>
      <c r="X137" s="875">
        <f t="shared" si="21"/>
        <v>10000</v>
      </c>
      <c r="Y137" s="883"/>
      <c r="Z137" s="875">
        <f t="shared" si="18"/>
        <v>0</v>
      </c>
      <c r="AA137" s="875">
        <f t="shared" si="22"/>
        <v>0</v>
      </c>
      <c r="AB137" s="875">
        <f t="shared" si="22"/>
        <v>0</v>
      </c>
      <c r="AC137" s="878"/>
    </row>
    <row r="138" spans="1:30" ht="36" customHeight="1" x14ac:dyDescent="0.2">
      <c r="A138" s="618" t="s">
        <v>583</v>
      </c>
      <c r="B138" s="619" t="s">
        <v>729</v>
      </c>
      <c r="C138" s="620">
        <v>244</v>
      </c>
      <c r="D138" s="620">
        <v>225</v>
      </c>
      <c r="E138" s="596">
        <f t="shared" si="25"/>
        <v>5000</v>
      </c>
      <c r="F138" s="595">
        <f>'Прилож 4 24 (3)'!V138</f>
        <v>0</v>
      </c>
      <c r="G138" s="595">
        <f>'Прилож 4 24 (3)'!W138</f>
        <v>0</v>
      </c>
      <c r="H138" s="595">
        <f>'Прилож 4 24 (3)'!X138</f>
        <v>5000</v>
      </c>
      <c r="I138" s="628"/>
      <c r="J138" s="595">
        <f>'Прилож 4 24 (3)'!Z138</f>
        <v>0</v>
      </c>
      <c r="K138" s="595">
        <f>'Прилож 4 24 (3)'!AA138</f>
        <v>0</v>
      </c>
      <c r="L138" s="875">
        <f>'Прилож 4 24 (3)'!AB138</f>
        <v>0</v>
      </c>
      <c r="M138" s="876">
        <f t="shared" si="23"/>
        <v>5310</v>
      </c>
      <c r="N138" s="875"/>
      <c r="O138" s="875"/>
      <c r="P138" s="875">
        <v>5310</v>
      </c>
      <c r="Q138" s="877"/>
      <c r="R138" s="875"/>
      <c r="S138" s="875"/>
      <c r="T138" s="875"/>
      <c r="U138" s="876">
        <f t="shared" si="24"/>
        <v>10310</v>
      </c>
      <c r="V138" s="875">
        <f t="shared" si="24"/>
        <v>0</v>
      </c>
      <c r="W138" s="875">
        <f t="shared" si="20"/>
        <v>0</v>
      </c>
      <c r="X138" s="875">
        <f t="shared" si="21"/>
        <v>10310</v>
      </c>
      <c r="Y138" s="883"/>
      <c r="Z138" s="875">
        <f t="shared" si="18"/>
        <v>0</v>
      </c>
      <c r="AA138" s="875">
        <f t="shared" si="22"/>
        <v>0</v>
      </c>
      <c r="AB138" s="875">
        <f t="shared" si="22"/>
        <v>0</v>
      </c>
      <c r="AC138" s="878" t="s">
        <v>1354</v>
      </c>
    </row>
    <row r="139" spans="1:30" ht="42.75" customHeight="1" x14ac:dyDescent="0.2">
      <c r="A139" s="618" t="s">
        <v>1204</v>
      </c>
      <c r="B139" s="619" t="s">
        <v>729</v>
      </c>
      <c r="C139" s="620">
        <v>244</v>
      </c>
      <c r="D139" s="620">
        <v>225</v>
      </c>
      <c r="E139" s="596">
        <f t="shared" si="25"/>
        <v>50000</v>
      </c>
      <c r="F139" s="595">
        <f>'Прилож 4 24 (3)'!V139</f>
        <v>0</v>
      </c>
      <c r="G139" s="595">
        <f>'Прилож 4 24 (3)'!W139</f>
        <v>0</v>
      </c>
      <c r="H139" s="595">
        <f>'Прилож 4 24 (3)'!X139</f>
        <v>50000</v>
      </c>
      <c r="I139" s="628"/>
      <c r="J139" s="595">
        <f>'Прилож 4 24 (3)'!Z139</f>
        <v>0</v>
      </c>
      <c r="K139" s="595">
        <f>'Прилож 4 24 (3)'!AA139</f>
        <v>0</v>
      </c>
      <c r="L139" s="875">
        <f>'Прилож 4 24 (3)'!AB139</f>
        <v>0</v>
      </c>
      <c r="M139" s="876">
        <f t="shared" si="23"/>
        <v>-5310</v>
      </c>
      <c r="N139" s="875"/>
      <c r="O139" s="875"/>
      <c r="P139" s="875">
        <v>-5310</v>
      </c>
      <c r="Q139" s="877"/>
      <c r="R139" s="875"/>
      <c r="S139" s="875"/>
      <c r="T139" s="875"/>
      <c r="U139" s="876">
        <f t="shared" si="24"/>
        <v>44690</v>
      </c>
      <c r="V139" s="875">
        <f t="shared" si="24"/>
        <v>0</v>
      </c>
      <c r="W139" s="875">
        <f t="shared" si="20"/>
        <v>0</v>
      </c>
      <c r="X139" s="875">
        <f t="shared" si="21"/>
        <v>44690</v>
      </c>
      <c r="Y139" s="883"/>
      <c r="Z139" s="875">
        <f t="shared" si="18"/>
        <v>0</v>
      </c>
      <c r="AA139" s="875">
        <f t="shared" si="22"/>
        <v>0</v>
      </c>
      <c r="AB139" s="875">
        <f t="shared" si="22"/>
        <v>0</v>
      </c>
      <c r="AC139" s="878" t="s">
        <v>1356</v>
      </c>
    </row>
    <row r="140" spans="1:30" ht="47.25" x14ac:dyDescent="0.2">
      <c r="A140" s="618" t="s">
        <v>1327</v>
      </c>
      <c r="B140" s="619" t="s">
        <v>729</v>
      </c>
      <c r="C140" s="620">
        <v>244</v>
      </c>
      <c r="D140" s="620">
        <v>225</v>
      </c>
      <c r="E140" s="596">
        <f t="shared" si="25"/>
        <v>5075389</v>
      </c>
      <c r="F140" s="595">
        <f>'Прилож 4 24 (3)'!V140</f>
        <v>0</v>
      </c>
      <c r="G140" s="595">
        <f>'Прилож 4 24 (3)'!W140</f>
        <v>0</v>
      </c>
      <c r="H140" s="595">
        <f>'Прилож 4 24 (3)'!X140</f>
        <v>0</v>
      </c>
      <c r="I140" s="621" t="s">
        <v>1314</v>
      </c>
      <c r="J140" s="595">
        <f>'Прилож 4 24 (3)'!Z140</f>
        <v>0</v>
      </c>
      <c r="K140" s="595">
        <f>'Прилож 4 24 (3)'!AA140</f>
        <v>5075389</v>
      </c>
      <c r="L140" s="875">
        <f>'Прилож 4 24 (3)'!AB140</f>
        <v>0</v>
      </c>
      <c r="M140" s="876">
        <f t="shared" si="23"/>
        <v>0</v>
      </c>
      <c r="N140" s="875"/>
      <c r="O140" s="875"/>
      <c r="P140" s="875"/>
      <c r="Q140" s="877"/>
      <c r="R140" s="875"/>
      <c r="S140" s="875"/>
      <c r="T140" s="875"/>
      <c r="U140" s="876">
        <f t="shared" si="24"/>
        <v>5075389</v>
      </c>
      <c r="V140" s="875">
        <f t="shared" si="24"/>
        <v>0</v>
      </c>
      <c r="W140" s="875">
        <f t="shared" si="20"/>
        <v>0</v>
      </c>
      <c r="X140" s="875">
        <f t="shared" si="21"/>
        <v>0</v>
      </c>
      <c r="Y140" s="877" t="s">
        <v>1314</v>
      </c>
      <c r="Z140" s="875">
        <f t="shared" si="18"/>
        <v>0</v>
      </c>
      <c r="AA140" s="875">
        <f t="shared" si="22"/>
        <v>5075389</v>
      </c>
      <c r="AB140" s="875">
        <f t="shared" si="22"/>
        <v>0</v>
      </c>
      <c r="AC140" s="878"/>
    </row>
    <row r="141" spans="1:30" s="637" customFormat="1" x14ac:dyDescent="0.2">
      <c r="A141" s="632" t="s">
        <v>1143</v>
      </c>
      <c r="B141" s="633" t="s">
        <v>729</v>
      </c>
      <c r="C141" s="634">
        <v>244</v>
      </c>
      <c r="D141" s="634">
        <v>225</v>
      </c>
      <c r="E141" s="597">
        <f>SUM(E121:E140)</f>
        <v>5624844.8799999999</v>
      </c>
      <c r="F141" s="595">
        <f>'Прилож 4 24 (3)'!V141</f>
        <v>0</v>
      </c>
      <c r="G141" s="595">
        <f>'Прилож 4 24 (3)'!W141</f>
        <v>0</v>
      </c>
      <c r="H141" s="595">
        <f>'Прилож 4 24 (3)'!X141</f>
        <v>549455.88</v>
      </c>
      <c r="I141" s="635"/>
      <c r="J141" s="595">
        <f>'Прилож 4 24 (3)'!Z141</f>
        <v>0</v>
      </c>
      <c r="K141" s="595">
        <f>'Прилож 4 24 (3)'!AA141</f>
        <v>5075389</v>
      </c>
      <c r="L141" s="875">
        <f>'Прилож 4 24 (3)'!AB141</f>
        <v>0</v>
      </c>
      <c r="M141" s="876">
        <f t="shared" si="23"/>
        <v>-20812</v>
      </c>
      <c r="N141" s="891"/>
      <c r="O141" s="891"/>
      <c r="P141" s="892">
        <f>SUM(P121:P140)</f>
        <v>-20812</v>
      </c>
      <c r="Q141" s="885"/>
      <c r="R141" s="884"/>
      <c r="S141" s="884"/>
      <c r="T141" s="884"/>
      <c r="U141" s="876">
        <f t="shared" si="24"/>
        <v>5604032.8799999999</v>
      </c>
      <c r="V141" s="875">
        <f t="shared" si="24"/>
        <v>0</v>
      </c>
      <c r="W141" s="875">
        <f t="shared" si="20"/>
        <v>0</v>
      </c>
      <c r="X141" s="875">
        <f t="shared" si="21"/>
        <v>528643.88</v>
      </c>
      <c r="Y141" s="885"/>
      <c r="Z141" s="875">
        <f t="shared" si="18"/>
        <v>0</v>
      </c>
      <c r="AA141" s="875">
        <f t="shared" si="22"/>
        <v>5075389</v>
      </c>
      <c r="AB141" s="875">
        <f t="shared" si="22"/>
        <v>0</v>
      </c>
      <c r="AC141" s="886"/>
    </row>
    <row r="142" spans="1:30" ht="36" customHeight="1" x14ac:dyDescent="0.2">
      <c r="A142" s="618" t="s">
        <v>677</v>
      </c>
      <c r="B142" s="619" t="s">
        <v>691</v>
      </c>
      <c r="C142" s="620">
        <v>244</v>
      </c>
      <c r="D142" s="620">
        <v>225</v>
      </c>
      <c r="E142" s="596">
        <f>L142+K142+J142+H142+G142+F142</f>
        <v>15661.8</v>
      </c>
      <c r="F142" s="595">
        <f>'Прилож 4 24 (3)'!V142</f>
        <v>0</v>
      </c>
      <c r="G142" s="595">
        <f>'Прилож 4 24 (3)'!W142</f>
        <v>0</v>
      </c>
      <c r="H142" s="595">
        <f>'Прилож 4 24 (3)'!X142</f>
        <v>13296.74</v>
      </c>
      <c r="I142" s="628"/>
      <c r="J142" s="595">
        <f>'Прилож 4 24 (3)'!Z142</f>
        <v>0</v>
      </c>
      <c r="K142" s="595">
        <f>'Прилож 4 24 (3)'!AA142</f>
        <v>0</v>
      </c>
      <c r="L142" s="875">
        <f>'Прилож 4 24 (3)'!AB142</f>
        <v>2365.06</v>
      </c>
      <c r="M142" s="876">
        <f t="shared" si="23"/>
        <v>-2209.8000000000002</v>
      </c>
      <c r="N142" s="875"/>
      <c r="O142" s="875"/>
      <c r="P142" s="875">
        <v>-2209.8000000000002</v>
      </c>
      <c r="Q142" s="877"/>
      <c r="R142" s="875"/>
      <c r="S142" s="875"/>
      <c r="T142" s="875"/>
      <c r="U142" s="876">
        <f t="shared" si="24"/>
        <v>13452</v>
      </c>
      <c r="V142" s="875">
        <f t="shared" si="24"/>
        <v>0</v>
      </c>
      <c r="W142" s="875">
        <f t="shared" si="20"/>
        <v>0</v>
      </c>
      <c r="X142" s="875">
        <f t="shared" si="21"/>
        <v>11086.939999999999</v>
      </c>
      <c r="Y142" s="883"/>
      <c r="Z142" s="875">
        <f t="shared" ref="Z142:Z206" si="26">R142+J142</f>
        <v>0</v>
      </c>
      <c r="AA142" s="875">
        <f t="shared" si="22"/>
        <v>0</v>
      </c>
      <c r="AB142" s="875">
        <f t="shared" si="22"/>
        <v>2365.06</v>
      </c>
      <c r="AC142" s="878" t="s">
        <v>1357</v>
      </c>
    </row>
    <row r="143" spans="1:30" s="614" customFormat="1" x14ac:dyDescent="0.2">
      <c r="A143" s="630" t="s">
        <v>738</v>
      </c>
      <c r="B143" s="631"/>
      <c r="C143" s="624"/>
      <c r="D143" s="624"/>
      <c r="E143" s="596">
        <f>E142+E141+E120</f>
        <v>6802390.96</v>
      </c>
      <c r="F143" s="595">
        <f>'Прилож 4 24 (3)'!V143</f>
        <v>0</v>
      </c>
      <c r="G143" s="595">
        <f>'Прилож 4 24 (3)'!W143</f>
        <v>0</v>
      </c>
      <c r="H143" s="595">
        <f>'Прилож 4 24 (3)'!X143</f>
        <v>910514.5</v>
      </c>
      <c r="I143" s="626"/>
      <c r="J143" s="595">
        <f>'Прилож 4 24 (3)'!Z143</f>
        <v>0</v>
      </c>
      <c r="K143" s="595">
        <f>'Прилож 4 24 (3)'!AA143</f>
        <v>5889511.4000000004</v>
      </c>
      <c r="L143" s="875">
        <f>'Прилож 4 24 (3)'!AB143</f>
        <v>2365.06</v>
      </c>
      <c r="M143" s="876">
        <f t="shared" si="23"/>
        <v>-18140.7</v>
      </c>
      <c r="N143" s="876">
        <f>N120+N141+N142</f>
        <v>0</v>
      </c>
      <c r="O143" s="876"/>
      <c r="P143" s="876">
        <f>P120+P141+P142</f>
        <v>-18140.7</v>
      </c>
      <c r="Q143" s="881"/>
      <c r="R143" s="876"/>
      <c r="S143" s="876"/>
      <c r="T143" s="876"/>
      <c r="U143" s="876">
        <f t="shared" si="24"/>
        <v>6784250.2599999998</v>
      </c>
      <c r="V143" s="875">
        <f t="shared" si="24"/>
        <v>0</v>
      </c>
      <c r="W143" s="875">
        <f t="shared" si="20"/>
        <v>0</v>
      </c>
      <c r="X143" s="875">
        <f t="shared" si="21"/>
        <v>892373.8</v>
      </c>
      <c r="Y143" s="881"/>
      <c r="Z143" s="875">
        <f t="shared" si="26"/>
        <v>0</v>
      </c>
      <c r="AA143" s="875">
        <f t="shared" si="22"/>
        <v>5889511.4000000004</v>
      </c>
      <c r="AB143" s="875">
        <f t="shared" si="22"/>
        <v>2365.06</v>
      </c>
      <c r="AC143" s="879"/>
      <c r="AD143" s="818"/>
    </row>
    <row r="144" spans="1:30" ht="31.5" x14ac:dyDescent="0.2">
      <c r="A144" s="618" t="s">
        <v>586</v>
      </c>
      <c r="B144" s="619" t="s">
        <v>747</v>
      </c>
      <c r="C144" s="620">
        <v>244</v>
      </c>
      <c r="D144" s="620">
        <v>226</v>
      </c>
      <c r="E144" s="596">
        <f t="shared" si="25"/>
        <v>53845.919999999998</v>
      </c>
      <c r="F144" s="595">
        <f>'Прилож 4 24 (3)'!V144</f>
        <v>0</v>
      </c>
      <c r="G144" s="595">
        <f>'Прилож 4 24 (3)'!W144</f>
        <v>0</v>
      </c>
      <c r="H144" s="595">
        <f>'Прилож 4 24 (3)'!X144</f>
        <v>53845.919999999998</v>
      </c>
      <c r="I144" s="628"/>
      <c r="J144" s="595">
        <f>'Прилож 4 24 (3)'!Z144</f>
        <v>0</v>
      </c>
      <c r="K144" s="595">
        <f>'Прилож 4 24 (3)'!AA144</f>
        <v>0</v>
      </c>
      <c r="L144" s="875">
        <f>'Прилож 4 24 (3)'!AB144</f>
        <v>0</v>
      </c>
      <c r="M144" s="876">
        <f t="shared" si="23"/>
        <v>0</v>
      </c>
      <c r="N144" s="875"/>
      <c r="O144" s="875"/>
      <c r="P144" s="875"/>
      <c r="Q144" s="877"/>
      <c r="R144" s="875"/>
      <c r="S144" s="875"/>
      <c r="T144" s="875"/>
      <c r="U144" s="876">
        <f t="shared" si="24"/>
        <v>53845.919999999998</v>
      </c>
      <c r="V144" s="875">
        <f t="shared" si="24"/>
        <v>0</v>
      </c>
      <c r="W144" s="875">
        <f t="shared" si="20"/>
        <v>0</v>
      </c>
      <c r="X144" s="875">
        <f t="shared" si="21"/>
        <v>53845.919999999998</v>
      </c>
      <c r="Y144" s="883"/>
      <c r="Z144" s="875">
        <f t="shared" si="26"/>
        <v>0</v>
      </c>
      <c r="AA144" s="875">
        <f t="shared" si="22"/>
        <v>0</v>
      </c>
      <c r="AB144" s="875">
        <f t="shared" si="22"/>
        <v>0</v>
      </c>
      <c r="AC144" s="878"/>
    </row>
    <row r="145" spans="1:29" ht="31.5" x14ac:dyDescent="0.2">
      <c r="A145" s="618" t="s">
        <v>154</v>
      </c>
      <c r="B145" s="619" t="s">
        <v>747</v>
      </c>
      <c r="C145" s="620">
        <v>244</v>
      </c>
      <c r="D145" s="620">
        <v>226</v>
      </c>
      <c r="E145" s="596">
        <f t="shared" si="25"/>
        <v>50000</v>
      </c>
      <c r="F145" s="595">
        <f>'Прилож 4 24 (3)'!V145</f>
        <v>0</v>
      </c>
      <c r="G145" s="595">
        <f>'Прилож 4 24 (3)'!W145</f>
        <v>0</v>
      </c>
      <c r="H145" s="595">
        <f>'Прилож 4 24 (3)'!X145</f>
        <v>50000</v>
      </c>
      <c r="I145" s="628"/>
      <c r="J145" s="595">
        <f>'Прилож 4 24 (3)'!Z145</f>
        <v>0</v>
      </c>
      <c r="K145" s="595">
        <f>'Прилож 4 24 (3)'!AA145</f>
        <v>0</v>
      </c>
      <c r="L145" s="875">
        <f>'Прилож 4 24 (3)'!AB145</f>
        <v>0</v>
      </c>
      <c r="M145" s="876">
        <f t="shared" si="23"/>
        <v>0</v>
      </c>
      <c r="N145" s="875"/>
      <c r="O145" s="875"/>
      <c r="P145" s="875"/>
      <c r="Q145" s="877"/>
      <c r="R145" s="875"/>
      <c r="S145" s="875"/>
      <c r="T145" s="875"/>
      <c r="U145" s="876">
        <f t="shared" si="24"/>
        <v>50000</v>
      </c>
      <c r="V145" s="875">
        <f t="shared" si="24"/>
        <v>0</v>
      </c>
      <c r="W145" s="875">
        <f t="shared" si="20"/>
        <v>0</v>
      </c>
      <c r="X145" s="875">
        <f t="shared" si="21"/>
        <v>50000</v>
      </c>
      <c r="Y145" s="883"/>
      <c r="Z145" s="875">
        <f t="shared" si="26"/>
        <v>0</v>
      </c>
      <c r="AA145" s="875">
        <f t="shared" si="22"/>
        <v>0</v>
      </c>
      <c r="AB145" s="875">
        <f t="shared" si="22"/>
        <v>0</v>
      </c>
      <c r="AC145" s="878"/>
    </row>
    <row r="146" spans="1:29" ht="31.5" x14ac:dyDescent="0.2">
      <c r="A146" s="618" t="s">
        <v>642</v>
      </c>
      <c r="B146" s="619" t="s">
        <v>747</v>
      </c>
      <c r="C146" s="620">
        <v>244</v>
      </c>
      <c r="D146" s="620">
        <v>226</v>
      </c>
      <c r="E146" s="596">
        <f t="shared" si="25"/>
        <v>60720</v>
      </c>
      <c r="F146" s="595">
        <f>'Прилож 4 24 (3)'!V146</f>
        <v>0</v>
      </c>
      <c r="G146" s="595">
        <f>'Прилож 4 24 (3)'!W146</f>
        <v>0</v>
      </c>
      <c r="H146" s="595">
        <f>'Прилож 4 24 (3)'!X146</f>
        <v>60720</v>
      </c>
      <c r="I146" s="628"/>
      <c r="J146" s="595">
        <f>'Прилож 4 24 (3)'!Z146</f>
        <v>0</v>
      </c>
      <c r="K146" s="595">
        <f>'Прилож 4 24 (3)'!AA146</f>
        <v>0</v>
      </c>
      <c r="L146" s="875">
        <f>'Прилож 4 24 (3)'!AB146</f>
        <v>0</v>
      </c>
      <c r="M146" s="876">
        <f t="shared" si="23"/>
        <v>0</v>
      </c>
      <c r="N146" s="875"/>
      <c r="O146" s="875"/>
      <c r="P146" s="875"/>
      <c r="Q146" s="877"/>
      <c r="R146" s="875"/>
      <c r="S146" s="875"/>
      <c r="T146" s="875"/>
      <c r="U146" s="876">
        <f t="shared" si="24"/>
        <v>60720</v>
      </c>
      <c r="V146" s="875">
        <f t="shared" si="24"/>
        <v>0</v>
      </c>
      <c r="W146" s="875">
        <f t="shared" si="20"/>
        <v>0</v>
      </c>
      <c r="X146" s="875">
        <f t="shared" si="21"/>
        <v>60720</v>
      </c>
      <c r="Y146" s="883"/>
      <c r="Z146" s="875">
        <f t="shared" si="26"/>
        <v>0</v>
      </c>
      <c r="AA146" s="875">
        <f t="shared" si="22"/>
        <v>0</v>
      </c>
      <c r="AB146" s="875">
        <f t="shared" si="22"/>
        <v>0</v>
      </c>
      <c r="AC146" s="878"/>
    </row>
    <row r="147" spans="1:29" ht="186" customHeight="1" x14ac:dyDescent="0.2">
      <c r="A147" s="618" t="s">
        <v>1243</v>
      </c>
      <c r="B147" s="619" t="s">
        <v>747</v>
      </c>
      <c r="C147" s="620">
        <v>244</v>
      </c>
      <c r="D147" s="620">
        <v>226</v>
      </c>
      <c r="E147" s="596">
        <f t="shared" si="25"/>
        <v>7400</v>
      </c>
      <c r="F147" s="595">
        <f>'Прилож 4 24 (3)'!V147</f>
        <v>0</v>
      </c>
      <c r="G147" s="595">
        <f>'Прилож 4 24 (3)'!W147</f>
        <v>0</v>
      </c>
      <c r="H147" s="595">
        <f>'Прилож 4 24 (3)'!X147</f>
        <v>7400</v>
      </c>
      <c r="I147" s="628"/>
      <c r="J147" s="595">
        <f>'Прилож 4 24 (3)'!Z147</f>
        <v>0</v>
      </c>
      <c r="K147" s="595">
        <f>'Прилож 4 24 (3)'!AA147</f>
        <v>0</v>
      </c>
      <c r="L147" s="875">
        <f>'Прилож 4 24 (3)'!AB147</f>
        <v>0</v>
      </c>
      <c r="M147" s="876">
        <f t="shared" si="23"/>
        <v>16430</v>
      </c>
      <c r="N147" s="875"/>
      <c r="O147" s="875"/>
      <c r="P147" s="875">
        <v>16430</v>
      </c>
      <c r="Q147" s="877"/>
      <c r="R147" s="875"/>
      <c r="S147" s="875"/>
      <c r="T147" s="875"/>
      <c r="U147" s="876">
        <f t="shared" si="24"/>
        <v>23830</v>
      </c>
      <c r="V147" s="875">
        <f t="shared" si="24"/>
        <v>0</v>
      </c>
      <c r="W147" s="875">
        <f t="shared" si="20"/>
        <v>0</v>
      </c>
      <c r="X147" s="875">
        <f t="shared" si="21"/>
        <v>23830</v>
      </c>
      <c r="Y147" s="883"/>
      <c r="Z147" s="875">
        <f t="shared" si="26"/>
        <v>0</v>
      </c>
      <c r="AA147" s="875">
        <f t="shared" si="22"/>
        <v>0</v>
      </c>
      <c r="AB147" s="875">
        <f t="shared" si="22"/>
        <v>0</v>
      </c>
      <c r="AC147" s="878" t="s">
        <v>1400</v>
      </c>
    </row>
    <row r="148" spans="1:29" x14ac:dyDescent="0.2">
      <c r="A148" s="618" t="s">
        <v>593</v>
      </c>
      <c r="B148" s="619" t="s">
        <v>747</v>
      </c>
      <c r="C148" s="620">
        <v>244</v>
      </c>
      <c r="D148" s="620">
        <v>226</v>
      </c>
      <c r="E148" s="596">
        <f t="shared" si="25"/>
        <v>7430</v>
      </c>
      <c r="F148" s="595">
        <f>'Прилож 4 24 (3)'!V148</f>
        <v>0</v>
      </c>
      <c r="G148" s="595">
        <f>'Прилож 4 24 (3)'!W148</f>
        <v>0</v>
      </c>
      <c r="H148" s="595">
        <f>'Прилож 4 24 (3)'!X148</f>
        <v>7430</v>
      </c>
      <c r="I148" s="628"/>
      <c r="J148" s="595">
        <f>'Прилож 4 24 (3)'!Z148</f>
        <v>0</v>
      </c>
      <c r="K148" s="595">
        <f>'Прилож 4 24 (3)'!AA148</f>
        <v>0</v>
      </c>
      <c r="L148" s="875">
        <f>'Прилож 4 24 (3)'!AB148</f>
        <v>0</v>
      </c>
      <c r="M148" s="876">
        <f t="shared" si="23"/>
        <v>0</v>
      </c>
      <c r="N148" s="875"/>
      <c r="O148" s="875"/>
      <c r="P148" s="875"/>
      <c r="Q148" s="877"/>
      <c r="R148" s="875"/>
      <c r="S148" s="875"/>
      <c r="T148" s="875"/>
      <c r="U148" s="876">
        <f t="shared" si="24"/>
        <v>7430</v>
      </c>
      <c r="V148" s="875">
        <f t="shared" si="24"/>
        <v>0</v>
      </c>
      <c r="W148" s="875">
        <f t="shared" si="20"/>
        <v>0</v>
      </c>
      <c r="X148" s="875">
        <f t="shared" si="21"/>
        <v>7430</v>
      </c>
      <c r="Y148" s="883"/>
      <c r="Z148" s="875">
        <f t="shared" si="26"/>
        <v>0</v>
      </c>
      <c r="AA148" s="875">
        <f t="shared" si="22"/>
        <v>0</v>
      </c>
      <c r="AB148" s="875">
        <f t="shared" si="22"/>
        <v>0</v>
      </c>
      <c r="AC148" s="878"/>
    </row>
    <row r="149" spans="1:29" x14ac:dyDescent="0.2">
      <c r="A149" s="618" t="s">
        <v>1194</v>
      </c>
      <c r="B149" s="619" t="s">
        <v>747</v>
      </c>
      <c r="C149" s="620">
        <v>244</v>
      </c>
      <c r="D149" s="620">
        <v>226</v>
      </c>
      <c r="E149" s="596">
        <f t="shared" si="25"/>
        <v>18900</v>
      </c>
      <c r="F149" s="595">
        <f>'Прилож 4 24 (3)'!V149</f>
        <v>0</v>
      </c>
      <c r="G149" s="595">
        <f>'Прилож 4 24 (3)'!W149</f>
        <v>0</v>
      </c>
      <c r="H149" s="595">
        <f>'Прилож 4 24 (3)'!X149</f>
        <v>18900</v>
      </c>
      <c r="I149" s="628"/>
      <c r="J149" s="595">
        <f>'Прилож 4 24 (3)'!Z149</f>
        <v>0</v>
      </c>
      <c r="K149" s="595">
        <f>'Прилож 4 24 (3)'!AA149</f>
        <v>0</v>
      </c>
      <c r="L149" s="875">
        <f>'Прилож 4 24 (3)'!AB149</f>
        <v>0</v>
      </c>
      <c r="M149" s="876">
        <f t="shared" si="23"/>
        <v>0</v>
      </c>
      <c r="N149" s="875"/>
      <c r="O149" s="875"/>
      <c r="P149" s="875"/>
      <c r="Q149" s="877"/>
      <c r="R149" s="875"/>
      <c r="S149" s="875"/>
      <c r="T149" s="875"/>
      <c r="U149" s="876">
        <f t="shared" si="24"/>
        <v>18900</v>
      </c>
      <c r="V149" s="875">
        <f t="shared" si="24"/>
        <v>0</v>
      </c>
      <c r="W149" s="875">
        <f t="shared" si="20"/>
        <v>0</v>
      </c>
      <c r="X149" s="875">
        <f t="shared" si="21"/>
        <v>18900</v>
      </c>
      <c r="Y149" s="883"/>
      <c r="Z149" s="875">
        <f t="shared" si="26"/>
        <v>0</v>
      </c>
      <c r="AA149" s="875">
        <f t="shared" si="22"/>
        <v>0</v>
      </c>
      <c r="AB149" s="875">
        <f t="shared" si="22"/>
        <v>0</v>
      </c>
      <c r="AC149" s="878"/>
    </row>
    <row r="150" spans="1:29" s="637" customFormat="1" x14ac:dyDescent="0.2">
      <c r="A150" s="632" t="s">
        <v>1143</v>
      </c>
      <c r="B150" s="619" t="s">
        <v>747</v>
      </c>
      <c r="C150" s="634">
        <v>244</v>
      </c>
      <c r="D150" s="634">
        <v>226</v>
      </c>
      <c r="E150" s="598">
        <f>SUM(E144:E149)</f>
        <v>198295.91999999998</v>
      </c>
      <c r="F150" s="595">
        <f>'Прилож 4 24 (3)'!V150</f>
        <v>0</v>
      </c>
      <c r="G150" s="595">
        <f>'Прилож 4 24 (3)'!W150</f>
        <v>0</v>
      </c>
      <c r="H150" s="595">
        <f>'Прилож 4 24 (3)'!X150</f>
        <v>198295.91999999998</v>
      </c>
      <c r="I150" s="640"/>
      <c r="J150" s="595">
        <f>'Прилож 4 24 (3)'!Z150</f>
        <v>0</v>
      </c>
      <c r="K150" s="595">
        <f>'Прилож 4 24 (3)'!AA150</f>
        <v>0</v>
      </c>
      <c r="L150" s="875">
        <f>'Прилож 4 24 (3)'!AB150</f>
        <v>0</v>
      </c>
      <c r="M150" s="876">
        <f t="shared" si="23"/>
        <v>16430</v>
      </c>
      <c r="N150" s="887"/>
      <c r="O150" s="887"/>
      <c r="P150" s="887">
        <f>SUM(P144:P149)</f>
        <v>16430</v>
      </c>
      <c r="Q150" s="893"/>
      <c r="R150" s="887"/>
      <c r="S150" s="887"/>
      <c r="T150" s="887"/>
      <c r="U150" s="876">
        <f t="shared" si="24"/>
        <v>214725.91999999998</v>
      </c>
      <c r="V150" s="875">
        <f t="shared" si="24"/>
        <v>0</v>
      </c>
      <c r="W150" s="875">
        <f t="shared" si="20"/>
        <v>0</v>
      </c>
      <c r="X150" s="875">
        <f t="shared" si="21"/>
        <v>214725.91999999998</v>
      </c>
      <c r="Y150" s="893"/>
      <c r="Z150" s="875">
        <f t="shared" si="26"/>
        <v>0</v>
      </c>
      <c r="AA150" s="875">
        <f t="shared" si="22"/>
        <v>0</v>
      </c>
      <c r="AB150" s="875">
        <f t="shared" si="22"/>
        <v>0</v>
      </c>
      <c r="AC150" s="886"/>
    </row>
    <row r="151" spans="1:29" ht="31.5" x14ac:dyDescent="0.2">
      <c r="A151" s="618" t="s">
        <v>586</v>
      </c>
      <c r="B151" s="619" t="s">
        <v>729</v>
      </c>
      <c r="C151" s="620">
        <v>244</v>
      </c>
      <c r="D151" s="620">
        <v>226</v>
      </c>
      <c r="E151" s="596">
        <f t="shared" si="25"/>
        <v>53845.919999999998</v>
      </c>
      <c r="F151" s="595">
        <f>'Прилож 4 24 (3)'!V151</f>
        <v>0</v>
      </c>
      <c r="G151" s="595">
        <f>'Прилож 4 24 (3)'!W151</f>
        <v>0</v>
      </c>
      <c r="H151" s="595">
        <f>'Прилож 4 24 (3)'!X151</f>
        <v>53845.919999999998</v>
      </c>
      <c r="I151" s="628"/>
      <c r="J151" s="595">
        <f>'Прилож 4 24 (3)'!Z151</f>
        <v>0</v>
      </c>
      <c r="K151" s="595">
        <f>'Прилож 4 24 (3)'!AA151</f>
        <v>0</v>
      </c>
      <c r="L151" s="875">
        <f>'Прилож 4 24 (3)'!AB151</f>
        <v>0</v>
      </c>
      <c r="M151" s="876">
        <f t="shared" si="23"/>
        <v>0</v>
      </c>
      <c r="N151" s="875"/>
      <c r="O151" s="875"/>
      <c r="P151" s="875"/>
      <c r="Q151" s="877"/>
      <c r="R151" s="875"/>
      <c r="S151" s="875"/>
      <c r="T151" s="875"/>
      <c r="U151" s="876">
        <f t="shared" si="24"/>
        <v>53845.919999999998</v>
      </c>
      <c r="V151" s="875">
        <f t="shared" si="24"/>
        <v>0</v>
      </c>
      <c r="W151" s="875">
        <f t="shared" si="20"/>
        <v>0</v>
      </c>
      <c r="X151" s="875">
        <f t="shared" si="21"/>
        <v>53845.919999999998</v>
      </c>
      <c r="Y151" s="883"/>
      <c r="Z151" s="875">
        <f t="shared" si="26"/>
        <v>0</v>
      </c>
      <c r="AA151" s="875">
        <f t="shared" si="22"/>
        <v>0</v>
      </c>
      <c r="AB151" s="875">
        <f t="shared" si="22"/>
        <v>0</v>
      </c>
      <c r="AC151" s="878"/>
    </row>
    <row r="152" spans="1:29" ht="31.5" x14ac:dyDescent="0.2">
      <c r="A152" s="618" t="s">
        <v>642</v>
      </c>
      <c r="B152" s="619" t="s">
        <v>729</v>
      </c>
      <c r="C152" s="620">
        <v>244</v>
      </c>
      <c r="D152" s="620">
        <v>226</v>
      </c>
      <c r="E152" s="596">
        <f t="shared" si="25"/>
        <v>60720</v>
      </c>
      <c r="F152" s="595">
        <f>'Прилож 4 24 (3)'!V152</f>
        <v>0</v>
      </c>
      <c r="G152" s="595">
        <f>'Прилож 4 24 (3)'!W152</f>
        <v>0</v>
      </c>
      <c r="H152" s="595">
        <f>'Прилож 4 24 (3)'!X152</f>
        <v>60720</v>
      </c>
      <c r="I152" s="628"/>
      <c r="J152" s="595">
        <f>'Прилож 4 24 (3)'!Z152</f>
        <v>0</v>
      </c>
      <c r="K152" s="595">
        <f>'Прилож 4 24 (3)'!AA152</f>
        <v>0</v>
      </c>
      <c r="L152" s="875">
        <f>'Прилож 4 24 (3)'!AB152</f>
        <v>0</v>
      </c>
      <c r="M152" s="876">
        <f t="shared" si="23"/>
        <v>0</v>
      </c>
      <c r="N152" s="875"/>
      <c r="O152" s="875"/>
      <c r="P152" s="875"/>
      <c r="Q152" s="877"/>
      <c r="R152" s="875"/>
      <c r="S152" s="875"/>
      <c r="T152" s="875"/>
      <c r="U152" s="876">
        <f t="shared" si="24"/>
        <v>60720</v>
      </c>
      <c r="V152" s="875">
        <f t="shared" si="24"/>
        <v>0</v>
      </c>
      <c r="W152" s="875">
        <f t="shared" si="20"/>
        <v>0</v>
      </c>
      <c r="X152" s="875">
        <f t="shared" si="21"/>
        <v>60720</v>
      </c>
      <c r="Y152" s="883"/>
      <c r="Z152" s="875">
        <f t="shared" si="26"/>
        <v>0</v>
      </c>
      <c r="AA152" s="875">
        <f t="shared" si="22"/>
        <v>0</v>
      </c>
      <c r="AB152" s="875">
        <f t="shared" si="22"/>
        <v>0</v>
      </c>
      <c r="AC152" s="878"/>
    </row>
    <row r="153" spans="1:29" ht="87.75" customHeight="1" x14ac:dyDescent="0.2">
      <c r="A153" s="618" t="s">
        <v>1244</v>
      </c>
      <c r="B153" s="619" t="s">
        <v>729</v>
      </c>
      <c r="C153" s="620">
        <v>244</v>
      </c>
      <c r="D153" s="620">
        <v>226</v>
      </c>
      <c r="E153" s="596">
        <f t="shared" si="25"/>
        <v>37665</v>
      </c>
      <c r="F153" s="595">
        <f>'Прилож 4 24 (3)'!V153</f>
        <v>0</v>
      </c>
      <c r="G153" s="595">
        <f>'Прилож 4 24 (3)'!W153</f>
        <v>0</v>
      </c>
      <c r="H153" s="595">
        <f>'Прилож 4 24 (3)'!X153</f>
        <v>37665</v>
      </c>
      <c r="I153" s="628"/>
      <c r="J153" s="595">
        <f>'Прилож 4 24 (3)'!Z153</f>
        <v>0</v>
      </c>
      <c r="K153" s="595">
        <f>'Прилож 4 24 (3)'!AA153</f>
        <v>0</v>
      </c>
      <c r="L153" s="875">
        <f>'Прилож 4 24 (3)'!AB153</f>
        <v>0</v>
      </c>
      <c r="M153" s="876">
        <f t="shared" si="23"/>
        <v>0</v>
      </c>
      <c r="N153" s="875"/>
      <c r="O153" s="875"/>
      <c r="P153" s="875"/>
      <c r="Q153" s="877"/>
      <c r="R153" s="875"/>
      <c r="S153" s="875"/>
      <c r="T153" s="875"/>
      <c r="U153" s="876">
        <f t="shared" si="24"/>
        <v>37665</v>
      </c>
      <c r="V153" s="875">
        <f t="shared" si="24"/>
        <v>0</v>
      </c>
      <c r="W153" s="875">
        <f t="shared" si="20"/>
        <v>0</v>
      </c>
      <c r="X153" s="875">
        <f t="shared" si="21"/>
        <v>37665</v>
      </c>
      <c r="Y153" s="883"/>
      <c r="Z153" s="875">
        <f t="shared" si="26"/>
        <v>0</v>
      </c>
      <c r="AA153" s="875">
        <f t="shared" si="22"/>
        <v>0</v>
      </c>
      <c r="AB153" s="875">
        <f t="shared" si="22"/>
        <v>0</v>
      </c>
      <c r="AC153" s="878"/>
    </row>
    <row r="154" spans="1:29" ht="31.5" x14ac:dyDescent="0.2">
      <c r="A154" s="618" t="s">
        <v>752</v>
      </c>
      <c r="B154" s="619" t="s">
        <v>729</v>
      </c>
      <c r="C154" s="620">
        <v>244</v>
      </c>
      <c r="D154" s="620">
        <v>226</v>
      </c>
      <c r="E154" s="596">
        <f t="shared" si="25"/>
        <v>150000</v>
      </c>
      <c r="F154" s="595">
        <f>'Прилож 4 24 (3)'!V154</f>
        <v>0</v>
      </c>
      <c r="G154" s="595">
        <f>'Прилож 4 24 (3)'!W154</f>
        <v>0</v>
      </c>
      <c r="H154" s="595">
        <f>'Прилож 4 24 (3)'!X154</f>
        <v>150000</v>
      </c>
      <c r="I154" s="628"/>
      <c r="J154" s="595">
        <f>'Прилож 4 24 (3)'!Z154</f>
        <v>0</v>
      </c>
      <c r="K154" s="595">
        <f>'Прилож 4 24 (3)'!AA154</f>
        <v>0</v>
      </c>
      <c r="L154" s="875">
        <f>'Прилож 4 24 (3)'!AB154</f>
        <v>0</v>
      </c>
      <c r="M154" s="876">
        <f t="shared" si="23"/>
        <v>0</v>
      </c>
      <c r="N154" s="875"/>
      <c r="O154" s="875"/>
      <c r="P154" s="875"/>
      <c r="Q154" s="877"/>
      <c r="R154" s="875"/>
      <c r="S154" s="875"/>
      <c r="T154" s="875"/>
      <c r="U154" s="876">
        <f t="shared" si="24"/>
        <v>150000</v>
      </c>
      <c r="V154" s="875">
        <f t="shared" si="24"/>
        <v>0</v>
      </c>
      <c r="W154" s="875">
        <f t="shared" si="20"/>
        <v>0</v>
      </c>
      <c r="X154" s="875">
        <f t="shared" si="21"/>
        <v>150000</v>
      </c>
      <c r="Y154" s="883"/>
      <c r="Z154" s="875">
        <f t="shared" si="26"/>
        <v>0</v>
      </c>
      <c r="AA154" s="875">
        <f t="shared" si="22"/>
        <v>0</v>
      </c>
      <c r="AB154" s="875">
        <f t="shared" si="22"/>
        <v>0</v>
      </c>
      <c r="AC154" s="878"/>
    </row>
    <row r="155" spans="1:29" ht="137.25" customHeight="1" x14ac:dyDescent="0.2">
      <c r="A155" s="618" t="s">
        <v>593</v>
      </c>
      <c r="B155" s="619" t="s">
        <v>729</v>
      </c>
      <c r="C155" s="620">
        <v>244</v>
      </c>
      <c r="D155" s="620">
        <v>226</v>
      </c>
      <c r="E155" s="596">
        <f t="shared" si="25"/>
        <v>30000</v>
      </c>
      <c r="F155" s="595">
        <f>'Прилож 4 24 (3)'!V155</f>
        <v>0</v>
      </c>
      <c r="G155" s="595">
        <f>'Прилож 4 24 (3)'!W155</f>
        <v>0</v>
      </c>
      <c r="H155" s="595">
        <f>'Прилож 4 24 (3)'!X155</f>
        <v>30000</v>
      </c>
      <c r="I155" s="628"/>
      <c r="J155" s="595">
        <f>'Прилож 4 24 (3)'!Z155</f>
        <v>0</v>
      </c>
      <c r="K155" s="595">
        <f>'Прилож 4 24 (3)'!AA155</f>
        <v>0</v>
      </c>
      <c r="L155" s="875">
        <f>'Прилож 4 24 (3)'!AB155</f>
        <v>0</v>
      </c>
      <c r="M155" s="876">
        <f t="shared" si="23"/>
        <v>-3280</v>
      </c>
      <c r="N155" s="875"/>
      <c r="O155" s="875"/>
      <c r="P155" s="875">
        <v>-3280</v>
      </c>
      <c r="Q155" s="877"/>
      <c r="R155" s="875"/>
      <c r="S155" s="875"/>
      <c r="T155" s="875"/>
      <c r="U155" s="876">
        <f t="shared" si="24"/>
        <v>26720</v>
      </c>
      <c r="V155" s="875">
        <f t="shared" si="24"/>
        <v>0</v>
      </c>
      <c r="W155" s="875">
        <f t="shared" si="20"/>
        <v>0</v>
      </c>
      <c r="X155" s="875">
        <f t="shared" si="21"/>
        <v>26720</v>
      </c>
      <c r="Y155" s="883"/>
      <c r="Z155" s="875">
        <f t="shared" si="26"/>
        <v>0</v>
      </c>
      <c r="AA155" s="875">
        <f t="shared" si="22"/>
        <v>0</v>
      </c>
      <c r="AB155" s="875">
        <f t="shared" si="22"/>
        <v>0</v>
      </c>
      <c r="AC155" s="878" t="s">
        <v>1426</v>
      </c>
    </row>
    <row r="156" spans="1:29" ht="69" customHeight="1" x14ac:dyDescent="0.2">
      <c r="A156" s="618" t="s">
        <v>914</v>
      </c>
      <c r="B156" s="619" t="s">
        <v>729</v>
      </c>
      <c r="C156" s="620">
        <v>244</v>
      </c>
      <c r="D156" s="620">
        <v>226</v>
      </c>
      <c r="E156" s="596">
        <f t="shared" si="25"/>
        <v>54800</v>
      </c>
      <c r="F156" s="595">
        <f>'Прилож 4 24 (3)'!V156</f>
        <v>0</v>
      </c>
      <c r="G156" s="595">
        <f>'Прилож 4 24 (3)'!W156</f>
        <v>0</v>
      </c>
      <c r="H156" s="595">
        <f>'Прилож 4 24 (3)'!X156</f>
        <v>54800</v>
      </c>
      <c r="I156" s="628"/>
      <c r="J156" s="595">
        <f>'Прилож 4 24 (3)'!Z156</f>
        <v>0</v>
      </c>
      <c r="K156" s="595">
        <f>'Прилож 4 24 (3)'!AA156</f>
        <v>0</v>
      </c>
      <c r="L156" s="875">
        <f>'Прилож 4 24 (3)'!AB156</f>
        <v>0</v>
      </c>
      <c r="M156" s="876">
        <f t="shared" si="23"/>
        <v>0</v>
      </c>
      <c r="N156" s="875"/>
      <c r="O156" s="875"/>
      <c r="P156" s="875"/>
      <c r="Q156" s="877"/>
      <c r="R156" s="875"/>
      <c r="S156" s="875"/>
      <c r="T156" s="875"/>
      <c r="U156" s="876">
        <f t="shared" si="24"/>
        <v>54800</v>
      </c>
      <c r="V156" s="875">
        <f t="shared" si="24"/>
        <v>0</v>
      </c>
      <c r="W156" s="875">
        <f t="shared" si="20"/>
        <v>0</v>
      </c>
      <c r="X156" s="875">
        <f t="shared" si="21"/>
        <v>54800</v>
      </c>
      <c r="Y156" s="883"/>
      <c r="Z156" s="875">
        <f t="shared" si="26"/>
        <v>0</v>
      </c>
      <c r="AA156" s="875">
        <f t="shared" si="22"/>
        <v>0</v>
      </c>
      <c r="AB156" s="875">
        <f t="shared" si="22"/>
        <v>0</v>
      </c>
    </row>
    <row r="157" spans="1:29" ht="60" customHeight="1" x14ac:dyDescent="0.2">
      <c r="A157" s="618" t="s">
        <v>1245</v>
      </c>
      <c r="B157" s="619" t="s">
        <v>729</v>
      </c>
      <c r="C157" s="620">
        <v>244</v>
      </c>
      <c r="D157" s="620">
        <v>226</v>
      </c>
      <c r="E157" s="596">
        <f t="shared" si="25"/>
        <v>7200</v>
      </c>
      <c r="F157" s="595">
        <f>'Прилож 4 24 (3)'!V157</f>
        <v>0</v>
      </c>
      <c r="G157" s="595">
        <f>'Прилож 4 24 (3)'!W157</f>
        <v>0</v>
      </c>
      <c r="H157" s="595">
        <f>'Прилож 4 24 (3)'!X157</f>
        <v>7200</v>
      </c>
      <c r="I157" s="628"/>
      <c r="J157" s="595">
        <f>'Прилож 4 24 (3)'!Z157</f>
        <v>0</v>
      </c>
      <c r="K157" s="595">
        <f>'Прилож 4 24 (3)'!AA157</f>
        <v>0</v>
      </c>
      <c r="L157" s="875">
        <f>'Прилож 4 24 (3)'!AB157</f>
        <v>0</v>
      </c>
      <c r="M157" s="876">
        <f t="shared" si="23"/>
        <v>0</v>
      </c>
      <c r="N157" s="875"/>
      <c r="O157" s="875"/>
      <c r="P157" s="875"/>
      <c r="Q157" s="877"/>
      <c r="R157" s="875"/>
      <c r="S157" s="875"/>
      <c r="T157" s="875"/>
      <c r="U157" s="876">
        <f t="shared" si="24"/>
        <v>7200</v>
      </c>
      <c r="V157" s="875">
        <f t="shared" si="24"/>
        <v>0</v>
      </c>
      <c r="W157" s="875">
        <f t="shared" si="20"/>
        <v>0</v>
      </c>
      <c r="X157" s="875">
        <f t="shared" si="21"/>
        <v>7200</v>
      </c>
      <c r="Y157" s="883"/>
      <c r="Z157" s="875">
        <f t="shared" si="26"/>
        <v>0</v>
      </c>
      <c r="AA157" s="875">
        <f t="shared" si="22"/>
        <v>0</v>
      </c>
      <c r="AB157" s="875">
        <f t="shared" si="22"/>
        <v>0</v>
      </c>
      <c r="AC157" s="878"/>
    </row>
    <row r="158" spans="1:29" ht="36" customHeight="1" x14ac:dyDescent="0.2">
      <c r="A158" s="618" t="s">
        <v>1185</v>
      </c>
      <c r="B158" s="619" t="s">
        <v>729</v>
      </c>
      <c r="C158" s="620">
        <v>244</v>
      </c>
      <c r="D158" s="620">
        <v>226</v>
      </c>
      <c r="E158" s="596">
        <f t="shared" si="25"/>
        <v>9600</v>
      </c>
      <c r="F158" s="595">
        <f>'Прилож 4 24 (3)'!V158</f>
        <v>0</v>
      </c>
      <c r="G158" s="595">
        <f>'Прилож 4 24 (3)'!W158</f>
        <v>0</v>
      </c>
      <c r="H158" s="595">
        <f>'Прилож 4 24 (3)'!X158</f>
        <v>9600</v>
      </c>
      <c r="I158" s="621"/>
      <c r="J158" s="595">
        <f>'Прилож 4 24 (3)'!Z158</f>
        <v>0</v>
      </c>
      <c r="K158" s="595">
        <f>'Прилож 4 24 (3)'!AA158</f>
        <v>0</v>
      </c>
      <c r="L158" s="875">
        <f>'Прилож 4 24 (3)'!AB158</f>
        <v>0</v>
      </c>
      <c r="M158" s="876">
        <f t="shared" si="23"/>
        <v>0</v>
      </c>
      <c r="N158" s="875"/>
      <c r="O158" s="875"/>
      <c r="P158" s="875"/>
      <c r="Q158" s="877"/>
      <c r="R158" s="875"/>
      <c r="S158" s="875"/>
      <c r="T158" s="875"/>
      <c r="U158" s="876">
        <f t="shared" si="24"/>
        <v>9600</v>
      </c>
      <c r="V158" s="875">
        <f t="shared" si="24"/>
        <v>0</v>
      </c>
      <c r="W158" s="875">
        <f t="shared" ref="W158:W224" si="27">O158+G158</f>
        <v>0</v>
      </c>
      <c r="X158" s="875">
        <f t="shared" ref="X158:X224" si="28">P158+H158</f>
        <v>9600</v>
      </c>
      <c r="Y158" s="877"/>
      <c r="Z158" s="875">
        <f t="shared" si="26"/>
        <v>0</v>
      </c>
      <c r="AA158" s="875">
        <f t="shared" ref="AA158:AB224" si="29">S158+K158</f>
        <v>0</v>
      </c>
      <c r="AB158" s="875">
        <f t="shared" si="29"/>
        <v>0</v>
      </c>
      <c r="AC158" s="878"/>
    </row>
    <row r="159" spans="1:29" x14ac:dyDescent="0.2">
      <c r="A159" s="618" t="s">
        <v>1194</v>
      </c>
      <c r="B159" s="619" t="s">
        <v>729</v>
      </c>
      <c r="C159" s="620">
        <v>244</v>
      </c>
      <c r="D159" s="620">
        <v>226</v>
      </c>
      <c r="E159" s="596">
        <f t="shared" si="25"/>
        <v>13500</v>
      </c>
      <c r="F159" s="595">
        <f>'Прилож 4 24 (3)'!V159</f>
        <v>0</v>
      </c>
      <c r="G159" s="595">
        <f>'Прилож 4 24 (3)'!W159</f>
        <v>0</v>
      </c>
      <c r="H159" s="595">
        <f>'Прилож 4 24 (3)'!X159</f>
        <v>13500</v>
      </c>
      <c r="I159" s="621"/>
      <c r="J159" s="595">
        <f>'Прилож 4 24 (3)'!Z159</f>
        <v>0</v>
      </c>
      <c r="K159" s="595">
        <f>'Прилож 4 24 (3)'!AA159</f>
        <v>0</v>
      </c>
      <c r="L159" s="875">
        <f>'Прилож 4 24 (3)'!AB159</f>
        <v>0</v>
      </c>
      <c r="M159" s="876">
        <f t="shared" ref="M159:M225" si="30">N159+P159+R159+S159+T159+O159</f>
        <v>0</v>
      </c>
      <c r="N159" s="875"/>
      <c r="O159" s="875"/>
      <c r="P159" s="875"/>
      <c r="Q159" s="877"/>
      <c r="R159" s="875"/>
      <c r="S159" s="875"/>
      <c r="T159" s="875"/>
      <c r="U159" s="876">
        <f t="shared" ref="U159:V225" si="31">E159+M159</f>
        <v>13500</v>
      </c>
      <c r="V159" s="875">
        <f t="shared" si="31"/>
        <v>0</v>
      </c>
      <c r="W159" s="875">
        <f t="shared" si="27"/>
        <v>0</v>
      </c>
      <c r="X159" s="875">
        <f t="shared" si="28"/>
        <v>13500</v>
      </c>
      <c r="Y159" s="877"/>
      <c r="Z159" s="875">
        <f t="shared" si="26"/>
        <v>0</v>
      </c>
      <c r="AA159" s="875">
        <f t="shared" si="29"/>
        <v>0</v>
      </c>
      <c r="AB159" s="875">
        <f t="shared" si="29"/>
        <v>0</v>
      </c>
      <c r="AC159" s="878"/>
    </row>
    <row r="160" spans="1:29" ht="47.25" x14ac:dyDescent="0.2">
      <c r="A160" s="618" t="s">
        <v>1223</v>
      </c>
      <c r="B160" s="619" t="s">
        <v>729</v>
      </c>
      <c r="C160" s="620">
        <v>244</v>
      </c>
      <c r="D160" s="620">
        <v>226</v>
      </c>
      <c r="E160" s="596">
        <f t="shared" si="25"/>
        <v>14900</v>
      </c>
      <c r="F160" s="595">
        <f>'Прилож 4 24 (3)'!V160</f>
        <v>0</v>
      </c>
      <c r="G160" s="595">
        <f>'Прилож 4 24 (3)'!W160</f>
        <v>0</v>
      </c>
      <c r="H160" s="595">
        <f>'Прилож 4 24 (3)'!X160</f>
        <v>14900</v>
      </c>
      <c r="I160" s="628"/>
      <c r="J160" s="595">
        <f>'Прилож 4 24 (3)'!Z160</f>
        <v>0</v>
      </c>
      <c r="K160" s="595">
        <f>'Прилож 4 24 (3)'!AA160</f>
        <v>0</v>
      </c>
      <c r="L160" s="875">
        <f>'Прилож 4 24 (3)'!AB160</f>
        <v>0</v>
      </c>
      <c r="M160" s="876">
        <f t="shared" si="30"/>
        <v>0</v>
      </c>
      <c r="N160" s="875"/>
      <c r="O160" s="875"/>
      <c r="P160" s="875"/>
      <c r="Q160" s="877"/>
      <c r="R160" s="875"/>
      <c r="S160" s="875"/>
      <c r="T160" s="875"/>
      <c r="U160" s="876">
        <f t="shared" si="31"/>
        <v>14900</v>
      </c>
      <c r="V160" s="875">
        <f t="shared" si="31"/>
        <v>0</v>
      </c>
      <c r="W160" s="875">
        <f t="shared" si="27"/>
        <v>0</v>
      </c>
      <c r="X160" s="875">
        <f t="shared" si="28"/>
        <v>14900</v>
      </c>
      <c r="Y160" s="883"/>
      <c r="Z160" s="875">
        <f t="shared" si="26"/>
        <v>0</v>
      </c>
      <c r="AA160" s="875">
        <f t="shared" si="29"/>
        <v>0</v>
      </c>
      <c r="AB160" s="875">
        <f t="shared" si="29"/>
        <v>0</v>
      </c>
      <c r="AC160" s="878"/>
    </row>
    <row r="161" spans="1:30" ht="47.25" x14ac:dyDescent="0.2">
      <c r="A161" s="618" t="s">
        <v>1289</v>
      </c>
      <c r="B161" s="619" t="s">
        <v>729</v>
      </c>
      <c r="C161" s="620">
        <v>244</v>
      </c>
      <c r="D161" s="620">
        <v>226</v>
      </c>
      <c r="E161" s="596">
        <f t="shared" si="25"/>
        <v>11320</v>
      </c>
      <c r="F161" s="595">
        <f>'Прилож 4 24 (3)'!V161</f>
        <v>0</v>
      </c>
      <c r="G161" s="595">
        <f>'Прилож 4 24 (3)'!W161</f>
        <v>0</v>
      </c>
      <c r="H161" s="595">
        <f>'Прилож 4 24 (3)'!X161</f>
        <v>11320</v>
      </c>
      <c r="I161" s="628"/>
      <c r="J161" s="595">
        <f>'Прилож 4 24 (3)'!Z161</f>
        <v>0</v>
      </c>
      <c r="K161" s="595">
        <f>'Прилож 4 24 (3)'!AA161</f>
        <v>0</v>
      </c>
      <c r="L161" s="875">
        <f>'Прилож 4 24 (3)'!AB161</f>
        <v>0</v>
      </c>
      <c r="M161" s="876">
        <f t="shared" si="30"/>
        <v>0</v>
      </c>
      <c r="N161" s="875"/>
      <c r="O161" s="875"/>
      <c r="P161" s="875"/>
      <c r="Q161" s="877"/>
      <c r="R161" s="875"/>
      <c r="S161" s="875"/>
      <c r="T161" s="875"/>
      <c r="U161" s="876">
        <f t="shared" si="31"/>
        <v>11320</v>
      </c>
      <c r="V161" s="875">
        <f t="shared" si="31"/>
        <v>0</v>
      </c>
      <c r="W161" s="875">
        <f t="shared" si="27"/>
        <v>0</v>
      </c>
      <c r="X161" s="875">
        <f t="shared" si="28"/>
        <v>11320</v>
      </c>
      <c r="Y161" s="883"/>
      <c r="Z161" s="875">
        <f t="shared" si="26"/>
        <v>0</v>
      </c>
      <c r="AA161" s="875">
        <f t="shared" si="29"/>
        <v>0</v>
      </c>
      <c r="AB161" s="875">
        <f t="shared" si="29"/>
        <v>0</v>
      </c>
      <c r="AC161" s="878"/>
    </row>
    <row r="162" spans="1:30" x14ac:dyDescent="0.2">
      <c r="A162" s="618" t="s">
        <v>1313</v>
      </c>
      <c r="B162" s="619" t="s">
        <v>729</v>
      </c>
      <c r="C162" s="620">
        <v>244</v>
      </c>
      <c r="D162" s="620">
        <v>226</v>
      </c>
      <c r="E162" s="596">
        <f t="shared" si="25"/>
        <v>163101.6</v>
      </c>
      <c r="F162" s="595">
        <f>'Прилож 4 24 (3)'!V162</f>
        <v>0</v>
      </c>
      <c r="G162" s="595">
        <f>'Прилож 4 24 (3)'!W162</f>
        <v>0</v>
      </c>
      <c r="H162" s="595">
        <f>'Прилож 4 24 (3)'!X162</f>
        <v>0</v>
      </c>
      <c r="I162" s="582" t="s">
        <v>1314</v>
      </c>
      <c r="J162" s="595">
        <f>'Прилож 4 24 (3)'!Z162</f>
        <v>0</v>
      </c>
      <c r="K162" s="595">
        <f>'Прилож 4 24 (3)'!AA162</f>
        <v>163101.6</v>
      </c>
      <c r="L162" s="875">
        <f>'Прилож 4 24 (3)'!AB162</f>
        <v>0</v>
      </c>
      <c r="M162" s="876">
        <f t="shared" si="30"/>
        <v>0</v>
      </c>
      <c r="N162" s="875"/>
      <c r="O162" s="875"/>
      <c r="P162" s="875"/>
      <c r="Q162" s="873"/>
      <c r="R162" s="875"/>
      <c r="S162" s="875"/>
      <c r="T162" s="875"/>
      <c r="U162" s="876">
        <f t="shared" si="31"/>
        <v>163101.6</v>
      </c>
      <c r="V162" s="875">
        <f t="shared" si="31"/>
        <v>0</v>
      </c>
      <c r="W162" s="875">
        <f t="shared" si="27"/>
        <v>0</v>
      </c>
      <c r="X162" s="875">
        <f t="shared" si="28"/>
        <v>0</v>
      </c>
      <c r="Y162" s="873" t="s">
        <v>1314</v>
      </c>
      <c r="Z162" s="875">
        <f t="shared" si="26"/>
        <v>0</v>
      </c>
      <c r="AA162" s="875">
        <f t="shared" si="29"/>
        <v>163101.6</v>
      </c>
      <c r="AB162" s="875">
        <f t="shared" si="29"/>
        <v>0</v>
      </c>
      <c r="AC162" s="878"/>
    </row>
    <row r="163" spans="1:30" ht="31.5" x14ac:dyDescent="0.2">
      <c r="A163" s="618" t="s">
        <v>1318</v>
      </c>
      <c r="B163" s="619" t="s">
        <v>729</v>
      </c>
      <c r="C163" s="620">
        <v>244</v>
      </c>
      <c r="D163" s="620">
        <v>226</v>
      </c>
      <c r="E163" s="596">
        <f t="shared" si="25"/>
        <v>252769.2</v>
      </c>
      <c r="F163" s="595">
        <f>'Прилож 4 24 (3)'!V163</f>
        <v>0</v>
      </c>
      <c r="G163" s="595">
        <f>'Прилож 4 24 (3)'!W163</f>
        <v>0</v>
      </c>
      <c r="H163" s="595">
        <f>'Прилож 4 24 (3)'!X163</f>
        <v>0</v>
      </c>
      <c r="I163" s="582" t="s">
        <v>1314</v>
      </c>
      <c r="J163" s="595">
        <f>'Прилож 4 24 (3)'!Z163</f>
        <v>0</v>
      </c>
      <c r="K163" s="595">
        <f>'Прилож 4 24 (3)'!AA163</f>
        <v>252769.2</v>
      </c>
      <c r="L163" s="875">
        <f>'Прилож 4 24 (3)'!AB163</f>
        <v>0</v>
      </c>
      <c r="M163" s="876">
        <f t="shared" si="30"/>
        <v>0</v>
      </c>
      <c r="N163" s="875"/>
      <c r="O163" s="875"/>
      <c r="P163" s="875"/>
      <c r="Q163" s="873"/>
      <c r="R163" s="875"/>
      <c r="S163" s="875"/>
      <c r="T163" s="875"/>
      <c r="U163" s="876">
        <f t="shared" si="31"/>
        <v>252769.2</v>
      </c>
      <c r="V163" s="875">
        <f t="shared" si="31"/>
        <v>0</v>
      </c>
      <c r="W163" s="875">
        <f t="shared" si="27"/>
        <v>0</v>
      </c>
      <c r="X163" s="875">
        <f t="shared" si="28"/>
        <v>0</v>
      </c>
      <c r="Y163" s="873" t="s">
        <v>1314</v>
      </c>
      <c r="Z163" s="875">
        <f t="shared" si="26"/>
        <v>0</v>
      </c>
      <c r="AA163" s="875">
        <f t="shared" si="29"/>
        <v>252769.2</v>
      </c>
      <c r="AB163" s="875">
        <f t="shared" si="29"/>
        <v>0</v>
      </c>
      <c r="AC163" s="878"/>
    </row>
    <row r="164" spans="1:30" ht="63.75" customHeight="1" x14ac:dyDescent="0.2">
      <c r="A164" s="618" t="s">
        <v>1424</v>
      </c>
      <c r="B164" s="619" t="s">
        <v>729</v>
      </c>
      <c r="C164" s="620">
        <v>244</v>
      </c>
      <c r="D164" s="620">
        <v>226</v>
      </c>
      <c r="E164" s="596"/>
      <c r="F164" s="595"/>
      <c r="G164" s="595"/>
      <c r="H164" s="595"/>
      <c r="I164" s="582"/>
      <c r="J164" s="595"/>
      <c r="K164" s="595"/>
      <c r="L164" s="875"/>
      <c r="M164" s="876">
        <f t="shared" si="30"/>
        <v>43822.35</v>
      </c>
      <c r="N164" s="875">
        <v>43822.35</v>
      </c>
      <c r="O164" s="875"/>
      <c r="P164" s="875"/>
      <c r="Q164" s="873"/>
      <c r="R164" s="875"/>
      <c r="S164" s="875"/>
      <c r="T164" s="875"/>
      <c r="U164" s="876">
        <f t="shared" si="31"/>
        <v>43822.35</v>
      </c>
      <c r="V164" s="875">
        <f t="shared" si="31"/>
        <v>43822.35</v>
      </c>
      <c r="W164" s="875">
        <f t="shared" si="27"/>
        <v>0</v>
      </c>
      <c r="X164" s="875">
        <f t="shared" si="28"/>
        <v>0</v>
      </c>
      <c r="Y164" s="873"/>
      <c r="Z164" s="875">
        <f t="shared" si="26"/>
        <v>0</v>
      </c>
      <c r="AA164" s="875">
        <f t="shared" si="29"/>
        <v>0</v>
      </c>
      <c r="AB164" s="875">
        <f t="shared" si="29"/>
        <v>0</v>
      </c>
      <c r="AC164" s="878" t="s">
        <v>1425</v>
      </c>
    </row>
    <row r="165" spans="1:30" ht="57" customHeight="1" x14ac:dyDescent="0.2">
      <c r="A165" s="618" t="s">
        <v>1393</v>
      </c>
      <c r="B165" s="619" t="s">
        <v>729</v>
      </c>
      <c r="C165" s="620">
        <v>244</v>
      </c>
      <c r="D165" s="620">
        <v>226</v>
      </c>
      <c r="E165" s="596"/>
      <c r="F165" s="595"/>
      <c r="G165" s="595"/>
      <c r="H165" s="595"/>
      <c r="I165" s="582"/>
      <c r="J165" s="595"/>
      <c r="K165" s="595"/>
      <c r="L165" s="875"/>
      <c r="M165" s="876">
        <f t="shared" si="30"/>
        <v>35920</v>
      </c>
      <c r="N165" s="875"/>
      <c r="O165" s="875"/>
      <c r="P165" s="875">
        <v>35920</v>
      </c>
      <c r="Q165" s="873"/>
      <c r="R165" s="875"/>
      <c r="S165" s="875"/>
      <c r="T165" s="875"/>
      <c r="U165" s="876">
        <f t="shared" si="31"/>
        <v>35920</v>
      </c>
      <c r="V165" s="875">
        <f t="shared" si="31"/>
        <v>0</v>
      </c>
      <c r="W165" s="875">
        <f t="shared" si="27"/>
        <v>0</v>
      </c>
      <c r="X165" s="875">
        <f t="shared" si="28"/>
        <v>35920</v>
      </c>
      <c r="Y165" s="873"/>
      <c r="Z165" s="875">
        <f t="shared" si="26"/>
        <v>0</v>
      </c>
      <c r="AA165" s="875">
        <f t="shared" si="29"/>
        <v>0</v>
      </c>
      <c r="AB165" s="875">
        <f t="shared" si="29"/>
        <v>0</v>
      </c>
      <c r="AC165" s="878" t="s">
        <v>1414</v>
      </c>
    </row>
    <row r="166" spans="1:30" s="637" customFormat="1" x14ac:dyDescent="0.2">
      <c r="A166" s="632" t="s">
        <v>1143</v>
      </c>
      <c r="B166" s="633" t="s">
        <v>729</v>
      </c>
      <c r="C166" s="634">
        <v>244</v>
      </c>
      <c r="D166" s="634">
        <v>226</v>
      </c>
      <c r="E166" s="597">
        <f>SUM(E151:E165)</f>
        <v>859421.72</v>
      </c>
      <c r="F166" s="595">
        <f>'Прилож 4 24 (3)'!V164</f>
        <v>0</v>
      </c>
      <c r="G166" s="595">
        <f>'Прилож 4 24 (3)'!W164</f>
        <v>0</v>
      </c>
      <c r="H166" s="595">
        <f>'Прилож 4 24 (3)'!X164</f>
        <v>443550.92</v>
      </c>
      <c r="I166" s="635"/>
      <c r="J166" s="595">
        <f>'Прилож 4 24 (3)'!Z164</f>
        <v>0</v>
      </c>
      <c r="K166" s="595">
        <f>'Прилож 4 24 (3)'!AA164</f>
        <v>415870.80000000005</v>
      </c>
      <c r="L166" s="875">
        <f>'Прилож 4 24 (3)'!AB164</f>
        <v>0</v>
      </c>
      <c r="M166" s="876">
        <f t="shared" si="30"/>
        <v>76462.350000000006</v>
      </c>
      <c r="N166" s="884">
        <f>SUM(N151:N165)</f>
        <v>43822.35</v>
      </c>
      <c r="O166" s="884"/>
      <c r="P166" s="884">
        <f>SUM(P151:P165)</f>
        <v>32640</v>
      </c>
      <c r="Q166" s="885"/>
      <c r="R166" s="884"/>
      <c r="S166" s="884"/>
      <c r="T166" s="884"/>
      <c r="U166" s="876">
        <f t="shared" si="31"/>
        <v>935884.07</v>
      </c>
      <c r="V166" s="875">
        <f t="shared" si="31"/>
        <v>43822.35</v>
      </c>
      <c r="W166" s="875">
        <f t="shared" si="27"/>
        <v>0</v>
      </c>
      <c r="X166" s="875">
        <f t="shared" si="28"/>
        <v>476190.92</v>
      </c>
      <c r="Y166" s="885"/>
      <c r="Z166" s="875">
        <f t="shared" si="26"/>
        <v>0</v>
      </c>
      <c r="AA166" s="875">
        <f t="shared" si="29"/>
        <v>415870.80000000005</v>
      </c>
      <c r="AB166" s="875">
        <f t="shared" si="29"/>
        <v>0</v>
      </c>
      <c r="AC166" s="886"/>
      <c r="AD166" s="819"/>
    </row>
    <row r="167" spans="1:30" x14ac:dyDescent="0.2">
      <c r="A167" s="618" t="s">
        <v>753</v>
      </c>
      <c r="B167" s="619" t="s">
        <v>691</v>
      </c>
      <c r="C167" s="620">
        <v>244</v>
      </c>
      <c r="D167" s="620">
        <v>226</v>
      </c>
      <c r="E167" s="596">
        <f t="shared" si="25"/>
        <v>190259.99999999997</v>
      </c>
      <c r="F167" s="595">
        <f>'Прилож 4 24 (3)'!V165</f>
        <v>32288.77</v>
      </c>
      <c r="G167" s="595">
        <f>'Прилож 4 24 (3)'!W165</f>
        <v>0</v>
      </c>
      <c r="H167" s="595">
        <f>'Прилож 4 24 (3)'!X165</f>
        <v>109128.84</v>
      </c>
      <c r="I167" s="628"/>
      <c r="J167" s="595">
        <f>'Прилож 4 24 (3)'!Z165</f>
        <v>0</v>
      </c>
      <c r="K167" s="595">
        <f>'Прилож 4 24 (3)'!AA165</f>
        <v>0</v>
      </c>
      <c r="L167" s="875">
        <f>'Прилож 4 24 (3)'!AB165</f>
        <v>48842.39</v>
      </c>
      <c r="M167" s="876">
        <f t="shared" si="30"/>
        <v>0</v>
      </c>
      <c r="N167" s="875"/>
      <c r="O167" s="875"/>
      <c r="P167" s="875"/>
      <c r="Q167" s="877"/>
      <c r="R167" s="875"/>
      <c r="S167" s="875"/>
      <c r="T167" s="875"/>
      <c r="U167" s="876">
        <f t="shared" si="31"/>
        <v>190259.99999999997</v>
      </c>
      <c r="V167" s="875">
        <f t="shared" si="31"/>
        <v>32288.77</v>
      </c>
      <c r="W167" s="875">
        <f t="shared" si="27"/>
        <v>0</v>
      </c>
      <c r="X167" s="875">
        <f t="shared" si="28"/>
        <v>109128.84</v>
      </c>
      <c r="Y167" s="883"/>
      <c r="Z167" s="875">
        <f t="shared" si="26"/>
        <v>0</v>
      </c>
      <c r="AA167" s="875">
        <f t="shared" si="29"/>
        <v>0</v>
      </c>
      <c r="AB167" s="875">
        <f t="shared" si="29"/>
        <v>48842.39</v>
      </c>
      <c r="AC167" s="878"/>
    </row>
    <row r="168" spans="1:30" x14ac:dyDescent="0.2">
      <c r="A168" s="618" t="s">
        <v>754</v>
      </c>
      <c r="B168" s="619" t="s">
        <v>691</v>
      </c>
      <c r="C168" s="620">
        <v>244</v>
      </c>
      <c r="D168" s="620">
        <v>226</v>
      </c>
      <c r="E168" s="596">
        <f t="shared" si="25"/>
        <v>74560.5</v>
      </c>
      <c r="F168" s="595">
        <f>'Прилож 4 24 (3)'!V166</f>
        <v>0</v>
      </c>
      <c r="G168" s="595">
        <f>'Прилож 4 24 (3)'!W166</f>
        <v>0</v>
      </c>
      <c r="H168" s="595">
        <f>'Прилож 4 24 (3)'!X166</f>
        <v>63301.25</v>
      </c>
      <c r="I168" s="628"/>
      <c r="J168" s="595">
        <f>'Прилож 4 24 (3)'!Z166</f>
        <v>0</v>
      </c>
      <c r="K168" s="595">
        <f>'Прилож 4 24 (3)'!AA166</f>
        <v>0</v>
      </c>
      <c r="L168" s="875">
        <f>'Прилож 4 24 (3)'!AB166</f>
        <v>11259.25</v>
      </c>
      <c r="M168" s="876">
        <f t="shared" si="30"/>
        <v>0</v>
      </c>
      <c r="N168" s="875"/>
      <c r="O168" s="875"/>
      <c r="P168" s="875"/>
      <c r="Q168" s="877"/>
      <c r="R168" s="875"/>
      <c r="S168" s="875"/>
      <c r="T168" s="875"/>
      <c r="U168" s="876">
        <f t="shared" si="31"/>
        <v>74560.5</v>
      </c>
      <c r="V168" s="875">
        <f t="shared" si="31"/>
        <v>0</v>
      </c>
      <c r="W168" s="875">
        <f t="shared" si="27"/>
        <v>0</v>
      </c>
      <c r="X168" s="875">
        <f t="shared" si="28"/>
        <v>63301.25</v>
      </c>
      <c r="Y168" s="883"/>
      <c r="Z168" s="875">
        <f t="shared" si="26"/>
        <v>0</v>
      </c>
      <c r="AA168" s="875">
        <f t="shared" si="29"/>
        <v>0</v>
      </c>
      <c r="AB168" s="875">
        <f t="shared" si="29"/>
        <v>11259.25</v>
      </c>
      <c r="AC168" s="878"/>
    </row>
    <row r="169" spans="1:30" ht="73.5" customHeight="1" x14ac:dyDescent="0.2">
      <c r="A169" s="618" t="s">
        <v>712</v>
      </c>
      <c r="B169" s="619" t="s">
        <v>691</v>
      </c>
      <c r="C169" s="620">
        <v>244</v>
      </c>
      <c r="D169" s="620">
        <v>226</v>
      </c>
      <c r="E169" s="596">
        <f t="shared" si="25"/>
        <v>35305.199999999997</v>
      </c>
      <c r="F169" s="595">
        <f>'Прилож 4 24 (3)'!V167</f>
        <v>0</v>
      </c>
      <c r="G169" s="595">
        <f>'Прилож 4 24 (3)'!W167</f>
        <v>0</v>
      </c>
      <c r="H169" s="595">
        <f>'Прилож 4 24 (3)'!X167</f>
        <v>35305.199999999997</v>
      </c>
      <c r="I169" s="628"/>
      <c r="J169" s="595">
        <f>'Прилож 4 24 (3)'!Z167</f>
        <v>0</v>
      </c>
      <c r="K169" s="595">
        <f>'Прилож 4 24 (3)'!AA167</f>
        <v>0</v>
      </c>
      <c r="L169" s="875">
        <f>'Прилож 4 24 (3)'!AB167</f>
        <v>0</v>
      </c>
      <c r="M169" s="876">
        <f t="shared" si="30"/>
        <v>-5339.25</v>
      </c>
      <c r="N169" s="875"/>
      <c r="O169" s="875"/>
      <c r="P169" s="875">
        <v>-6766.2</v>
      </c>
      <c r="Q169" s="877"/>
      <c r="R169" s="875"/>
      <c r="S169" s="875"/>
      <c r="T169" s="875">
        <v>1426.95</v>
      </c>
      <c r="U169" s="876">
        <f t="shared" si="31"/>
        <v>29965.949999999997</v>
      </c>
      <c r="V169" s="875">
        <f t="shared" si="31"/>
        <v>0</v>
      </c>
      <c r="W169" s="875">
        <f t="shared" si="27"/>
        <v>0</v>
      </c>
      <c r="X169" s="875">
        <f t="shared" si="28"/>
        <v>28538.999999999996</v>
      </c>
      <c r="Y169" s="883"/>
      <c r="Z169" s="875">
        <f t="shared" si="26"/>
        <v>0</v>
      </c>
      <c r="AA169" s="875">
        <f t="shared" si="29"/>
        <v>0</v>
      </c>
      <c r="AB169" s="875">
        <f t="shared" si="29"/>
        <v>1426.95</v>
      </c>
      <c r="AC169" s="878" t="s">
        <v>284</v>
      </c>
    </row>
    <row r="170" spans="1:30" x14ac:dyDescent="0.2">
      <c r="A170" s="618" t="s">
        <v>755</v>
      </c>
      <c r="B170" s="619" t="s">
        <v>691</v>
      </c>
      <c r="C170" s="620">
        <v>244</v>
      </c>
      <c r="D170" s="620">
        <v>226</v>
      </c>
      <c r="E170" s="596">
        <f t="shared" si="25"/>
        <v>9002.7000000000007</v>
      </c>
      <c r="F170" s="595">
        <f>'Прилож 4 24 (3)'!V168</f>
        <v>0</v>
      </c>
      <c r="G170" s="595">
        <f>'Прилож 4 24 (3)'!W168</f>
        <v>0</v>
      </c>
      <c r="H170" s="595">
        <f>'Прилож 4 24 (3)'!X168</f>
        <v>7643.22</v>
      </c>
      <c r="I170" s="628"/>
      <c r="J170" s="595">
        <f>'Прилож 4 24 (3)'!Z168</f>
        <v>0</v>
      </c>
      <c r="K170" s="595">
        <f>'Прилож 4 24 (3)'!AA168</f>
        <v>0</v>
      </c>
      <c r="L170" s="875">
        <f>'Прилож 4 24 (3)'!AB168</f>
        <v>1359.48</v>
      </c>
      <c r="M170" s="876">
        <f t="shared" si="30"/>
        <v>-9002.7000000000007</v>
      </c>
      <c r="N170" s="875"/>
      <c r="O170" s="875"/>
      <c r="P170" s="875">
        <v>-7643.22</v>
      </c>
      <c r="Q170" s="877"/>
      <c r="R170" s="875"/>
      <c r="S170" s="875"/>
      <c r="T170" s="875">
        <v>-1359.48</v>
      </c>
      <c r="U170" s="876">
        <f t="shared" si="31"/>
        <v>0</v>
      </c>
      <c r="V170" s="875">
        <f t="shared" si="31"/>
        <v>0</v>
      </c>
      <c r="W170" s="875">
        <f t="shared" si="27"/>
        <v>0</v>
      </c>
      <c r="X170" s="875">
        <f t="shared" si="28"/>
        <v>0</v>
      </c>
      <c r="Y170" s="883"/>
      <c r="Z170" s="875">
        <f t="shared" si="26"/>
        <v>0</v>
      </c>
      <c r="AA170" s="875">
        <f t="shared" si="29"/>
        <v>0</v>
      </c>
      <c r="AB170" s="875">
        <f t="shared" si="29"/>
        <v>0</v>
      </c>
      <c r="AC170" s="878" t="s">
        <v>1350</v>
      </c>
    </row>
    <row r="171" spans="1:30" ht="55.5" customHeight="1" x14ac:dyDescent="0.2">
      <c r="A171" s="618" t="s">
        <v>756</v>
      </c>
      <c r="B171" s="619" t="s">
        <v>691</v>
      </c>
      <c r="C171" s="620">
        <v>244</v>
      </c>
      <c r="D171" s="620">
        <v>226</v>
      </c>
      <c r="E171" s="596">
        <f t="shared" ref="E171:E233" si="32">L171+K171+J171+H171+G171+F171</f>
        <v>19139.400000000001</v>
      </c>
      <c r="F171" s="595">
        <f>'Прилож 4 24 (3)'!V169</f>
        <v>0</v>
      </c>
      <c r="G171" s="595">
        <f>'Прилож 4 24 (3)'!W169</f>
        <v>0</v>
      </c>
      <c r="H171" s="595">
        <f>'Прилож 4 24 (3)'!X169</f>
        <v>16249.23</v>
      </c>
      <c r="I171" s="628"/>
      <c r="J171" s="595">
        <f>'Прилож 4 24 (3)'!Z169</f>
        <v>0</v>
      </c>
      <c r="K171" s="595">
        <f>'Прилож 4 24 (3)'!AA169</f>
        <v>0</v>
      </c>
      <c r="L171" s="875">
        <f>'Прилож 4 24 (3)'!AB169</f>
        <v>2890.17</v>
      </c>
      <c r="M171" s="876">
        <f t="shared" si="30"/>
        <v>10245.52</v>
      </c>
      <c r="N171" s="875"/>
      <c r="O171" s="875"/>
      <c r="P171" s="875">
        <v>8886.0400000000009</v>
      </c>
      <c r="Q171" s="877"/>
      <c r="R171" s="875"/>
      <c r="S171" s="875"/>
      <c r="T171" s="875">
        <v>1359.48</v>
      </c>
      <c r="U171" s="876">
        <f t="shared" si="31"/>
        <v>29384.920000000002</v>
      </c>
      <c r="V171" s="875">
        <f t="shared" si="31"/>
        <v>0</v>
      </c>
      <c r="W171" s="875">
        <f t="shared" si="27"/>
        <v>0</v>
      </c>
      <c r="X171" s="875">
        <f t="shared" si="28"/>
        <v>25135.27</v>
      </c>
      <c r="Y171" s="883"/>
      <c r="Z171" s="875">
        <f t="shared" si="26"/>
        <v>0</v>
      </c>
      <c r="AA171" s="875">
        <f t="shared" si="29"/>
        <v>0</v>
      </c>
      <c r="AB171" s="875">
        <f t="shared" si="29"/>
        <v>4249.6499999999996</v>
      </c>
      <c r="AC171" s="878" t="s">
        <v>1354</v>
      </c>
    </row>
    <row r="172" spans="1:30" x14ac:dyDescent="0.2">
      <c r="A172" s="618" t="s">
        <v>706</v>
      </c>
      <c r="B172" s="619" t="s">
        <v>691</v>
      </c>
      <c r="C172" s="620">
        <v>244</v>
      </c>
      <c r="D172" s="620">
        <v>226</v>
      </c>
      <c r="E172" s="596">
        <f t="shared" si="32"/>
        <v>926.1</v>
      </c>
      <c r="F172" s="595">
        <f>'Прилож 4 24 (3)'!V170</f>
        <v>0</v>
      </c>
      <c r="G172" s="595">
        <f>'Прилож 4 24 (3)'!W170</f>
        <v>0</v>
      </c>
      <c r="H172" s="595">
        <f>'Прилож 4 24 (3)'!X170</f>
        <v>786.25</v>
      </c>
      <c r="I172" s="628"/>
      <c r="J172" s="595">
        <f>'Прилож 4 24 (3)'!Z170</f>
        <v>0</v>
      </c>
      <c r="K172" s="595">
        <f>'Прилож 4 24 (3)'!AA170</f>
        <v>0</v>
      </c>
      <c r="L172" s="875">
        <f>'Прилож 4 24 (3)'!AB170</f>
        <v>139.85</v>
      </c>
      <c r="M172" s="876">
        <f t="shared" si="30"/>
        <v>-926.1</v>
      </c>
      <c r="N172" s="875"/>
      <c r="O172" s="875"/>
      <c r="P172" s="875">
        <v>-786.25</v>
      </c>
      <c r="Q172" s="877"/>
      <c r="R172" s="875"/>
      <c r="S172" s="875"/>
      <c r="T172" s="875">
        <v>-139.85</v>
      </c>
      <c r="U172" s="876">
        <f t="shared" si="31"/>
        <v>0</v>
      </c>
      <c r="V172" s="875">
        <f t="shared" si="31"/>
        <v>0</v>
      </c>
      <c r="W172" s="875">
        <f t="shared" si="27"/>
        <v>0</v>
      </c>
      <c r="X172" s="875">
        <f t="shared" si="28"/>
        <v>0</v>
      </c>
      <c r="Y172" s="883"/>
      <c r="Z172" s="875">
        <f t="shared" si="26"/>
        <v>0</v>
      </c>
      <c r="AA172" s="875">
        <f t="shared" si="29"/>
        <v>0</v>
      </c>
      <c r="AB172" s="875">
        <f t="shared" si="29"/>
        <v>0</v>
      </c>
      <c r="AC172" s="878" t="s">
        <v>1350</v>
      </c>
    </row>
    <row r="173" spans="1:30" s="637" customFormat="1" x14ac:dyDescent="0.2">
      <c r="A173" s="632" t="s">
        <v>1143</v>
      </c>
      <c r="B173" s="633" t="s">
        <v>691</v>
      </c>
      <c r="C173" s="634">
        <v>244</v>
      </c>
      <c r="D173" s="634">
        <v>226</v>
      </c>
      <c r="E173" s="597">
        <f>SUM(E167:E172)</f>
        <v>329193.90000000002</v>
      </c>
      <c r="F173" s="595">
        <f>'Прилож 4 24 (3)'!V171</f>
        <v>32288.77</v>
      </c>
      <c r="G173" s="595">
        <f>'Прилож 4 24 (3)'!W171</f>
        <v>0</v>
      </c>
      <c r="H173" s="595">
        <f>'Прилож 4 24 (3)'!X171</f>
        <v>232413.99</v>
      </c>
      <c r="I173" s="635"/>
      <c r="J173" s="595">
        <f>'Прилож 4 24 (3)'!Z171</f>
        <v>0</v>
      </c>
      <c r="K173" s="595">
        <f>'Прилож 4 24 (3)'!AA171</f>
        <v>0</v>
      </c>
      <c r="L173" s="875">
        <f>'Прилож 4 24 (3)'!AB171</f>
        <v>64491.14</v>
      </c>
      <c r="M173" s="876">
        <f t="shared" si="30"/>
        <v>-5022.5299999999988</v>
      </c>
      <c r="N173" s="884"/>
      <c r="O173" s="884"/>
      <c r="P173" s="884">
        <f>SUM(P167:P172)</f>
        <v>-6309.6299999999992</v>
      </c>
      <c r="Q173" s="885"/>
      <c r="R173" s="884"/>
      <c r="S173" s="884"/>
      <c r="T173" s="884">
        <f>SUM(T167:T172)</f>
        <v>1287.1000000000001</v>
      </c>
      <c r="U173" s="876">
        <f t="shared" si="31"/>
        <v>324171.37</v>
      </c>
      <c r="V173" s="875">
        <f t="shared" si="31"/>
        <v>32288.77</v>
      </c>
      <c r="W173" s="875">
        <f t="shared" si="27"/>
        <v>0</v>
      </c>
      <c r="X173" s="875">
        <f t="shared" si="28"/>
        <v>226104.36</v>
      </c>
      <c r="Y173" s="885"/>
      <c r="Z173" s="875">
        <f t="shared" si="26"/>
        <v>0</v>
      </c>
      <c r="AA173" s="875">
        <f t="shared" si="29"/>
        <v>0</v>
      </c>
      <c r="AB173" s="875">
        <f t="shared" si="29"/>
        <v>65778.240000000005</v>
      </c>
      <c r="AC173" s="886"/>
      <c r="AD173" s="819"/>
    </row>
    <row r="174" spans="1:30" s="614" customFormat="1" x14ac:dyDescent="0.2">
      <c r="A174" s="630" t="s">
        <v>739</v>
      </c>
      <c r="B174" s="631"/>
      <c r="C174" s="624"/>
      <c r="D174" s="624"/>
      <c r="E174" s="596">
        <f>E173+E166+E150</f>
        <v>1386911.54</v>
      </c>
      <c r="F174" s="595">
        <f>'Прилож 4 24 (3)'!V172</f>
        <v>32288.77</v>
      </c>
      <c r="G174" s="595">
        <f>'Прилож 4 24 (3)'!W172</f>
        <v>0</v>
      </c>
      <c r="H174" s="595">
        <f>'Прилож 4 24 (3)'!X172</f>
        <v>874260.82999999984</v>
      </c>
      <c r="I174" s="626"/>
      <c r="J174" s="595">
        <f>'Прилож 4 24 (3)'!Z172</f>
        <v>0</v>
      </c>
      <c r="K174" s="595">
        <f>'Прилож 4 24 (3)'!AA172</f>
        <v>415870.80000000005</v>
      </c>
      <c r="L174" s="875">
        <f>'Прилож 4 24 (3)'!AB172</f>
        <v>64491.14</v>
      </c>
      <c r="M174" s="876">
        <f t="shared" si="30"/>
        <v>87869.82</v>
      </c>
      <c r="N174" s="876">
        <f>N173+N166+N150</f>
        <v>43822.35</v>
      </c>
      <c r="O174" s="876"/>
      <c r="P174" s="876">
        <f>P173+P166+P150</f>
        <v>42760.37</v>
      </c>
      <c r="Q174" s="881"/>
      <c r="R174" s="876"/>
      <c r="S174" s="876"/>
      <c r="T174" s="876">
        <f>T173+T166+T150</f>
        <v>1287.1000000000001</v>
      </c>
      <c r="U174" s="876">
        <f t="shared" si="31"/>
        <v>1474781.36</v>
      </c>
      <c r="V174" s="875">
        <f t="shared" si="31"/>
        <v>76111.12</v>
      </c>
      <c r="W174" s="875">
        <f t="shared" si="27"/>
        <v>0</v>
      </c>
      <c r="X174" s="875">
        <f t="shared" si="28"/>
        <v>917021.19999999984</v>
      </c>
      <c r="Y174" s="881"/>
      <c r="Z174" s="875">
        <f t="shared" si="26"/>
        <v>0</v>
      </c>
      <c r="AA174" s="875">
        <f t="shared" si="29"/>
        <v>415870.80000000005</v>
      </c>
      <c r="AB174" s="875">
        <f t="shared" si="29"/>
        <v>65778.240000000005</v>
      </c>
      <c r="AC174" s="879"/>
      <c r="AD174" s="819"/>
    </row>
    <row r="175" spans="1:30" ht="34.5" customHeight="1" x14ac:dyDescent="0.2">
      <c r="A175" s="618" t="s">
        <v>637</v>
      </c>
      <c r="B175" s="619" t="s">
        <v>729</v>
      </c>
      <c r="C175" s="620">
        <v>244</v>
      </c>
      <c r="D175" s="620">
        <v>227</v>
      </c>
      <c r="E175" s="596">
        <f t="shared" si="32"/>
        <v>10000</v>
      </c>
      <c r="F175" s="595">
        <f>'Прилож 4 24 (3)'!V173</f>
        <v>0</v>
      </c>
      <c r="G175" s="595">
        <f>'Прилож 4 24 (3)'!W173</f>
        <v>0</v>
      </c>
      <c r="H175" s="595">
        <f>'Прилож 4 24 (3)'!X173</f>
        <v>10000</v>
      </c>
      <c r="I175" s="628"/>
      <c r="J175" s="595">
        <f>'Прилож 4 24 (3)'!Z173</f>
        <v>0</v>
      </c>
      <c r="K175" s="595">
        <f>'Прилож 4 24 (3)'!AA173</f>
        <v>0</v>
      </c>
      <c r="L175" s="875">
        <f>'Прилож 4 24 (3)'!AB173</f>
        <v>0</v>
      </c>
      <c r="M175" s="876">
        <f t="shared" si="30"/>
        <v>0</v>
      </c>
      <c r="N175" s="875"/>
      <c r="O175" s="875"/>
      <c r="P175" s="875"/>
      <c r="Q175" s="877"/>
      <c r="R175" s="875"/>
      <c r="S175" s="875"/>
      <c r="T175" s="875"/>
      <c r="U175" s="876">
        <f t="shared" si="31"/>
        <v>10000</v>
      </c>
      <c r="V175" s="875">
        <f t="shared" si="31"/>
        <v>0</v>
      </c>
      <c r="W175" s="875">
        <f t="shared" si="27"/>
        <v>0</v>
      </c>
      <c r="X175" s="875">
        <f t="shared" si="28"/>
        <v>10000</v>
      </c>
      <c r="Y175" s="883"/>
      <c r="Z175" s="875">
        <f t="shared" si="26"/>
        <v>0</v>
      </c>
      <c r="AA175" s="875">
        <f t="shared" si="29"/>
        <v>0</v>
      </c>
      <c r="AB175" s="875">
        <f t="shared" si="29"/>
        <v>0</v>
      </c>
      <c r="AC175" s="878"/>
    </row>
    <row r="176" spans="1:30" ht="25.5" customHeight="1" x14ac:dyDescent="0.2">
      <c r="A176" s="618" t="s">
        <v>678</v>
      </c>
      <c r="B176" s="619" t="s">
        <v>691</v>
      </c>
      <c r="C176" s="620">
        <v>244</v>
      </c>
      <c r="D176" s="620">
        <v>227</v>
      </c>
      <c r="E176" s="596">
        <f t="shared" si="32"/>
        <v>1827</v>
      </c>
      <c r="F176" s="595">
        <f>'Прилож 4 24 (3)'!V174</f>
        <v>0</v>
      </c>
      <c r="G176" s="595">
        <f>'Прилож 4 24 (3)'!W174</f>
        <v>0</v>
      </c>
      <c r="H176" s="595">
        <f>'Прилож 4 24 (3)'!X174</f>
        <v>1551.11</v>
      </c>
      <c r="I176" s="628"/>
      <c r="J176" s="595">
        <f>'Прилож 4 24 (3)'!Z174</f>
        <v>0</v>
      </c>
      <c r="K176" s="595">
        <f>'Прилож 4 24 (3)'!AA174</f>
        <v>0</v>
      </c>
      <c r="L176" s="875">
        <f>'Прилож 4 24 (3)'!AB174</f>
        <v>275.89</v>
      </c>
      <c r="M176" s="876">
        <f t="shared" si="30"/>
        <v>0</v>
      </c>
      <c r="N176" s="875"/>
      <c r="O176" s="875"/>
      <c r="P176" s="875"/>
      <c r="Q176" s="877"/>
      <c r="R176" s="875"/>
      <c r="S176" s="875"/>
      <c r="T176" s="875"/>
      <c r="U176" s="876">
        <f t="shared" si="31"/>
        <v>1827</v>
      </c>
      <c r="V176" s="875">
        <f t="shared" si="31"/>
        <v>0</v>
      </c>
      <c r="W176" s="875">
        <f t="shared" si="27"/>
        <v>0</v>
      </c>
      <c r="X176" s="875">
        <f t="shared" si="28"/>
        <v>1551.11</v>
      </c>
      <c r="Y176" s="883"/>
      <c r="Z176" s="875">
        <f t="shared" si="26"/>
        <v>0</v>
      </c>
      <c r="AA176" s="875">
        <f t="shared" si="29"/>
        <v>0</v>
      </c>
      <c r="AB176" s="875">
        <f t="shared" si="29"/>
        <v>275.89</v>
      </c>
      <c r="AC176" s="878"/>
    </row>
    <row r="177" spans="1:30" s="614" customFormat="1" x14ac:dyDescent="0.2">
      <c r="A177" s="630" t="s">
        <v>740</v>
      </c>
      <c r="B177" s="631"/>
      <c r="C177" s="624"/>
      <c r="D177" s="624"/>
      <c r="E177" s="596">
        <f>SUM(E175:E176)</f>
        <v>11827</v>
      </c>
      <c r="F177" s="595">
        <f>'Прилож 4 24 (3)'!V175</f>
        <v>0</v>
      </c>
      <c r="G177" s="595">
        <f>'Прилож 4 24 (3)'!W175</f>
        <v>0</v>
      </c>
      <c r="H177" s="595">
        <f>'Прилож 4 24 (3)'!X175</f>
        <v>11551.11</v>
      </c>
      <c r="I177" s="626"/>
      <c r="J177" s="595">
        <f>'Прилож 4 24 (3)'!Z175</f>
        <v>0</v>
      </c>
      <c r="K177" s="595">
        <f>'Прилож 4 24 (3)'!AA175</f>
        <v>0</v>
      </c>
      <c r="L177" s="875">
        <f>'Прилож 4 24 (3)'!AB175</f>
        <v>275.89</v>
      </c>
      <c r="M177" s="876">
        <f t="shared" si="30"/>
        <v>0</v>
      </c>
      <c r="N177" s="876"/>
      <c r="O177" s="876"/>
      <c r="P177" s="876"/>
      <c r="Q177" s="881"/>
      <c r="R177" s="876"/>
      <c r="S177" s="876"/>
      <c r="T177" s="876"/>
      <c r="U177" s="876">
        <f t="shared" si="31"/>
        <v>11827</v>
      </c>
      <c r="V177" s="875">
        <f t="shared" si="31"/>
        <v>0</v>
      </c>
      <c r="W177" s="875">
        <f t="shared" si="27"/>
        <v>0</v>
      </c>
      <c r="X177" s="875">
        <f t="shared" si="28"/>
        <v>11551.11</v>
      </c>
      <c r="Y177" s="881"/>
      <c r="Z177" s="875">
        <f t="shared" si="26"/>
        <v>0</v>
      </c>
      <c r="AA177" s="875">
        <f t="shared" si="29"/>
        <v>0</v>
      </c>
      <c r="AB177" s="875">
        <f t="shared" si="29"/>
        <v>275.89</v>
      </c>
      <c r="AC177" s="879"/>
    </row>
    <row r="178" spans="1:30" x14ac:dyDescent="0.2">
      <c r="A178" s="618" t="s">
        <v>1227</v>
      </c>
      <c r="B178" s="619" t="s">
        <v>747</v>
      </c>
      <c r="C178" s="620">
        <v>244</v>
      </c>
      <c r="D178" s="620">
        <v>310</v>
      </c>
      <c r="E178" s="596">
        <f>L178+K178+J178+H178+G178+F178</f>
        <v>0</v>
      </c>
      <c r="F178" s="595">
        <f>'Прилож 4 24 (3)'!V176</f>
        <v>0</v>
      </c>
      <c r="G178" s="595">
        <f>'Прилож 4 24 (3)'!W176</f>
        <v>0</v>
      </c>
      <c r="H178" s="595">
        <f>'Прилож 4 24 (3)'!X176</f>
        <v>0</v>
      </c>
      <c r="I178" s="621"/>
      <c r="J178" s="595">
        <f>'Прилож 4 24 (3)'!Z176</f>
        <v>0</v>
      </c>
      <c r="K178" s="595">
        <f>'Прилож 4 24 (3)'!AA176</f>
        <v>0</v>
      </c>
      <c r="L178" s="875">
        <f>'Прилож 4 24 (3)'!AB176</f>
        <v>0</v>
      </c>
      <c r="M178" s="876">
        <f t="shared" si="30"/>
        <v>0</v>
      </c>
      <c r="N178" s="875"/>
      <c r="O178" s="875"/>
      <c r="P178" s="875"/>
      <c r="Q178" s="877"/>
      <c r="R178" s="875"/>
      <c r="S178" s="875"/>
      <c r="T178" s="875"/>
      <c r="U178" s="876">
        <f t="shared" si="31"/>
        <v>0</v>
      </c>
      <c r="V178" s="875">
        <f t="shared" si="31"/>
        <v>0</v>
      </c>
      <c r="W178" s="875">
        <f t="shared" si="27"/>
        <v>0</v>
      </c>
      <c r="X178" s="875">
        <f t="shared" si="28"/>
        <v>0</v>
      </c>
      <c r="Y178" s="877"/>
      <c r="Z178" s="875">
        <f t="shared" si="26"/>
        <v>0</v>
      </c>
      <c r="AA178" s="875">
        <f t="shared" si="29"/>
        <v>0</v>
      </c>
      <c r="AB178" s="875">
        <f t="shared" si="29"/>
        <v>0</v>
      </c>
      <c r="AC178" s="878"/>
    </row>
    <row r="179" spans="1:30" ht="31.5" x14ac:dyDescent="0.2">
      <c r="A179" s="618" t="s">
        <v>1228</v>
      </c>
      <c r="B179" s="619" t="s">
        <v>747</v>
      </c>
      <c r="C179" s="620">
        <v>244</v>
      </c>
      <c r="D179" s="620">
        <v>310</v>
      </c>
      <c r="E179" s="596">
        <f t="shared" si="32"/>
        <v>0</v>
      </c>
      <c r="F179" s="595">
        <f>'Прилож 4 24 (3)'!V177</f>
        <v>0</v>
      </c>
      <c r="G179" s="595">
        <f>'Прилож 4 24 (3)'!W177</f>
        <v>0</v>
      </c>
      <c r="H179" s="595">
        <f>'Прилож 4 24 (3)'!X177</f>
        <v>0</v>
      </c>
      <c r="I179" s="621"/>
      <c r="J179" s="595">
        <f>'Прилож 4 24 (3)'!Z177</f>
        <v>0</v>
      </c>
      <c r="K179" s="595">
        <f>'Прилож 4 24 (3)'!AA177</f>
        <v>0</v>
      </c>
      <c r="L179" s="875">
        <f>'Прилож 4 24 (3)'!AB177</f>
        <v>0</v>
      </c>
      <c r="M179" s="876">
        <f t="shared" si="30"/>
        <v>0</v>
      </c>
      <c r="N179" s="875"/>
      <c r="O179" s="875"/>
      <c r="P179" s="875"/>
      <c r="Q179" s="877"/>
      <c r="R179" s="875"/>
      <c r="S179" s="875"/>
      <c r="T179" s="875"/>
      <c r="U179" s="876">
        <f t="shared" si="31"/>
        <v>0</v>
      </c>
      <c r="V179" s="875">
        <f t="shared" si="31"/>
        <v>0</v>
      </c>
      <c r="W179" s="875">
        <f t="shared" si="27"/>
        <v>0</v>
      </c>
      <c r="X179" s="875">
        <f t="shared" si="28"/>
        <v>0</v>
      </c>
      <c r="Y179" s="877"/>
      <c r="Z179" s="875">
        <f t="shared" si="26"/>
        <v>0</v>
      </c>
      <c r="AA179" s="875">
        <f t="shared" si="29"/>
        <v>0</v>
      </c>
      <c r="AB179" s="875">
        <f t="shared" si="29"/>
        <v>0</v>
      </c>
      <c r="AC179" s="878"/>
    </row>
    <row r="180" spans="1:30" ht="31.5" x14ac:dyDescent="0.2">
      <c r="A180" s="618" t="s">
        <v>1229</v>
      </c>
      <c r="B180" s="619" t="s">
        <v>747</v>
      </c>
      <c r="C180" s="620">
        <v>244</v>
      </c>
      <c r="D180" s="620">
        <v>310</v>
      </c>
      <c r="E180" s="596">
        <f t="shared" si="32"/>
        <v>0</v>
      </c>
      <c r="F180" s="595">
        <f>'Прилож 4 24 (3)'!V178</f>
        <v>0</v>
      </c>
      <c r="G180" s="595">
        <f>'Прилож 4 24 (3)'!W178</f>
        <v>0</v>
      </c>
      <c r="H180" s="595">
        <f>'Прилож 4 24 (3)'!X178</f>
        <v>0</v>
      </c>
      <c r="I180" s="621"/>
      <c r="J180" s="595">
        <f>'Прилож 4 24 (3)'!Z178</f>
        <v>0</v>
      </c>
      <c r="K180" s="595">
        <f>'Прилож 4 24 (3)'!AA178</f>
        <v>0</v>
      </c>
      <c r="L180" s="875">
        <f>'Прилож 4 24 (3)'!AB178</f>
        <v>0</v>
      </c>
      <c r="M180" s="876">
        <f t="shared" si="30"/>
        <v>0</v>
      </c>
      <c r="N180" s="875"/>
      <c r="O180" s="875"/>
      <c r="P180" s="875"/>
      <c r="Q180" s="877"/>
      <c r="R180" s="875"/>
      <c r="S180" s="875"/>
      <c r="T180" s="875"/>
      <c r="U180" s="876">
        <f t="shared" si="31"/>
        <v>0</v>
      </c>
      <c r="V180" s="875">
        <f t="shared" si="31"/>
        <v>0</v>
      </c>
      <c r="W180" s="875">
        <f t="shared" si="27"/>
        <v>0</v>
      </c>
      <c r="X180" s="875">
        <f t="shared" si="28"/>
        <v>0</v>
      </c>
      <c r="Y180" s="877"/>
      <c r="Z180" s="875">
        <f t="shared" si="26"/>
        <v>0</v>
      </c>
      <c r="AA180" s="875">
        <f t="shared" si="29"/>
        <v>0</v>
      </c>
      <c r="AB180" s="875">
        <f t="shared" si="29"/>
        <v>0</v>
      </c>
      <c r="AC180" s="878"/>
    </row>
    <row r="181" spans="1:30" x14ac:dyDescent="0.2">
      <c r="A181" s="618" t="s">
        <v>1284</v>
      </c>
      <c r="B181" s="619" t="s">
        <v>747</v>
      </c>
      <c r="C181" s="620">
        <v>244</v>
      </c>
      <c r="D181" s="620">
        <v>310</v>
      </c>
      <c r="E181" s="596">
        <f t="shared" si="32"/>
        <v>18000</v>
      </c>
      <c r="F181" s="595">
        <f>'Прилож 4 24 (3)'!V179</f>
        <v>18000</v>
      </c>
      <c r="G181" s="595">
        <f>'Прилож 4 24 (3)'!W179</f>
        <v>0</v>
      </c>
      <c r="H181" s="595">
        <f>'Прилож 4 24 (3)'!X179</f>
        <v>0</v>
      </c>
      <c r="I181" s="621"/>
      <c r="J181" s="595">
        <f>'Прилож 4 24 (3)'!Z179</f>
        <v>0</v>
      </c>
      <c r="K181" s="595">
        <f>'Прилож 4 24 (3)'!AA179</f>
        <v>0</v>
      </c>
      <c r="L181" s="875">
        <f>'Прилож 4 24 (3)'!AB179</f>
        <v>0</v>
      </c>
      <c r="M181" s="876">
        <f t="shared" si="30"/>
        <v>0</v>
      </c>
      <c r="N181" s="875"/>
      <c r="O181" s="875"/>
      <c r="P181" s="875"/>
      <c r="Q181" s="877"/>
      <c r="R181" s="875"/>
      <c r="S181" s="875"/>
      <c r="T181" s="875"/>
      <c r="U181" s="876">
        <f t="shared" si="31"/>
        <v>18000</v>
      </c>
      <c r="V181" s="875">
        <f t="shared" si="31"/>
        <v>18000</v>
      </c>
      <c r="W181" s="875">
        <f t="shared" si="27"/>
        <v>0</v>
      </c>
      <c r="X181" s="875">
        <f t="shared" si="28"/>
        <v>0</v>
      </c>
      <c r="Y181" s="877"/>
      <c r="Z181" s="875">
        <f t="shared" si="26"/>
        <v>0</v>
      </c>
      <c r="AA181" s="875">
        <f t="shared" si="29"/>
        <v>0</v>
      </c>
      <c r="AB181" s="875">
        <f t="shared" si="29"/>
        <v>0</v>
      </c>
      <c r="AC181" s="878"/>
    </row>
    <row r="182" spans="1:30" ht="52.9" customHeight="1" x14ac:dyDescent="0.2">
      <c r="A182" s="618" t="s">
        <v>1344</v>
      </c>
      <c r="B182" s="619" t="s">
        <v>747</v>
      </c>
      <c r="C182" s="620">
        <v>244</v>
      </c>
      <c r="D182" s="620">
        <v>310</v>
      </c>
      <c r="E182" s="596"/>
      <c r="F182" s="595"/>
      <c r="G182" s="595"/>
      <c r="H182" s="595"/>
      <c r="I182" s="621"/>
      <c r="J182" s="595"/>
      <c r="K182" s="595"/>
      <c r="L182" s="875"/>
      <c r="M182" s="876">
        <f t="shared" si="30"/>
        <v>219950</v>
      </c>
      <c r="N182" s="875">
        <v>219950</v>
      </c>
      <c r="O182" s="875"/>
      <c r="P182" s="875"/>
      <c r="Q182" s="877"/>
      <c r="R182" s="875"/>
      <c r="S182" s="875"/>
      <c r="T182" s="875"/>
      <c r="U182" s="876">
        <f t="shared" si="31"/>
        <v>219950</v>
      </c>
      <c r="V182" s="875">
        <f t="shared" si="31"/>
        <v>219950</v>
      </c>
      <c r="W182" s="875">
        <f t="shared" si="27"/>
        <v>0</v>
      </c>
      <c r="X182" s="875">
        <f t="shared" si="28"/>
        <v>0</v>
      </c>
      <c r="Y182" s="877"/>
      <c r="Z182" s="875">
        <f t="shared" si="26"/>
        <v>0</v>
      </c>
      <c r="AA182" s="875">
        <f t="shared" si="29"/>
        <v>0</v>
      </c>
      <c r="AB182" s="875">
        <f t="shared" si="29"/>
        <v>0</v>
      </c>
      <c r="AC182" s="878" t="s">
        <v>1401</v>
      </c>
    </row>
    <row r="183" spans="1:30" ht="55.9" customHeight="1" x14ac:dyDescent="0.2">
      <c r="A183" s="618" t="s">
        <v>1345</v>
      </c>
      <c r="B183" s="619" t="s">
        <v>747</v>
      </c>
      <c r="C183" s="620">
        <v>244</v>
      </c>
      <c r="D183" s="620">
        <v>310</v>
      </c>
      <c r="E183" s="596"/>
      <c r="F183" s="595"/>
      <c r="G183" s="595"/>
      <c r="H183" s="595"/>
      <c r="I183" s="621"/>
      <c r="J183" s="595"/>
      <c r="K183" s="595"/>
      <c r="L183" s="875"/>
      <c r="M183" s="876">
        <f t="shared" si="30"/>
        <v>45990</v>
      </c>
      <c r="N183" s="875">
        <v>45990</v>
      </c>
      <c r="O183" s="875"/>
      <c r="P183" s="875"/>
      <c r="Q183" s="877"/>
      <c r="R183" s="875"/>
      <c r="S183" s="875"/>
      <c r="T183" s="875"/>
      <c r="U183" s="876">
        <f t="shared" si="31"/>
        <v>45990</v>
      </c>
      <c r="V183" s="875">
        <f t="shared" si="31"/>
        <v>45990</v>
      </c>
      <c r="W183" s="875">
        <f t="shared" si="27"/>
        <v>0</v>
      </c>
      <c r="X183" s="875">
        <f t="shared" si="28"/>
        <v>0</v>
      </c>
      <c r="Y183" s="877"/>
      <c r="Z183" s="875">
        <f t="shared" si="26"/>
        <v>0</v>
      </c>
      <c r="AA183" s="875">
        <f t="shared" si="29"/>
        <v>0</v>
      </c>
      <c r="AB183" s="875">
        <f t="shared" si="29"/>
        <v>0</v>
      </c>
      <c r="AC183" s="878" t="s">
        <v>1402</v>
      </c>
    </row>
    <row r="184" spans="1:30" s="637" customFormat="1" x14ac:dyDescent="0.2">
      <c r="A184" s="632" t="s">
        <v>783</v>
      </c>
      <c r="B184" s="633"/>
      <c r="C184" s="634"/>
      <c r="D184" s="634"/>
      <c r="E184" s="597">
        <f>SUM(E178:E181)</f>
        <v>18000</v>
      </c>
      <c r="F184" s="595">
        <f>'Прилож 4 24 (3)'!V180</f>
        <v>18000</v>
      </c>
      <c r="G184" s="595">
        <f>'Прилож 4 24 (3)'!W180</f>
        <v>0</v>
      </c>
      <c r="H184" s="595">
        <f>'Прилож 4 24 (3)'!X180</f>
        <v>0</v>
      </c>
      <c r="I184" s="597">
        <f t="shared" ref="I184" si="33">SUM(I178:I181)</f>
        <v>0</v>
      </c>
      <c r="J184" s="595">
        <f>'Прилож 4 24 (3)'!Z180</f>
        <v>0</v>
      </c>
      <c r="K184" s="595">
        <f>'Прилож 4 24 (3)'!AA180</f>
        <v>0</v>
      </c>
      <c r="L184" s="875">
        <f>'Прилож 4 24 (3)'!AB180</f>
        <v>0</v>
      </c>
      <c r="M184" s="876">
        <f t="shared" si="30"/>
        <v>265940</v>
      </c>
      <c r="N184" s="884">
        <f>SUM(N178:N183)</f>
        <v>265940</v>
      </c>
      <c r="O184" s="884"/>
      <c r="P184" s="884"/>
      <c r="Q184" s="884"/>
      <c r="R184" s="884"/>
      <c r="S184" s="884"/>
      <c r="T184" s="884"/>
      <c r="U184" s="876">
        <f t="shared" si="31"/>
        <v>283940</v>
      </c>
      <c r="V184" s="875">
        <f t="shared" si="31"/>
        <v>283940</v>
      </c>
      <c r="W184" s="875">
        <f t="shared" si="27"/>
        <v>0</v>
      </c>
      <c r="X184" s="875">
        <f t="shared" si="28"/>
        <v>0</v>
      </c>
      <c r="Y184" s="884">
        <f t="shared" ref="Y184" si="34">SUM(Y178:Y181)</f>
        <v>0</v>
      </c>
      <c r="Z184" s="875">
        <f t="shared" si="26"/>
        <v>0</v>
      </c>
      <c r="AA184" s="875">
        <f t="shared" si="29"/>
        <v>0</v>
      </c>
      <c r="AB184" s="875">
        <f t="shared" si="29"/>
        <v>0</v>
      </c>
      <c r="AC184" s="886"/>
    </row>
    <row r="185" spans="1:30" ht="31.5" x14ac:dyDescent="0.2">
      <c r="A185" s="618" t="s">
        <v>1281</v>
      </c>
      <c r="B185" s="619" t="s">
        <v>729</v>
      </c>
      <c r="C185" s="620">
        <v>244</v>
      </c>
      <c r="D185" s="620">
        <v>310</v>
      </c>
      <c r="E185" s="596">
        <f t="shared" si="32"/>
        <v>50000</v>
      </c>
      <c r="F185" s="595">
        <f>'Прилож 4 24 (3)'!V181</f>
        <v>50000</v>
      </c>
      <c r="G185" s="595">
        <f>'Прилож 4 24 (3)'!W181</f>
        <v>0</v>
      </c>
      <c r="H185" s="595">
        <f>'Прилож 4 24 (3)'!X181</f>
        <v>0</v>
      </c>
      <c r="I185" s="621"/>
      <c r="J185" s="595">
        <f>'Прилож 4 24 (3)'!Z181</f>
        <v>0</v>
      </c>
      <c r="K185" s="595">
        <f>'Прилож 4 24 (3)'!AA181</f>
        <v>0</v>
      </c>
      <c r="L185" s="875">
        <f>'Прилож 4 24 (3)'!AB181</f>
        <v>0</v>
      </c>
      <c r="M185" s="876">
        <f t="shared" si="30"/>
        <v>0</v>
      </c>
      <c r="N185" s="875"/>
      <c r="O185" s="875"/>
      <c r="P185" s="875"/>
      <c r="Q185" s="877"/>
      <c r="R185" s="875"/>
      <c r="S185" s="875"/>
      <c r="T185" s="875"/>
      <c r="U185" s="876">
        <f t="shared" si="31"/>
        <v>50000</v>
      </c>
      <c r="V185" s="875">
        <f t="shared" si="31"/>
        <v>50000</v>
      </c>
      <c r="W185" s="875">
        <f t="shared" si="27"/>
        <v>0</v>
      </c>
      <c r="X185" s="875">
        <f t="shared" si="28"/>
        <v>0</v>
      </c>
      <c r="Y185" s="877"/>
      <c r="Z185" s="875">
        <f t="shared" si="26"/>
        <v>0</v>
      </c>
      <c r="AA185" s="875">
        <f t="shared" si="29"/>
        <v>0</v>
      </c>
      <c r="AB185" s="875">
        <f t="shared" si="29"/>
        <v>0</v>
      </c>
      <c r="AC185" s="878"/>
    </row>
    <row r="186" spans="1:30" ht="93" customHeight="1" x14ac:dyDescent="0.2">
      <c r="A186" s="618" t="s">
        <v>1282</v>
      </c>
      <c r="B186" s="619" t="s">
        <v>729</v>
      </c>
      <c r="C186" s="620">
        <v>244</v>
      </c>
      <c r="D186" s="620">
        <v>310</v>
      </c>
      <c r="E186" s="596">
        <f t="shared" si="32"/>
        <v>680000</v>
      </c>
      <c r="F186" s="595">
        <f>'Прилож 4 24 (3)'!V182</f>
        <v>680000</v>
      </c>
      <c r="G186" s="595">
        <f>'Прилож 4 24 (3)'!W182</f>
        <v>0</v>
      </c>
      <c r="H186" s="595">
        <f>'Прилож 4 24 (3)'!X182</f>
        <v>0</v>
      </c>
      <c r="I186" s="621"/>
      <c r="J186" s="595">
        <f>'Прилож 4 24 (3)'!Z182</f>
        <v>0</v>
      </c>
      <c r="K186" s="595">
        <f>'Прилож 4 24 (3)'!AA182</f>
        <v>0</v>
      </c>
      <c r="L186" s="875">
        <f>'Прилож 4 24 (3)'!AB182</f>
        <v>0</v>
      </c>
      <c r="M186" s="876">
        <f t="shared" si="30"/>
        <v>-95953.489999999991</v>
      </c>
      <c r="N186" s="875">
        <f>-81330.09-19700+3280+1796.6</f>
        <v>-95953.489999999991</v>
      </c>
      <c r="O186" s="875"/>
      <c r="P186" s="875"/>
      <c r="Q186" s="877"/>
      <c r="R186" s="875"/>
      <c r="S186" s="875"/>
      <c r="T186" s="875"/>
      <c r="U186" s="876">
        <f t="shared" si="31"/>
        <v>584046.51</v>
      </c>
      <c r="V186" s="875">
        <f t="shared" si="31"/>
        <v>584046.51</v>
      </c>
      <c r="W186" s="875">
        <f t="shared" si="27"/>
        <v>0</v>
      </c>
      <c r="X186" s="875">
        <f t="shared" si="28"/>
        <v>0</v>
      </c>
      <c r="Y186" s="877"/>
      <c r="Z186" s="875">
        <f t="shared" si="26"/>
        <v>0</v>
      </c>
      <c r="AA186" s="875">
        <f t="shared" si="29"/>
        <v>0</v>
      </c>
      <c r="AB186" s="875">
        <f t="shared" si="29"/>
        <v>0</v>
      </c>
      <c r="AC186" s="878" t="s">
        <v>1430</v>
      </c>
    </row>
    <row r="187" spans="1:30" x14ac:dyDescent="0.2">
      <c r="A187" s="618" t="s">
        <v>1284</v>
      </c>
      <c r="B187" s="619" t="s">
        <v>729</v>
      </c>
      <c r="C187" s="620">
        <v>244</v>
      </c>
      <c r="D187" s="620">
        <v>310</v>
      </c>
      <c r="E187" s="596">
        <f t="shared" si="32"/>
        <v>27000</v>
      </c>
      <c r="F187" s="595">
        <f>'Прилож 4 24 (3)'!V183</f>
        <v>27000</v>
      </c>
      <c r="G187" s="595">
        <f>'Прилож 4 24 (3)'!W183</f>
        <v>0</v>
      </c>
      <c r="H187" s="595">
        <f>'Прилож 4 24 (3)'!X183</f>
        <v>0</v>
      </c>
      <c r="I187" s="621"/>
      <c r="J187" s="595">
        <f>'Прилож 4 24 (3)'!Z183</f>
        <v>0</v>
      </c>
      <c r="K187" s="595">
        <f>'Прилож 4 24 (3)'!AA183</f>
        <v>0</v>
      </c>
      <c r="L187" s="875">
        <f>'Прилож 4 24 (3)'!AB183</f>
        <v>0</v>
      </c>
      <c r="M187" s="876">
        <f t="shared" si="30"/>
        <v>0</v>
      </c>
      <c r="N187" s="875"/>
      <c r="O187" s="875"/>
      <c r="P187" s="875"/>
      <c r="Q187" s="877"/>
      <c r="R187" s="875"/>
      <c r="S187" s="875"/>
      <c r="T187" s="875"/>
      <c r="U187" s="876">
        <f t="shared" si="31"/>
        <v>27000</v>
      </c>
      <c r="V187" s="875">
        <f t="shared" si="31"/>
        <v>27000</v>
      </c>
      <c r="W187" s="875">
        <f t="shared" si="27"/>
        <v>0</v>
      </c>
      <c r="X187" s="875">
        <f t="shared" si="28"/>
        <v>0</v>
      </c>
      <c r="Y187" s="877"/>
      <c r="Z187" s="875">
        <f t="shared" si="26"/>
        <v>0</v>
      </c>
      <c r="AA187" s="875">
        <f t="shared" si="29"/>
        <v>0</v>
      </c>
      <c r="AB187" s="875">
        <f t="shared" si="29"/>
        <v>0</v>
      </c>
      <c r="AC187" s="878"/>
    </row>
    <row r="188" spans="1:30" x14ac:dyDescent="0.2">
      <c r="A188" s="618" t="s">
        <v>1227</v>
      </c>
      <c r="B188" s="619" t="s">
        <v>729</v>
      </c>
      <c r="C188" s="620">
        <v>244</v>
      </c>
      <c r="D188" s="620">
        <v>310</v>
      </c>
      <c r="E188" s="596">
        <f t="shared" si="32"/>
        <v>4025</v>
      </c>
      <c r="F188" s="595">
        <f>'Прилож 4 24 (3)'!V184</f>
        <v>0</v>
      </c>
      <c r="G188" s="595">
        <f>'Прилож 4 24 (3)'!W184</f>
        <v>0</v>
      </c>
      <c r="H188" s="595">
        <f>'Прилож 4 24 (3)'!X184</f>
        <v>0</v>
      </c>
      <c r="I188" s="621" t="s">
        <v>1226</v>
      </c>
      <c r="J188" s="595">
        <f>'Прилож 4 24 (3)'!Z184</f>
        <v>0</v>
      </c>
      <c r="K188" s="595">
        <f>'Прилож 4 24 (3)'!AA184</f>
        <v>4025</v>
      </c>
      <c r="L188" s="875">
        <f>'Прилож 4 24 (3)'!AB184</f>
        <v>0</v>
      </c>
      <c r="M188" s="876">
        <f t="shared" si="30"/>
        <v>0</v>
      </c>
      <c r="N188" s="875"/>
      <c r="O188" s="875"/>
      <c r="P188" s="875"/>
      <c r="Q188" s="877"/>
      <c r="R188" s="875"/>
      <c r="S188" s="875"/>
      <c r="T188" s="875"/>
      <c r="U188" s="876">
        <f t="shared" si="31"/>
        <v>4025</v>
      </c>
      <c r="V188" s="875">
        <f t="shared" si="31"/>
        <v>0</v>
      </c>
      <c r="W188" s="875">
        <f t="shared" si="27"/>
        <v>0</v>
      </c>
      <c r="X188" s="875">
        <f t="shared" si="28"/>
        <v>0</v>
      </c>
      <c r="Y188" s="877" t="s">
        <v>1226</v>
      </c>
      <c r="Z188" s="875">
        <f t="shared" si="26"/>
        <v>0</v>
      </c>
      <c r="AA188" s="875">
        <f t="shared" si="29"/>
        <v>4025</v>
      </c>
      <c r="AB188" s="875">
        <f t="shared" si="29"/>
        <v>0</v>
      </c>
      <c r="AC188" s="878"/>
    </row>
    <row r="189" spans="1:30" ht="31.5" x14ac:dyDescent="0.2">
      <c r="A189" s="618" t="s">
        <v>1228</v>
      </c>
      <c r="B189" s="619" t="s">
        <v>729</v>
      </c>
      <c r="C189" s="620">
        <v>244</v>
      </c>
      <c r="D189" s="620">
        <v>310</v>
      </c>
      <c r="E189" s="596">
        <f t="shared" si="32"/>
        <v>4638</v>
      </c>
      <c r="F189" s="595">
        <f>'Прилож 4 24 (3)'!V185</f>
        <v>0</v>
      </c>
      <c r="G189" s="595">
        <f>'Прилож 4 24 (3)'!W185</f>
        <v>0</v>
      </c>
      <c r="H189" s="595">
        <f>'Прилож 4 24 (3)'!X185</f>
        <v>0</v>
      </c>
      <c r="I189" s="621" t="s">
        <v>1226</v>
      </c>
      <c r="J189" s="595">
        <f>'Прилож 4 24 (3)'!Z185</f>
        <v>0</v>
      </c>
      <c r="K189" s="595">
        <f>'Прилож 4 24 (3)'!AA185</f>
        <v>4638</v>
      </c>
      <c r="L189" s="875">
        <f>'Прилож 4 24 (3)'!AB185</f>
        <v>0</v>
      </c>
      <c r="M189" s="876">
        <f t="shared" si="30"/>
        <v>0</v>
      </c>
      <c r="N189" s="875"/>
      <c r="O189" s="875"/>
      <c r="P189" s="875"/>
      <c r="Q189" s="877"/>
      <c r="R189" s="875"/>
      <c r="S189" s="875"/>
      <c r="T189" s="875"/>
      <c r="U189" s="876">
        <f t="shared" si="31"/>
        <v>4638</v>
      </c>
      <c r="V189" s="875">
        <f t="shared" si="31"/>
        <v>0</v>
      </c>
      <c r="W189" s="875">
        <f t="shared" si="27"/>
        <v>0</v>
      </c>
      <c r="X189" s="875">
        <f t="shared" si="28"/>
        <v>0</v>
      </c>
      <c r="Y189" s="877" t="s">
        <v>1226</v>
      </c>
      <c r="Z189" s="875">
        <f t="shared" si="26"/>
        <v>0</v>
      </c>
      <c r="AA189" s="875">
        <f t="shared" si="29"/>
        <v>4638</v>
      </c>
      <c r="AB189" s="875">
        <f t="shared" si="29"/>
        <v>0</v>
      </c>
      <c r="AC189" s="878"/>
      <c r="AD189" s="820"/>
    </row>
    <row r="190" spans="1:30" ht="31.5" x14ac:dyDescent="0.2">
      <c r="A190" s="618" t="s">
        <v>1229</v>
      </c>
      <c r="B190" s="619" t="s">
        <v>729</v>
      </c>
      <c r="C190" s="620">
        <v>244</v>
      </c>
      <c r="D190" s="620">
        <v>310</v>
      </c>
      <c r="E190" s="596">
        <f t="shared" si="32"/>
        <v>93768</v>
      </c>
      <c r="F190" s="595">
        <f>'Прилож 4 24 (3)'!V186</f>
        <v>0</v>
      </c>
      <c r="G190" s="595">
        <f>'Прилож 4 24 (3)'!W186</f>
        <v>0</v>
      </c>
      <c r="H190" s="595">
        <f>'Прилож 4 24 (3)'!X186</f>
        <v>0</v>
      </c>
      <c r="I190" s="621" t="s">
        <v>1226</v>
      </c>
      <c r="J190" s="595">
        <f>'Прилож 4 24 (3)'!Z186</f>
        <v>0</v>
      </c>
      <c r="K190" s="595">
        <f>'Прилож 4 24 (3)'!AA186</f>
        <v>93768</v>
      </c>
      <c r="L190" s="875">
        <f>'Прилож 4 24 (3)'!AB186</f>
        <v>0</v>
      </c>
      <c r="M190" s="876">
        <f t="shared" si="30"/>
        <v>0</v>
      </c>
      <c r="N190" s="875"/>
      <c r="O190" s="875"/>
      <c r="P190" s="875"/>
      <c r="Q190" s="877"/>
      <c r="R190" s="875"/>
      <c r="S190" s="875"/>
      <c r="T190" s="875"/>
      <c r="U190" s="876">
        <f t="shared" si="31"/>
        <v>93768</v>
      </c>
      <c r="V190" s="875">
        <f t="shared" si="31"/>
        <v>0</v>
      </c>
      <c r="W190" s="875">
        <f t="shared" si="27"/>
        <v>0</v>
      </c>
      <c r="X190" s="875">
        <f t="shared" si="28"/>
        <v>0</v>
      </c>
      <c r="Y190" s="877" t="s">
        <v>1226</v>
      </c>
      <c r="Z190" s="875">
        <f t="shared" si="26"/>
        <v>0</v>
      </c>
      <c r="AA190" s="875">
        <f t="shared" si="29"/>
        <v>93768</v>
      </c>
      <c r="AB190" s="875">
        <f t="shared" si="29"/>
        <v>0</v>
      </c>
      <c r="AC190" s="878"/>
    </row>
    <row r="191" spans="1:30" ht="79.900000000000006" customHeight="1" x14ac:dyDescent="0.2">
      <c r="A191" s="618" t="s">
        <v>1360</v>
      </c>
      <c r="B191" s="619" t="s">
        <v>729</v>
      </c>
      <c r="C191" s="620">
        <v>244</v>
      </c>
      <c r="D191" s="620">
        <v>310</v>
      </c>
      <c r="E191" s="596"/>
      <c r="F191" s="595"/>
      <c r="G191" s="595"/>
      <c r="H191" s="595"/>
      <c r="I191" s="621"/>
      <c r="J191" s="595"/>
      <c r="K191" s="595"/>
      <c r="L191" s="875"/>
      <c r="M191" s="876">
        <f t="shared" si="30"/>
        <v>100000</v>
      </c>
      <c r="N191" s="875"/>
      <c r="O191" s="875"/>
      <c r="P191" s="875"/>
      <c r="Q191" s="877" t="s">
        <v>1226</v>
      </c>
      <c r="R191" s="875"/>
      <c r="S191" s="875">
        <v>100000</v>
      </c>
      <c r="T191" s="875"/>
      <c r="U191" s="876">
        <f t="shared" si="31"/>
        <v>100000</v>
      </c>
      <c r="V191" s="875">
        <f t="shared" si="31"/>
        <v>0</v>
      </c>
      <c r="W191" s="875">
        <f t="shared" si="27"/>
        <v>0</v>
      </c>
      <c r="X191" s="875">
        <f t="shared" si="28"/>
        <v>0</v>
      </c>
      <c r="Y191" s="877"/>
      <c r="Z191" s="875">
        <f t="shared" si="26"/>
        <v>0</v>
      </c>
      <c r="AA191" s="875">
        <f t="shared" si="29"/>
        <v>100000</v>
      </c>
      <c r="AB191" s="875">
        <f t="shared" si="29"/>
        <v>0</v>
      </c>
      <c r="AC191" s="878" t="s">
        <v>1361</v>
      </c>
    </row>
    <row r="192" spans="1:30" ht="100.5" customHeight="1" x14ac:dyDescent="0.2">
      <c r="A192" s="618" t="s">
        <v>1358</v>
      </c>
      <c r="B192" s="619" t="s">
        <v>729</v>
      </c>
      <c r="C192" s="620">
        <v>244</v>
      </c>
      <c r="D192" s="620">
        <v>310</v>
      </c>
      <c r="E192" s="596"/>
      <c r="F192" s="595"/>
      <c r="G192" s="595"/>
      <c r="H192" s="595"/>
      <c r="I192" s="621"/>
      <c r="J192" s="595"/>
      <c r="K192" s="595"/>
      <c r="L192" s="875"/>
      <c r="M192" s="876">
        <f t="shared" si="30"/>
        <v>107260</v>
      </c>
      <c r="N192" s="875">
        <v>107260</v>
      </c>
      <c r="O192" s="875"/>
      <c r="P192" s="875"/>
      <c r="Q192" s="877"/>
      <c r="R192" s="875"/>
      <c r="S192" s="875"/>
      <c r="T192" s="875"/>
      <c r="U192" s="876">
        <f t="shared" si="31"/>
        <v>107260</v>
      </c>
      <c r="V192" s="875">
        <f t="shared" si="31"/>
        <v>107260</v>
      </c>
      <c r="W192" s="875">
        <f t="shared" si="27"/>
        <v>0</v>
      </c>
      <c r="X192" s="875">
        <f t="shared" si="28"/>
        <v>0</v>
      </c>
      <c r="Y192" s="877"/>
      <c r="Z192" s="875">
        <f t="shared" si="26"/>
        <v>0</v>
      </c>
      <c r="AA192" s="875">
        <f t="shared" si="29"/>
        <v>0</v>
      </c>
      <c r="AB192" s="875">
        <f t="shared" si="29"/>
        <v>0</v>
      </c>
      <c r="AC192" s="878" t="s">
        <v>1431</v>
      </c>
    </row>
    <row r="193" spans="1:30" ht="97.5" customHeight="1" x14ac:dyDescent="0.2">
      <c r="A193" s="618" t="s">
        <v>1359</v>
      </c>
      <c r="B193" s="619" t="s">
        <v>729</v>
      </c>
      <c r="C193" s="620">
        <v>244</v>
      </c>
      <c r="D193" s="620">
        <v>310</v>
      </c>
      <c r="E193" s="596"/>
      <c r="F193" s="595"/>
      <c r="G193" s="595"/>
      <c r="H193" s="595"/>
      <c r="I193" s="621"/>
      <c r="J193" s="595"/>
      <c r="K193" s="595"/>
      <c r="L193" s="875"/>
      <c r="M193" s="876">
        <f t="shared" si="30"/>
        <v>76990</v>
      </c>
      <c r="N193" s="875">
        <v>76990</v>
      </c>
      <c r="O193" s="875"/>
      <c r="P193" s="875"/>
      <c r="Q193" s="877"/>
      <c r="R193" s="875"/>
      <c r="S193" s="875"/>
      <c r="T193" s="875"/>
      <c r="U193" s="876">
        <f t="shared" si="31"/>
        <v>76990</v>
      </c>
      <c r="V193" s="875">
        <f t="shared" si="31"/>
        <v>76990</v>
      </c>
      <c r="W193" s="875">
        <f t="shared" si="27"/>
        <v>0</v>
      </c>
      <c r="X193" s="875">
        <f t="shared" si="28"/>
        <v>0</v>
      </c>
      <c r="Y193" s="877"/>
      <c r="Z193" s="875">
        <f t="shared" si="26"/>
        <v>0</v>
      </c>
      <c r="AA193" s="875">
        <f t="shared" si="29"/>
        <v>0</v>
      </c>
      <c r="AB193" s="875">
        <f t="shared" si="29"/>
        <v>0</v>
      </c>
      <c r="AC193" s="878" t="s">
        <v>1431</v>
      </c>
    </row>
    <row r="194" spans="1:30" x14ac:dyDescent="0.2">
      <c r="A194" s="618" t="s">
        <v>1287</v>
      </c>
      <c r="B194" s="619" t="s">
        <v>729</v>
      </c>
      <c r="C194" s="620">
        <v>244</v>
      </c>
      <c r="D194" s="620">
        <v>310</v>
      </c>
      <c r="E194" s="596">
        <f>L194+K194+J194+H194+G194+F194</f>
        <v>859431</v>
      </c>
      <c r="F194" s="595">
        <f>'Прилож 4 24 (3)'!V187</f>
        <v>757000</v>
      </c>
      <c r="G194" s="595">
        <f>'Прилож 4 24 (3)'!W187</f>
        <v>0</v>
      </c>
      <c r="H194" s="595">
        <f>'Прилож 4 24 (3)'!X187</f>
        <v>0</v>
      </c>
      <c r="I194" s="596">
        <f>SUM(I185:I187)</f>
        <v>0</v>
      </c>
      <c r="J194" s="595">
        <f>'Прилож 4 24 (3)'!Z187</f>
        <v>0</v>
      </c>
      <c r="K194" s="595">
        <f>'Прилож 4 24 (3)'!AA187</f>
        <v>102431</v>
      </c>
      <c r="L194" s="875">
        <f>'Прилож 4 24 (3)'!AB187</f>
        <v>0</v>
      </c>
      <c r="M194" s="876">
        <f t="shared" si="30"/>
        <v>188296.51</v>
      </c>
      <c r="N194" s="876">
        <f>SUM(N185:N193)</f>
        <v>88296.510000000009</v>
      </c>
      <c r="O194" s="876"/>
      <c r="P194" s="876"/>
      <c r="Q194" s="876"/>
      <c r="R194" s="876"/>
      <c r="S194" s="876">
        <f>SUM(S185:S191)</f>
        <v>100000</v>
      </c>
      <c r="T194" s="876">
        <f>SUM(T185:T191)</f>
        <v>0</v>
      </c>
      <c r="U194" s="876">
        <f t="shared" si="31"/>
        <v>1047727.51</v>
      </c>
      <c r="V194" s="875">
        <f t="shared" si="31"/>
        <v>845296.51</v>
      </c>
      <c r="W194" s="875">
        <f t="shared" si="27"/>
        <v>0</v>
      </c>
      <c r="X194" s="875">
        <f t="shared" si="28"/>
        <v>0</v>
      </c>
      <c r="Y194" s="876">
        <f>SUM(Y185:Y187)</f>
        <v>0</v>
      </c>
      <c r="Z194" s="875">
        <f t="shared" si="26"/>
        <v>0</v>
      </c>
      <c r="AA194" s="875">
        <f t="shared" si="29"/>
        <v>202431</v>
      </c>
      <c r="AB194" s="875">
        <f t="shared" si="29"/>
        <v>0</v>
      </c>
      <c r="AC194" s="876"/>
      <c r="AD194" s="820"/>
    </row>
    <row r="195" spans="1:30" s="614" customFormat="1" ht="29.25" customHeight="1" x14ac:dyDescent="0.2">
      <c r="A195" s="630" t="s">
        <v>741</v>
      </c>
      <c r="B195" s="631"/>
      <c r="C195" s="624"/>
      <c r="D195" s="624"/>
      <c r="E195" s="596">
        <f>E184+E194</f>
        <v>877431</v>
      </c>
      <c r="F195" s="595">
        <f>'Прилож 4 24 (3)'!V188</f>
        <v>775000</v>
      </c>
      <c r="G195" s="595">
        <f>'Прилож 4 24 (3)'!W188</f>
        <v>0</v>
      </c>
      <c r="H195" s="595">
        <f>'Прилож 4 24 (3)'!X188</f>
        <v>0</v>
      </c>
      <c r="I195" s="596">
        <f>I194+I184</f>
        <v>0</v>
      </c>
      <c r="J195" s="595">
        <f>'Прилож 4 24 (3)'!Z188</f>
        <v>0</v>
      </c>
      <c r="K195" s="595">
        <f>'Прилож 4 24 (3)'!AA188</f>
        <v>102431</v>
      </c>
      <c r="L195" s="875">
        <f>'Прилож 4 24 (3)'!AB188</f>
        <v>0</v>
      </c>
      <c r="M195" s="876">
        <f t="shared" si="30"/>
        <v>454236.51</v>
      </c>
      <c r="N195" s="876">
        <f>N184+N194</f>
        <v>354236.51</v>
      </c>
      <c r="O195" s="876"/>
      <c r="P195" s="876"/>
      <c r="Q195" s="876"/>
      <c r="R195" s="876"/>
      <c r="S195" s="876">
        <f>S184+S194</f>
        <v>100000</v>
      </c>
      <c r="T195" s="876">
        <f>T184+T194</f>
        <v>0</v>
      </c>
      <c r="U195" s="876">
        <f t="shared" si="31"/>
        <v>1331667.51</v>
      </c>
      <c r="V195" s="875">
        <f t="shared" si="31"/>
        <v>1129236.51</v>
      </c>
      <c r="W195" s="875">
        <f t="shared" si="27"/>
        <v>0</v>
      </c>
      <c r="X195" s="875">
        <f t="shared" si="28"/>
        <v>0</v>
      </c>
      <c r="Y195" s="876">
        <f>Y194+Y184</f>
        <v>0</v>
      </c>
      <c r="Z195" s="875">
        <f t="shared" si="26"/>
        <v>0</v>
      </c>
      <c r="AA195" s="875">
        <f t="shared" si="29"/>
        <v>202431</v>
      </c>
      <c r="AB195" s="875">
        <f t="shared" si="29"/>
        <v>0</v>
      </c>
      <c r="AC195" s="876"/>
    </row>
    <row r="196" spans="1:30" x14ac:dyDescent="0.2">
      <c r="A196" s="618" t="s">
        <v>588</v>
      </c>
      <c r="B196" s="619" t="s">
        <v>747</v>
      </c>
      <c r="C196" s="620">
        <v>244</v>
      </c>
      <c r="D196" s="620">
        <v>341</v>
      </c>
      <c r="E196" s="596">
        <f>L196+K196+J196+H196+G196+F196</f>
        <v>0</v>
      </c>
      <c r="F196" s="595">
        <f>'Прилож 4 24 (3)'!V189</f>
        <v>0</v>
      </c>
      <c r="G196" s="595">
        <f>'Прилож 4 24 (3)'!W189</f>
        <v>0</v>
      </c>
      <c r="H196" s="595">
        <f>'Прилож 4 24 (3)'!X189</f>
        <v>0</v>
      </c>
      <c r="I196" s="621"/>
      <c r="J196" s="595">
        <f>'Прилож 4 24 (3)'!Z189</f>
        <v>0</v>
      </c>
      <c r="K196" s="595">
        <f>'Прилож 4 24 (3)'!AA189</f>
        <v>0</v>
      </c>
      <c r="L196" s="875">
        <f>'Прилож 4 24 (3)'!AB189</f>
        <v>0</v>
      </c>
      <c r="M196" s="876">
        <f t="shared" si="30"/>
        <v>0</v>
      </c>
      <c r="N196" s="875"/>
      <c r="O196" s="875"/>
      <c r="P196" s="875"/>
      <c r="Q196" s="894"/>
      <c r="R196" s="875"/>
      <c r="S196" s="875"/>
      <c r="T196" s="875"/>
      <c r="U196" s="876">
        <f t="shared" si="31"/>
        <v>0</v>
      </c>
      <c r="V196" s="875">
        <f t="shared" si="31"/>
        <v>0</v>
      </c>
      <c r="W196" s="875">
        <f t="shared" si="27"/>
        <v>0</v>
      </c>
      <c r="X196" s="875">
        <f t="shared" si="28"/>
        <v>0</v>
      </c>
      <c r="Y196" s="877"/>
      <c r="Z196" s="875">
        <f t="shared" si="26"/>
        <v>0</v>
      </c>
      <c r="AA196" s="875">
        <f t="shared" si="29"/>
        <v>0</v>
      </c>
      <c r="AB196" s="875">
        <f t="shared" si="29"/>
        <v>0</v>
      </c>
      <c r="AC196" s="878"/>
    </row>
    <row r="197" spans="1:30" ht="78.75" x14ac:dyDescent="0.2">
      <c r="A197" s="618" t="s">
        <v>588</v>
      </c>
      <c r="B197" s="619" t="s">
        <v>729</v>
      </c>
      <c r="C197" s="620">
        <v>244</v>
      </c>
      <c r="D197" s="620">
        <v>341</v>
      </c>
      <c r="E197" s="596">
        <f>L197+K197+J197+H197+G197+F197</f>
        <v>24035</v>
      </c>
      <c r="F197" s="595">
        <f>'Прилож 4 24 (3)'!V190</f>
        <v>0</v>
      </c>
      <c r="G197" s="595">
        <f>'Прилож 4 24 (3)'!W190</f>
        <v>0</v>
      </c>
      <c r="H197" s="595">
        <f>'Прилож 4 24 (3)'!X190</f>
        <v>10000</v>
      </c>
      <c r="I197" s="621" t="s">
        <v>1226</v>
      </c>
      <c r="J197" s="595">
        <f>'Прилож 4 24 (3)'!Z190</f>
        <v>0</v>
      </c>
      <c r="K197" s="595">
        <f>'Прилож 4 24 (3)'!AA190</f>
        <v>14035</v>
      </c>
      <c r="L197" s="875">
        <f>'Прилож 4 24 (3)'!AB190</f>
        <v>0</v>
      </c>
      <c r="M197" s="876">
        <f t="shared" si="30"/>
        <v>3280</v>
      </c>
      <c r="N197" s="875"/>
      <c r="O197" s="875"/>
      <c r="P197" s="875">
        <v>3280</v>
      </c>
      <c r="Q197" s="894"/>
      <c r="R197" s="875"/>
      <c r="S197" s="875"/>
      <c r="T197" s="875"/>
      <c r="U197" s="876">
        <f t="shared" si="31"/>
        <v>27315</v>
      </c>
      <c r="V197" s="875">
        <f t="shared" si="31"/>
        <v>0</v>
      </c>
      <c r="W197" s="875">
        <f t="shared" si="27"/>
        <v>0</v>
      </c>
      <c r="X197" s="875">
        <f t="shared" si="28"/>
        <v>13280</v>
      </c>
      <c r="Y197" s="877" t="s">
        <v>1226</v>
      </c>
      <c r="Z197" s="875">
        <f t="shared" si="26"/>
        <v>0</v>
      </c>
      <c r="AA197" s="875">
        <f t="shared" si="29"/>
        <v>14035</v>
      </c>
      <c r="AB197" s="875">
        <f t="shared" si="29"/>
        <v>0</v>
      </c>
      <c r="AC197" s="878" t="s">
        <v>1397</v>
      </c>
    </row>
    <row r="198" spans="1:30" s="614" customFormat="1" ht="26.25" customHeight="1" x14ac:dyDescent="0.2">
      <c r="A198" s="630" t="s">
        <v>742</v>
      </c>
      <c r="B198" s="631"/>
      <c r="C198" s="624"/>
      <c r="D198" s="624"/>
      <c r="E198" s="596">
        <f>SUM(E196:E197)</f>
        <v>24035</v>
      </c>
      <c r="F198" s="595">
        <f>'Прилож 4 24 (3)'!V191</f>
        <v>0</v>
      </c>
      <c r="G198" s="595">
        <f>'Прилож 4 24 (3)'!W191</f>
        <v>0</v>
      </c>
      <c r="H198" s="595">
        <f>'Прилож 4 24 (3)'!X191</f>
        <v>10000</v>
      </c>
      <c r="I198" s="626"/>
      <c r="J198" s="595">
        <f>'Прилож 4 24 (3)'!Z191</f>
        <v>0</v>
      </c>
      <c r="K198" s="595">
        <f>'Прилож 4 24 (3)'!AA191</f>
        <v>14035</v>
      </c>
      <c r="L198" s="875">
        <f>'Прилож 4 24 (3)'!AB191</f>
        <v>0</v>
      </c>
      <c r="M198" s="876">
        <f>N198+P198+R198+S198+T198+O198</f>
        <v>3280</v>
      </c>
      <c r="N198" s="876"/>
      <c r="O198" s="876"/>
      <c r="P198" s="876">
        <f>P196+P197</f>
        <v>3280</v>
      </c>
      <c r="Q198" s="881"/>
      <c r="R198" s="876"/>
      <c r="S198" s="876"/>
      <c r="T198" s="876"/>
      <c r="U198" s="876">
        <f t="shared" si="31"/>
        <v>27315</v>
      </c>
      <c r="V198" s="875">
        <f t="shared" si="31"/>
        <v>0</v>
      </c>
      <c r="W198" s="875">
        <f t="shared" si="27"/>
        <v>0</v>
      </c>
      <c r="X198" s="875">
        <f t="shared" si="28"/>
        <v>13280</v>
      </c>
      <c r="Y198" s="881"/>
      <c r="Z198" s="875">
        <f t="shared" si="26"/>
        <v>0</v>
      </c>
      <c r="AA198" s="875">
        <f t="shared" si="29"/>
        <v>14035</v>
      </c>
      <c r="AB198" s="875">
        <f t="shared" si="29"/>
        <v>0</v>
      </c>
      <c r="AC198" s="879"/>
    </row>
    <row r="199" spans="1:30" ht="64.5" customHeight="1" x14ac:dyDescent="0.2">
      <c r="A199" s="618" t="s">
        <v>788</v>
      </c>
      <c r="B199" s="619" t="s">
        <v>747</v>
      </c>
      <c r="C199" s="620">
        <v>244</v>
      </c>
      <c r="D199" s="620">
        <v>342</v>
      </c>
      <c r="E199" s="596">
        <f>L199+K199+J199+H199+G199+F199</f>
        <v>2008650</v>
      </c>
      <c r="F199" s="595">
        <f>'Прилож 4 24 (3)'!V192</f>
        <v>0</v>
      </c>
      <c r="G199" s="595">
        <f>'Прилож 4 24 (3)'!W192</f>
        <v>0</v>
      </c>
      <c r="H199" s="595">
        <f>'Прилож 4 24 (3)'!X192</f>
        <v>851020</v>
      </c>
      <c r="I199" s="628"/>
      <c r="J199" s="595">
        <f>'Прилож 4 24 (3)'!Z192</f>
        <v>0</v>
      </c>
      <c r="K199" s="595">
        <f>'Прилож 4 24 (3)'!AA192</f>
        <v>0</v>
      </c>
      <c r="L199" s="875">
        <f>'Прилож 4 24 (3)'!AB192</f>
        <v>1157630</v>
      </c>
      <c r="M199" s="876">
        <f t="shared" si="30"/>
        <v>0</v>
      </c>
      <c r="N199" s="875"/>
      <c r="O199" s="875"/>
      <c r="P199" s="875"/>
      <c r="Q199" s="877"/>
      <c r="R199" s="875"/>
      <c r="S199" s="875"/>
      <c r="T199" s="875"/>
      <c r="U199" s="876">
        <f t="shared" si="31"/>
        <v>2008650</v>
      </c>
      <c r="V199" s="875">
        <f t="shared" si="31"/>
        <v>0</v>
      </c>
      <c r="W199" s="875">
        <f t="shared" si="27"/>
        <v>0</v>
      </c>
      <c r="X199" s="875">
        <f t="shared" si="28"/>
        <v>851020</v>
      </c>
      <c r="Y199" s="883"/>
      <c r="Z199" s="875">
        <f t="shared" si="26"/>
        <v>0</v>
      </c>
      <c r="AA199" s="875">
        <f t="shared" si="29"/>
        <v>0</v>
      </c>
      <c r="AB199" s="875">
        <f t="shared" si="29"/>
        <v>1157630</v>
      </c>
      <c r="AC199" s="878"/>
    </row>
    <row r="200" spans="1:30" s="614" customFormat="1" ht="26.25" customHeight="1" x14ac:dyDescent="0.2">
      <c r="A200" s="630" t="s">
        <v>786</v>
      </c>
      <c r="B200" s="631"/>
      <c r="C200" s="624"/>
      <c r="D200" s="624"/>
      <c r="E200" s="596">
        <f>SUM(E199)</f>
        <v>2008650</v>
      </c>
      <c r="F200" s="595">
        <f>'Прилож 4 24 (3)'!V193</f>
        <v>0</v>
      </c>
      <c r="G200" s="595">
        <f>'Прилож 4 24 (3)'!W193</f>
        <v>0</v>
      </c>
      <c r="H200" s="595">
        <f>'Прилож 4 24 (3)'!X193</f>
        <v>851020</v>
      </c>
      <c r="I200" s="626">
        <f t="shared" ref="I200" si="35">SUM(I199)</f>
        <v>0</v>
      </c>
      <c r="J200" s="595">
        <f>'Прилож 4 24 (3)'!Z193</f>
        <v>0</v>
      </c>
      <c r="K200" s="595">
        <f>'Прилож 4 24 (3)'!AA193</f>
        <v>0</v>
      </c>
      <c r="L200" s="875">
        <f>'Прилож 4 24 (3)'!AB193</f>
        <v>1157630</v>
      </c>
      <c r="M200" s="876">
        <f t="shared" si="30"/>
        <v>0</v>
      </c>
      <c r="N200" s="876"/>
      <c r="O200" s="876"/>
      <c r="P200" s="876"/>
      <c r="Q200" s="881"/>
      <c r="R200" s="876"/>
      <c r="S200" s="876"/>
      <c r="T200" s="876"/>
      <c r="U200" s="876">
        <f t="shared" si="31"/>
        <v>2008650</v>
      </c>
      <c r="V200" s="875">
        <f t="shared" si="31"/>
        <v>0</v>
      </c>
      <c r="W200" s="875">
        <f t="shared" si="27"/>
        <v>0</v>
      </c>
      <c r="X200" s="875">
        <f t="shared" si="28"/>
        <v>851020</v>
      </c>
      <c r="Y200" s="881">
        <f t="shared" ref="Y200" si="36">SUM(Y199)</f>
        <v>0</v>
      </c>
      <c r="Z200" s="875">
        <f t="shared" si="26"/>
        <v>0</v>
      </c>
      <c r="AA200" s="875">
        <f t="shared" si="29"/>
        <v>0</v>
      </c>
      <c r="AB200" s="875">
        <f t="shared" si="29"/>
        <v>1157630</v>
      </c>
      <c r="AC200" s="879"/>
      <c r="AD200" s="818"/>
    </row>
    <row r="201" spans="1:30" ht="47.25" x14ac:dyDescent="0.2">
      <c r="A201" s="618" t="s">
        <v>793</v>
      </c>
      <c r="B201" s="619" t="s">
        <v>791</v>
      </c>
      <c r="C201" s="620">
        <v>244</v>
      </c>
      <c r="D201" s="620">
        <v>342</v>
      </c>
      <c r="E201" s="596">
        <f t="shared" si="32"/>
        <v>600000</v>
      </c>
      <c r="F201" s="595">
        <f>'Прилож 4 24 (3)'!V194</f>
        <v>600000</v>
      </c>
      <c r="G201" s="595">
        <f>'Прилож 4 24 (3)'!W194</f>
        <v>0</v>
      </c>
      <c r="H201" s="595">
        <f>'Прилож 4 24 (3)'!X194</f>
        <v>0</v>
      </c>
      <c r="I201" s="628"/>
      <c r="J201" s="595">
        <f>'Прилож 4 24 (3)'!Z194</f>
        <v>0</v>
      </c>
      <c r="K201" s="595">
        <f>'Прилож 4 24 (3)'!AA194</f>
        <v>0</v>
      </c>
      <c r="L201" s="875">
        <f>'Прилож 4 24 (3)'!AB194</f>
        <v>0</v>
      </c>
      <c r="M201" s="876">
        <f t="shared" si="30"/>
        <v>0</v>
      </c>
      <c r="N201" s="875"/>
      <c r="O201" s="875"/>
      <c r="P201" s="875"/>
      <c r="Q201" s="877"/>
      <c r="R201" s="875"/>
      <c r="S201" s="875"/>
      <c r="T201" s="875"/>
      <c r="U201" s="876">
        <f t="shared" si="31"/>
        <v>600000</v>
      </c>
      <c r="V201" s="875">
        <f t="shared" si="31"/>
        <v>600000</v>
      </c>
      <c r="W201" s="875">
        <f t="shared" si="27"/>
        <v>0</v>
      </c>
      <c r="X201" s="875">
        <f t="shared" si="28"/>
        <v>0</v>
      </c>
      <c r="Y201" s="883"/>
      <c r="Z201" s="875">
        <f t="shared" si="26"/>
        <v>0</v>
      </c>
      <c r="AA201" s="875">
        <f t="shared" si="29"/>
        <v>0</v>
      </c>
      <c r="AB201" s="875">
        <f t="shared" si="29"/>
        <v>0</v>
      </c>
      <c r="AC201" s="878"/>
    </row>
    <row r="202" spans="1:30" s="614" customFormat="1" x14ac:dyDescent="0.2">
      <c r="A202" s="630" t="s">
        <v>786</v>
      </c>
      <c r="B202" s="631"/>
      <c r="C202" s="624"/>
      <c r="D202" s="624"/>
      <c r="E202" s="596">
        <f t="shared" si="32"/>
        <v>600000</v>
      </c>
      <c r="F202" s="595">
        <f>'Прилож 4 24 (3)'!V195</f>
        <v>600000</v>
      </c>
      <c r="G202" s="595">
        <f>'Прилож 4 24 (3)'!W195</f>
        <v>0</v>
      </c>
      <c r="H202" s="595">
        <f>'Прилож 4 24 (3)'!X195</f>
        <v>0</v>
      </c>
      <c r="I202" s="626">
        <f t="shared" ref="I202" si="37">I201</f>
        <v>0</v>
      </c>
      <c r="J202" s="595">
        <f>'Прилож 4 24 (3)'!Z195</f>
        <v>0</v>
      </c>
      <c r="K202" s="595">
        <f>'Прилож 4 24 (3)'!AA195</f>
        <v>0</v>
      </c>
      <c r="L202" s="875">
        <f>'Прилож 4 24 (3)'!AB195</f>
        <v>0</v>
      </c>
      <c r="M202" s="876">
        <f t="shared" si="30"/>
        <v>0</v>
      </c>
      <c r="N202" s="876"/>
      <c r="O202" s="876"/>
      <c r="P202" s="876"/>
      <c r="Q202" s="881"/>
      <c r="R202" s="876"/>
      <c r="S202" s="876"/>
      <c r="T202" s="876"/>
      <c r="U202" s="876">
        <f t="shared" si="31"/>
        <v>600000</v>
      </c>
      <c r="V202" s="875">
        <f t="shared" si="31"/>
        <v>600000</v>
      </c>
      <c r="W202" s="875">
        <f t="shared" si="27"/>
        <v>0</v>
      </c>
      <c r="X202" s="875">
        <f t="shared" si="28"/>
        <v>0</v>
      </c>
      <c r="Y202" s="881">
        <f t="shared" ref="Y202" si="38">Y201</f>
        <v>0</v>
      </c>
      <c r="Z202" s="875">
        <f t="shared" si="26"/>
        <v>0</v>
      </c>
      <c r="AA202" s="875">
        <f t="shared" si="29"/>
        <v>0</v>
      </c>
      <c r="AB202" s="875">
        <f t="shared" si="29"/>
        <v>0</v>
      </c>
      <c r="AC202" s="879"/>
    </row>
    <row r="203" spans="1:30" x14ac:dyDescent="0.2">
      <c r="A203" s="618" t="s">
        <v>621</v>
      </c>
      <c r="B203" s="619" t="s">
        <v>747</v>
      </c>
      <c r="C203" s="620">
        <v>244</v>
      </c>
      <c r="D203" s="620">
        <v>343</v>
      </c>
      <c r="E203" s="596">
        <f t="shared" si="32"/>
        <v>1000</v>
      </c>
      <c r="F203" s="595">
        <f>'Прилож 4 24 (3)'!V196</f>
        <v>0</v>
      </c>
      <c r="G203" s="595">
        <f>'Прилож 4 24 (3)'!W196</f>
        <v>0</v>
      </c>
      <c r="H203" s="595">
        <f>'Прилож 4 24 (3)'!X196</f>
        <v>1000</v>
      </c>
      <c r="I203" s="628"/>
      <c r="J203" s="595">
        <f>'Прилож 4 24 (3)'!Z196</f>
        <v>0</v>
      </c>
      <c r="K203" s="595">
        <f>'Прилож 4 24 (3)'!AA196</f>
        <v>0</v>
      </c>
      <c r="L203" s="875">
        <f>'Прилож 4 24 (3)'!AB196</f>
        <v>0</v>
      </c>
      <c r="M203" s="876">
        <f t="shared" si="30"/>
        <v>0</v>
      </c>
      <c r="N203" s="875"/>
      <c r="O203" s="875"/>
      <c r="P203" s="875"/>
      <c r="Q203" s="877"/>
      <c r="R203" s="875"/>
      <c r="S203" s="875"/>
      <c r="T203" s="875"/>
      <c r="U203" s="876">
        <f t="shared" si="31"/>
        <v>1000</v>
      </c>
      <c r="V203" s="875">
        <f t="shared" si="31"/>
        <v>0</v>
      </c>
      <c r="W203" s="875">
        <f t="shared" si="27"/>
        <v>0</v>
      </c>
      <c r="X203" s="875">
        <f t="shared" si="28"/>
        <v>1000</v>
      </c>
      <c r="Y203" s="883"/>
      <c r="Z203" s="875">
        <f t="shared" si="26"/>
        <v>0</v>
      </c>
      <c r="AA203" s="875">
        <f t="shared" si="29"/>
        <v>0</v>
      </c>
      <c r="AB203" s="875">
        <f t="shared" si="29"/>
        <v>0</v>
      </c>
      <c r="AC203" s="878"/>
    </row>
    <row r="204" spans="1:30" x14ac:dyDescent="0.2">
      <c r="A204" s="618" t="s">
        <v>1145</v>
      </c>
      <c r="B204" s="619" t="s">
        <v>729</v>
      </c>
      <c r="C204" s="620">
        <v>244</v>
      </c>
      <c r="D204" s="620">
        <v>343</v>
      </c>
      <c r="E204" s="596">
        <f t="shared" si="32"/>
        <v>210000</v>
      </c>
      <c r="F204" s="595">
        <f>'Прилож 4 24 (3)'!V197</f>
        <v>200000</v>
      </c>
      <c r="G204" s="595">
        <f>'Прилож 4 24 (3)'!W197</f>
        <v>0</v>
      </c>
      <c r="H204" s="595">
        <f>'Прилож 4 24 (3)'!X197</f>
        <v>10000</v>
      </c>
      <c r="I204" s="628"/>
      <c r="J204" s="595">
        <f>'Прилож 4 24 (3)'!Z197</f>
        <v>0</v>
      </c>
      <c r="K204" s="595">
        <f>'Прилож 4 24 (3)'!AA197</f>
        <v>0</v>
      </c>
      <c r="L204" s="875">
        <f>'Прилож 4 24 (3)'!AB197</f>
        <v>0</v>
      </c>
      <c r="M204" s="876">
        <f t="shared" si="30"/>
        <v>0</v>
      </c>
      <c r="N204" s="875"/>
      <c r="O204" s="875"/>
      <c r="P204" s="875"/>
      <c r="Q204" s="877"/>
      <c r="R204" s="875"/>
      <c r="S204" s="875"/>
      <c r="T204" s="875"/>
      <c r="U204" s="876">
        <f t="shared" si="31"/>
        <v>210000</v>
      </c>
      <c r="V204" s="875">
        <f t="shared" si="31"/>
        <v>200000</v>
      </c>
      <c r="W204" s="875">
        <f t="shared" si="27"/>
        <v>0</v>
      </c>
      <c r="X204" s="875">
        <f t="shared" si="28"/>
        <v>10000</v>
      </c>
      <c r="Y204" s="883"/>
      <c r="Z204" s="875">
        <f t="shared" si="26"/>
        <v>0</v>
      </c>
      <c r="AA204" s="875">
        <f t="shared" si="29"/>
        <v>0</v>
      </c>
      <c r="AB204" s="875">
        <f t="shared" si="29"/>
        <v>0</v>
      </c>
      <c r="AC204" s="878"/>
    </row>
    <row r="205" spans="1:30" s="614" customFormat="1" x14ac:dyDescent="0.2">
      <c r="A205" s="630" t="s">
        <v>879</v>
      </c>
      <c r="B205" s="631"/>
      <c r="C205" s="624"/>
      <c r="D205" s="624"/>
      <c r="E205" s="596">
        <f>SUM(E203:E204)</f>
        <v>211000</v>
      </c>
      <c r="F205" s="595">
        <f>'Прилож 4 24 (3)'!V198</f>
        <v>200000</v>
      </c>
      <c r="G205" s="595">
        <f>'Прилож 4 24 (3)'!W198</f>
        <v>0</v>
      </c>
      <c r="H205" s="595">
        <f>'Прилож 4 24 (3)'!X198</f>
        <v>11000</v>
      </c>
      <c r="I205" s="626">
        <f t="shared" ref="I205" si="39">SUM(I203:I204)</f>
        <v>0</v>
      </c>
      <c r="J205" s="595">
        <f>'Прилож 4 24 (3)'!Z198</f>
        <v>0</v>
      </c>
      <c r="K205" s="595">
        <f>'Прилож 4 24 (3)'!AA198</f>
        <v>0</v>
      </c>
      <c r="L205" s="875">
        <f>'Прилож 4 24 (3)'!AB198</f>
        <v>0</v>
      </c>
      <c r="M205" s="876">
        <f t="shared" si="30"/>
        <v>0</v>
      </c>
      <c r="N205" s="876">
        <f>SUM(N203:N204)</f>
        <v>0</v>
      </c>
      <c r="O205" s="876"/>
      <c r="P205" s="876"/>
      <c r="Q205" s="881"/>
      <c r="R205" s="876"/>
      <c r="S205" s="876"/>
      <c r="T205" s="876"/>
      <c r="U205" s="876">
        <f t="shared" si="31"/>
        <v>211000</v>
      </c>
      <c r="V205" s="875">
        <f t="shared" si="31"/>
        <v>200000</v>
      </c>
      <c r="W205" s="875">
        <f t="shared" si="27"/>
        <v>0</v>
      </c>
      <c r="X205" s="875">
        <f t="shared" si="28"/>
        <v>11000</v>
      </c>
      <c r="Y205" s="881">
        <f t="shared" ref="Y205" si="40">SUM(Y203:Y204)</f>
        <v>0</v>
      </c>
      <c r="Z205" s="875">
        <f t="shared" si="26"/>
        <v>0</v>
      </c>
      <c r="AA205" s="875">
        <f t="shared" si="29"/>
        <v>0</v>
      </c>
      <c r="AB205" s="875">
        <f t="shared" si="29"/>
        <v>0</v>
      </c>
      <c r="AC205" s="879"/>
    </row>
    <row r="206" spans="1:30" s="614" customFormat="1" ht="31.5" x14ac:dyDescent="0.2">
      <c r="A206" s="618" t="s">
        <v>941</v>
      </c>
      <c r="B206" s="619" t="s">
        <v>729</v>
      </c>
      <c r="C206" s="620">
        <v>244</v>
      </c>
      <c r="D206" s="620">
        <v>344</v>
      </c>
      <c r="E206" s="596">
        <f t="shared" si="32"/>
        <v>20000</v>
      </c>
      <c r="F206" s="595">
        <f>'Прилож 4 24 (3)'!V199</f>
        <v>0</v>
      </c>
      <c r="G206" s="595">
        <f>'Прилож 4 24 (3)'!W199</f>
        <v>0</v>
      </c>
      <c r="H206" s="595">
        <f>'Прилож 4 24 (3)'!X199</f>
        <v>20000</v>
      </c>
      <c r="I206" s="628"/>
      <c r="J206" s="595">
        <f>'Прилож 4 24 (3)'!Z199</f>
        <v>0</v>
      </c>
      <c r="K206" s="595">
        <f>'Прилож 4 24 (3)'!AA199</f>
        <v>0</v>
      </c>
      <c r="L206" s="875">
        <f>'Прилож 4 24 (3)'!AB199</f>
        <v>0</v>
      </c>
      <c r="M206" s="876">
        <f t="shared" si="30"/>
        <v>-15108</v>
      </c>
      <c r="N206" s="876"/>
      <c r="O206" s="876"/>
      <c r="P206" s="875">
        <v>-15108</v>
      </c>
      <c r="Q206" s="883"/>
      <c r="R206" s="876"/>
      <c r="S206" s="876"/>
      <c r="T206" s="875"/>
      <c r="U206" s="876">
        <f t="shared" si="31"/>
        <v>4892</v>
      </c>
      <c r="V206" s="875">
        <f t="shared" si="31"/>
        <v>0</v>
      </c>
      <c r="W206" s="875">
        <f t="shared" si="27"/>
        <v>0</v>
      </c>
      <c r="X206" s="875">
        <f t="shared" si="28"/>
        <v>4892</v>
      </c>
      <c r="Y206" s="883"/>
      <c r="Z206" s="875">
        <f t="shared" si="26"/>
        <v>0</v>
      </c>
      <c r="AA206" s="875">
        <f t="shared" si="29"/>
        <v>0</v>
      </c>
      <c r="AB206" s="875">
        <f t="shared" si="29"/>
        <v>0</v>
      </c>
      <c r="AC206" s="878" t="s">
        <v>1396</v>
      </c>
    </row>
    <row r="207" spans="1:30" s="614" customFormat="1" x14ac:dyDescent="0.2">
      <c r="A207" s="630" t="s">
        <v>942</v>
      </c>
      <c r="B207" s="631"/>
      <c r="C207" s="624"/>
      <c r="D207" s="624"/>
      <c r="E207" s="596">
        <f>SUM(E206)</f>
        <v>20000</v>
      </c>
      <c r="F207" s="595">
        <f>'Прилож 4 24 (3)'!V200</f>
        <v>0</v>
      </c>
      <c r="G207" s="595">
        <f>'Прилож 4 24 (3)'!W200</f>
        <v>0</v>
      </c>
      <c r="H207" s="595">
        <f>'Прилож 4 24 (3)'!X200</f>
        <v>20000</v>
      </c>
      <c r="I207" s="626">
        <f t="shared" ref="I207" si="41">SUM(I206)</f>
        <v>0</v>
      </c>
      <c r="J207" s="595">
        <f>'Прилож 4 24 (3)'!Z200</f>
        <v>0</v>
      </c>
      <c r="K207" s="595">
        <f>'Прилож 4 24 (3)'!AA200</f>
        <v>0</v>
      </c>
      <c r="L207" s="875">
        <f>'Прилож 4 24 (3)'!AB200</f>
        <v>0</v>
      </c>
      <c r="M207" s="876">
        <f t="shared" si="30"/>
        <v>-15108</v>
      </c>
      <c r="N207" s="876"/>
      <c r="O207" s="876"/>
      <c r="P207" s="876">
        <f>P206</f>
        <v>-15108</v>
      </c>
      <c r="Q207" s="881"/>
      <c r="R207" s="876"/>
      <c r="S207" s="876"/>
      <c r="T207" s="876"/>
      <c r="U207" s="876">
        <f t="shared" si="31"/>
        <v>4892</v>
      </c>
      <c r="V207" s="875">
        <f t="shared" si="31"/>
        <v>0</v>
      </c>
      <c r="W207" s="875">
        <f t="shared" si="27"/>
        <v>0</v>
      </c>
      <c r="X207" s="875">
        <f t="shared" si="28"/>
        <v>4892</v>
      </c>
      <c r="Y207" s="881">
        <f t="shared" ref="Y207" si="42">SUM(Y206)</f>
        <v>0</v>
      </c>
      <c r="Z207" s="875">
        <f t="shared" ref="Z207:Z231" si="43">R207+J207</f>
        <v>0</v>
      </c>
      <c r="AA207" s="875">
        <f t="shared" si="29"/>
        <v>0</v>
      </c>
      <c r="AB207" s="875">
        <f t="shared" si="29"/>
        <v>0</v>
      </c>
      <c r="AC207" s="895"/>
    </row>
    <row r="208" spans="1:30" x14ac:dyDescent="0.2">
      <c r="A208" s="618" t="s">
        <v>169</v>
      </c>
      <c r="B208" s="619" t="s">
        <v>747</v>
      </c>
      <c r="C208" s="620">
        <v>244</v>
      </c>
      <c r="D208" s="620">
        <v>345</v>
      </c>
      <c r="E208" s="596">
        <f t="shared" si="32"/>
        <v>20000</v>
      </c>
      <c r="F208" s="595">
        <f>'Прилож 4 24 (3)'!V201</f>
        <v>0</v>
      </c>
      <c r="G208" s="595">
        <f>'Прилож 4 24 (3)'!W201</f>
        <v>0</v>
      </c>
      <c r="H208" s="595">
        <f>'Прилож 4 24 (3)'!X201</f>
        <v>0</v>
      </c>
      <c r="I208" s="628"/>
      <c r="J208" s="595">
        <f>'Прилож 4 24 (3)'!Z201</f>
        <v>0</v>
      </c>
      <c r="K208" s="595">
        <f>'Прилож 4 24 (3)'!AA201</f>
        <v>0</v>
      </c>
      <c r="L208" s="875">
        <f>'Прилож 4 24 (3)'!AB201</f>
        <v>20000</v>
      </c>
      <c r="M208" s="876">
        <f t="shared" si="30"/>
        <v>0</v>
      </c>
      <c r="N208" s="875"/>
      <c r="O208" s="875"/>
      <c r="P208" s="875"/>
      <c r="Q208" s="877"/>
      <c r="R208" s="875"/>
      <c r="S208" s="875"/>
      <c r="T208" s="875"/>
      <c r="U208" s="876">
        <f t="shared" si="31"/>
        <v>20000</v>
      </c>
      <c r="V208" s="875">
        <f t="shared" si="31"/>
        <v>0</v>
      </c>
      <c r="W208" s="875">
        <f t="shared" si="27"/>
        <v>0</v>
      </c>
      <c r="X208" s="875">
        <f t="shared" si="28"/>
        <v>0</v>
      </c>
      <c r="Y208" s="883"/>
      <c r="Z208" s="875">
        <f t="shared" si="43"/>
        <v>0</v>
      </c>
      <c r="AA208" s="875">
        <f t="shared" si="29"/>
        <v>0</v>
      </c>
      <c r="AB208" s="875">
        <f t="shared" si="29"/>
        <v>20000</v>
      </c>
      <c r="AC208" s="878"/>
    </row>
    <row r="209" spans="1:31" s="614" customFormat="1" ht="30" customHeight="1" x14ac:dyDescent="0.2">
      <c r="A209" s="630" t="s">
        <v>743</v>
      </c>
      <c r="B209" s="631"/>
      <c r="C209" s="624"/>
      <c r="D209" s="624"/>
      <c r="E209" s="596">
        <f>SUM(E208)</f>
        <v>20000</v>
      </c>
      <c r="F209" s="595">
        <f>'Прилож 4 24 (3)'!V202</f>
        <v>0</v>
      </c>
      <c r="G209" s="595">
        <f>'Прилож 4 24 (3)'!W202</f>
        <v>0</v>
      </c>
      <c r="H209" s="595">
        <f>'Прилож 4 24 (3)'!X202</f>
        <v>0</v>
      </c>
      <c r="I209" s="626">
        <f t="shared" ref="I209" si="44">SUM(I208)</f>
        <v>0</v>
      </c>
      <c r="J209" s="595">
        <f>'Прилож 4 24 (3)'!Z202</f>
        <v>0</v>
      </c>
      <c r="K209" s="595">
        <f>'Прилож 4 24 (3)'!AA202</f>
        <v>0</v>
      </c>
      <c r="L209" s="875">
        <f>'Прилож 4 24 (3)'!AB202</f>
        <v>20000</v>
      </c>
      <c r="M209" s="876">
        <f t="shared" si="30"/>
        <v>0</v>
      </c>
      <c r="N209" s="876"/>
      <c r="O209" s="876"/>
      <c r="P209" s="876"/>
      <c r="Q209" s="881"/>
      <c r="R209" s="876"/>
      <c r="S209" s="876"/>
      <c r="T209" s="876"/>
      <c r="U209" s="876">
        <f t="shared" si="31"/>
        <v>20000</v>
      </c>
      <c r="V209" s="875">
        <f t="shared" si="31"/>
        <v>0</v>
      </c>
      <c r="W209" s="875">
        <f t="shared" si="27"/>
        <v>0</v>
      </c>
      <c r="X209" s="875">
        <f t="shared" si="28"/>
        <v>0</v>
      </c>
      <c r="Y209" s="881">
        <f t="shared" ref="Y209" si="45">SUM(Y208)</f>
        <v>0</v>
      </c>
      <c r="Z209" s="875">
        <f t="shared" si="43"/>
        <v>0</v>
      </c>
      <c r="AA209" s="875">
        <f t="shared" si="29"/>
        <v>0</v>
      </c>
      <c r="AB209" s="875">
        <f t="shared" si="29"/>
        <v>20000</v>
      </c>
      <c r="AC209" s="879"/>
    </row>
    <row r="210" spans="1:31" ht="133.5" customHeight="1" x14ac:dyDescent="0.2">
      <c r="A210" s="618" t="s">
        <v>1301</v>
      </c>
      <c r="B210" s="619" t="s">
        <v>747</v>
      </c>
      <c r="C210" s="620">
        <v>244</v>
      </c>
      <c r="D210" s="620">
        <v>346</v>
      </c>
      <c r="E210" s="596">
        <f t="shared" si="32"/>
        <v>79796.61</v>
      </c>
      <c r="F210" s="595">
        <f>'Прилож 4 24 (3)'!V203</f>
        <v>0</v>
      </c>
      <c r="G210" s="595">
        <f>'Прилож 4 24 (3)'!W203</f>
        <v>0</v>
      </c>
      <c r="H210" s="595">
        <f>'Прилож 4 24 (3)'!X203</f>
        <v>34648.9</v>
      </c>
      <c r="I210" s="621"/>
      <c r="J210" s="595">
        <f>'Прилож 4 24 (3)'!Z203</f>
        <v>0</v>
      </c>
      <c r="K210" s="595">
        <f>'Прилож 4 24 (3)'!AA203</f>
        <v>0</v>
      </c>
      <c r="L210" s="875">
        <f>'Прилож 4 24 (3)'!AB203</f>
        <v>45147.71</v>
      </c>
      <c r="M210" s="876">
        <f t="shared" si="30"/>
        <v>186159.95</v>
      </c>
      <c r="N210" s="875">
        <v>80000</v>
      </c>
      <c r="O210" s="875"/>
      <c r="P210" s="875">
        <v>106159.95</v>
      </c>
      <c r="Q210" s="877"/>
      <c r="R210" s="875"/>
      <c r="S210" s="875"/>
      <c r="T210" s="875"/>
      <c r="U210" s="876">
        <f t="shared" si="31"/>
        <v>265956.56</v>
      </c>
      <c r="V210" s="875">
        <f t="shared" si="31"/>
        <v>80000</v>
      </c>
      <c r="W210" s="875">
        <f t="shared" si="27"/>
        <v>0</v>
      </c>
      <c r="X210" s="875">
        <f t="shared" si="28"/>
        <v>140808.85</v>
      </c>
      <c r="Y210" s="877"/>
      <c r="Z210" s="875">
        <f t="shared" si="43"/>
        <v>0</v>
      </c>
      <c r="AA210" s="875">
        <f t="shared" si="29"/>
        <v>0</v>
      </c>
      <c r="AB210" s="875">
        <f t="shared" si="29"/>
        <v>45147.71</v>
      </c>
      <c r="AC210" s="878" t="s">
        <v>1429</v>
      </c>
    </row>
    <row r="211" spans="1:31" ht="96" customHeight="1" x14ac:dyDescent="0.2">
      <c r="A211" s="618" t="s">
        <v>1311</v>
      </c>
      <c r="B211" s="619" t="s">
        <v>747</v>
      </c>
      <c r="C211" s="620">
        <v>244</v>
      </c>
      <c r="D211" s="620">
        <v>346</v>
      </c>
      <c r="E211" s="596">
        <f t="shared" si="32"/>
        <v>901047.58</v>
      </c>
      <c r="F211" s="595">
        <f>'Прилож 4 24 (3)'!V204</f>
        <v>901047.58</v>
      </c>
      <c r="G211" s="595">
        <f>'Прилож 4 24 (3)'!W204</f>
        <v>0</v>
      </c>
      <c r="H211" s="595">
        <f>'Прилож 4 24 (3)'!X204</f>
        <v>0</v>
      </c>
      <c r="I211" s="621"/>
      <c r="J211" s="595">
        <f>'Прилож 4 24 (3)'!Z204</f>
        <v>0</v>
      </c>
      <c r="K211" s="595">
        <f>'Прилож 4 24 (3)'!AA204</f>
        <v>0</v>
      </c>
      <c r="L211" s="875">
        <f>'Прилож 4 24 (3)'!AB204</f>
        <v>0</v>
      </c>
      <c r="M211" s="876">
        <f t="shared" si="30"/>
        <v>229382.43</v>
      </c>
      <c r="N211" s="875">
        <f>111179.03+120000-1796.6</f>
        <v>229382.43</v>
      </c>
      <c r="O211" s="875"/>
      <c r="P211" s="875"/>
      <c r="Q211" s="877"/>
      <c r="R211" s="875"/>
      <c r="S211" s="875"/>
      <c r="T211" s="875"/>
      <c r="U211" s="876">
        <f t="shared" si="31"/>
        <v>1130430.01</v>
      </c>
      <c r="V211" s="875">
        <f t="shared" si="31"/>
        <v>1130430.01</v>
      </c>
      <c r="W211" s="875">
        <f t="shared" si="27"/>
        <v>0</v>
      </c>
      <c r="X211" s="875">
        <f t="shared" si="28"/>
        <v>0</v>
      </c>
      <c r="Y211" s="877"/>
      <c r="Z211" s="875">
        <f t="shared" si="43"/>
        <v>0</v>
      </c>
      <c r="AA211" s="875">
        <f t="shared" si="29"/>
        <v>0</v>
      </c>
      <c r="AB211" s="875">
        <f t="shared" si="29"/>
        <v>0</v>
      </c>
      <c r="AC211" s="878" t="s">
        <v>1428</v>
      </c>
      <c r="AD211" s="820"/>
    </row>
    <row r="212" spans="1:31" ht="90" customHeight="1" x14ac:dyDescent="0.2">
      <c r="A212" s="618" t="s">
        <v>1419</v>
      </c>
      <c r="B212" s="619" t="s">
        <v>747</v>
      </c>
      <c r="C212" s="620">
        <v>244</v>
      </c>
      <c r="D212" s="620">
        <v>346</v>
      </c>
      <c r="E212" s="596"/>
      <c r="F212" s="595"/>
      <c r="G212" s="595">
        <f>'Прилож 4 24 (3)'!W204</f>
        <v>0</v>
      </c>
      <c r="H212" s="595">
        <f>'Прилож 4 24 (3)'!X204</f>
        <v>0</v>
      </c>
      <c r="I212" s="621"/>
      <c r="J212" s="595">
        <f>'Прилож 4 24 (3)'!Z204</f>
        <v>0</v>
      </c>
      <c r="K212" s="595">
        <f>'Прилож 4 24 (3)'!AA204</f>
        <v>0</v>
      </c>
      <c r="L212" s="875">
        <f>'Прилож 4 24 (3)'!AB204</f>
        <v>0</v>
      </c>
      <c r="M212" s="876">
        <f t="shared" ref="M212" si="46">N212+P212+R212+S212+T212+O212</f>
        <v>30000</v>
      </c>
      <c r="N212" s="875">
        <v>30000</v>
      </c>
      <c r="O212" s="875"/>
      <c r="P212" s="875"/>
      <c r="Q212" s="877"/>
      <c r="R212" s="875"/>
      <c r="S212" s="875"/>
      <c r="T212" s="875"/>
      <c r="U212" s="876">
        <f t="shared" ref="U212" si="47">E212+M212</f>
        <v>30000</v>
      </c>
      <c r="V212" s="875">
        <f t="shared" ref="V212" si="48">F212+N212</f>
        <v>30000</v>
      </c>
      <c r="W212" s="875">
        <f t="shared" ref="W212" si="49">O212+G212</f>
        <v>0</v>
      </c>
      <c r="X212" s="875">
        <f t="shared" ref="X212" si="50">P212+H212</f>
        <v>0</v>
      </c>
      <c r="Y212" s="877"/>
      <c r="Z212" s="875">
        <f t="shared" ref="Z212" si="51">R212+J212</f>
        <v>0</v>
      </c>
      <c r="AA212" s="875">
        <f t="shared" ref="AA212" si="52">S212+K212</f>
        <v>0</v>
      </c>
      <c r="AB212" s="875">
        <f t="shared" ref="AB212" si="53">T212+L212</f>
        <v>0</v>
      </c>
      <c r="AC212" s="878" t="s">
        <v>1428</v>
      </c>
      <c r="AD212" s="820"/>
    </row>
    <row r="213" spans="1:31" ht="42.75" customHeight="1" x14ac:dyDescent="0.2">
      <c r="A213" s="618" t="s">
        <v>1293</v>
      </c>
      <c r="B213" s="619" t="s">
        <v>747</v>
      </c>
      <c r="C213" s="620">
        <v>244</v>
      </c>
      <c r="D213" s="620">
        <v>346</v>
      </c>
      <c r="E213" s="596">
        <f t="shared" si="32"/>
        <v>12000</v>
      </c>
      <c r="F213" s="595">
        <f>'Прилож 4 24 (3)'!V205</f>
        <v>0</v>
      </c>
      <c r="G213" s="595">
        <f>'Прилож 4 24 (3)'!W205</f>
        <v>0</v>
      </c>
      <c r="H213" s="595">
        <f>'Прилож 4 24 (3)'!X205</f>
        <v>0</v>
      </c>
      <c r="I213" s="621"/>
      <c r="J213" s="595">
        <f>'Прилож 4 24 (3)'!Z205</f>
        <v>0</v>
      </c>
      <c r="K213" s="595">
        <f>'Прилож 4 24 (3)'!AA205</f>
        <v>0</v>
      </c>
      <c r="L213" s="875">
        <f>'Прилож 4 24 (3)'!AB205</f>
        <v>12000</v>
      </c>
      <c r="M213" s="876">
        <f t="shared" si="30"/>
        <v>0</v>
      </c>
      <c r="N213" s="875"/>
      <c r="O213" s="875"/>
      <c r="P213" s="875"/>
      <c r="Q213" s="877"/>
      <c r="R213" s="875"/>
      <c r="S213" s="875"/>
      <c r="T213" s="875"/>
      <c r="U213" s="876">
        <f t="shared" si="31"/>
        <v>12000</v>
      </c>
      <c r="V213" s="875">
        <f t="shared" si="31"/>
        <v>0</v>
      </c>
      <c r="W213" s="875">
        <f t="shared" si="27"/>
        <v>0</v>
      </c>
      <c r="X213" s="875">
        <f t="shared" si="28"/>
        <v>0</v>
      </c>
      <c r="Y213" s="877"/>
      <c r="Z213" s="875">
        <f t="shared" si="43"/>
        <v>0</v>
      </c>
      <c r="AA213" s="875">
        <f t="shared" si="29"/>
        <v>0</v>
      </c>
      <c r="AB213" s="875">
        <f t="shared" si="29"/>
        <v>12000</v>
      </c>
      <c r="AC213" s="878"/>
      <c r="AD213" s="820"/>
    </row>
    <row r="214" spans="1:31" s="637" customFormat="1" ht="19.5" customHeight="1" x14ac:dyDescent="0.2">
      <c r="A214" s="632" t="s">
        <v>1143</v>
      </c>
      <c r="B214" s="633" t="s">
        <v>747</v>
      </c>
      <c r="C214" s="634">
        <v>244</v>
      </c>
      <c r="D214" s="634">
        <v>346</v>
      </c>
      <c r="E214" s="597">
        <f>SUM(E210:E213)</f>
        <v>992844.19</v>
      </c>
      <c r="F214" s="595">
        <f>'Прилож 4 24 (3)'!V206</f>
        <v>901047.58</v>
      </c>
      <c r="G214" s="595">
        <f>'Прилож 4 24 (3)'!W206</f>
        <v>0</v>
      </c>
      <c r="H214" s="595">
        <f>'Прилож 4 24 (3)'!X206</f>
        <v>34648.9</v>
      </c>
      <c r="I214" s="597">
        <f t="shared" ref="I214" si="54">SUM(I210:I213)</f>
        <v>0</v>
      </c>
      <c r="J214" s="595">
        <f>'Прилож 4 24 (3)'!Z206</f>
        <v>0</v>
      </c>
      <c r="K214" s="595">
        <f>'Прилож 4 24 (3)'!AA206</f>
        <v>0</v>
      </c>
      <c r="L214" s="875">
        <f>'Прилож 4 24 (3)'!AB206</f>
        <v>57147.71</v>
      </c>
      <c r="M214" s="876">
        <f t="shared" si="30"/>
        <v>445542.38</v>
      </c>
      <c r="N214" s="876">
        <f>SUM(N210:N213)</f>
        <v>339382.43</v>
      </c>
      <c r="O214" s="876"/>
      <c r="P214" s="876">
        <f>SUM(P210:P213)</f>
        <v>106159.95</v>
      </c>
      <c r="Q214" s="876"/>
      <c r="R214" s="876"/>
      <c r="S214" s="876"/>
      <c r="T214" s="876"/>
      <c r="U214" s="876">
        <f t="shared" si="31"/>
        <v>1438386.5699999998</v>
      </c>
      <c r="V214" s="875">
        <f t="shared" si="31"/>
        <v>1240430.01</v>
      </c>
      <c r="W214" s="875">
        <f t="shared" si="27"/>
        <v>0</v>
      </c>
      <c r="X214" s="875">
        <f t="shared" si="28"/>
        <v>140808.85</v>
      </c>
      <c r="Y214" s="884">
        <f t="shared" ref="Y214" si="55">SUM(Y210:Y213)</f>
        <v>0</v>
      </c>
      <c r="Z214" s="875">
        <f t="shared" si="43"/>
        <v>0</v>
      </c>
      <c r="AA214" s="875">
        <f t="shared" si="29"/>
        <v>0</v>
      </c>
      <c r="AB214" s="875">
        <f t="shared" si="29"/>
        <v>57147.71</v>
      </c>
      <c r="AC214" s="886"/>
      <c r="AD214" s="819"/>
      <c r="AE214" s="819"/>
    </row>
    <row r="215" spans="1:31" ht="135" customHeight="1" x14ac:dyDescent="0.2">
      <c r="A215" s="618" t="s">
        <v>1423</v>
      </c>
      <c r="B215" s="619" t="s">
        <v>729</v>
      </c>
      <c r="C215" s="620">
        <v>244</v>
      </c>
      <c r="D215" s="620">
        <v>346</v>
      </c>
      <c r="E215" s="596">
        <f t="shared" si="32"/>
        <v>120928.90000000001</v>
      </c>
      <c r="F215" s="595">
        <f>'Прилож 4 24 (3)'!V207</f>
        <v>0</v>
      </c>
      <c r="G215" s="595">
        <f>'Прилож 4 24 (3)'!W207</f>
        <v>0</v>
      </c>
      <c r="H215" s="595">
        <f>'Прилож 4 24 (3)'!X207</f>
        <v>120928.90000000001</v>
      </c>
      <c r="I215" s="621"/>
      <c r="J215" s="595">
        <f>'Прилож 4 24 (3)'!Z207</f>
        <v>0</v>
      </c>
      <c r="K215" s="595">
        <f>'Прилож 4 24 (3)'!AA207</f>
        <v>0</v>
      </c>
      <c r="L215" s="875">
        <f>'Прилож 4 24 (3)'!AB207</f>
        <v>0</v>
      </c>
      <c r="M215" s="876">
        <f t="shared" si="30"/>
        <v>-18504.93</v>
      </c>
      <c r="N215" s="875"/>
      <c r="O215" s="875"/>
      <c r="P215" s="875">
        <v>-33015</v>
      </c>
      <c r="Q215" s="877"/>
      <c r="R215" s="875"/>
      <c r="S215" s="875"/>
      <c r="T215" s="875">
        <v>14510.07</v>
      </c>
      <c r="U215" s="876">
        <f t="shared" si="31"/>
        <v>102423.97</v>
      </c>
      <c r="V215" s="875">
        <f t="shared" si="31"/>
        <v>0</v>
      </c>
      <c r="W215" s="875">
        <f t="shared" si="27"/>
        <v>0</v>
      </c>
      <c r="X215" s="875">
        <f t="shared" si="28"/>
        <v>87913.900000000009</v>
      </c>
      <c r="Y215" s="877"/>
      <c r="Z215" s="875">
        <f t="shared" si="43"/>
        <v>0</v>
      </c>
      <c r="AA215" s="875">
        <f t="shared" si="29"/>
        <v>0</v>
      </c>
      <c r="AB215" s="875">
        <f t="shared" si="29"/>
        <v>14510.07</v>
      </c>
      <c r="AC215" s="878" t="s">
        <v>1398</v>
      </c>
    </row>
    <row r="216" spans="1:31" ht="33" customHeight="1" x14ac:dyDescent="0.2">
      <c r="A216" s="618" t="s">
        <v>617</v>
      </c>
      <c r="B216" s="619" t="s">
        <v>729</v>
      </c>
      <c r="C216" s="620">
        <v>244</v>
      </c>
      <c r="D216" s="620">
        <v>346</v>
      </c>
      <c r="E216" s="596">
        <f t="shared" si="32"/>
        <v>10000</v>
      </c>
      <c r="F216" s="595">
        <f>'Прилож 4 24 (3)'!V208</f>
        <v>0</v>
      </c>
      <c r="G216" s="595">
        <f>'Прилож 4 24 (3)'!W208</f>
        <v>0</v>
      </c>
      <c r="H216" s="595">
        <f>'Прилож 4 24 (3)'!X208</f>
        <v>10000</v>
      </c>
      <c r="I216" s="621"/>
      <c r="J216" s="595">
        <f>'Прилож 4 24 (3)'!Z208</f>
        <v>0</v>
      </c>
      <c r="K216" s="595">
        <f>'Прилож 4 24 (3)'!AA208</f>
        <v>0</v>
      </c>
      <c r="L216" s="875">
        <f>'Прилож 4 24 (3)'!AB208</f>
        <v>0</v>
      </c>
      <c r="M216" s="876">
        <f t="shared" si="30"/>
        <v>33015</v>
      </c>
      <c r="N216" s="875"/>
      <c r="O216" s="875"/>
      <c r="P216" s="875">
        <v>33015</v>
      </c>
      <c r="Q216" s="877"/>
      <c r="R216" s="875"/>
      <c r="S216" s="875"/>
      <c r="T216" s="875"/>
      <c r="U216" s="876">
        <f t="shared" si="31"/>
        <v>43015</v>
      </c>
      <c r="V216" s="875">
        <f t="shared" si="31"/>
        <v>0</v>
      </c>
      <c r="W216" s="875">
        <f t="shared" si="27"/>
        <v>0</v>
      </c>
      <c r="X216" s="875">
        <f t="shared" si="28"/>
        <v>43015</v>
      </c>
      <c r="Y216" s="877"/>
      <c r="Z216" s="875">
        <f t="shared" si="43"/>
        <v>0</v>
      </c>
      <c r="AA216" s="875">
        <f t="shared" si="29"/>
        <v>0</v>
      </c>
      <c r="AB216" s="875">
        <f t="shared" si="29"/>
        <v>0</v>
      </c>
      <c r="AC216" s="878" t="s">
        <v>1400</v>
      </c>
    </row>
    <row r="217" spans="1:31" ht="34.5" customHeight="1" x14ac:dyDescent="0.2">
      <c r="A217" s="618" t="s">
        <v>1427</v>
      </c>
      <c r="B217" s="619" t="s">
        <v>729</v>
      </c>
      <c r="C217" s="620">
        <v>244</v>
      </c>
      <c r="D217" s="620">
        <v>346</v>
      </c>
      <c r="E217" s="596">
        <f>'Прилож 4 24 (2)'!V195</f>
        <v>10000</v>
      </c>
      <c r="F217" s="595">
        <f>'Прилож 4 24 (3)'!V209</f>
        <v>10000</v>
      </c>
      <c r="G217" s="595">
        <f>'Прилож 4 24 (3)'!W209</f>
        <v>0</v>
      </c>
      <c r="H217" s="595">
        <f>'Прилож 4 24 (3)'!X209</f>
        <v>0</v>
      </c>
      <c r="I217" s="621"/>
      <c r="J217" s="595">
        <f>'Прилож 4 24 (3)'!Z209</f>
        <v>0</v>
      </c>
      <c r="K217" s="595">
        <f>'Прилож 4 24 (3)'!AA209</f>
        <v>0</v>
      </c>
      <c r="L217" s="875">
        <f>'Прилож 4 24 (3)'!AB209</f>
        <v>0</v>
      </c>
      <c r="M217" s="876"/>
      <c r="N217" s="875"/>
      <c r="O217" s="875"/>
      <c r="P217" s="875"/>
      <c r="Q217" s="877"/>
      <c r="R217" s="875"/>
      <c r="S217" s="875"/>
      <c r="T217" s="875"/>
      <c r="U217" s="876">
        <f t="shared" si="31"/>
        <v>10000</v>
      </c>
      <c r="V217" s="875">
        <f t="shared" si="31"/>
        <v>10000</v>
      </c>
      <c r="W217" s="875">
        <f t="shared" si="27"/>
        <v>0</v>
      </c>
      <c r="X217" s="875">
        <f t="shared" si="28"/>
        <v>0</v>
      </c>
      <c r="Y217" s="877"/>
      <c r="Z217" s="875">
        <f t="shared" si="43"/>
        <v>0</v>
      </c>
      <c r="AA217" s="875">
        <f t="shared" si="29"/>
        <v>0</v>
      </c>
      <c r="AB217" s="875">
        <f t="shared" si="29"/>
        <v>0</v>
      </c>
      <c r="AC217" s="878"/>
    </row>
    <row r="218" spans="1:31" ht="39" customHeight="1" x14ac:dyDescent="0.2">
      <c r="A218" s="618" t="s">
        <v>1285</v>
      </c>
      <c r="B218" s="619" t="s">
        <v>729</v>
      </c>
      <c r="C218" s="620">
        <v>244</v>
      </c>
      <c r="D218" s="620">
        <v>346</v>
      </c>
      <c r="E218" s="596">
        <f>'Прилож 4 24 (2)'!V196</f>
        <v>50000</v>
      </c>
      <c r="F218" s="595">
        <f>'Прилож 4 24 (3)'!V210</f>
        <v>50000</v>
      </c>
      <c r="G218" s="595">
        <f>'Прилож 4 24 (3)'!W210</f>
        <v>0</v>
      </c>
      <c r="H218" s="595">
        <f>'Прилож 4 24 (3)'!X210</f>
        <v>0</v>
      </c>
      <c r="I218" s="621"/>
      <c r="J218" s="595">
        <f>'Прилож 4 24 (3)'!Z210</f>
        <v>0</v>
      </c>
      <c r="K218" s="595">
        <f>'Прилож 4 24 (3)'!AA210</f>
        <v>0</v>
      </c>
      <c r="L218" s="875">
        <f>'Прилож 4 24 (3)'!AB210</f>
        <v>0</v>
      </c>
      <c r="M218" s="876">
        <f t="shared" si="30"/>
        <v>0</v>
      </c>
      <c r="N218" s="875"/>
      <c r="O218" s="875"/>
      <c r="P218" s="875"/>
      <c r="Q218" s="877"/>
      <c r="R218" s="875"/>
      <c r="S218" s="875"/>
      <c r="T218" s="875"/>
      <c r="U218" s="876">
        <f t="shared" si="31"/>
        <v>50000</v>
      </c>
      <c r="V218" s="875">
        <f t="shared" si="31"/>
        <v>50000</v>
      </c>
      <c r="W218" s="875">
        <f t="shared" si="27"/>
        <v>0</v>
      </c>
      <c r="X218" s="875">
        <f t="shared" si="28"/>
        <v>0</v>
      </c>
      <c r="Y218" s="877"/>
      <c r="Z218" s="875">
        <f t="shared" si="43"/>
        <v>0</v>
      </c>
      <c r="AA218" s="875">
        <f t="shared" si="29"/>
        <v>0</v>
      </c>
      <c r="AB218" s="875">
        <f t="shared" si="29"/>
        <v>0</v>
      </c>
      <c r="AC218" s="878"/>
    </row>
    <row r="219" spans="1:31" ht="132.75" customHeight="1" x14ac:dyDescent="0.2">
      <c r="A219" s="618" t="s">
        <v>1286</v>
      </c>
      <c r="B219" s="619" t="s">
        <v>729</v>
      </c>
      <c r="C219" s="620">
        <v>244</v>
      </c>
      <c r="D219" s="620">
        <v>346</v>
      </c>
      <c r="E219" s="596">
        <f>'Прилож 4 24 (2)'!V197</f>
        <v>12303.79</v>
      </c>
      <c r="F219" s="595">
        <f>'Прилож 4 24 (3)'!V211</f>
        <v>12303.79</v>
      </c>
      <c r="G219" s="595"/>
      <c r="H219" s="595">
        <f>'Прилож 4 24 (3)'!X211</f>
        <v>0</v>
      </c>
      <c r="I219" s="621"/>
      <c r="J219" s="595">
        <f>'Прилож 4 24 (3)'!Z211</f>
        <v>0</v>
      </c>
      <c r="K219" s="595">
        <f>'Прилож 4 24 (3)'!AA211</f>
        <v>0</v>
      </c>
      <c r="L219" s="875">
        <f>'Прилож 4 24 (3)'!AB211</f>
        <v>0</v>
      </c>
      <c r="M219" s="876">
        <f t="shared" si="30"/>
        <v>77877.97</v>
      </c>
      <c r="N219" s="875">
        <f>87427.97-9550</f>
        <v>77877.97</v>
      </c>
      <c r="O219" s="875"/>
      <c r="P219" s="875"/>
      <c r="Q219" s="877"/>
      <c r="R219" s="875"/>
      <c r="S219" s="875"/>
      <c r="T219" s="875"/>
      <c r="U219" s="876">
        <f t="shared" si="31"/>
        <v>90181.760000000009</v>
      </c>
      <c r="V219" s="875">
        <f t="shared" si="31"/>
        <v>90181.760000000009</v>
      </c>
      <c r="W219" s="875">
        <f t="shared" si="27"/>
        <v>0</v>
      </c>
      <c r="X219" s="875">
        <f t="shared" si="28"/>
        <v>0</v>
      </c>
      <c r="Y219" s="877"/>
      <c r="Z219" s="875">
        <f t="shared" si="43"/>
        <v>0</v>
      </c>
      <c r="AA219" s="875">
        <f t="shared" si="29"/>
        <v>0</v>
      </c>
      <c r="AB219" s="875">
        <f t="shared" si="29"/>
        <v>0</v>
      </c>
      <c r="AC219" s="878" t="s">
        <v>1432</v>
      </c>
    </row>
    <row r="220" spans="1:31" ht="54" customHeight="1" x14ac:dyDescent="0.2">
      <c r="A220" s="618" t="s">
        <v>1421</v>
      </c>
      <c r="B220" s="619" t="s">
        <v>729</v>
      </c>
      <c r="C220" s="620">
        <v>244</v>
      </c>
      <c r="D220" s="620">
        <v>346</v>
      </c>
      <c r="E220" s="596"/>
      <c r="F220" s="595"/>
      <c r="G220" s="595"/>
      <c r="H220" s="595"/>
      <c r="I220" s="621"/>
      <c r="J220" s="595"/>
      <c r="K220" s="595"/>
      <c r="L220" s="875"/>
      <c r="M220" s="876">
        <f t="shared" si="30"/>
        <v>9550</v>
      </c>
      <c r="N220" s="875">
        <v>9550</v>
      </c>
      <c r="O220" s="875"/>
      <c r="P220" s="875"/>
      <c r="Q220" s="877"/>
      <c r="R220" s="875"/>
      <c r="S220" s="875"/>
      <c r="T220" s="875"/>
      <c r="U220" s="876">
        <f t="shared" si="31"/>
        <v>9550</v>
      </c>
      <c r="V220" s="875">
        <f t="shared" si="31"/>
        <v>9550</v>
      </c>
      <c r="W220" s="875"/>
      <c r="X220" s="875"/>
      <c r="Y220" s="877"/>
      <c r="Z220" s="875"/>
      <c r="AA220" s="875"/>
      <c r="AB220" s="875"/>
      <c r="AC220" s="878" t="s">
        <v>1433</v>
      </c>
    </row>
    <row r="221" spans="1:31" ht="45.75" customHeight="1" x14ac:dyDescent="0.2">
      <c r="A221" s="618" t="s">
        <v>1422</v>
      </c>
      <c r="B221" s="619" t="s">
        <v>729</v>
      </c>
      <c r="C221" s="620">
        <v>244</v>
      </c>
      <c r="D221" s="620">
        <v>346</v>
      </c>
      <c r="E221" s="596"/>
      <c r="F221" s="595"/>
      <c r="G221" s="595"/>
      <c r="H221" s="595"/>
      <c r="I221" s="621"/>
      <c r="J221" s="595"/>
      <c r="K221" s="595"/>
      <c r="L221" s="875"/>
      <c r="M221" s="876">
        <f t="shared" si="30"/>
        <v>27035</v>
      </c>
      <c r="N221" s="875">
        <f>7335+19700</f>
        <v>27035</v>
      </c>
      <c r="O221" s="875"/>
      <c r="P221" s="875"/>
      <c r="Q221" s="877"/>
      <c r="R221" s="875"/>
      <c r="S221" s="875"/>
      <c r="T221" s="875"/>
      <c r="U221" s="876">
        <f t="shared" si="31"/>
        <v>27035</v>
      </c>
      <c r="V221" s="875">
        <f t="shared" si="31"/>
        <v>27035</v>
      </c>
      <c r="W221" s="875">
        <f t="shared" si="27"/>
        <v>0</v>
      </c>
      <c r="X221" s="875">
        <f t="shared" si="28"/>
        <v>0</v>
      </c>
      <c r="Y221" s="877"/>
      <c r="Z221" s="875">
        <f t="shared" si="43"/>
        <v>0</v>
      </c>
      <c r="AA221" s="875">
        <f t="shared" si="29"/>
        <v>0</v>
      </c>
      <c r="AB221" s="875">
        <f t="shared" si="29"/>
        <v>0</v>
      </c>
      <c r="AC221" s="878" t="s">
        <v>1399</v>
      </c>
    </row>
    <row r="222" spans="1:31" s="637" customFormat="1" ht="26.25" customHeight="1" x14ac:dyDescent="0.2">
      <c r="A222" s="632" t="s">
        <v>1143</v>
      </c>
      <c r="B222" s="633"/>
      <c r="C222" s="634"/>
      <c r="D222" s="634"/>
      <c r="E222" s="597">
        <f>SUM(E215:E219)</f>
        <v>203232.69000000003</v>
      </c>
      <c r="F222" s="595">
        <f>'Прилож 4 24 (3)'!V212</f>
        <v>72303.790000000008</v>
      </c>
      <c r="G222" s="595">
        <f>'Прилож 4 24 (3)'!W212</f>
        <v>0</v>
      </c>
      <c r="H222" s="595">
        <f>'Прилож 4 24 (3)'!X212</f>
        <v>130928.90000000001</v>
      </c>
      <c r="I222" s="597">
        <f>SUM(I215:I219)</f>
        <v>0</v>
      </c>
      <c r="J222" s="595">
        <f>'Прилож 4 24 (3)'!Z212</f>
        <v>0</v>
      </c>
      <c r="K222" s="595">
        <f>'Прилож 4 24 (3)'!AA212</f>
        <v>0</v>
      </c>
      <c r="L222" s="875">
        <f>'Прилож 4 24 (3)'!AB212</f>
        <v>0</v>
      </c>
      <c r="M222" s="876">
        <f t="shared" si="30"/>
        <v>128973.04000000001</v>
      </c>
      <c r="N222" s="876">
        <f>SUM(N215:N221)</f>
        <v>114462.97</v>
      </c>
      <c r="O222" s="876"/>
      <c r="P222" s="876">
        <f>SUM(P215:P221)</f>
        <v>0</v>
      </c>
      <c r="Q222" s="876"/>
      <c r="R222" s="876"/>
      <c r="S222" s="876"/>
      <c r="T222" s="876">
        <f>SUM(T215:T221)</f>
        <v>14510.07</v>
      </c>
      <c r="U222" s="876">
        <f t="shared" si="31"/>
        <v>332205.73000000004</v>
      </c>
      <c r="V222" s="875">
        <f t="shared" si="31"/>
        <v>186766.76</v>
      </c>
      <c r="W222" s="875">
        <f t="shared" si="27"/>
        <v>0</v>
      </c>
      <c r="X222" s="875">
        <f t="shared" si="28"/>
        <v>130928.90000000001</v>
      </c>
      <c r="Y222" s="884">
        <f>SUM(Y215:Y219)</f>
        <v>0</v>
      </c>
      <c r="Z222" s="875">
        <f t="shared" si="43"/>
        <v>0</v>
      </c>
      <c r="AA222" s="875">
        <f t="shared" si="29"/>
        <v>0</v>
      </c>
      <c r="AB222" s="875">
        <f t="shared" si="29"/>
        <v>14510.07</v>
      </c>
      <c r="AC222" s="886"/>
      <c r="AD222" s="819"/>
    </row>
    <row r="223" spans="1:31" ht="22.5" customHeight="1" x14ac:dyDescent="0.2">
      <c r="A223" s="618" t="s">
        <v>67</v>
      </c>
      <c r="B223" s="619" t="s">
        <v>64</v>
      </c>
      <c r="C223" s="620">
        <v>244</v>
      </c>
      <c r="D223" s="620">
        <v>346</v>
      </c>
      <c r="E223" s="596">
        <f t="shared" si="32"/>
        <v>3200</v>
      </c>
      <c r="F223" s="595">
        <f>'Прилож 4 24 (3)'!V213</f>
        <v>0</v>
      </c>
      <c r="G223" s="595">
        <f>'Прилож 4 24 (3)'!W213</f>
        <v>0</v>
      </c>
      <c r="H223" s="595">
        <f>'Прилож 4 24 (3)'!X213</f>
        <v>0</v>
      </c>
      <c r="I223" s="621" t="s">
        <v>1235</v>
      </c>
      <c r="J223" s="595">
        <f>'Прилож 4 24 (3)'!Z213</f>
        <v>0</v>
      </c>
      <c r="K223" s="595">
        <f>'Прилож 4 24 (3)'!AA213</f>
        <v>3200</v>
      </c>
      <c r="L223" s="875">
        <f>'Прилож 4 24 (3)'!AB213</f>
        <v>0</v>
      </c>
      <c r="M223" s="876">
        <f t="shared" si="30"/>
        <v>0</v>
      </c>
      <c r="N223" s="875"/>
      <c r="O223" s="875"/>
      <c r="P223" s="875"/>
      <c r="Q223" s="877"/>
      <c r="R223" s="875"/>
      <c r="S223" s="875"/>
      <c r="T223" s="875"/>
      <c r="U223" s="876">
        <f t="shared" si="31"/>
        <v>3200</v>
      </c>
      <c r="V223" s="875">
        <f t="shared" si="31"/>
        <v>0</v>
      </c>
      <c r="W223" s="875">
        <f t="shared" si="27"/>
        <v>0</v>
      </c>
      <c r="X223" s="875">
        <f t="shared" si="28"/>
        <v>0</v>
      </c>
      <c r="Y223" s="877"/>
      <c r="Z223" s="875">
        <f t="shared" si="43"/>
        <v>0</v>
      </c>
      <c r="AA223" s="875">
        <f t="shared" si="29"/>
        <v>3200</v>
      </c>
      <c r="AB223" s="875">
        <f t="shared" si="29"/>
        <v>0</v>
      </c>
      <c r="AC223" s="878"/>
    </row>
    <row r="224" spans="1:31" s="637" customFormat="1" ht="22.5" customHeight="1" x14ac:dyDescent="0.2">
      <c r="A224" s="632" t="s">
        <v>1143</v>
      </c>
      <c r="B224" s="633"/>
      <c r="C224" s="634"/>
      <c r="D224" s="634"/>
      <c r="E224" s="597">
        <f>SUM(E223)</f>
        <v>3200</v>
      </c>
      <c r="F224" s="595">
        <f>'Прилож 4 24 (3)'!V214</f>
        <v>0</v>
      </c>
      <c r="G224" s="595">
        <f>'Прилож 4 24 (3)'!W214</f>
        <v>0</v>
      </c>
      <c r="H224" s="595">
        <f>'Прилож 4 24 (3)'!X214</f>
        <v>0</v>
      </c>
      <c r="I224" s="597"/>
      <c r="J224" s="595">
        <f>'Прилож 4 24 (3)'!Z214</f>
        <v>0</v>
      </c>
      <c r="K224" s="595">
        <f>'Прилож 4 24 (3)'!AA214</f>
        <v>3200</v>
      </c>
      <c r="L224" s="875">
        <f>'Прилож 4 24 (3)'!AB214</f>
        <v>0</v>
      </c>
      <c r="M224" s="876">
        <f t="shared" si="30"/>
        <v>0</v>
      </c>
      <c r="N224" s="884"/>
      <c r="O224" s="884"/>
      <c r="P224" s="884"/>
      <c r="Q224" s="884"/>
      <c r="R224" s="884"/>
      <c r="S224" s="884"/>
      <c r="T224" s="884"/>
      <c r="U224" s="876">
        <f t="shared" si="31"/>
        <v>3200</v>
      </c>
      <c r="V224" s="875">
        <f t="shared" si="31"/>
        <v>0</v>
      </c>
      <c r="W224" s="875">
        <f t="shared" si="27"/>
        <v>0</v>
      </c>
      <c r="X224" s="875">
        <f t="shared" si="28"/>
        <v>0</v>
      </c>
      <c r="Y224" s="884">
        <f t="shared" ref="Y224" si="56">+Y223</f>
        <v>0</v>
      </c>
      <c r="Z224" s="875">
        <f t="shared" si="43"/>
        <v>0</v>
      </c>
      <c r="AA224" s="875">
        <f t="shared" si="29"/>
        <v>3200</v>
      </c>
      <c r="AB224" s="875">
        <f t="shared" si="29"/>
        <v>0</v>
      </c>
      <c r="AC224" s="886"/>
    </row>
    <row r="225" spans="1:31" ht="55.5" customHeight="1" x14ac:dyDescent="0.2">
      <c r="A225" s="618" t="s">
        <v>710</v>
      </c>
      <c r="B225" s="619" t="s">
        <v>691</v>
      </c>
      <c r="C225" s="620">
        <v>244</v>
      </c>
      <c r="D225" s="620">
        <v>346</v>
      </c>
      <c r="E225" s="596">
        <f t="shared" si="32"/>
        <v>5670.0000000002328</v>
      </c>
      <c r="F225" s="595">
        <f>'Прилож 4 24 (3)'!V215</f>
        <v>0</v>
      </c>
      <c r="G225" s="595">
        <f>'Прилож 4 24 (3)'!W215</f>
        <v>2.3283064365386963E-10</v>
      </c>
      <c r="H225" s="595">
        <f>'Прилож 4 24 (3)'!X215</f>
        <v>4813.78</v>
      </c>
      <c r="I225" s="621"/>
      <c r="J225" s="595">
        <f>'Прилож 4 24 (3)'!Z215</f>
        <v>0</v>
      </c>
      <c r="K225" s="595">
        <f>'Прилож 4 24 (3)'!AA215</f>
        <v>0</v>
      </c>
      <c r="L225" s="875">
        <f>'Прилож 4 24 (3)'!AB215</f>
        <v>856.22</v>
      </c>
      <c r="M225" s="876">
        <f t="shared" si="30"/>
        <v>11387.18</v>
      </c>
      <c r="N225" s="875"/>
      <c r="O225" s="875"/>
      <c r="P225" s="875">
        <f>4069.19+6766.2</f>
        <v>10835.39</v>
      </c>
      <c r="Q225" s="877"/>
      <c r="R225" s="875"/>
      <c r="S225" s="875"/>
      <c r="T225" s="875">
        <v>551.79</v>
      </c>
      <c r="U225" s="876">
        <f t="shared" si="31"/>
        <v>17057.180000000233</v>
      </c>
      <c r="V225" s="875">
        <f t="shared" si="31"/>
        <v>0</v>
      </c>
      <c r="W225" s="875">
        <f t="shared" ref="W225:W231" si="57">O225+G225</f>
        <v>2.3283064365386963E-10</v>
      </c>
      <c r="X225" s="875">
        <f t="shared" ref="X225:X231" si="58">P225+H225</f>
        <v>15649.169999999998</v>
      </c>
      <c r="Y225" s="877"/>
      <c r="Z225" s="875">
        <f t="shared" si="43"/>
        <v>0</v>
      </c>
      <c r="AA225" s="875">
        <f t="shared" ref="AA225:AB231" si="59">S225+K225</f>
        <v>0</v>
      </c>
      <c r="AB225" s="875">
        <f t="shared" si="59"/>
        <v>1408.01</v>
      </c>
      <c r="AC225" s="878" t="s">
        <v>1362</v>
      </c>
    </row>
    <row r="226" spans="1:31" ht="68.25" customHeight="1" x14ac:dyDescent="0.2">
      <c r="A226" s="618" t="s">
        <v>709</v>
      </c>
      <c r="B226" s="619" t="s">
        <v>691</v>
      </c>
      <c r="C226" s="620">
        <v>244</v>
      </c>
      <c r="D226" s="620">
        <v>346</v>
      </c>
      <c r="E226" s="596">
        <f t="shared" si="32"/>
        <v>4410</v>
      </c>
      <c r="F226" s="595">
        <f>'Прилож 4 24 (3)'!V216</f>
        <v>0</v>
      </c>
      <c r="G226" s="595">
        <f>'Прилож 4 24 (3)'!W216</f>
        <v>0</v>
      </c>
      <c r="H226" s="595">
        <f>'Прилож 4 24 (3)'!X216</f>
        <v>3744.05</v>
      </c>
      <c r="I226" s="621"/>
      <c r="J226" s="595">
        <f>'Прилож 4 24 (3)'!Z216</f>
        <v>0</v>
      </c>
      <c r="K226" s="595">
        <f>'Прилож 4 24 (3)'!AA216</f>
        <v>0</v>
      </c>
      <c r="L226" s="875">
        <f>'Прилож 4 24 (3)'!AB216</f>
        <v>665.95</v>
      </c>
      <c r="M226" s="876">
        <f t="shared" ref="M226:M230" si="60">N226+P226+R226+S226+T226+O226</f>
        <v>0</v>
      </c>
      <c r="N226" s="875"/>
      <c r="O226" s="875"/>
      <c r="P226" s="875"/>
      <c r="Q226" s="877"/>
      <c r="R226" s="875"/>
      <c r="S226" s="875"/>
      <c r="T226" s="875"/>
      <c r="U226" s="876">
        <f t="shared" ref="U226:V231" si="61">E226+M226</f>
        <v>4410</v>
      </c>
      <c r="V226" s="875">
        <f t="shared" si="61"/>
        <v>0</v>
      </c>
      <c r="W226" s="875">
        <f t="shared" si="57"/>
        <v>0</v>
      </c>
      <c r="X226" s="875">
        <f t="shared" si="58"/>
        <v>3744.05</v>
      </c>
      <c r="Y226" s="877"/>
      <c r="Z226" s="875">
        <f t="shared" si="43"/>
        <v>0</v>
      </c>
      <c r="AA226" s="875">
        <f t="shared" si="59"/>
        <v>0</v>
      </c>
      <c r="AB226" s="875">
        <f t="shared" si="59"/>
        <v>665.95</v>
      </c>
      <c r="AC226" s="878"/>
    </row>
    <row r="227" spans="1:31" s="637" customFormat="1" ht="25.5" customHeight="1" x14ac:dyDescent="0.2">
      <c r="A227" s="632" t="s">
        <v>1143</v>
      </c>
      <c r="B227" s="633" t="s">
        <v>691</v>
      </c>
      <c r="C227" s="634">
        <v>244</v>
      </c>
      <c r="D227" s="634">
        <v>346</v>
      </c>
      <c r="E227" s="597">
        <f>SUM(E225:E226)</f>
        <v>10080.000000000233</v>
      </c>
      <c r="F227" s="595">
        <f>'Прилож 4 24 (3)'!V217</f>
        <v>0</v>
      </c>
      <c r="G227" s="595">
        <f>'Прилож 4 24 (3)'!W217</f>
        <v>0</v>
      </c>
      <c r="H227" s="595">
        <f>'Прилож 4 24 (3)'!X217</f>
        <v>8557.83</v>
      </c>
      <c r="I227" s="635"/>
      <c r="J227" s="595">
        <f>'Прилож 4 24 (3)'!Z217</f>
        <v>0</v>
      </c>
      <c r="K227" s="595">
        <f>'Прилож 4 24 (3)'!AA217</f>
        <v>0</v>
      </c>
      <c r="L227" s="875">
        <f>'Прилож 4 24 (3)'!AB217</f>
        <v>1522.17</v>
      </c>
      <c r="M227" s="876">
        <f t="shared" si="60"/>
        <v>11387.18</v>
      </c>
      <c r="N227" s="884"/>
      <c r="O227" s="884"/>
      <c r="P227" s="884">
        <f>SUM(P225:P226)</f>
        <v>10835.39</v>
      </c>
      <c r="Q227" s="885"/>
      <c r="R227" s="884"/>
      <c r="S227" s="884"/>
      <c r="T227" s="884">
        <f>SUM(T225:T226)</f>
        <v>551.79</v>
      </c>
      <c r="U227" s="876">
        <f t="shared" si="61"/>
        <v>21467.180000000233</v>
      </c>
      <c r="V227" s="875">
        <f t="shared" si="61"/>
        <v>0</v>
      </c>
      <c r="W227" s="875">
        <f t="shared" si="57"/>
        <v>0</v>
      </c>
      <c r="X227" s="875">
        <f t="shared" si="58"/>
        <v>19393.22</v>
      </c>
      <c r="Y227" s="885"/>
      <c r="Z227" s="875">
        <f t="shared" si="43"/>
        <v>0</v>
      </c>
      <c r="AA227" s="875">
        <f t="shared" si="59"/>
        <v>0</v>
      </c>
      <c r="AB227" s="875">
        <f t="shared" si="59"/>
        <v>2073.96</v>
      </c>
      <c r="AC227" s="886"/>
    </row>
    <row r="228" spans="1:31" s="614" customFormat="1" ht="27.75" customHeight="1" x14ac:dyDescent="0.2">
      <c r="A228" s="630" t="s">
        <v>744</v>
      </c>
      <c r="B228" s="631"/>
      <c r="C228" s="624"/>
      <c r="D228" s="624"/>
      <c r="E228" s="596">
        <f>E227+E223+E222+E214</f>
        <v>1209356.8800000001</v>
      </c>
      <c r="F228" s="595">
        <f>'Прилож 4 24 (3)'!V218</f>
        <v>973351.36999999988</v>
      </c>
      <c r="G228" s="595">
        <f>'Прилож 4 24 (3)'!W218</f>
        <v>0</v>
      </c>
      <c r="H228" s="595">
        <f>'Прилож 4 24 (3)'!X218</f>
        <v>174135.63</v>
      </c>
      <c r="I228" s="596"/>
      <c r="J228" s="595">
        <f>'Прилож 4 24 (3)'!Z218</f>
        <v>0</v>
      </c>
      <c r="K228" s="595">
        <f>'Прилож 4 24 (3)'!AA218</f>
        <v>3200</v>
      </c>
      <c r="L228" s="875">
        <f>'Прилож 4 24 (3)'!AB218</f>
        <v>58669.88</v>
      </c>
      <c r="M228" s="876">
        <f t="shared" si="60"/>
        <v>585902.6</v>
      </c>
      <c r="N228" s="876">
        <f>N227+N224+N222+N214</f>
        <v>453845.4</v>
      </c>
      <c r="O228" s="876"/>
      <c r="P228" s="876">
        <f>P214+P222+P227</f>
        <v>116995.34</v>
      </c>
      <c r="Q228" s="876"/>
      <c r="R228" s="876"/>
      <c r="S228" s="876"/>
      <c r="T228" s="876">
        <f>T214+T222+T227</f>
        <v>15061.86</v>
      </c>
      <c r="U228" s="876">
        <f t="shared" si="61"/>
        <v>1795259.48</v>
      </c>
      <c r="V228" s="875">
        <f t="shared" si="61"/>
        <v>1427196.77</v>
      </c>
      <c r="W228" s="875">
        <f t="shared" si="57"/>
        <v>0</v>
      </c>
      <c r="X228" s="875">
        <f t="shared" si="58"/>
        <v>291130.96999999997</v>
      </c>
      <c r="Y228" s="876"/>
      <c r="Z228" s="875">
        <f t="shared" si="43"/>
        <v>0</v>
      </c>
      <c r="AA228" s="875">
        <f t="shared" si="59"/>
        <v>3200</v>
      </c>
      <c r="AB228" s="875">
        <f t="shared" si="59"/>
        <v>73731.739999999991</v>
      </c>
      <c r="AC228" s="879"/>
      <c r="AD228" s="818"/>
    </row>
    <row r="229" spans="1:31" ht="46.5" customHeight="1" x14ac:dyDescent="0.2">
      <c r="A229" s="618" t="s">
        <v>948</v>
      </c>
      <c r="B229" s="619" t="s">
        <v>729</v>
      </c>
      <c r="C229" s="620">
        <v>244</v>
      </c>
      <c r="D229" s="620">
        <v>349</v>
      </c>
      <c r="E229" s="596">
        <f t="shared" si="32"/>
        <v>6000</v>
      </c>
      <c r="F229" s="595">
        <f>'Прилож 4 24 (3)'!V219</f>
        <v>6000</v>
      </c>
      <c r="G229" s="595">
        <f>'Прилож 4 24 (3)'!W219</f>
        <v>0</v>
      </c>
      <c r="H229" s="595">
        <f>'Прилож 4 24 (3)'!X219</f>
        <v>0</v>
      </c>
      <c r="I229" s="626"/>
      <c r="J229" s="595">
        <f>'Прилож 4 24 (3)'!Z219</f>
        <v>0</v>
      </c>
      <c r="K229" s="595">
        <f>'Прилож 4 24 (3)'!AA219</f>
        <v>0</v>
      </c>
      <c r="L229" s="875">
        <f>'Прилож 4 24 (3)'!AB219</f>
        <v>0</v>
      </c>
      <c r="M229" s="876">
        <f t="shared" si="60"/>
        <v>0</v>
      </c>
      <c r="N229" s="875"/>
      <c r="O229" s="876"/>
      <c r="P229" s="876"/>
      <c r="Q229" s="881"/>
      <c r="R229" s="876"/>
      <c r="S229" s="876"/>
      <c r="T229" s="875"/>
      <c r="U229" s="876">
        <f t="shared" si="61"/>
        <v>6000</v>
      </c>
      <c r="V229" s="875">
        <f t="shared" si="61"/>
        <v>6000</v>
      </c>
      <c r="W229" s="875">
        <f t="shared" si="57"/>
        <v>0</v>
      </c>
      <c r="X229" s="875">
        <f t="shared" si="58"/>
        <v>0</v>
      </c>
      <c r="Y229" s="881"/>
      <c r="Z229" s="875">
        <f t="shared" si="43"/>
        <v>0</v>
      </c>
      <c r="AA229" s="875">
        <f t="shared" si="59"/>
        <v>0</v>
      </c>
      <c r="AB229" s="875">
        <f t="shared" si="59"/>
        <v>0</v>
      </c>
      <c r="AC229" s="878"/>
    </row>
    <row r="230" spans="1:31" s="614" customFormat="1" ht="27.75" customHeight="1" x14ac:dyDescent="0.2">
      <c r="A230" s="630" t="s">
        <v>949</v>
      </c>
      <c r="B230" s="631"/>
      <c r="C230" s="624"/>
      <c r="D230" s="624"/>
      <c r="E230" s="596">
        <f>F230+G230+H230+J230+K230+L230</f>
        <v>6000</v>
      </c>
      <c r="F230" s="595">
        <f>'Прилож 4 24 (3)'!V220</f>
        <v>6000</v>
      </c>
      <c r="G230" s="595">
        <f>'Прилож 4 24 (3)'!W220</f>
        <v>0</v>
      </c>
      <c r="H230" s="595">
        <f>'Прилож 4 24 (3)'!X220</f>
        <v>0</v>
      </c>
      <c r="I230" s="626"/>
      <c r="J230" s="595">
        <f>'Прилож 4 24 (3)'!Z220</f>
        <v>0</v>
      </c>
      <c r="K230" s="595">
        <f>'Прилож 4 24 (3)'!AA220</f>
        <v>0</v>
      </c>
      <c r="L230" s="875">
        <f>'Прилож 4 24 (3)'!AB220</f>
        <v>0</v>
      </c>
      <c r="M230" s="876">
        <f t="shared" si="60"/>
        <v>0</v>
      </c>
      <c r="N230" s="876"/>
      <c r="O230" s="876">
        <f t="shared" ref="O230" si="62">O222+O224+O227</f>
        <v>0</v>
      </c>
      <c r="P230" s="876"/>
      <c r="Q230" s="881"/>
      <c r="R230" s="876">
        <f t="shared" ref="R230:S230" si="63">R222+R224+R227</f>
        <v>0</v>
      </c>
      <c r="S230" s="876">
        <f t="shared" si="63"/>
        <v>0</v>
      </c>
      <c r="T230" s="876"/>
      <c r="U230" s="876">
        <f t="shared" si="61"/>
        <v>6000</v>
      </c>
      <c r="V230" s="875">
        <f t="shared" si="61"/>
        <v>6000</v>
      </c>
      <c r="W230" s="875">
        <f t="shared" si="57"/>
        <v>0</v>
      </c>
      <c r="X230" s="875">
        <f t="shared" si="58"/>
        <v>0</v>
      </c>
      <c r="Y230" s="881"/>
      <c r="Z230" s="875">
        <f t="shared" si="43"/>
        <v>0</v>
      </c>
      <c r="AA230" s="875">
        <f t="shared" si="59"/>
        <v>0</v>
      </c>
      <c r="AB230" s="875">
        <f t="shared" si="59"/>
        <v>0</v>
      </c>
      <c r="AC230" s="879"/>
    </row>
    <row r="231" spans="1:31" s="614" customFormat="1" x14ac:dyDescent="0.2">
      <c r="A231" s="624" t="s">
        <v>745</v>
      </c>
      <c r="B231" s="631"/>
      <c r="C231" s="624"/>
      <c r="D231" s="624"/>
      <c r="E231" s="596">
        <f>E230+E228+E209+E207+E205+E202+E200+E198+E195+E177+E174+E143+E95+E78+E57+E48+E42+E40+E35+E97+E37</f>
        <v>61184116.130000003</v>
      </c>
      <c r="F231" s="595">
        <f>'Прилож 4 24 (3)'!V221</f>
        <v>40711421.810000002</v>
      </c>
      <c r="G231" s="595">
        <f>'Прилож 4 24 (3)'!W221</f>
        <v>1331028.0899999999</v>
      </c>
      <c r="H231" s="595">
        <f>'Прилож 4 24 (3)'!X221</f>
        <v>11317923.020000001</v>
      </c>
      <c r="I231" s="626"/>
      <c r="J231" s="595">
        <f>'Прилож 4 24 (3)'!Z221</f>
        <v>0</v>
      </c>
      <c r="K231" s="595">
        <f>'Прилож 4 24 (3)'!AA221</f>
        <v>6508885.5</v>
      </c>
      <c r="L231" s="875">
        <f>'Прилож 4 24 (3)'!AB221</f>
        <v>1314857.7099999995</v>
      </c>
      <c r="M231" s="876">
        <f t="shared" ref="M231:T231" si="64">M228+M209+M207+M205+M202+M200+M198+M195+M177+M174+M143+M97+M95+M78+M57+M48+M42+M40+M37+M35</f>
        <v>2807305.2800000003</v>
      </c>
      <c r="N231" s="876">
        <f t="shared" si="64"/>
        <v>1476800</v>
      </c>
      <c r="O231" s="876">
        <f t="shared" si="64"/>
        <v>0</v>
      </c>
      <c r="P231" s="876">
        <f>P228+P209+P207+P205+P202+P200+P198+P195+P177+P174+P143+P97+P95+P78+P57+P48+P42+P40+P37+P35</f>
        <v>0</v>
      </c>
      <c r="Q231" s="876">
        <f t="shared" si="64"/>
        <v>0</v>
      </c>
      <c r="R231" s="876">
        <f t="shared" si="64"/>
        <v>0</v>
      </c>
      <c r="S231" s="876">
        <f t="shared" si="64"/>
        <v>100000</v>
      </c>
      <c r="T231" s="876">
        <f t="shared" si="64"/>
        <v>1230505.28</v>
      </c>
      <c r="U231" s="876">
        <f>U230+U228+U209+U207+U205+U202+U200+U195++U177+U174+U143+U97+U95+U78+U57+U48+U42+U40+U35+U198+U37</f>
        <v>63991421.410000011</v>
      </c>
      <c r="V231" s="875">
        <f t="shared" si="61"/>
        <v>42188221.810000002</v>
      </c>
      <c r="W231" s="875">
        <f t="shared" si="57"/>
        <v>1331028.0899999999</v>
      </c>
      <c r="X231" s="875">
        <f t="shared" si="58"/>
        <v>11317923.020000001</v>
      </c>
      <c r="Y231" s="876">
        <f>Y230+Y228+Y209+Y207+Y205+Y202+Y200+Y195++Y177+Y174+Y143+Y97+Y95+Y78+Y57+Y48+Y42+Y40+Y35+Y198</f>
        <v>0</v>
      </c>
      <c r="Z231" s="875">
        <f t="shared" si="43"/>
        <v>0</v>
      </c>
      <c r="AA231" s="875">
        <f t="shared" si="59"/>
        <v>6608885.5</v>
      </c>
      <c r="AB231" s="875">
        <f t="shared" si="59"/>
        <v>2545362.9899999993</v>
      </c>
      <c r="AC231" s="879"/>
      <c r="AD231" s="818"/>
      <c r="AE231" s="818">
        <f>V231+W231+X231</f>
        <v>54837172.920000009</v>
      </c>
    </row>
    <row r="232" spans="1:31" ht="25.5" customHeight="1" x14ac:dyDescent="0.2">
      <c r="A232" s="618" t="s">
        <v>946</v>
      </c>
      <c r="B232" s="619"/>
      <c r="C232" s="620"/>
      <c r="D232" s="620">
        <v>189</v>
      </c>
      <c r="E232" s="596">
        <f t="shared" si="32"/>
        <v>-12500</v>
      </c>
      <c r="F232" s="595">
        <f>'Прилож 4 24 (2)'!V208</f>
        <v>0</v>
      </c>
      <c r="G232" s="595">
        <f>'Прилож 4 24 (2)'!W218</f>
        <v>0</v>
      </c>
      <c r="H232" s="595">
        <f>'Прилож 4 24 (2)'!X208</f>
        <v>0</v>
      </c>
      <c r="I232" s="621"/>
      <c r="J232" s="595">
        <f>'Прилож 4 24 (2)'!Z208</f>
        <v>0</v>
      </c>
      <c r="K232" s="595">
        <f>'Прилож 4 24 (2)'!AA208</f>
        <v>0</v>
      </c>
      <c r="L232" s="875">
        <f>'Прилож 4 24 (2)'!AB208</f>
        <v>-12500</v>
      </c>
      <c r="M232" s="876">
        <f t="shared" ref="M232:M234" si="65">N232+P232+R232+S232+T232+O232</f>
        <v>0</v>
      </c>
      <c r="N232" s="875"/>
      <c r="O232" s="875"/>
      <c r="P232" s="875"/>
      <c r="Q232" s="877"/>
      <c r="R232" s="875"/>
      <c r="S232" s="875"/>
      <c r="T232" s="875"/>
      <c r="U232" s="876">
        <f>V232+X232+Z232+AA232+AB232+W232</f>
        <v>-12500</v>
      </c>
      <c r="V232" s="875">
        <f t="shared" ref="V232:V234" si="66">F232+N232</f>
        <v>0</v>
      </c>
      <c r="W232" s="875">
        <f t="shared" ref="W232:X234" si="67">O232+G232</f>
        <v>0</v>
      </c>
      <c r="X232" s="875">
        <f t="shared" si="67"/>
        <v>0</v>
      </c>
      <c r="Y232" s="877"/>
      <c r="Z232" s="875">
        <f t="shared" ref="Z232:AB234" si="68">R232+J232</f>
        <v>0</v>
      </c>
      <c r="AA232" s="875">
        <f t="shared" si="68"/>
        <v>0</v>
      </c>
      <c r="AB232" s="875">
        <f t="shared" si="68"/>
        <v>-12500</v>
      </c>
      <c r="AC232" s="878"/>
    </row>
    <row r="233" spans="1:31" s="614" customFormat="1" ht="31.5" x14ac:dyDescent="0.2">
      <c r="A233" s="630" t="s">
        <v>746</v>
      </c>
      <c r="B233" s="624"/>
      <c r="C233" s="624"/>
      <c r="D233" s="624"/>
      <c r="E233" s="596">
        <f t="shared" si="32"/>
        <v>-12500</v>
      </c>
      <c r="F233" s="595">
        <f>'Прилож 4 24 (2)'!V209</f>
        <v>0</v>
      </c>
      <c r="G233" s="595">
        <f>'Прилож 4 24 (2)'!W219</f>
        <v>0</v>
      </c>
      <c r="H233" s="595">
        <f>'Прилож 4 24 (2)'!X209</f>
        <v>0</v>
      </c>
      <c r="I233" s="626"/>
      <c r="J233" s="595">
        <f>'Прилож 4 24 (2)'!Z209</f>
        <v>0</v>
      </c>
      <c r="K233" s="595">
        <f>'Прилож 4 24 (2)'!AA209</f>
        <v>0</v>
      </c>
      <c r="L233" s="875">
        <f>'Прилож 4 24 (2)'!AB209</f>
        <v>-12500</v>
      </c>
      <c r="M233" s="876">
        <f t="shared" si="65"/>
        <v>0</v>
      </c>
      <c r="N233" s="876">
        <f t="shared" ref="N233:Y234" si="69">N232</f>
        <v>0</v>
      </c>
      <c r="O233" s="876">
        <f t="shared" si="69"/>
        <v>0</v>
      </c>
      <c r="P233" s="876">
        <f t="shared" si="69"/>
        <v>0</v>
      </c>
      <c r="Q233" s="881"/>
      <c r="R233" s="876">
        <f t="shared" si="69"/>
        <v>0</v>
      </c>
      <c r="S233" s="876"/>
      <c r="T233" s="876">
        <f t="shared" si="69"/>
        <v>0</v>
      </c>
      <c r="U233" s="876">
        <f t="shared" ref="U233:U234" si="70">V233+X233+Z233+AA233+AB233+W233</f>
        <v>-12500</v>
      </c>
      <c r="V233" s="875">
        <f t="shared" si="66"/>
        <v>0</v>
      </c>
      <c r="W233" s="875">
        <f t="shared" si="67"/>
        <v>0</v>
      </c>
      <c r="X233" s="875">
        <f t="shared" si="67"/>
        <v>0</v>
      </c>
      <c r="Y233" s="881">
        <f t="shared" si="69"/>
        <v>0</v>
      </c>
      <c r="Z233" s="875">
        <f t="shared" si="68"/>
        <v>0</v>
      </c>
      <c r="AA233" s="875">
        <f t="shared" si="68"/>
        <v>0</v>
      </c>
      <c r="AB233" s="875">
        <f t="shared" si="68"/>
        <v>-12500</v>
      </c>
      <c r="AC233" s="878"/>
    </row>
    <row r="234" spans="1:31" s="614" customFormat="1" x14ac:dyDescent="0.2">
      <c r="A234" s="630" t="s">
        <v>950</v>
      </c>
      <c r="B234" s="631" t="s">
        <v>747</v>
      </c>
      <c r="C234" s="624"/>
      <c r="D234" s="624">
        <v>610</v>
      </c>
      <c r="E234" s="596">
        <f>L234+K234+J234+H234+G234+F234</f>
        <v>142385.88</v>
      </c>
      <c r="F234" s="595">
        <f>'Прилож 4 24 (2)'!V210</f>
        <v>0</v>
      </c>
      <c r="G234" s="595">
        <f>'Прилож 4 24 (2)'!W220</f>
        <v>0</v>
      </c>
      <c r="H234" s="595">
        <f>'Прилож 4 24 (2)'!X210</f>
        <v>142385.88</v>
      </c>
      <c r="I234" s="626"/>
      <c r="J234" s="595">
        <f>'Прилож 4 24 (2)'!Z210</f>
        <v>0</v>
      </c>
      <c r="K234" s="595">
        <f>'Прилож 4 24 (2)'!AA210</f>
        <v>0</v>
      </c>
      <c r="L234" s="875">
        <f>'Прилож 4 24 (2)'!AB210</f>
        <v>0</v>
      </c>
      <c r="M234" s="876">
        <f t="shared" si="65"/>
        <v>0</v>
      </c>
      <c r="N234" s="876">
        <f t="shared" si="69"/>
        <v>0</v>
      </c>
      <c r="O234" s="876">
        <f t="shared" si="69"/>
        <v>0</v>
      </c>
      <c r="P234" s="876"/>
      <c r="Q234" s="881"/>
      <c r="R234" s="876">
        <f t="shared" si="69"/>
        <v>0</v>
      </c>
      <c r="S234" s="876">
        <f t="shared" si="69"/>
        <v>0</v>
      </c>
      <c r="T234" s="876"/>
      <c r="U234" s="876">
        <f t="shared" si="70"/>
        <v>142385.88</v>
      </c>
      <c r="V234" s="875">
        <f t="shared" si="66"/>
        <v>0</v>
      </c>
      <c r="W234" s="875">
        <f t="shared" si="67"/>
        <v>0</v>
      </c>
      <c r="X234" s="875">
        <v>142385.88</v>
      </c>
      <c r="Y234" s="881">
        <f t="shared" si="69"/>
        <v>0</v>
      </c>
      <c r="Z234" s="875">
        <f t="shared" si="68"/>
        <v>0</v>
      </c>
      <c r="AA234" s="875">
        <f t="shared" si="68"/>
        <v>0</v>
      </c>
      <c r="AB234" s="875">
        <f t="shared" si="68"/>
        <v>0</v>
      </c>
      <c r="AC234" s="878"/>
    </row>
    <row r="235" spans="1:31" ht="33" customHeight="1" x14ac:dyDescent="0.2">
      <c r="A235" s="822" t="s">
        <v>1330</v>
      </c>
      <c r="E235" s="644">
        <f t="shared" ref="E235:U235" si="71">E11+E29-E231+E233-E234</f>
        <v>-4.7730281949043274E-9</v>
      </c>
      <c r="F235" s="644">
        <f t="shared" si="71"/>
        <v>0</v>
      </c>
      <c r="G235" s="644">
        <f t="shared" si="71"/>
        <v>2.3283064365386963E-10</v>
      </c>
      <c r="H235" s="644">
        <f t="shared" si="71"/>
        <v>-1.0477378964424133E-9</v>
      </c>
      <c r="I235" s="641">
        <f t="shared" si="71"/>
        <v>0</v>
      </c>
      <c r="J235" s="644">
        <f t="shared" si="71"/>
        <v>0</v>
      </c>
      <c r="K235" s="644">
        <f t="shared" si="71"/>
        <v>0</v>
      </c>
      <c r="L235" s="644">
        <f t="shared" si="71"/>
        <v>4.6566128730773926E-10</v>
      </c>
      <c r="M235" s="644">
        <f t="shared" si="71"/>
        <v>-4.6566128730773926E-10</v>
      </c>
      <c r="N235" s="644">
        <f t="shared" si="71"/>
        <v>0</v>
      </c>
      <c r="O235" s="644">
        <f t="shared" si="71"/>
        <v>0</v>
      </c>
      <c r="P235" s="644">
        <f t="shared" si="71"/>
        <v>0</v>
      </c>
      <c r="Q235" s="644">
        <f t="shared" si="71"/>
        <v>0</v>
      </c>
      <c r="R235" s="644">
        <f t="shared" si="71"/>
        <v>0</v>
      </c>
      <c r="S235" s="644">
        <f t="shared" si="71"/>
        <v>0</v>
      </c>
      <c r="T235" s="644">
        <f t="shared" si="71"/>
        <v>0</v>
      </c>
      <c r="U235" s="644">
        <f t="shared" si="71"/>
        <v>-1.2223608791828156E-8</v>
      </c>
      <c r="V235" s="595">
        <f>F235+N235</f>
        <v>0</v>
      </c>
      <c r="W235" s="644">
        <f>W11+W29-W231+W233-W234</f>
        <v>2.3283064365386963E-10</v>
      </c>
      <c r="X235" s="644">
        <f>X11+X29-X231+X233-X234</f>
        <v>-1.0477378964424133E-9</v>
      </c>
      <c r="Y235" s="644">
        <f>Y11+Y29-Y231+Y233-Y234</f>
        <v>0</v>
      </c>
      <c r="Z235" s="595">
        <f t="shared" ref="Z235" si="72">R235+J235</f>
        <v>0</v>
      </c>
      <c r="AA235" s="644">
        <f>AA11+AA29-AA231+AA233-AA234</f>
        <v>0</v>
      </c>
      <c r="AB235" s="595">
        <f t="shared" ref="AB235:AB240" si="73">T235+L235</f>
        <v>4.6566128730773926E-10</v>
      </c>
      <c r="AC235" s="644"/>
    </row>
    <row r="236" spans="1:31" x14ac:dyDescent="0.2">
      <c r="A236" s="624" t="s">
        <v>1266</v>
      </c>
      <c r="B236" s="620"/>
      <c r="C236" s="620"/>
      <c r="D236" s="620"/>
      <c r="E236" s="596"/>
      <c r="F236" s="595"/>
      <c r="G236" s="595"/>
      <c r="H236" s="595"/>
      <c r="W236" s="645">
        <f>SUM(W185:W194)</f>
        <v>0</v>
      </c>
      <c r="X236" s="645">
        <f>SUM(X185:X194)</f>
        <v>0</v>
      </c>
      <c r="AB236" s="595">
        <f t="shared" si="73"/>
        <v>0</v>
      </c>
    </row>
    <row r="237" spans="1:31" x14ac:dyDescent="0.2">
      <c r="A237" s="624" t="s">
        <v>1268</v>
      </c>
      <c r="B237" s="620"/>
      <c r="C237" s="620"/>
      <c r="D237" s="620"/>
      <c r="E237" s="596"/>
      <c r="F237" s="595"/>
      <c r="G237" s="595"/>
      <c r="H237" s="595"/>
      <c r="AB237" s="595">
        <f t="shared" si="73"/>
        <v>0</v>
      </c>
    </row>
    <row r="238" spans="1:31" x14ac:dyDescent="0.2">
      <c r="A238" s="620" t="s">
        <v>1265</v>
      </c>
      <c r="B238" s="619" t="s">
        <v>747</v>
      </c>
      <c r="C238" s="620">
        <v>247</v>
      </c>
      <c r="D238" s="620">
        <v>223</v>
      </c>
      <c r="E238" s="596"/>
      <c r="F238" s="595"/>
      <c r="G238" s="595"/>
      <c r="H238" s="595">
        <v>97172.91</v>
      </c>
      <c r="AB238" s="595">
        <f t="shared" si="73"/>
        <v>0</v>
      </c>
    </row>
    <row r="239" spans="1:31" x14ac:dyDescent="0.2">
      <c r="A239" s="620" t="s">
        <v>1265</v>
      </c>
      <c r="B239" s="619" t="s">
        <v>729</v>
      </c>
      <c r="C239" s="620">
        <v>247</v>
      </c>
      <c r="D239" s="620">
        <v>223</v>
      </c>
      <c r="E239" s="596"/>
      <c r="F239" s="595"/>
      <c r="G239" s="595"/>
      <c r="H239" s="595">
        <v>149284.57</v>
      </c>
      <c r="AB239" s="595">
        <f t="shared" si="73"/>
        <v>0</v>
      </c>
    </row>
    <row r="240" spans="1:31" x14ac:dyDescent="0.2">
      <c r="A240" s="620"/>
      <c r="B240" s="620"/>
      <c r="C240" s="620"/>
      <c r="D240" s="620"/>
      <c r="E240" s="596"/>
      <c r="F240" s="595"/>
      <c r="G240" s="595"/>
      <c r="H240" s="595">
        <f>SUM(H238:H239)</f>
        <v>246457.48</v>
      </c>
      <c r="AB240" s="595">
        <f t="shared" si="73"/>
        <v>0</v>
      </c>
    </row>
    <row r="241" spans="1:8" x14ac:dyDescent="0.2">
      <c r="A241" s="624" t="s">
        <v>1269</v>
      </c>
      <c r="B241" s="620"/>
      <c r="C241" s="620"/>
      <c r="D241" s="620"/>
      <c r="E241" s="596"/>
      <c r="F241" s="595"/>
      <c r="G241" s="595"/>
      <c r="H241" s="595"/>
    </row>
    <row r="242" spans="1:8" x14ac:dyDescent="0.2">
      <c r="A242" s="620" t="s">
        <v>735</v>
      </c>
      <c r="B242" s="619" t="s">
        <v>747</v>
      </c>
      <c r="C242" s="620">
        <v>244</v>
      </c>
      <c r="D242" s="620">
        <v>223</v>
      </c>
      <c r="E242" s="596"/>
      <c r="F242" s="595"/>
      <c r="G242" s="595"/>
      <c r="H242" s="595">
        <v>28336.69</v>
      </c>
    </row>
    <row r="243" spans="1:8" x14ac:dyDescent="0.2">
      <c r="A243" s="620" t="s">
        <v>1267</v>
      </c>
      <c r="B243" s="619" t="s">
        <v>747</v>
      </c>
      <c r="C243" s="620">
        <v>247</v>
      </c>
      <c r="D243" s="620">
        <v>223</v>
      </c>
      <c r="E243" s="596"/>
      <c r="F243" s="595"/>
      <c r="G243" s="595"/>
      <c r="H243" s="595">
        <v>19716.62</v>
      </c>
    </row>
    <row r="244" spans="1:8" x14ac:dyDescent="0.2">
      <c r="A244" s="620" t="s">
        <v>1267</v>
      </c>
      <c r="B244" s="619" t="s">
        <v>729</v>
      </c>
      <c r="C244" s="620">
        <v>247</v>
      </c>
      <c r="D244" s="620">
        <v>223</v>
      </c>
      <c r="E244" s="596"/>
      <c r="F244" s="595"/>
      <c r="G244" s="595"/>
      <c r="H244" s="595">
        <v>105588.85</v>
      </c>
    </row>
    <row r="245" spans="1:8" x14ac:dyDescent="0.2">
      <c r="A245" s="620"/>
      <c r="B245" s="620"/>
      <c r="C245" s="620"/>
      <c r="D245" s="620"/>
      <c r="E245" s="596"/>
      <c r="F245" s="595"/>
      <c r="G245" s="595"/>
      <c r="H245" s="595">
        <f>SUM(H242:H244)</f>
        <v>153642.16</v>
      </c>
    </row>
  </sheetData>
  <mergeCells count="28">
    <mergeCell ref="A7:A10"/>
    <mergeCell ref="B7:B10"/>
    <mergeCell ref="C7:C10"/>
    <mergeCell ref="D7:D10"/>
    <mergeCell ref="E7:L7"/>
    <mergeCell ref="E8:E10"/>
    <mergeCell ref="F8:L8"/>
    <mergeCell ref="F9:H9"/>
    <mergeCell ref="I9:K9"/>
    <mergeCell ref="L9:L10"/>
    <mergeCell ref="Z1:AB1"/>
    <mergeCell ref="Z2:AB2"/>
    <mergeCell ref="A3:X3"/>
    <mergeCell ref="A4:X4"/>
    <mergeCell ref="D5:P5"/>
    <mergeCell ref="AC7:AC10"/>
    <mergeCell ref="V8:AB8"/>
    <mergeCell ref="Y9:AA9"/>
    <mergeCell ref="AB9:AB10"/>
    <mergeCell ref="M8:M10"/>
    <mergeCell ref="N8:T8"/>
    <mergeCell ref="U8:U10"/>
    <mergeCell ref="T9:T10"/>
    <mergeCell ref="N9:P9"/>
    <mergeCell ref="Q9:S9"/>
    <mergeCell ref="V9:X9"/>
    <mergeCell ref="M7:T7"/>
    <mergeCell ref="U7:AB7"/>
  </mergeCells>
  <pageMargins left="0.25" right="0.25" top="0.75" bottom="0.75" header="0.3" footer="0.3"/>
  <pageSetup paperSize="9" scale="27" fitToHeight="0" orientation="landscape" r:id="rId1"/>
  <rowBreaks count="2" manualBreakCount="2">
    <brk id="184" max="28" man="1"/>
    <brk id="222" max="2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252"/>
  <sheetViews>
    <sheetView view="pageBreakPreview" zoomScale="60" zoomScaleNormal="56" workbookViewId="0">
      <pane xSplit="1" ySplit="10" topLeftCell="B229" activePane="bottomRight" state="frozen"/>
      <selection pane="topRight" activeCell="B1" sqref="B1"/>
      <selection pane="bottomLeft" activeCell="A11" sqref="A11"/>
      <selection pane="bottomRight" activeCell="AE15" sqref="AE15"/>
    </sheetView>
  </sheetViews>
  <sheetFormatPr defaultColWidth="9.140625" defaultRowHeight="15.75" x14ac:dyDescent="0.2"/>
  <cols>
    <col min="1" max="1" width="40.28515625" style="610" customWidth="1"/>
    <col min="2" max="2" width="11.5703125" style="610" customWidth="1"/>
    <col min="3" max="3" width="9.42578125" style="610" customWidth="1"/>
    <col min="4" max="4" width="11.7109375" style="610" customWidth="1"/>
    <col min="5" max="5" width="20.85546875" style="644" customWidth="1"/>
    <col min="6" max="6" width="19.7109375" style="645" customWidth="1"/>
    <col min="7" max="7" width="20.28515625" style="645" customWidth="1"/>
    <col min="8" max="8" width="21.42578125" style="645" customWidth="1"/>
    <col min="9" max="9" width="14.42578125" style="611" customWidth="1"/>
    <col min="10" max="10" width="14.7109375" style="645" customWidth="1"/>
    <col min="11" max="11" width="20.140625" style="645" customWidth="1"/>
    <col min="12" max="12" width="19.85546875" style="645" customWidth="1"/>
    <col min="13" max="13" width="22.85546875" style="644" customWidth="1"/>
    <col min="14" max="14" width="18.42578125" style="645" customWidth="1"/>
    <col min="15" max="15" width="15.85546875" style="645" customWidth="1"/>
    <col min="16" max="16" width="18.5703125" style="645" customWidth="1"/>
    <col min="17" max="17" width="16.28515625" style="611" customWidth="1"/>
    <col min="18" max="18" width="11.5703125" style="645" customWidth="1"/>
    <col min="19" max="19" width="19" style="645" customWidth="1"/>
    <col min="20" max="20" width="20.140625" style="645" customWidth="1"/>
    <col min="21" max="21" width="22.140625" style="644" customWidth="1"/>
    <col min="22" max="22" width="20" style="645" customWidth="1"/>
    <col min="23" max="23" width="18.140625" style="645" customWidth="1"/>
    <col min="24" max="24" width="22.7109375" style="645" customWidth="1"/>
    <col min="25" max="25" width="14.140625" style="611" customWidth="1"/>
    <col min="26" max="26" width="12.28515625" style="645" customWidth="1"/>
    <col min="27" max="27" width="19" style="645" customWidth="1"/>
    <col min="28" max="28" width="22.42578125" style="645" customWidth="1"/>
    <col min="29" max="29" width="20" style="612" customWidth="1"/>
    <col min="30" max="30" width="19.28515625" style="610" customWidth="1"/>
    <col min="31" max="31" width="18" style="610" customWidth="1"/>
    <col min="32" max="32" width="17.5703125" style="610" bestFit="1" customWidth="1"/>
    <col min="33" max="16384" width="9.140625" style="610"/>
  </cols>
  <sheetData>
    <row r="1" spans="1:29" ht="51.75" customHeight="1" x14ac:dyDescent="0.2">
      <c r="Z1" s="1572" t="s">
        <v>721</v>
      </c>
      <c r="AA1" s="1573"/>
      <c r="AB1" s="1573"/>
    </row>
    <row r="2" spans="1:29" ht="31.9" customHeight="1" x14ac:dyDescent="0.2">
      <c r="Z2" s="1573" t="s">
        <v>722</v>
      </c>
      <c r="AA2" s="1573"/>
      <c r="AB2" s="1573"/>
    </row>
    <row r="3" spans="1:29" s="614" customFormat="1" ht="24.75" customHeight="1" x14ac:dyDescent="0.2">
      <c r="A3" s="1574" t="s">
        <v>1249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613"/>
      <c r="Z3" s="644"/>
      <c r="AA3" s="644"/>
      <c r="AB3" s="644"/>
      <c r="AC3" s="612"/>
    </row>
    <row r="4" spans="1:29" s="614" customFormat="1" ht="25.5" customHeight="1" x14ac:dyDescent="0.2">
      <c r="A4" s="1574" t="s">
        <v>1455</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613"/>
      <c r="Z4" s="644"/>
      <c r="AA4" s="644"/>
      <c r="AB4" s="644"/>
      <c r="AC4" s="612"/>
    </row>
    <row r="5" spans="1:29" x14ac:dyDescent="0.2">
      <c r="A5" s="610" t="s">
        <v>723</v>
      </c>
      <c r="D5" s="1575" t="s">
        <v>204</v>
      </c>
      <c r="E5" s="1576"/>
      <c r="F5" s="1576"/>
      <c r="G5" s="1576"/>
      <c r="H5" s="1576"/>
      <c r="I5" s="1576"/>
      <c r="J5" s="1576"/>
      <c r="K5" s="1576"/>
      <c r="L5" s="1576"/>
      <c r="M5" s="1576"/>
      <c r="N5" s="1576"/>
      <c r="O5" s="1576"/>
      <c r="P5" s="1576"/>
    </row>
    <row r="6" spans="1:29" x14ac:dyDescent="0.2">
      <c r="AC6" s="1002"/>
    </row>
    <row r="7" spans="1:29" s="614" customFormat="1" ht="37.5" customHeight="1" x14ac:dyDescent="0.2">
      <c r="A7" s="1565" t="s">
        <v>724</v>
      </c>
      <c r="B7" s="1566" t="s">
        <v>577</v>
      </c>
      <c r="C7" s="1566" t="s">
        <v>578</v>
      </c>
      <c r="D7" s="1566" t="s">
        <v>579</v>
      </c>
      <c r="E7" s="1567" t="s">
        <v>725</v>
      </c>
      <c r="F7" s="1567"/>
      <c r="G7" s="1567"/>
      <c r="H7" s="1567"/>
      <c r="I7" s="1567"/>
      <c r="J7" s="1567"/>
      <c r="K7" s="1567"/>
      <c r="L7" s="1567"/>
      <c r="M7" s="1567" t="s">
        <v>726</v>
      </c>
      <c r="N7" s="1567"/>
      <c r="O7" s="1567"/>
      <c r="P7" s="1567"/>
      <c r="Q7" s="1567"/>
      <c r="R7" s="1567"/>
      <c r="S7" s="1567"/>
      <c r="T7" s="1567"/>
      <c r="U7" s="1567" t="s">
        <v>727</v>
      </c>
      <c r="V7" s="1567"/>
      <c r="W7" s="1567"/>
      <c r="X7" s="1567"/>
      <c r="Y7" s="1567"/>
      <c r="Z7" s="1567"/>
      <c r="AA7" s="1567"/>
      <c r="AB7" s="1567"/>
      <c r="AC7" s="1577" t="s">
        <v>1178</v>
      </c>
    </row>
    <row r="8" spans="1:29" s="616" customFormat="1" ht="39.75" customHeight="1" x14ac:dyDescent="0.2">
      <c r="A8" s="1565"/>
      <c r="B8" s="1566"/>
      <c r="C8" s="1566"/>
      <c r="D8" s="1566"/>
      <c r="E8" s="1568" t="s">
        <v>6</v>
      </c>
      <c r="F8" s="1569" t="s">
        <v>52</v>
      </c>
      <c r="G8" s="1569"/>
      <c r="H8" s="1569"/>
      <c r="I8" s="1569"/>
      <c r="J8" s="1569"/>
      <c r="K8" s="1569"/>
      <c r="L8" s="1569"/>
      <c r="M8" s="1578" t="s">
        <v>6</v>
      </c>
      <c r="N8" s="1569" t="s">
        <v>52</v>
      </c>
      <c r="O8" s="1569"/>
      <c r="P8" s="1569"/>
      <c r="Q8" s="1569"/>
      <c r="R8" s="1569"/>
      <c r="S8" s="1569"/>
      <c r="T8" s="1569"/>
      <c r="U8" s="1578" t="s">
        <v>6</v>
      </c>
      <c r="V8" s="1569" t="s">
        <v>52</v>
      </c>
      <c r="W8" s="1569"/>
      <c r="X8" s="1569"/>
      <c r="Y8" s="1569"/>
      <c r="Z8" s="1569"/>
      <c r="AA8" s="1569"/>
      <c r="AB8" s="1569"/>
      <c r="AC8" s="1577"/>
    </row>
    <row r="9" spans="1:29" s="616" customFormat="1" ht="39.75" customHeight="1" x14ac:dyDescent="0.2">
      <c r="A9" s="1565"/>
      <c r="B9" s="1566"/>
      <c r="C9" s="1566"/>
      <c r="D9" s="1566"/>
      <c r="E9" s="1568"/>
      <c r="F9" s="1570" t="s">
        <v>35</v>
      </c>
      <c r="G9" s="1570"/>
      <c r="H9" s="1570"/>
      <c r="I9" s="1570" t="s">
        <v>45</v>
      </c>
      <c r="J9" s="1570"/>
      <c r="K9" s="1570"/>
      <c r="L9" s="1571" t="s">
        <v>46</v>
      </c>
      <c r="M9" s="1578"/>
      <c r="N9" s="1570" t="s">
        <v>35</v>
      </c>
      <c r="O9" s="1570"/>
      <c r="P9" s="1570"/>
      <c r="Q9" s="1570" t="s">
        <v>45</v>
      </c>
      <c r="R9" s="1570"/>
      <c r="S9" s="1570"/>
      <c r="T9" s="1571" t="s">
        <v>46</v>
      </c>
      <c r="U9" s="1578"/>
      <c r="V9" s="1570" t="s">
        <v>35</v>
      </c>
      <c r="W9" s="1570"/>
      <c r="X9" s="1570"/>
      <c r="Y9" s="1570" t="s">
        <v>45</v>
      </c>
      <c r="Z9" s="1570"/>
      <c r="AA9" s="1570"/>
      <c r="AB9" s="1571" t="s">
        <v>46</v>
      </c>
      <c r="AC9" s="1577"/>
    </row>
    <row r="10" spans="1:29" s="616" customFormat="1" ht="69" customHeight="1" x14ac:dyDescent="0.2">
      <c r="A10" s="1565"/>
      <c r="B10" s="1566"/>
      <c r="C10" s="1566"/>
      <c r="D10" s="1566"/>
      <c r="E10" s="1568"/>
      <c r="F10" s="642" t="s">
        <v>43</v>
      </c>
      <c r="G10" s="642" t="s">
        <v>592</v>
      </c>
      <c r="H10" s="642" t="s">
        <v>44</v>
      </c>
      <c r="I10" s="617" t="s">
        <v>55</v>
      </c>
      <c r="J10" s="642" t="s">
        <v>43</v>
      </c>
      <c r="K10" s="642" t="s">
        <v>44</v>
      </c>
      <c r="L10" s="1571"/>
      <c r="M10" s="1578"/>
      <c r="N10" s="642" t="s">
        <v>43</v>
      </c>
      <c r="O10" s="642" t="s">
        <v>592</v>
      </c>
      <c r="P10" s="642" t="s">
        <v>44</v>
      </c>
      <c r="Q10" s="617" t="s">
        <v>55</v>
      </c>
      <c r="R10" s="642" t="s">
        <v>43</v>
      </c>
      <c r="S10" s="642" t="s">
        <v>44</v>
      </c>
      <c r="T10" s="1571"/>
      <c r="U10" s="1578"/>
      <c r="V10" s="642" t="s">
        <v>43</v>
      </c>
      <c r="W10" s="642" t="s">
        <v>592</v>
      </c>
      <c r="X10" s="642" t="s">
        <v>44</v>
      </c>
      <c r="Y10" s="617" t="s">
        <v>55</v>
      </c>
      <c r="Z10" s="642" t="s">
        <v>43</v>
      </c>
      <c r="AA10" s="642" t="s">
        <v>44</v>
      </c>
      <c r="AB10" s="1571"/>
      <c r="AC10" s="1577"/>
    </row>
    <row r="11" spans="1:29" ht="31.5" x14ac:dyDescent="0.2">
      <c r="A11" s="618" t="s">
        <v>909</v>
      </c>
      <c r="B11" s="619" t="s">
        <v>747</v>
      </c>
      <c r="C11" s="620"/>
      <c r="D11" s="620">
        <v>510</v>
      </c>
      <c r="E11" s="596">
        <f>'Прилож 4 24 (4)'!U11</f>
        <v>332433.68</v>
      </c>
      <c r="F11" s="595">
        <f>'Прилож 4 24 (4)'!V11</f>
        <v>0</v>
      </c>
      <c r="G11" s="595">
        <f>'Прилож 4 24 (4)'!W11</f>
        <v>0</v>
      </c>
      <c r="H11" s="595">
        <f>'Прилож 4 24 (4)'!X11</f>
        <v>255285.97</v>
      </c>
      <c r="I11" s="621"/>
      <c r="J11" s="595">
        <f>'Прилож 4 24 (4)'!Z11</f>
        <v>0</v>
      </c>
      <c r="K11" s="595">
        <f>'Прилож 4 24 (4)'!AA11</f>
        <v>0</v>
      </c>
      <c r="L11" s="595">
        <f>'Прилож 4 24 (4)'!AB11</f>
        <v>77147.710000000006</v>
      </c>
      <c r="M11" s="596">
        <f>N11+P11+R11+S11+T11+O11</f>
        <v>0</v>
      </c>
      <c r="N11" s="595"/>
      <c r="O11" s="595"/>
      <c r="P11" s="595"/>
      <c r="Q11" s="621"/>
      <c r="R11" s="595"/>
      <c r="S11" s="595"/>
      <c r="T11" s="595"/>
      <c r="U11" s="999">
        <f>X11+AB11</f>
        <v>332433.68</v>
      </c>
      <c r="V11" s="835">
        <f>F11+N11</f>
        <v>0</v>
      </c>
      <c r="W11" s="835">
        <f>O11+G11</f>
        <v>0</v>
      </c>
      <c r="X11" s="835">
        <f>P11+H11</f>
        <v>255285.97</v>
      </c>
      <c r="Y11" s="1000"/>
      <c r="Z11" s="835">
        <f>R11+J11</f>
        <v>0</v>
      </c>
      <c r="AA11" s="835">
        <f>S11+K11</f>
        <v>0</v>
      </c>
      <c r="AB11" s="835">
        <f>T11+L11</f>
        <v>77147.710000000006</v>
      </c>
      <c r="AC11" s="1003"/>
    </row>
    <row r="12" spans="1:29" ht="109.5" customHeight="1" x14ac:dyDescent="0.2">
      <c r="A12" s="618" t="s">
        <v>728</v>
      </c>
      <c r="B12" s="619" t="s">
        <v>747</v>
      </c>
      <c r="C12" s="620">
        <v>130</v>
      </c>
      <c r="D12" s="620">
        <v>131</v>
      </c>
      <c r="E12" s="596">
        <f>'Прилож 4 24 (4)'!U12</f>
        <v>23228700</v>
      </c>
      <c r="F12" s="595">
        <f>'Прилож 4 24 (4)'!V12</f>
        <v>16891100</v>
      </c>
      <c r="G12" s="595">
        <f>'Прилож 4 24 (4)'!W12</f>
        <v>0</v>
      </c>
      <c r="H12" s="595">
        <f>'Прилож 4 24 (4)'!X12</f>
        <v>6337600</v>
      </c>
      <c r="I12" s="621"/>
      <c r="J12" s="595">
        <f>'Прилож 4 24 (4)'!Z12</f>
        <v>0</v>
      </c>
      <c r="K12" s="595">
        <f>'Прилож 4 24 (4)'!AA12</f>
        <v>0</v>
      </c>
      <c r="L12" s="595">
        <f>'Прилож 4 24 (4)'!AB12</f>
        <v>0</v>
      </c>
      <c r="M12" s="596">
        <f t="shared" ref="M12:M27" si="0">N12+P12+R12+S12+T12+O12</f>
        <v>0</v>
      </c>
      <c r="N12" s="595"/>
      <c r="O12" s="595"/>
      <c r="P12" s="595"/>
      <c r="Q12" s="621"/>
      <c r="R12" s="595"/>
      <c r="S12" s="595"/>
      <c r="T12" s="595"/>
      <c r="U12" s="999">
        <f>V12+X12+Z12+AA12+AB12+W12</f>
        <v>23228700</v>
      </c>
      <c r="V12" s="835">
        <f t="shared" ref="V12:V29" si="1">F12+N12</f>
        <v>16891100</v>
      </c>
      <c r="W12" s="835">
        <f t="shared" ref="W12:X29" si="2">O12+G12</f>
        <v>0</v>
      </c>
      <c r="X12" s="835">
        <f t="shared" si="2"/>
        <v>6337600</v>
      </c>
      <c r="Y12" s="1000"/>
      <c r="Z12" s="835">
        <f t="shared" ref="Z12:AB78" si="3">R12+J12</f>
        <v>0</v>
      </c>
      <c r="AA12" s="835">
        <f t="shared" si="3"/>
        <v>0</v>
      </c>
      <c r="AB12" s="835">
        <f t="shared" si="3"/>
        <v>0</v>
      </c>
      <c r="AC12" s="1003"/>
    </row>
    <row r="13" spans="1:29" ht="58.5" customHeight="1" x14ac:dyDescent="0.2">
      <c r="A13" s="618" t="s">
        <v>580</v>
      </c>
      <c r="B13" s="619" t="s">
        <v>729</v>
      </c>
      <c r="C13" s="620">
        <v>130</v>
      </c>
      <c r="D13" s="620">
        <v>131</v>
      </c>
      <c r="E13" s="596">
        <f>'Прилож 4 24 (4)'!U13</f>
        <v>926500</v>
      </c>
      <c r="F13" s="595">
        <f>'Прилож 4 24 (4)'!V13</f>
        <v>0</v>
      </c>
      <c r="G13" s="595">
        <f>'Прилож 4 24 (4)'!W13</f>
        <v>0</v>
      </c>
      <c r="H13" s="595">
        <f>'Прилож 4 24 (4)'!X13</f>
        <v>926500</v>
      </c>
      <c r="I13" s="621"/>
      <c r="J13" s="595">
        <f>'Прилож 4 24 (4)'!Z13</f>
        <v>0</v>
      </c>
      <c r="K13" s="595">
        <f>'Прилож 4 24 (4)'!AA13</f>
        <v>0</v>
      </c>
      <c r="L13" s="595">
        <f>'Прилож 4 24 (4)'!AB13</f>
        <v>0</v>
      </c>
      <c r="M13" s="596">
        <f t="shared" si="0"/>
        <v>0</v>
      </c>
      <c r="N13" s="595"/>
      <c r="O13" s="595"/>
      <c r="P13" s="595"/>
      <c r="Q13" s="621"/>
      <c r="R13" s="595"/>
      <c r="S13" s="595"/>
      <c r="T13" s="595"/>
      <c r="U13" s="999">
        <f t="shared" ref="U13:U29" si="4">V13+X13+Z13+AA13+AB13+W13</f>
        <v>926500</v>
      </c>
      <c r="V13" s="835">
        <f t="shared" si="1"/>
        <v>0</v>
      </c>
      <c r="W13" s="835">
        <f t="shared" si="2"/>
        <v>0</v>
      </c>
      <c r="X13" s="835">
        <f t="shared" si="2"/>
        <v>926500</v>
      </c>
      <c r="Y13" s="1000"/>
      <c r="Z13" s="835">
        <f t="shared" si="3"/>
        <v>0</v>
      </c>
      <c r="AA13" s="835">
        <f t="shared" si="3"/>
        <v>0</v>
      </c>
      <c r="AB13" s="835">
        <f t="shared" si="3"/>
        <v>0</v>
      </c>
      <c r="AC13" s="1003"/>
    </row>
    <row r="14" spans="1:29" ht="106.5" customHeight="1" x14ac:dyDescent="0.2">
      <c r="A14" s="618" t="s">
        <v>728</v>
      </c>
      <c r="B14" s="619" t="s">
        <v>729</v>
      </c>
      <c r="C14" s="620">
        <v>130</v>
      </c>
      <c r="D14" s="620">
        <v>131</v>
      </c>
      <c r="E14" s="596">
        <f>'Прилож 4 24 (4)'!U14</f>
        <v>29262476</v>
      </c>
      <c r="F14" s="595">
        <f>'Прилож 4 24 (4)'!V14</f>
        <v>24547930</v>
      </c>
      <c r="G14" s="595">
        <f>'Прилож 4 24 (4)'!W14</f>
        <v>1093680</v>
      </c>
      <c r="H14" s="595">
        <f>'Прилож 4 24 (4)'!X14</f>
        <v>3620866</v>
      </c>
      <c r="I14" s="621"/>
      <c r="J14" s="595">
        <f>'Прилож 4 24 (4)'!Z14</f>
        <v>0</v>
      </c>
      <c r="K14" s="595">
        <f>'Прилож 4 24 (4)'!AA14</f>
        <v>0</v>
      </c>
      <c r="L14" s="595">
        <f>'Прилож 4 24 (4)'!AB14</f>
        <v>0</v>
      </c>
      <c r="M14" s="596">
        <f t="shared" si="0"/>
        <v>0</v>
      </c>
      <c r="N14" s="835"/>
      <c r="O14" s="595"/>
      <c r="P14" s="595"/>
      <c r="Q14" s="621"/>
      <c r="R14" s="595"/>
      <c r="S14" s="595"/>
      <c r="T14" s="595"/>
      <c r="U14" s="999">
        <f t="shared" si="4"/>
        <v>29262476</v>
      </c>
      <c r="V14" s="835">
        <f t="shared" si="1"/>
        <v>24547930</v>
      </c>
      <c r="W14" s="835">
        <f t="shared" si="2"/>
        <v>1093680</v>
      </c>
      <c r="X14" s="835">
        <f t="shared" si="2"/>
        <v>3620866</v>
      </c>
      <c r="Y14" s="1000"/>
      <c r="Z14" s="835">
        <f t="shared" si="3"/>
        <v>0</v>
      </c>
      <c r="AA14" s="835">
        <f t="shared" si="3"/>
        <v>0</v>
      </c>
      <c r="AB14" s="835">
        <f t="shared" si="3"/>
        <v>0</v>
      </c>
      <c r="AC14" s="1003"/>
    </row>
    <row r="15" spans="1:29" ht="118.5" customHeight="1" x14ac:dyDescent="0.2">
      <c r="A15" s="618" t="s">
        <v>945</v>
      </c>
      <c r="B15" s="619" t="s">
        <v>729</v>
      </c>
      <c r="C15" s="620">
        <v>130</v>
      </c>
      <c r="D15" s="620">
        <v>131</v>
      </c>
      <c r="E15" s="596">
        <f>'Прилож 4 24 (4)'!U15</f>
        <v>354251.13</v>
      </c>
      <c r="F15" s="595">
        <f>'Прилож 4 24 (4)'!V15</f>
        <v>116903.03999999999</v>
      </c>
      <c r="G15" s="595">
        <f>'Прилож 4 24 (4)'!W15</f>
        <v>237348.09</v>
      </c>
      <c r="H15" s="595">
        <f>'Прилож 4 24 (4)'!X15</f>
        <v>0</v>
      </c>
      <c r="I15" s="621"/>
      <c r="J15" s="595">
        <f>'Прилож 4 24 (4)'!Z15</f>
        <v>0</v>
      </c>
      <c r="K15" s="595">
        <f>'Прилож 4 24 (4)'!AA15</f>
        <v>0</v>
      </c>
      <c r="L15" s="595">
        <f>'Прилож 4 24 (4)'!AB15</f>
        <v>0</v>
      </c>
      <c r="M15" s="596">
        <f t="shared" si="0"/>
        <v>0</v>
      </c>
      <c r="N15" s="595"/>
      <c r="O15" s="595"/>
      <c r="P15" s="595"/>
      <c r="Q15" s="621"/>
      <c r="R15" s="595"/>
      <c r="S15" s="595"/>
      <c r="T15" s="595"/>
      <c r="U15" s="999">
        <f t="shared" si="4"/>
        <v>354251.13</v>
      </c>
      <c r="V15" s="835">
        <f t="shared" si="1"/>
        <v>116903.03999999999</v>
      </c>
      <c r="W15" s="835">
        <f t="shared" si="2"/>
        <v>237348.09</v>
      </c>
      <c r="X15" s="835">
        <f t="shared" si="2"/>
        <v>0</v>
      </c>
      <c r="Y15" s="1000"/>
      <c r="Z15" s="835">
        <f t="shared" si="3"/>
        <v>0</v>
      </c>
      <c r="AA15" s="835">
        <f t="shared" si="3"/>
        <v>0</v>
      </c>
      <c r="AB15" s="835">
        <f t="shared" si="3"/>
        <v>0</v>
      </c>
      <c r="AC15" s="1003"/>
    </row>
    <row r="16" spans="1:29" ht="57" customHeight="1" x14ac:dyDescent="0.2">
      <c r="A16" s="994" t="s">
        <v>582</v>
      </c>
      <c r="B16" s="995" t="s">
        <v>691</v>
      </c>
      <c r="C16" s="996">
        <v>130</v>
      </c>
      <c r="D16" s="996">
        <v>131</v>
      </c>
      <c r="E16" s="997">
        <f>'Прилож 4 24 (4)'!U16</f>
        <v>352345.7</v>
      </c>
      <c r="F16" s="998">
        <f>'Прилож 4 24 (4)'!V16</f>
        <v>32288.77</v>
      </c>
      <c r="G16" s="998">
        <f>'Прилож 4 24 (4)'!W16</f>
        <v>0</v>
      </c>
      <c r="H16" s="998">
        <f>'Прилож 4 24 (4)'!X16</f>
        <v>320056.93</v>
      </c>
      <c r="I16" s="993"/>
      <c r="J16" s="992">
        <f>'Прилож 4 24 (4)'!Z16</f>
        <v>0</v>
      </c>
      <c r="K16" s="992">
        <f>'Прилож 4 24 (4)'!AA16</f>
        <v>0</v>
      </c>
      <c r="L16" s="992">
        <f>'Прилож 4 24 (4)'!AB16</f>
        <v>0</v>
      </c>
      <c r="M16" s="991">
        <f t="shared" si="0"/>
        <v>0</v>
      </c>
      <c r="N16" s="992"/>
      <c r="O16" s="992"/>
      <c r="P16" s="992"/>
      <c r="R16" s="992"/>
      <c r="S16" s="992"/>
      <c r="T16" s="595"/>
      <c r="U16" s="999">
        <f t="shared" si="4"/>
        <v>352345.7</v>
      </c>
      <c r="V16" s="835">
        <f t="shared" si="1"/>
        <v>32288.77</v>
      </c>
      <c r="W16" s="835">
        <f t="shared" si="2"/>
        <v>0</v>
      </c>
      <c r="X16" s="835">
        <f t="shared" si="2"/>
        <v>320056.93</v>
      </c>
      <c r="Y16" s="1000"/>
      <c r="Z16" s="835">
        <f t="shared" si="3"/>
        <v>0</v>
      </c>
      <c r="AA16" s="835">
        <f t="shared" si="3"/>
        <v>0</v>
      </c>
      <c r="AB16" s="835">
        <f t="shared" si="3"/>
        <v>0</v>
      </c>
      <c r="AC16" s="1002"/>
    </row>
    <row r="17" spans="1:32" ht="62.25" customHeight="1" x14ac:dyDescent="0.2">
      <c r="A17" s="618" t="s">
        <v>283</v>
      </c>
      <c r="B17" s="619" t="s">
        <v>729</v>
      </c>
      <c r="C17" s="620">
        <v>130</v>
      </c>
      <c r="D17" s="620">
        <v>131</v>
      </c>
      <c r="E17" s="596">
        <f>'Прилож 4 24 (4)'!U17</f>
        <v>80080</v>
      </c>
      <c r="F17" s="595">
        <f>'Прилож 4 24 (4)'!V17</f>
        <v>0</v>
      </c>
      <c r="G17" s="595">
        <f>'Прилож 4 24 (4)'!W17</f>
        <v>0</v>
      </c>
      <c r="H17" s="595">
        <f>'Прилож 4 24 (4)'!X17</f>
        <v>0</v>
      </c>
      <c r="I17" s="621"/>
      <c r="J17" s="595">
        <f>'Прилож 4 24 (4)'!Z17</f>
        <v>0</v>
      </c>
      <c r="K17" s="595">
        <f>'Прилож 4 24 (4)'!AA17</f>
        <v>0</v>
      </c>
      <c r="L17" s="595">
        <f>'Прилож 4 24 (4)'!AB17</f>
        <v>80080</v>
      </c>
      <c r="M17" s="596">
        <f t="shared" si="0"/>
        <v>0</v>
      </c>
      <c r="N17" s="595"/>
      <c r="O17" s="595"/>
      <c r="P17" s="595"/>
      <c r="Q17" s="621"/>
      <c r="R17" s="595"/>
      <c r="S17" s="595"/>
      <c r="T17" s="595"/>
      <c r="U17" s="999">
        <f t="shared" si="4"/>
        <v>80080</v>
      </c>
      <c r="V17" s="835">
        <f t="shared" si="1"/>
        <v>0</v>
      </c>
      <c r="W17" s="835">
        <f t="shared" si="2"/>
        <v>0</v>
      </c>
      <c r="X17" s="835">
        <f t="shared" si="2"/>
        <v>0</v>
      </c>
      <c r="Y17" s="1000"/>
      <c r="Z17" s="835">
        <f t="shared" si="3"/>
        <v>0</v>
      </c>
      <c r="AA17" s="835">
        <f t="shared" si="3"/>
        <v>0</v>
      </c>
      <c r="AB17" s="835">
        <f t="shared" si="3"/>
        <v>80080</v>
      </c>
      <c r="AC17" s="1003"/>
    </row>
    <row r="18" spans="1:32" ht="63.75" customHeight="1" x14ac:dyDescent="0.2">
      <c r="A18" s="618" t="s">
        <v>282</v>
      </c>
      <c r="B18" s="619" t="s">
        <v>729</v>
      </c>
      <c r="C18" s="620">
        <v>130</v>
      </c>
      <c r="D18" s="620">
        <v>134</v>
      </c>
      <c r="E18" s="596">
        <f>'Прилож 4 24 (4)'!U18</f>
        <v>1214568.26</v>
      </c>
      <c r="F18" s="595">
        <f>'Прилож 4 24 (4)'!V18</f>
        <v>0</v>
      </c>
      <c r="G18" s="595">
        <f>'Прилож 4 24 (4)'!W18</f>
        <v>0</v>
      </c>
      <c r="H18" s="595">
        <f>'Прилож 4 24 (4)'!X18</f>
        <v>0</v>
      </c>
      <c r="I18" s="621"/>
      <c r="J18" s="595">
        <f>'Прилож 4 24 (4)'!Z18</f>
        <v>0</v>
      </c>
      <c r="K18" s="595">
        <f>'Прилож 4 24 (4)'!AA18</f>
        <v>0</v>
      </c>
      <c r="L18" s="595">
        <f>'Прилож 4 24 (4)'!AB18</f>
        <v>1214568.26</v>
      </c>
      <c r="M18" s="596"/>
      <c r="N18" s="595"/>
      <c r="O18" s="595"/>
      <c r="P18" s="595"/>
      <c r="Q18" s="621"/>
      <c r="R18" s="595"/>
      <c r="S18" s="595"/>
      <c r="T18" s="595"/>
      <c r="U18" s="999">
        <f t="shared" si="4"/>
        <v>1214568.26</v>
      </c>
      <c r="V18" s="835">
        <f t="shared" si="1"/>
        <v>0</v>
      </c>
      <c r="W18" s="835">
        <f t="shared" si="2"/>
        <v>0</v>
      </c>
      <c r="X18" s="835">
        <f t="shared" si="2"/>
        <v>0</v>
      </c>
      <c r="Y18" s="1000"/>
      <c r="Z18" s="835">
        <f t="shared" si="3"/>
        <v>0</v>
      </c>
      <c r="AA18" s="835">
        <f t="shared" si="3"/>
        <v>0</v>
      </c>
      <c r="AB18" s="835">
        <f t="shared" si="3"/>
        <v>1214568.26</v>
      </c>
      <c r="AC18" s="1003"/>
    </row>
    <row r="19" spans="1:32" ht="52.5" customHeight="1" x14ac:dyDescent="0.2">
      <c r="A19" s="1018" t="s">
        <v>273</v>
      </c>
      <c r="B19" s="1019" t="s">
        <v>729</v>
      </c>
      <c r="C19" s="1017">
        <v>130</v>
      </c>
      <c r="D19" s="620">
        <v>121</v>
      </c>
      <c r="E19" s="596">
        <f>'Прилож 4 24 (4)'!U19</f>
        <v>14510.07</v>
      </c>
      <c r="F19" s="595">
        <f>'Прилож 4 24 (4)'!V19</f>
        <v>0</v>
      </c>
      <c r="G19" s="595">
        <f>'Прилож 4 24 (4)'!W19</f>
        <v>0</v>
      </c>
      <c r="H19" s="595">
        <f>'Прилож 4 24 (4)'!X19</f>
        <v>0</v>
      </c>
      <c r="I19" s="621"/>
      <c r="J19" s="595">
        <f>'Прилож 4 24 (4)'!Z19</f>
        <v>0</v>
      </c>
      <c r="K19" s="595">
        <f>'Прилож 4 24 (4)'!AA19</f>
        <v>0</v>
      </c>
      <c r="L19" s="595">
        <f>'Прилож 4 24 (4)'!AB19</f>
        <v>14510.07</v>
      </c>
      <c r="M19" s="596"/>
      <c r="N19" s="595"/>
      <c r="O19" s="595"/>
      <c r="P19" s="595"/>
      <c r="Q19" s="621"/>
      <c r="R19" s="595"/>
      <c r="S19" s="595"/>
      <c r="T19" s="595"/>
      <c r="U19" s="999">
        <f t="shared" si="4"/>
        <v>14510.07</v>
      </c>
      <c r="V19" s="835">
        <f t="shared" si="1"/>
        <v>0</v>
      </c>
      <c r="W19" s="835">
        <f t="shared" si="2"/>
        <v>0</v>
      </c>
      <c r="X19" s="835">
        <f t="shared" si="2"/>
        <v>0</v>
      </c>
      <c r="Y19" s="1000"/>
      <c r="Z19" s="835">
        <f t="shared" si="3"/>
        <v>0</v>
      </c>
      <c r="AA19" s="835">
        <f t="shared" si="3"/>
        <v>0</v>
      </c>
      <c r="AB19" s="835">
        <f t="shared" si="3"/>
        <v>14510.07</v>
      </c>
      <c r="AC19" s="1003"/>
    </row>
    <row r="20" spans="1:32" ht="31.5" x14ac:dyDescent="0.2">
      <c r="A20" s="618" t="s">
        <v>789</v>
      </c>
      <c r="B20" s="619" t="s">
        <v>747</v>
      </c>
      <c r="C20" s="620">
        <v>130</v>
      </c>
      <c r="D20" s="620">
        <v>131</v>
      </c>
      <c r="E20" s="596">
        <f>'Прилож 4 24 (4)'!U20</f>
        <v>1170130</v>
      </c>
      <c r="F20" s="595">
        <f>'Прилож 4 24 (4)'!V20</f>
        <v>0</v>
      </c>
      <c r="G20" s="595">
        <f>'Прилож 4 24 (4)'!W20</f>
        <v>0</v>
      </c>
      <c r="H20" s="595">
        <f>'Прилож 4 24 (4)'!X20</f>
        <v>0</v>
      </c>
      <c r="I20" s="621"/>
      <c r="J20" s="595">
        <f>'Прилож 4 24 (4)'!Z20</f>
        <v>0</v>
      </c>
      <c r="K20" s="595">
        <f>'Прилож 4 24 (4)'!AA20</f>
        <v>0</v>
      </c>
      <c r="L20" s="595">
        <f>'Прилож 4 24 (4)'!AB20</f>
        <v>1170130</v>
      </c>
      <c r="M20" s="596">
        <f t="shared" si="0"/>
        <v>0</v>
      </c>
      <c r="N20" s="595"/>
      <c r="O20" s="595"/>
      <c r="P20" s="595"/>
      <c r="Q20" s="621"/>
      <c r="R20" s="595"/>
      <c r="S20" s="595"/>
      <c r="T20" s="595"/>
      <c r="U20" s="999">
        <f t="shared" si="4"/>
        <v>1170130</v>
      </c>
      <c r="V20" s="835">
        <f t="shared" si="1"/>
        <v>0</v>
      </c>
      <c r="W20" s="835">
        <f t="shared" si="2"/>
        <v>0</v>
      </c>
      <c r="X20" s="835">
        <f t="shared" si="2"/>
        <v>0</v>
      </c>
      <c r="Y20" s="1000"/>
      <c r="Z20" s="835">
        <f t="shared" si="3"/>
        <v>0</v>
      </c>
      <c r="AA20" s="835">
        <f t="shared" si="3"/>
        <v>0</v>
      </c>
      <c r="AB20" s="835">
        <f t="shared" si="3"/>
        <v>1170130</v>
      </c>
      <c r="AC20" s="1003"/>
    </row>
    <row r="21" spans="1:32" ht="111.75" customHeight="1" x14ac:dyDescent="0.2">
      <c r="A21" s="618" t="s">
        <v>1237</v>
      </c>
      <c r="B21" s="619" t="s">
        <v>747</v>
      </c>
      <c r="C21" s="620">
        <v>150</v>
      </c>
      <c r="D21" s="620">
        <v>152</v>
      </c>
      <c r="E21" s="596">
        <f>'Прилож 4 24 (4)'!U21</f>
        <v>0</v>
      </c>
      <c r="F21" s="595">
        <f>'Прилож 4 24 (4)'!V21</f>
        <v>0</v>
      </c>
      <c r="G21" s="595">
        <f>'Прилож 4 24 (4)'!W21</f>
        <v>0</v>
      </c>
      <c r="H21" s="595">
        <f>'Прилож 4 24 (4)'!X21</f>
        <v>0</v>
      </c>
      <c r="I21" s="621"/>
      <c r="J21" s="595">
        <f>'Прилож 4 24 (4)'!Z21</f>
        <v>0</v>
      </c>
      <c r="K21" s="595">
        <f>'Прилож 4 24 (4)'!AA21</f>
        <v>0</v>
      </c>
      <c r="L21" s="595">
        <f>'Прилож 4 24 (4)'!AB21</f>
        <v>0</v>
      </c>
      <c r="M21" s="596">
        <f t="shared" si="0"/>
        <v>0</v>
      </c>
      <c r="N21" s="595"/>
      <c r="O21" s="595"/>
      <c r="P21" s="595"/>
      <c r="Q21" s="621"/>
      <c r="R21" s="595"/>
      <c r="S21" s="595"/>
      <c r="T21" s="595"/>
      <c r="U21" s="999">
        <f t="shared" si="4"/>
        <v>0</v>
      </c>
      <c r="V21" s="835">
        <f t="shared" si="1"/>
        <v>0</v>
      </c>
      <c r="W21" s="835">
        <f t="shared" si="2"/>
        <v>0</v>
      </c>
      <c r="X21" s="835">
        <f t="shared" si="2"/>
        <v>0</v>
      </c>
      <c r="Y21" s="1000"/>
      <c r="Z21" s="835">
        <f t="shared" si="3"/>
        <v>0</v>
      </c>
      <c r="AA21" s="835">
        <f t="shared" si="3"/>
        <v>0</v>
      </c>
      <c r="AB21" s="835">
        <f t="shared" si="3"/>
        <v>0</v>
      </c>
      <c r="AC21" s="1003"/>
    </row>
    <row r="22" spans="1:32" ht="111.75" customHeight="1" x14ac:dyDescent="0.2">
      <c r="A22" s="618" t="s">
        <v>1321</v>
      </c>
      <c r="B22" s="619" t="s">
        <v>729</v>
      </c>
      <c r="C22" s="620">
        <v>150</v>
      </c>
      <c r="D22" s="620">
        <v>152</v>
      </c>
      <c r="E22" s="596">
        <f>'Прилож 4 24 (4)'!U22</f>
        <v>216466</v>
      </c>
      <c r="F22" s="595">
        <f>'Прилож 4 24 (4)'!V22</f>
        <v>0</v>
      </c>
      <c r="G22" s="595">
        <f>'Прилож 4 24 (4)'!W22</f>
        <v>0</v>
      </c>
      <c r="H22" s="595">
        <f>'Прилож 4 24 (4)'!X22</f>
        <v>0</v>
      </c>
      <c r="I22" s="621" t="s">
        <v>1226</v>
      </c>
      <c r="J22" s="595">
        <f>'Прилож 4 24 (4)'!Z22</f>
        <v>0</v>
      </c>
      <c r="K22" s="595">
        <f>'Прилож 4 24 (4)'!AA22</f>
        <v>216466</v>
      </c>
      <c r="L22" s="595">
        <f>'Прилож 4 24 (4)'!AB22</f>
        <v>0</v>
      </c>
      <c r="M22" s="596">
        <f t="shared" si="0"/>
        <v>0</v>
      </c>
      <c r="N22" s="595"/>
      <c r="O22" s="595"/>
      <c r="P22" s="595"/>
      <c r="Q22" s="621"/>
      <c r="R22" s="595"/>
      <c r="S22" s="595"/>
      <c r="T22" s="595"/>
      <c r="U22" s="999">
        <f t="shared" si="4"/>
        <v>216466</v>
      </c>
      <c r="V22" s="835">
        <f t="shared" si="1"/>
        <v>0</v>
      </c>
      <c r="W22" s="835">
        <f t="shared" si="2"/>
        <v>0</v>
      </c>
      <c r="X22" s="835">
        <f t="shared" si="2"/>
        <v>0</v>
      </c>
      <c r="Y22" s="1000" t="s">
        <v>1226</v>
      </c>
      <c r="Z22" s="835">
        <f t="shared" si="3"/>
        <v>0</v>
      </c>
      <c r="AA22" s="835">
        <f t="shared" si="3"/>
        <v>216466</v>
      </c>
      <c r="AB22" s="835">
        <f t="shared" si="3"/>
        <v>0</v>
      </c>
      <c r="AC22" s="1003"/>
    </row>
    <row r="23" spans="1:32" ht="111.75" customHeight="1" x14ac:dyDescent="0.2">
      <c r="A23" s="618" t="s">
        <v>297</v>
      </c>
      <c r="B23" s="619" t="s">
        <v>729</v>
      </c>
      <c r="C23" s="620">
        <v>150</v>
      </c>
      <c r="D23" s="620">
        <v>152</v>
      </c>
      <c r="E23" s="596">
        <f>'Прилож 4 24 (4)'!U23</f>
        <v>5491259.7999999998</v>
      </c>
      <c r="F23" s="595">
        <f>'Прилож 4 24 (4)'!V23</f>
        <v>0</v>
      </c>
      <c r="G23" s="595">
        <f>'Прилож 4 24 (4)'!W23</f>
        <v>0</v>
      </c>
      <c r="H23" s="595">
        <f>'Прилож 4 24 (4)'!X23</f>
        <v>0</v>
      </c>
      <c r="I23" s="621" t="s">
        <v>1314</v>
      </c>
      <c r="J23" s="595">
        <f>'Прилож 4 24 (4)'!Z23</f>
        <v>0</v>
      </c>
      <c r="K23" s="595">
        <f>'Прилож 4 24 (4)'!AA23</f>
        <v>5491259.7999999998</v>
      </c>
      <c r="L23" s="595">
        <f>'Прилож 4 24 (4)'!AB23</f>
        <v>0</v>
      </c>
      <c r="M23" s="596">
        <f t="shared" si="0"/>
        <v>598507.39999999991</v>
      </c>
      <c r="N23" s="595"/>
      <c r="O23" s="595"/>
      <c r="P23" s="595"/>
      <c r="Q23" s="621" t="s">
        <v>1314</v>
      </c>
      <c r="R23" s="595"/>
      <c r="S23" s="595">
        <f>851276.6-252769.2</f>
        <v>598507.39999999991</v>
      </c>
      <c r="T23" s="595"/>
      <c r="U23" s="999">
        <f t="shared" si="4"/>
        <v>6089767.1999999993</v>
      </c>
      <c r="V23" s="835">
        <f t="shared" si="1"/>
        <v>0</v>
      </c>
      <c r="W23" s="835">
        <f t="shared" si="2"/>
        <v>0</v>
      </c>
      <c r="X23" s="835">
        <f t="shared" si="2"/>
        <v>0</v>
      </c>
      <c r="Y23" s="1000" t="s">
        <v>1314</v>
      </c>
      <c r="Z23" s="835">
        <f t="shared" si="3"/>
        <v>0</v>
      </c>
      <c r="AA23" s="835">
        <f t="shared" si="3"/>
        <v>6089767.1999999993</v>
      </c>
      <c r="AB23" s="835">
        <f t="shared" si="3"/>
        <v>0</v>
      </c>
      <c r="AC23" s="1003" t="s">
        <v>1452</v>
      </c>
    </row>
    <row r="24" spans="1:32" ht="111.75" customHeight="1" x14ac:dyDescent="0.2">
      <c r="A24" s="618" t="s">
        <v>1253</v>
      </c>
      <c r="B24" s="619" t="s">
        <v>747</v>
      </c>
      <c r="C24" s="620">
        <v>150</v>
      </c>
      <c r="D24" s="620">
        <v>152</v>
      </c>
      <c r="E24" s="596">
        <f>'Прилож 4 24 (4)'!U24</f>
        <v>814122.4</v>
      </c>
      <c r="F24" s="595">
        <f>'Прилож 4 24 (4)'!V24</f>
        <v>0</v>
      </c>
      <c r="G24" s="595">
        <f>'Прилож 4 24 (4)'!W24</f>
        <v>0</v>
      </c>
      <c r="H24" s="595">
        <f>'Прилож 4 24 (4)'!X24</f>
        <v>0</v>
      </c>
      <c r="I24" s="621" t="s">
        <v>1322</v>
      </c>
      <c r="J24" s="595">
        <f>'Прилож 4 24 (4)'!Z24</f>
        <v>0</v>
      </c>
      <c r="K24" s="595">
        <f>'Прилож 4 24 (4)'!AA24</f>
        <v>814122.4</v>
      </c>
      <c r="L24" s="595">
        <f>'Прилож 4 24 (4)'!AB24</f>
        <v>0</v>
      </c>
      <c r="M24" s="596">
        <f t="shared" si="0"/>
        <v>252769.2</v>
      </c>
      <c r="N24" s="595"/>
      <c r="O24" s="595"/>
      <c r="P24" s="595"/>
      <c r="Q24" s="621" t="s">
        <v>1322</v>
      </c>
      <c r="R24" s="595"/>
      <c r="S24" s="595">
        <v>252769.2</v>
      </c>
      <c r="T24" s="595"/>
      <c r="U24" s="999">
        <f t="shared" si="4"/>
        <v>1066891.6000000001</v>
      </c>
      <c r="V24" s="835">
        <f t="shared" si="1"/>
        <v>0</v>
      </c>
      <c r="W24" s="835">
        <f t="shared" si="2"/>
        <v>0</v>
      </c>
      <c r="X24" s="835">
        <f t="shared" si="2"/>
        <v>0</v>
      </c>
      <c r="Y24" s="1000" t="s">
        <v>1322</v>
      </c>
      <c r="Z24" s="835">
        <f t="shared" si="3"/>
        <v>0</v>
      </c>
      <c r="AA24" s="835">
        <f t="shared" si="3"/>
        <v>1066891.6000000001</v>
      </c>
      <c r="AB24" s="835">
        <f t="shared" si="3"/>
        <v>0</v>
      </c>
      <c r="AC24" s="1003" t="s">
        <v>1451</v>
      </c>
    </row>
    <row r="25" spans="1:32" ht="32.25" customHeight="1" x14ac:dyDescent="0.2">
      <c r="A25" s="618" t="s">
        <v>581</v>
      </c>
      <c r="B25" s="619" t="s">
        <v>64</v>
      </c>
      <c r="C25" s="620">
        <v>150</v>
      </c>
      <c r="D25" s="620">
        <v>152</v>
      </c>
      <c r="E25" s="596">
        <f>'Прилож 4 24 (4)'!U25</f>
        <v>87037.3</v>
      </c>
      <c r="F25" s="595">
        <f>'Прилож 4 24 (4)'!V25</f>
        <v>0</v>
      </c>
      <c r="G25" s="595">
        <f>'Прилож 4 24 (4)'!W25</f>
        <v>0</v>
      </c>
      <c r="H25" s="595">
        <f>'Прилож 4 24 (4)'!X25</f>
        <v>0</v>
      </c>
      <c r="I25" s="621"/>
      <c r="J25" s="595">
        <f>'Прилож 4 24 (4)'!Z25</f>
        <v>0</v>
      </c>
      <c r="K25" s="595">
        <f>'Прилож 4 24 (4)'!AA25</f>
        <v>87037.3</v>
      </c>
      <c r="L25" s="595">
        <f>'Прилож 4 24 (4)'!AB25</f>
        <v>0</v>
      </c>
      <c r="M25" s="596">
        <f t="shared" si="0"/>
        <v>0</v>
      </c>
      <c r="N25" s="595"/>
      <c r="O25" s="595"/>
      <c r="P25" s="595"/>
      <c r="Q25" s="621"/>
      <c r="R25" s="595"/>
      <c r="S25" s="595"/>
      <c r="T25" s="595"/>
      <c r="U25" s="999">
        <f t="shared" si="4"/>
        <v>87037.3</v>
      </c>
      <c r="V25" s="835">
        <f t="shared" si="1"/>
        <v>0</v>
      </c>
      <c r="W25" s="835">
        <f t="shared" si="2"/>
        <v>0</v>
      </c>
      <c r="X25" s="835">
        <f t="shared" si="2"/>
        <v>0</v>
      </c>
      <c r="Y25" s="1000"/>
      <c r="Z25" s="835">
        <f t="shared" si="3"/>
        <v>0</v>
      </c>
      <c r="AA25" s="835">
        <f t="shared" si="3"/>
        <v>87037.3</v>
      </c>
      <c r="AB25" s="835">
        <f t="shared" si="3"/>
        <v>0</v>
      </c>
      <c r="AC25" s="1003"/>
    </row>
    <row r="26" spans="1:32" ht="84" customHeight="1" x14ac:dyDescent="0.2">
      <c r="A26" s="618" t="s">
        <v>790</v>
      </c>
      <c r="B26" s="619" t="s">
        <v>791</v>
      </c>
      <c r="C26" s="620">
        <v>130</v>
      </c>
      <c r="D26" s="620">
        <v>131</v>
      </c>
      <c r="E26" s="596">
        <f>'Прилож 4 24 (4)'!U26</f>
        <v>600000</v>
      </c>
      <c r="F26" s="595">
        <f>'Прилож 4 24 (4)'!V26</f>
        <v>600000</v>
      </c>
      <c r="G26" s="595">
        <f>'Прилож 4 24 (4)'!W26</f>
        <v>0</v>
      </c>
      <c r="H26" s="595">
        <f>'Прилож 4 24 (4)'!X26</f>
        <v>0</v>
      </c>
      <c r="I26" s="621"/>
      <c r="J26" s="595">
        <f>'Прилож 4 24 (4)'!Z26</f>
        <v>0</v>
      </c>
      <c r="K26" s="595">
        <f>'Прилож 4 24 (4)'!AA26</f>
        <v>0</v>
      </c>
      <c r="L26" s="595">
        <f>'Прилож 4 24 (4)'!AB26</f>
        <v>0</v>
      </c>
      <c r="M26" s="596">
        <f t="shared" si="0"/>
        <v>0</v>
      </c>
      <c r="N26" s="595"/>
      <c r="O26" s="595"/>
      <c r="P26" s="595"/>
      <c r="Q26" s="621"/>
      <c r="R26" s="595"/>
      <c r="S26" s="595"/>
      <c r="T26" s="595"/>
      <c r="U26" s="999">
        <f t="shared" si="4"/>
        <v>600000</v>
      </c>
      <c r="V26" s="835">
        <f t="shared" si="1"/>
        <v>600000</v>
      </c>
      <c r="W26" s="835">
        <f t="shared" si="2"/>
        <v>0</v>
      </c>
      <c r="X26" s="835">
        <f t="shared" si="2"/>
        <v>0</v>
      </c>
      <c r="Y26" s="1000"/>
      <c r="Z26" s="835">
        <f t="shared" si="3"/>
        <v>0</v>
      </c>
      <c r="AA26" s="835">
        <f t="shared" si="3"/>
        <v>0</v>
      </c>
      <c r="AB26" s="835">
        <f t="shared" si="3"/>
        <v>0</v>
      </c>
      <c r="AC26" s="1003"/>
    </row>
    <row r="27" spans="1:32" ht="69" customHeight="1" x14ac:dyDescent="0.2">
      <c r="A27" s="618" t="s">
        <v>1236</v>
      </c>
      <c r="B27" s="619" t="s">
        <v>729</v>
      </c>
      <c r="C27" s="620">
        <v>150</v>
      </c>
      <c r="D27" s="620">
        <v>152</v>
      </c>
      <c r="E27" s="596">
        <f>'Прилож 4 24 (4)'!U27</f>
        <v>0</v>
      </c>
      <c r="F27" s="595">
        <f>'Прилож 4 24 (4)'!V27</f>
        <v>0</v>
      </c>
      <c r="G27" s="595">
        <f>'Прилож 4 24 (4)'!W27</f>
        <v>0</v>
      </c>
      <c r="H27" s="595">
        <f>'Прилож 4 24 (4)'!X27</f>
        <v>0</v>
      </c>
      <c r="I27" s="621"/>
      <c r="J27" s="595">
        <f>'Прилож 4 24 (4)'!Z27</f>
        <v>0</v>
      </c>
      <c r="K27" s="595">
        <f>'Прилож 4 24 (4)'!AA27</f>
        <v>0</v>
      </c>
      <c r="L27" s="595">
        <f>'Прилож 4 24 (4)'!AB27</f>
        <v>0</v>
      </c>
      <c r="M27" s="596">
        <f t="shared" si="0"/>
        <v>0</v>
      </c>
      <c r="N27" s="595"/>
      <c r="O27" s="595"/>
      <c r="P27" s="595"/>
      <c r="Q27" s="623"/>
      <c r="R27" s="595"/>
      <c r="S27" s="595"/>
      <c r="T27" s="595"/>
      <c r="U27" s="999">
        <f t="shared" si="4"/>
        <v>0</v>
      </c>
      <c r="V27" s="835">
        <f t="shared" si="1"/>
        <v>0</v>
      </c>
      <c r="W27" s="835">
        <f t="shared" si="2"/>
        <v>0</v>
      </c>
      <c r="X27" s="835">
        <f t="shared" si="2"/>
        <v>0</v>
      </c>
      <c r="Y27" s="1000"/>
      <c r="Z27" s="835">
        <f t="shared" si="3"/>
        <v>0</v>
      </c>
      <c r="AA27" s="835">
        <f t="shared" si="3"/>
        <v>0</v>
      </c>
      <c r="AB27" s="835">
        <f t="shared" si="3"/>
        <v>0</v>
      </c>
      <c r="AC27" s="1003"/>
    </row>
    <row r="28" spans="1:32" ht="93" customHeight="1" x14ac:dyDescent="0.2">
      <c r="A28" s="618" t="s">
        <v>1437</v>
      </c>
      <c r="B28" s="619" t="s">
        <v>691</v>
      </c>
      <c r="C28" s="620">
        <v>150</v>
      </c>
      <c r="D28" s="620">
        <v>152</v>
      </c>
      <c r="E28" s="596"/>
      <c r="F28" s="595"/>
      <c r="G28" s="595"/>
      <c r="H28" s="595"/>
      <c r="I28" s="621"/>
      <c r="J28" s="595"/>
      <c r="K28" s="595"/>
      <c r="L28" s="595"/>
      <c r="M28" s="596">
        <f>N28+O28+P28+R28+S28+T28</f>
        <v>31611</v>
      </c>
      <c r="N28" s="595"/>
      <c r="O28" s="595"/>
      <c r="P28" s="595"/>
      <c r="Q28" s="993" t="s">
        <v>1440</v>
      </c>
      <c r="R28" s="595"/>
      <c r="S28" s="595">
        <v>31611</v>
      </c>
      <c r="T28" s="595"/>
      <c r="U28" s="876">
        <f t="shared" si="4"/>
        <v>31611</v>
      </c>
      <c r="V28" s="835"/>
      <c r="W28" s="835"/>
      <c r="X28" s="835"/>
      <c r="Y28" s="1001" t="s">
        <v>1440</v>
      </c>
      <c r="Z28" s="835"/>
      <c r="AA28" s="835">
        <v>31611</v>
      </c>
      <c r="AB28" s="835"/>
      <c r="AC28" s="1003" t="s">
        <v>1441</v>
      </c>
    </row>
    <row r="29" spans="1:32" ht="60" customHeight="1" x14ac:dyDescent="0.2">
      <c r="A29" s="618" t="s">
        <v>284</v>
      </c>
      <c r="B29" s="619" t="s">
        <v>691</v>
      </c>
      <c r="C29" s="620">
        <v>130</v>
      </c>
      <c r="D29" s="620">
        <v>134</v>
      </c>
      <c r="E29" s="596">
        <f>'Прилож 4 24 (4)'!U28</f>
        <v>1426.95</v>
      </c>
      <c r="F29" s="595">
        <f>'Прилож 4 24 (4)'!V28</f>
        <v>0</v>
      </c>
      <c r="G29" s="595">
        <f>'Прилож 4 24 (4)'!W28</f>
        <v>0</v>
      </c>
      <c r="H29" s="595">
        <f>'Прилож 4 24 (4)'!X28</f>
        <v>0</v>
      </c>
      <c r="I29" s="621"/>
      <c r="J29" s="595">
        <f>'Прилож 4 24 (4)'!Z28</f>
        <v>0</v>
      </c>
      <c r="K29" s="595">
        <f>'Прилож 4 24 (4)'!AA28</f>
        <v>0</v>
      </c>
      <c r="L29" s="595">
        <f>'Прилож 4 24 (4)'!AB28</f>
        <v>1426.95</v>
      </c>
      <c r="M29" s="876"/>
      <c r="N29" s="875"/>
      <c r="O29" s="875"/>
      <c r="P29" s="875"/>
      <c r="Q29" s="877"/>
      <c r="R29" s="875"/>
      <c r="S29" s="875"/>
      <c r="T29" s="875"/>
      <c r="U29" s="876">
        <f t="shared" si="4"/>
        <v>1426.95</v>
      </c>
      <c r="V29" s="875">
        <f t="shared" si="1"/>
        <v>0</v>
      </c>
      <c r="W29" s="875">
        <f t="shared" si="2"/>
        <v>0</v>
      </c>
      <c r="X29" s="875">
        <f t="shared" si="2"/>
        <v>0</v>
      </c>
      <c r="Y29" s="877"/>
      <c r="Z29" s="875">
        <f t="shared" si="3"/>
        <v>0</v>
      </c>
      <c r="AA29" s="875">
        <f t="shared" si="3"/>
        <v>0</v>
      </c>
      <c r="AB29" s="875">
        <f t="shared" si="3"/>
        <v>1426.95</v>
      </c>
      <c r="AC29" s="878"/>
    </row>
    <row r="30" spans="1:32" s="614" customFormat="1" ht="28.5" customHeight="1" x14ac:dyDescent="0.2">
      <c r="A30" s="624" t="s">
        <v>730</v>
      </c>
      <c r="B30" s="596">
        <f>SUM(B12:B29)</f>
        <v>0</v>
      </c>
      <c r="C30" s="596"/>
      <c r="D30" s="596"/>
      <c r="E30" s="596">
        <f>'Прилож 4 24 (4)'!U29</f>
        <v>63813873.609999999</v>
      </c>
      <c r="F30" s="595">
        <f>'Прилож 4 24 (4)'!V29</f>
        <v>42188221.810000002</v>
      </c>
      <c r="G30" s="595">
        <f>'Прилож 4 24 (4)'!W29</f>
        <v>1331028.0900000001</v>
      </c>
      <c r="H30" s="595">
        <f>'Прилож 4 24 (4)'!X29</f>
        <v>11205022.93</v>
      </c>
      <c r="I30" s="596">
        <f t="shared" ref="I30" si="5">SUM(I12:I29)</f>
        <v>0</v>
      </c>
      <c r="J30" s="595">
        <f>'Прилож 4 24 (4)'!Z29</f>
        <v>0</v>
      </c>
      <c r="K30" s="595">
        <f>'Прилож 4 24 (4)'!AA29</f>
        <v>6608885.5</v>
      </c>
      <c r="L30" s="595">
        <f>'Прилож 4 24 (4)'!AB29</f>
        <v>2480715.2800000003</v>
      </c>
      <c r="M30" s="876">
        <f>SUM(M12:M29)</f>
        <v>882887.59999999986</v>
      </c>
      <c r="N30" s="876">
        <f>SUM(N12:N29)</f>
        <v>0</v>
      </c>
      <c r="O30" s="876">
        <f t="shared" ref="O30:P30" si="6">SUM(O12:O29)</f>
        <v>0</v>
      </c>
      <c r="P30" s="876">
        <f t="shared" si="6"/>
        <v>0</v>
      </c>
      <c r="Q30" s="876"/>
      <c r="R30" s="876">
        <f t="shared" ref="R30" si="7">SUM(R12:R29)</f>
        <v>0</v>
      </c>
      <c r="S30" s="876">
        <f>SUM(S12:S29)</f>
        <v>882887.59999999986</v>
      </c>
      <c r="T30" s="876">
        <f>SUM(T12:T29)</f>
        <v>0</v>
      </c>
      <c r="U30" s="876">
        <f>E30+M30</f>
        <v>64696761.210000001</v>
      </c>
      <c r="V30" s="875">
        <f>F30+N30</f>
        <v>42188221.810000002</v>
      </c>
      <c r="W30" s="875">
        <f>O30+G30</f>
        <v>1331028.0900000001</v>
      </c>
      <c r="X30" s="875">
        <f>P30+H30</f>
        <v>11205022.93</v>
      </c>
      <c r="Y30" s="876">
        <f t="shared" ref="Y30" si="8">SUM(Y12:Y29)</f>
        <v>0</v>
      </c>
      <c r="Z30" s="875">
        <f t="shared" si="3"/>
        <v>0</v>
      </c>
      <c r="AA30" s="875">
        <f>S30+K30</f>
        <v>7491773.0999999996</v>
      </c>
      <c r="AB30" s="875">
        <f t="shared" si="3"/>
        <v>2480715.2800000003</v>
      </c>
      <c r="AC30" s="879"/>
      <c r="AD30" s="818">
        <f>V30+W30+X30</f>
        <v>54724272.830000006</v>
      </c>
    </row>
    <row r="31" spans="1:32" x14ac:dyDescent="0.2">
      <c r="A31" s="620" t="s">
        <v>731</v>
      </c>
      <c r="B31" s="619" t="s">
        <v>747</v>
      </c>
      <c r="C31" s="620">
        <v>111</v>
      </c>
      <c r="D31" s="620">
        <v>211</v>
      </c>
      <c r="E31" s="596">
        <f>'Прилож 4 24 (4)'!U30</f>
        <v>13902087.85</v>
      </c>
      <c r="F31" s="595">
        <f>'Прилож 4 24 (4)'!V30</f>
        <v>11657879.389999999</v>
      </c>
      <c r="G31" s="595">
        <f>'Прилож 4 24 (4)'!W30</f>
        <v>0</v>
      </c>
      <c r="H31" s="595">
        <f>'Прилож 4 24 (4)'!X30</f>
        <v>2244208.4600000004</v>
      </c>
      <c r="I31" s="621"/>
      <c r="J31" s="595">
        <f>'Прилож 4 24 (4)'!Z30</f>
        <v>0</v>
      </c>
      <c r="K31" s="595">
        <f>'Прилож 4 24 (4)'!AA30</f>
        <v>0</v>
      </c>
      <c r="L31" s="595">
        <f>'Прилож 4 24 (4)'!AB30</f>
        <v>0</v>
      </c>
      <c r="M31" s="876">
        <f>N31+P31+R31+S31+T31+O31</f>
        <v>0</v>
      </c>
      <c r="N31" s="875"/>
      <c r="O31" s="875"/>
      <c r="P31" s="875"/>
      <c r="Q31" s="877"/>
      <c r="R31" s="875"/>
      <c r="S31" s="875"/>
      <c r="T31" s="875"/>
      <c r="U31" s="876">
        <f>E31+M31</f>
        <v>13902087.85</v>
      </c>
      <c r="V31" s="875">
        <f t="shared" ref="V31:V94" si="9">F31+N31</f>
        <v>11657879.389999999</v>
      </c>
      <c r="W31" s="875">
        <f t="shared" ref="W31:X94" si="10">O31+G31</f>
        <v>0</v>
      </c>
      <c r="X31" s="875">
        <f t="shared" si="10"/>
        <v>2244208.4600000004</v>
      </c>
      <c r="Y31" s="877"/>
      <c r="Z31" s="875">
        <f t="shared" si="3"/>
        <v>0</v>
      </c>
      <c r="AA31" s="875">
        <f t="shared" si="3"/>
        <v>0</v>
      </c>
      <c r="AB31" s="875">
        <f t="shared" si="3"/>
        <v>0</v>
      </c>
      <c r="AC31" s="878"/>
      <c r="AD31" s="820"/>
      <c r="AF31" s="820">
        <f>X31+X32+X35</f>
        <v>3003367.0600000005</v>
      </c>
    </row>
    <row r="32" spans="1:32" ht="52.5" customHeight="1" x14ac:dyDescent="0.2">
      <c r="A32" s="620" t="s">
        <v>731</v>
      </c>
      <c r="B32" s="619" t="s">
        <v>729</v>
      </c>
      <c r="C32" s="620">
        <v>111</v>
      </c>
      <c r="D32" s="620">
        <v>211</v>
      </c>
      <c r="E32" s="596">
        <f>'Прилож 4 24 (4)'!U31</f>
        <v>19359621.800000001</v>
      </c>
      <c r="F32" s="595">
        <f>'Прилож 4 24 (4)'!V31</f>
        <v>17808021.800000001</v>
      </c>
      <c r="G32" s="595">
        <f>'Прилож 4 24 (4)'!W31</f>
        <v>840000</v>
      </c>
      <c r="H32" s="595">
        <f>'Прилож 4 24 (4)'!X31</f>
        <v>711600</v>
      </c>
      <c r="I32" s="621"/>
      <c r="J32" s="595">
        <f>'Прилож 4 24 (4)'!Z31</f>
        <v>0</v>
      </c>
      <c r="K32" s="595">
        <f>'Прилож 4 24 (4)'!AA31</f>
        <v>0</v>
      </c>
      <c r="L32" s="595">
        <f>'Прилож 4 24 (4)'!AB31</f>
        <v>0</v>
      </c>
      <c r="M32" s="876"/>
      <c r="N32" s="875"/>
      <c r="O32" s="875"/>
      <c r="P32" s="875"/>
      <c r="Q32" s="877"/>
      <c r="R32" s="875"/>
      <c r="S32" s="875"/>
      <c r="T32" s="875"/>
      <c r="U32" s="876">
        <f t="shared" ref="U32:V95" si="11">E32+M32</f>
        <v>19359621.800000001</v>
      </c>
      <c r="V32" s="875">
        <f t="shared" si="9"/>
        <v>17808021.800000001</v>
      </c>
      <c r="W32" s="875">
        <f t="shared" si="10"/>
        <v>840000</v>
      </c>
      <c r="X32" s="875">
        <f t="shared" si="10"/>
        <v>711600</v>
      </c>
      <c r="Y32" s="877"/>
      <c r="Z32" s="875">
        <f t="shared" si="3"/>
        <v>0</v>
      </c>
      <c r="AA32" s="875">
        <f t="shared" si="3"/>
        <v>0</v>
      </c>
      <c r="AB32" s="875">
        <f t="shared" si="3"/>
        <v>0</v>
      </c>
      <c r="AC32" s="880"/>
      <c r="AD32" s="820"/>
    </row>
    <row r="33" spans="1:30" x14ac:dyDescent="0.2">
      <c r="A33" s="620" t="s">
        <v>943</v>
      </c>
      <c r="B33" s="619" t="s">
        <v>729</v>
      </c>
      <c r="C33" s="620">
        <v>111</v>
      </c>
      <c r="D33" s="620">
        <v>211</v>
      </c>
      <c r="E33" s="596">
        <f>'Прилож 4 24 (4)'!U32</f>
        <v>272082.28000000003</v>
      </c>
      <c r="F33" s="595">
        <f>'Прилож 4 24 (4)'!V32</f>
        <v>89787.28</v>
      </c>
      <c r="G33" s="595">
        <f>'Прилож 4 24 (4)'!W32</f>
        <v>182295</v>
      </c>
      <c r="H33" s="595">
        <f>'Прилож 4 24 (4)'!X32</f>
        <v>0</v>
      </c>
      <c r="I33" s="621"/>
      <c r="J33" s="595">
        <f>'Прилож 4 24 (4)'!Z32</f>
        <v>0</v>
      </c>
      <c r="K33" s="595">
        <f>'Прилож 4 24 (4)'!AA32</f>
        <v>0</v>
      </c>
      <c r="L33" s="595">
        <f>'Прилож 4 24 (4)'!AB32</f>
        <v>0</v>
      </c>
      <c r="M33" s="876">
        <f t="shared" ref="M33:M95" si="12">N33+P33+R33+S33+T33+O33</f>
        <v>0</v>
      </c>
      <c r="N33" s="875"/>
      <c r="O33" s="875"/>
      <c r="P33" s="875"/>
      <c r="Q33" s="877"/>
      <c r="R33" s="875"/>
      <c r="S33" s="875"/>
      <c r="T33" s="875"/>
      <c r="U33" s="876">
        <f t="shared" si="11"/>
        <v>272082.28000000003</v>
      </c>
      <c r="V33" s="875">
        <f t="shared" si="9"/>
        <v>89787.28</v>
      </c>
      <c r="W33" s="875">
        <f t="shared" si="10"/>
        <v>182295</v>
      </c>
      <c r="X33" s="875">
        <f t="shared" si="10"/>
        <v>0</v>
      </c>
      <c r="Y33" s="877"/>
      <c r="Z33" s="875">
        <f t="shared" si="3"/>
        <v>0</v>
      </c>
      <c r="AA33" s="875">
        <f t="shared" si="3"/>
        <v>0</v>
      </c>
      <c r="AB33" s="875">
        <f t="shared" si="3"/>
        <v>0</v>
      </c>
      <c r="AC33" s="878"/>
      <c r="AD33" s="820"/>
    </row>
    <row r="34" spans="1:30" x14ac:dyDescent="0.2">
      <c r="A34" s="620" t="s">
        <v>731</v>
      </c>
      <c r="B34" s="619" t="s">
        <v>64</v>
      </c>
      <c r="C34" s="620">
        <v>111</v>
      </c>
      <c r="D34" s="620">
        <v>211</v>
      </c>
      <c r="E34" s="596">
        <f>'Прилож 4 24 (4)'!U33</f>
        <v>64391.3</v>
      </c>
      <c r="F34" s="595">
        <f>'Прилож 4 24 (4)'!V33</f>
        <v>0</v>
      </c>
      <c r="G34" s="595">
        <f>'Прилож 4 24 (4)'!W33</f>
        <v>0</v>
      </c>
      <c r="H34" s="595">
        <f>'Прилож 4 24 (4)'!X33</f>
        <v>0</v>
      </c>
      <c r="I34" s="621"/>
      <c r="J34" s="595">
        <f>'Прилож 4 24 (4)'!Z33</f>
        <v>0</v>
      </c>
      <c r="K34" s="595">
        <f>'Прилож 4 24 (4)'!AA33</f>
        <v>64391.3</v>
      </c>
      <c r="L34" s="595">
        <f>'Прилож 4 24 (4)'!AB33</f>
        <v>0</v>
      </c>
      <c r="M34" s="876">
        <f t="shared" si="12"/>
        <v>0</v>
      </c>
      <c r="N34" s="875"/>
      <c r="O34" s="875"/>
      <c r="P34" s="875"/>
      <c r="Q34" s="877"/>
      <c r="R34" s="875"/>
      <c r="S34" s="875"/>
      <c r="T34" s="875"/>
      <c r="U34" s="876">
        <f t="shared" si="11"/>
        <v>64391.3</v>
      </c>
      <c r="V34" s="875">
        <f t="shared" si="9"/>
        <v>0</v>
      </c>
      <c r="W34" s="875">
        <f t="shared" si="10"/>
        <v>0</v>
      </c>
      <c r="X34" s="875">
        <f t="shared" si="10"/>
        <v>0</v>
      </c>
      <c r="Y34" s="877"/>
      <c r="Z34" s="875">
        <f t="shared" si="3"/>
        <v>0</v>
      </c>
      <c r="AA34" s="875">
        <f t="shared" si="3"/>
        <v>64391.3</v>
      </c>
      <c r="AB34" s="875">
        <f t="shared" si="3"/>
        <v>0</v>
      </c>
      <c r="AC34" s="878"/>
      <c r="AD34" s="820"/>
    </row>
    <row r="35" spans="1:30" x14ac:dyDescent="0.2">
      <c r="A35" s="620" t="s">
        <v>731</v>
      </c>
      <c r="B35" s="619" t="s">
        <v>691</v>
      </c>
      <c r="C35" s="620">
        <v>111</v>
      </c>
      <c r="D35" s="620">
        <v>211</v>
      </c>
      <c r="E35" s="596">
        <f>'Прилож 4 24 (4)'!U34</f>
        <v>56017.74</v>
      </c>
      <c r="F35" s="595">
        <f>'Прилож 4 24 (4)'!V34</f>
        <v>0</v>
      </c>
      <c r="G35" s="595">
        <f>'Прилож 4 24 (4)'!W34</f>
        <v>0</v>
      </c>
      <c r="H35" s="595">
        <f>'Прилож 4 24 (4)'!X34</f>
        <v>47558.6</v>
      </c>
      <c r="I35" s="621"/>
      <c r="J35" s="595">
        <f>'Прилож 4 24 (4)'!Z34</f>
        <v>0</v>
      </c>
      <c r="K35" s="595">
        <f>'Прилож 4 24 (4)'!AA34</f>
        <v>0</v>
      </c>
      <c r="L35" s="595">
        <f>'Прилож 4 24 (4)'!AB34</f>
        <v>8459.14</v>
      </c>
      <c r="M35" s="876">
        <f t="shared" si="12"/>
        <v>0</v>
      </c>
      <c r="N35" s="875"/>
      <c r="O35" s="875"/>
      <c r="P35" s="875"/>
      <c r="Q35" s="877"/>
      <c r="R35" s="875"/>
      <c r="S35" s="875"/>
      <c r="T35" s="875"/>
      <c r="U35" s="876">
        <f t="shared" si="11"/>
        <v>56017.74</v>
      </c>
      <c r="V35" s="875">
        <f t="shared" si="9"/>
        <v>0</v>
      </c>
      <c r="W35" s="875">
        <f t="shared" si="10"/>
        <v>0</v>
      </c>
      <c r="X35" s="875">
        <f t="shared" si="10"/>
        <v>47558.6</v>
      </c>
      <c r="Y35" s="877"/>
      <c r="Z35" s="875">
        <f t="shared" si="3"/>
        <v>0</v>
      </c>
      <c r="AA35" s="875">
        <f t="shared" si="3"/>
        <v>0</v>
      </c>
      <c r="AB35" s="875">
        <f t="shared" si="3"/>
        <v>8459.14</v>
      </c>
      <c r="AC35" s="878"/>
      <c r="AD35" s="820"/>
    </row>
    <row r="36" spans="1:30" s="614" customFormat="1" x14ac:dyDescent="0.2">
      <c r="A36" s="624" t="s">
        <v>732</v>
      </c>
      <c r="B36" s="624"/>
      <c r="C36" s="624"/>
      <c r="D36" s="624"/>
      <c r="E36" s="596">
        <f>'Прилож 4 24 (4)'!U35</f>
        <v>33654200.970000006</v>
      </c>
      <c r="F36" s="595">
        <f>'Прилож 4 24 (4)'!V35</f>
        <v>29555688.470000003</v>
      </c>
      <c r="G36" s="595">
        <f>'Прилож 4 24 (4)'!W35</f>
        <v>1022295</v>
      </c>
      <c r="H36" s="595">
        <f>'Прилож 4 24 (4)'!X35</f>
        <v>3003367.0600000005</v>
      </c>
      <c r="I36" s="626"/>
      <c r="J36" s="595">
        <f>'Прилож 4 24 (4)'!Z35</f>
        <v>0</v>
      </c>
      <c r="K36" s="595">
        <f>'Прилож 4 24 (4)'!AA35</f>
        <v>64391.3</v>
      </c>
      <c r="L36" s="595">
        <f>'Прилож 4 24 (4)'!AB35</f>
        <v>8459.14</v>
      </c>
      <c r="M36" s="876">
        <f t="shared" si="12"/>
        <v>0</v>
      </c>
      <c r="N36" s="876">
        <f>SUM(N31:N35)</f>
        <v>0</v>
      </c>
      <c r="O36" s="876"/>
      <c r="P36" s="876">
        <f>SUM(P31:P35)</f>
        <v>0</v>
      </c>
      <c r="Q36" s="881"/>
      <c r="R36" s="876"/>
      <c r="S36" s="876"/>
      <c r="T36" s="876"/>
      <c r="U36" s="876">
        <f t="shared" si="11"/>
        <v>33654200.970000006</v>
      </c>
      <c r="V36" s="875">
        <f t="shared" si="9"/>
        <v>29555688.470000003</v>
      </c>
      <c r="W36" s="875">
        <f t="shared" si="10"/>
        <v>1022295</v>
      </c>
      <c r="X36" s="875">
        <f t="shared" si="10"/>
        <v>3003367.0600000005</v>
      </c>
      <c r="Y36" s="881"/>
      <c r="Z36" s="875">
        <f t="shared" si="3"/>
        <v>0</v>
      </c>
      <c r="AA36" s="875">
        <f t="shared" si="3"/>
        <v>64391.3</v>
      </c>
      <c r="AB36" s="875">
        <f t="shared" si="3"/>
        <v>8459.14</v>
      </c>
      <c r="AC36" s="879"/>
      <c r="AD36" s="820"/>
    </row>
    <row r="37" spans="1:30" s="614" customFormat="1" ht="57.75" customHeight="1" x14ac:dyDescent="0.2">
      <c r="A37" s="618" t="s">
        <v>1339</v>
      </c>
      <c r="B37" s="620">
        <v>701</v>
      </c>
      <c r="C37" s="620">
        <v>321</v>
      </c>
      <c r="D37" s="620">
        <v>264</v>
      </c>
      <c r="E37" s="596">
        <f>'Прилож 4 24 (4)'!U36</f>
        <v>88171.02</v>
      </c>
      <c r="F37" s="595">
        <f>'Прилож 4 24 (4)'!V36</f>
        <v>88171.02</v>
      </c>
      <c r="G37" s="595">
        <f>'Прилож 4 24 (4)'!W36</f>
        <v>0</v>
      </c>
      <c r="H37" s="595">
        <f>'Прилож 4 24 (4)'!X36</f>
        <v>0</v>
      </c>
      <c r="I37" s="625"/>
      <c r="J37" s="595">
        <f>'Прилож 4 24 (4)'!Z36</f>
        <v>0</v>
      </c>
      <c r="K37" s="595">
        <f>'Прилож 4 24 (4)'!AA36</f>
        <v>0</v>
      </c>
      <c r="L37" s="595">
        <f>'Прилож 4 24 (4)'!AB36</f>
        <v>0</v>
      </c>
      <c r="M37" s="876">
        <f t="shared" si="12"/>
        <v>0</v>
      </c>
      <c r="N37" s="875"/>
      <c r="O37" s="875"/>
      <c r="P37" s="875"/>
      <c r="Q37" s="882"/>
      <c r="R37" s="875"/>
      <c r="S37" s="875"/>
      <c r="T37" s="875"/>
      <c r="U37" s="876">
        <f t="shared" si="11"/>
        <v>88171.02</v>
      </c>
      <c r="V37" s="875">
        <f t="shared" si="9"/>
        <v>88171.02</v>
      </c>
      <c r="W37" s="875">
        <f t="shared" si="10"/>
        <v>0</v>
      </c>
      <c r="X37" s="875">
        <f t="shared" si="10"/>
        <v>0</v>
      </c>
      <c r="Y37" s="882"/>
      <c r="Z37" s="875">
        <f t="shared" si="3"/>
        <v>0</v>
      </c>
      <c r="AA37" s="875">
        <f t="shared" si="3"/>
        <v>0</v>
      </c>
      <c r="AB37" s="875">
        <f t="shared" si="3"/>
        <v>0</v>
      </c>
      <c r="AC37" s="878"/>
      <c r="AD37" s="820"/>
    </row>
    <row r="38" spans="1:30" s="614" customFormat="1" x14ac:dyDescent="0.2">
      <c r="A38" s="624" t="s">
        <v>1342</v>
      </c>
      <c r="B38" s="624"/>
      <c r="C38" s="624"/>
      <c r="D38" s="624"/>
      <c r="E38" s="596">
        <f>'Прилож 4 24 (4)'!U37</f>
        <v>88171.02</v>
      </c>
      <c r="F38" s="595">
        <f>'Прилож 4 24 (4)'!V37</f>
        <v>88171.02</v>
      </c>
      <c r="G38" s="595">
        <f>'Прилож 4 24 (4)'!W37</f>
        <v>0</v>
      </c>
      <c r="H38" s="595">
        <f>'Прилож 4 24 (4)'!X37</f>
        <v>0</v>
      </c>
      <c r="I38" s="626"/>
      <c r="J38" s="595">
        <f>'Прилож 4 24 (4)'!Z37</f>
        <v>0</v>
      </c>
      <c r="K38" s="595">
        <f>'Прилож 4 24 (4)'!AA37</f>
        <v>0</v>
      </c>
      <c r="L38" s="595">
        <f>'Прилож 4 24 (4)'!AB37</f>
        <v>0</v>
      </c>
      <c r="M38" s="876">
        <f t="shared" si="12"/>
        <v>0</v>
      </c>
      <c r="N38" s="876"/>
      <c r="O38" s="876"/>
      <c r="P38" s="876"/>
      <c r="Q38" s="881"/>
      <c r="R38" s="876"/>
      <c r="S38" s="876"/>
      <c r="T38" s="876"/>
      <c r="U38" s="876">
        <f t="shared" si="11"/>
        <v>88171.02</v>
      </c>
      <c r="V38" s="875">
        <f t="shared" si="9"/>
        <v>88171.02</v>
      </c>
      <c r="W38" s="875">
        <f t="shared" si="10"/>
        <v>0</v>
      </c>
      <c r="X38" s="875">
        <f t="shared" si="10"/>
        <v>0</v>
      </c>
      <c r="Y38" s="881"/>
      <c r="Z38" s="875">
        <f t="shared" si="3"/>
        <v>0</v>
      </c>
      <c r="AA38" s="875">
        <f t="shared" si="3"/>
        <v>0</v>
      </c>
      <c r="AB38" s="875">
        <f t="shared" si="3"/>
        <v>0</v>
      </c>
      <c r="AC38" s="879"/>
      <c r="AD38" s="820"/>
    </row>
    <row r="39" spans="1:30" ht="74.45" customHeight="1" x14ac:dyDescent="0.2">
      <c r="A39" s="618" t="s">
        <v>845</v>
      </c>
      <c r="B39" s="619" t="s">
        <v>747</v>
      </c>
      <c r="C39" s="620">
        <v>111</v>
      </c>
      <c r="D39" s="620">
        <v>266</v>
      </c>
      <c r="E39" s="596">
        <f>'Прилож 4 24 (4)'!U38</f>
        <v>100000</v>
      </c>
      <c r="F39" s="595">
        <f>'Прилож 4 24 (4)'!V38</f>
        <v>100000</v>
      </c>
      <c r="G39" s="595">
        <f>'Прилож 4 24 (4)'!W38</f>
        <v>0</v>
      </c>
      <c r="H39" s="595">
        <f>'Прилож 4 24 (4)'!X38</f>
        <v>0</v>
      </c>
      <c r="I39" s="621"/>
      <c r="J39" s="595">
        <f>'Прилож 4 24 (4)'!Z38</f>
        <v>0</v>
      </c>
      <c r="K39" s="595">
        <f>'Прилож 4 24 (4)'!AA38</f>
        <v>0</v>
      </c>
      <c r="L39" s="595">
        <f>'Прилож 4 24 (4)'!AB38</f>
        <v>0</v>
      </c>
      <c r="M39" s="876">
        <f t="shared" si="12"/>
        <v>0</v>
      </c>
      <c r="N39" s="875"/>
      <c r="O39" s="875"/>
      <c r="P39" s="875"/>
      <c r="Q39" s="877"/>
      <c r="R39" s="875"/>
      <c r="S39" s="875"/>
      <c r="T39" s="875"/>
      <c r="U39" s="876">
        <f t="shared" si="11"/>
        <v>100000</v>
      </c>
      <c r="V39" s="875">
        <f t="shared" si="9"/>
        <v>100000</v>
      </c>
      <c r="W39" s="875">
        <f t="shared" si="10"/>
        <v>0</v>
      </c>
      <c r="X39" s="875">
        <f t="shared" si="10"/>
        <v>0</v>
      </c>
      <c r="Y39" s="877"/>
      <c r="Z39" s="875">
        <f t="shared" si="3"/>
        <v>0</v>
      </c>
      <c r="AA39" s="875">
        <f t="shared" si="3"/>
        <v>0</v>
      </c>
      <c r="AB39" s="875">
        <f t="shared" si="3"/>
        <v>0</v>
      </c>
      <c r="AC39" s="878"/>
    </row>
    <row r="40" spans="1:30" ht="51.75" customHeight="1" x14ac:dyDescent="0.2">
      <c r="A40" s="618" t="s">
        <v>845</v>
      </c>
      <c r="B40" s="619" t="s">
        <v>729</v>
      </c>
      <c r="C40" s="620">
        <v>111</v>
      </c>
      <c r="D40" s="620">
        <v>266</v>
      </c>
      <c r="E40" s="596">
        <f>'Прилож 4 24 (4)'!U39</f>
        <v>80000</v>
      </c>
      <c r="F40" s="595">
        <f>'Прилож 4 24 (4)'!V39</f>
        <v>80000</v>
      </c>
      <c r="G40" s="595">
        <f>'Прилож 4 24 (4)'!W39</f>
        <v>0</v>
      </c>
      <c r="H40" s="595">
        <f>'Прилож 4 24 (4)'!X39</f>
        <v>0</v>
      </c>
      <c r="I40" s="621"/>
      <c r="J40" s="595">
        <f>'Прилож 4 24 (4)'!Z39</f>
        <v>0</v>
      </c>
      <c r="K40" s="595">
        <f>'Прилож 4 24 (4)'!AA39</f>
        <v>0</v>
      </c>
      <c r="L40" s="595">
        <f>'Прилож 4 24 (4)'!AB39</f>
        <v>0</v>
      </c>
      <c r="M40" s="876">
        <f t="shared" si="12"/>
        <v>0</v>
      </c>
      <c r="N40" s="875"/>
      <c r="O40" s="875"/>
      <c r="P40" s="875"/>
      <c r="Q40" s="877"/>
      <c r="R40" s="875"/>
      <c r="S40" s="875"/>
      <c r="T40" s="875"/>
      <c r="U40" s="876">
        <f t="shared" si="11"/>
        <v>80000</v>
      </c>
      <c r="V40" s="875">
        <f t="shared" si="9"/>
        <v>80000</v>
      </c>
      <c r="W40" s="875">
        <f t="shared" si="10"/>
        <v>0</v>
      </c>
      <c r="X40" s="875">
        <f t="shared" si="10"/>
        <v>0</v>
      </c>
      <c r="Y40" s="877"/>
      <c r="Z40" s="875">
        <f t="shared" si="3"/>
        <v>0</v>
      </c>
      <c r="AA40" s="875">
        <f t="shared" si="3"/>
        <v>0</v>
      </c>
      <c r="AB40" s="875">
        <f t="shared" si="3"/>
        <v>0</v>
      </c>
      <c r="AC40" s="878"/>
    </row>
    <row r="41" spans="1:30" s="614" customFormat="1" x14ac:dyDescent="0.2">
      <c r="A41" s="624" t="s">
        <v>847</v>
      </c>
      <c r="B41" s="624"/>
      <c r="C41" s="624"/>
      <c r="D41" s="624"/>
      <c r="E41" s="596">
        <f>'Прилож 4 24 (4)'!U40</f>
        <v>180000</v>
      </c>
      <c r="F41" s="595">
        <f>'Прилож 4 24 (4)'!V40</f>
        <v>180000</v>
      </c>
      <c r="G41" s="595">
        <f>'Прилож 4 24 (4)'!W40</f>
        <v>0</v>
      </c>
      <c r="H41" s="595">
        <f>'Прилож 4 24 (4)'!X40</f>
        <v>0</v>
      </c>
      <c r="I41" s="626">
        <f t="shared" ref="I41:I43" si="13">SUM(I39:I40)</f>
        <v>0</v>
      </c>
      <c r="J41" s="595">
        <f>'Прилож 4 24 (4)'!Z40</f>
        <v>0</v>
      </c>
      <c r="K41" s="595">
        <f>'Прилож 4 24 (4)'!AA40</f>
        <v>0</v>
      </c>
      <c r="L41" s="595">
        <f>'Прилож 4 24 (4)'!AB40</f>
        <v>0</v>
      </c>
      <c r="M41" s="876">
        <f t="shared" si="12"/>
        <v>0</v>
      </c>
      <c r="N41" s="876"/>
      <c r="O41" s="876"/>
      <c r="P41" s="876"/>
      <c r="Q41" s="881"/>
      <c r="R41" s="876"/>
      <c r="S41" s="876"/>
      <c r="T41" s="876"/>
      <c r="U41" s="876">
        <f t="shared" si="11"/>
        <v>180000</v>
      </c>
      <c r="V41" s="875">
        <f t="shared" si="9"/>
        <v>180000</v>
      </c>
      <c r="W41" s="875">
        <f t="shared" si="10"/>
        <v>0</v>
      </c>
      <c r="X41" s="875">
        <f t="shared" si="10"/>
        <v>0</v>
      </c>
      <c r="Y41" s="881">
        <f t="shared" ref="Y41:Y43" si="14">SUM(Y39:Y40)</f>
        <v>0</v>
      </c>
      <c r="Z41" s="875">
        <f t="shared" si="3"/>
        <v>0</v>
      </c>
      <c r="AA41" s="875">
        <f t="shared" si="3"/>
        <v>0</v>
      </c>
      <c r="AB41" s="875">
        <f t="shared" si="3"/>
        <v>0</v>
      </c>
      <c r="AC41" s="879"/>
    </row>
    <row r="42" spans="1:30" ht="66.75" customHeight="1" x14ac:dyDescent="0.2">
      <c r="A42" s="618" t="s">
        <v>1270</v>
      </c>
      <c r="B42" s="619" t="s">
        <v>691</v>
      </c>
      <c r="C42" s="620">
        <v>112</v>
      </c>
      <c r="D42" s="620">
        <v>222</v>
      </c>
      <c r="E42" s="596">
        <f>'Прилож 4 24 (4)'!U41</f>
        <v>0</v>
      </c>
      <c r="F42" s="595">
        <f>'Прилож 4 24 (4)'!V41</f>
        <v>0</v>
      </c>
      <c r="G42" s="595">
        <f>'Прилож 4 24 (4)'!W41</f>
        <v>0</v>
      </c>
      <c r="H42" s="595">
        <f>'Прилож 4 24 (4)'!X41</f>
        <v>0</v>
      </c>
      <c r="I42" s="621"/>
      <c r="J42" s="595">
        <f>'Прилож 4 24 (4)'!Z41</f>
        <v>0</v>
      </c>
      <c r="K42" s="595">
        <f>'Прилож 4 24 (4)'!AA41</f>
        <v>0</v>
      </c>
      <c r="L42" s="595">
        <f>'Прилож 4 24 (4)'!AB41</f>
        <v>0</v>
      </c>
      <c r="M42" s="876"/>
      <c r="N42" s="875"/>
      <c r="O42" s="875"/>
      <c r="P42" s="875"/>
      <c r="Q42" s="877"/>
      <c r="R42" s="875"/>
      <c r="S42" s="875"/>
      <c r="T42" s="875"/>
      <c r="U42" s="876">
        <f t="shared" si="11"/>
        <v>0</v>
      </c>
      <c r="V42" s="875">
        <f t="shared" si="9"/>
        <v>0</v>
      </c>
      <c r="W42" s="875">
        <f t="shared" si="10"/>
        <v>0</v>
      </c>
      <c r="X42" s="875">
        <f t="shared" si="10"/>
        <v>0</v>
      </c>
      <c r="Y42" s="877"/>
      <c r="Z42" s="875">
        <f t="shared" si="3"/>
        <v>0</v>
      </c>
      <c r="AA42" s="875">
        <f t="shared" si="3"/>
        <v>0</v>
      </c>
      <c r="AB42" s="875">
        <f t="shared" si="3"/>
        <v>0</v>
      </c>
      <c r="AC42" s="878"/>
    </row>
    <row r="43" spans="1:30" s="614" customFormat="1" x14ac:dyDescent="0.2">
      <c r="A43" s="624" t="s">
        <v>1264</v>
      </c>
      <c r="B43" s="624"/>
      <c r="C43" s="624"/>
      <c r="D43" s="624"/>
      <c r="E43" s="596">
        <f>'Прилож 4 24 (4)'!U42</f>
        <v>0</v>
      </c>
      <c r="F43" s="595">
        <f>'Прилож 4 24 (4)'!V42</f>
        <v>0</v>
      </c>
      <c r="G43" s="595">
        <f>'Прилож 4 24 (4)'!W42</f>
        <v>0</v>
      </c>
      <c r="H43" s="595">
        <f>'Прилож 4 24 (4)'!X42</f>
        <v>0</v>
      </c>
      <c r="I43" s="626">
        <f t="shared" si="13"/>
        <v>0</v>
      </c>
      <c r="J43" s="595">
        <f>'Прилож 4 24 (4)'!Z42</f>
        <v>0</v>
      </c>
      <c r="K43" s="595">
        <f>'Прилож 4 24 (4)'!AA42</f>
        <v>0</v>
      </c>
      <c r="L43" s="595">
        <f>'Прилож 4 24 (4)'!AB42</f>
        <v>0</v>
      </c>
      <c r="M43" s="876">
        <f t="shared" si="12"/>
        <v>0</v>
      </c>
      <c r="N43" s="876"/>
      <c r="O43" s="876"/>
      <c r="P43" s="876">
        <f>SUM(P42)</f>
        <v>0</v>
      </c>
      <c r="Q43" s="881"/>
      <c r="R43" s="876"/>
      <c r="S43" s="876">
        <f>SUM(S42)</f>
        <v>0</v>
      </c>
      <c r="T43" s="876">
        <f>SUM(T42)</f>
        <v>0</v>
      </c>
      <c r="U43" s="876">
        <f t="shared" si="11"/>
        <v>0</v>
      </c>
      <c r="V43" s="875">
        <f t="shared" si="9"/>
        <v>0</v>
      </c>
      <c r="W43" s="875">
        <f t="shared" si="10"/>
        <v>0</v>
      </c>
      <c r="X43" s="875">
        <f t="shared" si="10"/>
        <v>0</v>
      </c>
      <c r="Y43" s="881">
        <f t="shared" si="14"/>
        <v>0</v>
      </c>
      <c r="Z43" s="875">
        <f t="shared" si="3"/>
        <v>0</v>
      </c>
      <c r="AA43" s="875">
        <f t="shared" si="3"/>
        <v>0</v>
      </c>
      <c r="AB43" s="875">
        <f t="shared" si="3"/>
        <v>0</v>
      </c>
      <c r="AC43" s="879"/>
    </row>
    <row r="44" spans="1:30" s="614" customFormat="1" ht="78.75" x14ac:dyDescent="0.2">
      <c r="A44" s="618" t="s">
        <v>748</v>
      </c>
      <c r="B44" s="619" t="s">
        <v>747</v>
      </c>
      <c r="C44" s="620">
        <v>119</v>
      </c>
      <c r="D44" s="620">
        <v>213</v>
      </c>
      <c r="E44" s="596">
        <f>'Прилож 4 24 (4)'!U43</f>
        <v>4198430.5299999993</v>
      </c>
      <c r="F44" s="595">
        <f>'Прилож 4 24 (4)'!V43</f>
        <v>3520679.58</v>
      </c>
      <c r="G44" s="595">
        <f>'Прилож 4 24 (4)'!W43</f>
        <v>0</v>
      </c>
      <c r="H44" s="595">
        <f>'Прилож 4 24 (4)'!X43</f>
        <v>677750.95</v>
      </c>
      <c r="I44" s="628"/>
      <c r="J44" s="595">
        <f>'Прилож 4 24 (4)'!Z43</f>
        <v>0</v>
      </c>
      <c r="K44" s="595">
        <f>'Прилож 4 24 (4)'!AA43</f>
        <v>0</v>
      </c>
      <c r="L44" s="595">
        <f>'Прилож 4 24 (4)'!AB43</f>
        <v>0</v>
      </c>
      <c r="M44" s="876">
        <f t="shared" si="12"/>
        <v>0</v>
      </c>
      <c r="N44" s="875"/>
      <c r="O44" s="875"/>
      <c r="P44" s="875"/>
      <c r="Q44" s="883"/>
      <c r="R44" s="875"/>
      <c r="S44" s="875"/>
      <c r="T44" s="875"/>
      <c r="U44" s="876">
        <f t="shared" si="11"/>
        <v>4198430.5299999993</v>
      </c>
      <c r="V44" s="875">
        <f t="shared" si="9"/>
        <v>3520679.58</v>
      </c>
      <c r="W44" s="875">
        <f t="shared" si="10"/>
        <v>0</v>
      </c>
      <c r="X44" s="875">
        <f t="shared" si="10"/>
        <v>677750.95</v>
      </c>
      <c r="Y44" s="883"/>
      <c r="Z44" s="875">
        <f t="shared" si="3"/>
        <v>0</v>
      </c>
      <c r="AA44" s="875">
        <f t="shared" si="3"/>
        <v>0</v>
      </c>
      <c r="AB44" s="875">
        <f t="shared" si="3"/>
        <v>0</v>
      </c>
      <c r="AC44" s="878"/>
    </row>
    <row r="45" spans="1:30" s="614" customFormat="1" ht="78.75" x14ac:dyDescent="0.2">
      <c r="A45" s="618" t="s">
        <v>748</v>
      </c>
      <c r="B45" s="619" t="s">
        <v>729</v>
      </c>
      <c r="C45" s="620">
        <v>119</v>
      </c>
      <c r="D45" s="620">
        <v>213</v>
      </c>
      <c r="E45" s="596">
        <f>'Прилож 4 24 (4)'!U44</f>
        <v>5846602.5800000001</v>
      </c>
      <c r="F45" s="595">
        <f>'Прилож 4 24 (4)'!V44</f>
        <v>5378022.5800000001</v>
      </c>
      <c r="G45" s="595">
        <f>'Прилож 4 24 (4)'!W44</f>
        <v>253680</v>
      </c>
      <c r="H45" s="595">
        <f>'Прилож 4 24 (4)'!X44</f>
        <v>214900</v>
      </c>
      <c r="I45" s="628"/>
      <c r="J45" s="595">
        <f>'Прилож 4 24 (4)'!Z44</f>
        <v>0</v>
      </c>
      <c r="K45" s="595">
        <f>'Прилож 4 24 (4)'!AA44</f>
        <v>0</v>
      </c>
      <c r="L45" s="595">
        <f>'Прилож 4 24 (4)'!AB44</f>
        <v>0</v>
      </c>
      <c r="M45" s="876">
        <f t="shared" si="12"/>
        <v>0</v>
      </c>
      <c r="N45" s="875"/>
      <c r="O45" s="875"/>
      <c r="P45" s="875"/>
      <c r="Q45" s="883"/>
      <c r="R45" s="875"/>
      <c r="S45" s="875"/>
      <c r="T45" s="875"/>
      <c r="U45" s="876">
        <f t="shared" si="11"/>
        <v>5846602.5800000001</v>
      </c>
      <c r="V45" s="875">
        <f t="shared" si="9"/>
        <v>5378022.5800000001</v>
      </c>
      <c r="W45" s="875">
        <f t="shared" si="10"/>
        <v>253680</v>
      </c>
      <c r="X45" s="875">
        <f t="shared" si="10"/>
        <v>214900</v>
      </c>
      <c r="Y45" s="883"/>
      <c r="Z45" s="875">
        <f t="shared" si="3"/>
        <v>0</v>
      </c>
      <c r="AA45" s="875">
        <f t="shared" si="3"/>
        <v>0</v>
      </c>
      <c r="AB45" s="875">
        <f t="shared" si="3"/>
        <v>0</v>
      </c>
      <c r="AC45" s="878"/>
    </row>
    <row r="46" spans="1:30" s="614" customFormat="1" ht="78.75" x14ac:dyDescent="0.2">
      <c r="A46" s="618" t="s">
        <v>944</v>
      </c>
      <c r="B46" s="619" t="s">
        <v>729</v>
      </c>
      <c r="C46" s="620">
        <v>119</v>
      </c>
      <c r="D46" s="620">
        <v>213</v>
      </c>
      <c r="E46" s="596">
        <f>'Прилож 4 24 (4)'!U45</f>
        <v>82168.849999999991</v>
      </c>
      <c r="F46" s="595">
        <f>'Прилож 4 24 (4)'!V45</f>
        <v>27115.759999999998</v>
      </c>
      <c r="G46" s="595">
        <f>'Прилож 4 24 (4)'!W45</f>
        <v>55053.09</v>
      </c>
      <c r="H46" s="595">
        <f>'Прилож 4 24 (4)'!X45</f>
        <v>0</v>
      </c>
      <c r="I46" s="628"/>
      <c r="J46" s="595">
        <f>'Прилож 4 24 (4)'!Z45</f>
        <v>0</v>
      </c>
      <c r="K46" s="595">
        <f>'Прилож 4 24 (4)'!AA45</f>
        <v>0</v>
      </c>
      <c r="L46" s="595">
        <f>'Прилож 4 24 (4)'!AB45</f>
        <v>0</v>
      </c>
      <c r="M46" s="876">
        <f t="shared" si="12"/>
        <v>0</v>
      </c>
      <c r="N46" s="875"/>
      <c r="O46" s="875"/>
      <c r="P46" s="875"/>
      <c r="Q46" s="883"/>
      <c r="R46" s="875"/>
      <c r="S46" s="875"/>
      <c r="T46" s="875"/>
      <c r="U46" s="876">
        <f t="shared" si="11"/>
        <v>82168.849999999991</v>
      </c>
      <c r="V46" s="875">
        <f t="shared" si="9"/>
        <v>27115.759999999998</v>
      </c>
      <c r="W46" s="875">
        <f t="shared" si="10"/>
        <v>55053.09</v>
      </c>
      <c r="X46" s="875">
        <f t="shared" si="10"/>
        <v>0</v>
      </c>
      <c r="Y46" s="883"/>
      <c r="Z46" s="875">
        <f t="shared" si="3"/>
        <v>0</v>
      </c>
      <c r="AA46" s="875">
        <f t="shared" si="3"/>
        <v>0</v>
      </c>
      <c r="AB46" s="875">
        <f t="shared" si="3"/>
        <v>0</v>
      </c>
      <c r="AC46" s="878"/>
    </row>
    <row r="47" spans="1:30" s="614" customFormat="1" ht="78.75" x14ac:dyDescent="0.2">
      <c r="A47" s="618" t="s">
        <v>748</v>
      </c>
      <c r="B47" s="619" t="s">
        <v>64</v>
      </c>
      <c r="C47" s="620">
        <v>119</v>
      </c>
      <c r="D47" s="620">
        <v>213</v>
      </c>
      <c r="E47" s="596">
        <f>'Прилож 4 24 (4)'!U46</f>
        <v>19446</v>
      </c>
      <c r="F47" s="595">
        <f>'Прилож 4 24 (4)'!V46</f>
        <v>0</v>
      </c>
      <c r="G47" s="595">
        <f>'Прилож 4 24 (4)'!W46</f>
        <v>0</v>
      </c>
      <c r="H47" s="595">
        <f>'Прилож 4 24 (4)'!X46</f>
        <v>0</v>
      </c>
      <c r="I47" s="621" t="s">
        <v>1235</v>
      </c>
      <c r="J47" s="595">
        <f>'Прилож 4 24 (4)'!Z46</f>
        <v>0</v>
      </c>
      <c r="K47" s="595">
        <f>'Прилож 4 24 (4)'!AA46</f>
        <v>19446</v>
      </c>
      <c r="L47" s="595">
        <f>'Прилож 4 24 (4)'!AB46</f>
        <v>0</v>
      </c>
      <c r="M47" s="876">
        <f t="shared" si="12"/>
        <v>0</v>
      </c>
      <c r="N47" s="875"/>
      <c r="O47" s="875"/>
      <c r="P47" s="875"/>
      <c r="Q47" s="883"/>
      <c r="R47" s="875"/>
      <c r="S47" s="875"/>
      <c r="T47" s="875"/>
      <c r="U47" s="876">
        <f t="shared" si="11"/>
        <v>19446</v>
      </c>
      <c r="V47" s="875">
        <f t="shared" si="9"/>
        <v>0</v>
      </c>
      <c r="W47" s="875">
        <f t="shared" si="10"/>
        <v>0</v>
      </c>
      <c r="X47" s="875">
        <f t="shared" si="10"/>
        <v>0</v>
      </c>
      <c r="Y47" s="877" t="s">
        <v>1235</v>
      </c>
      <c r="Z47" s="875">
        <f t="shared" si="3"/>
        <v>0</v>
      </c>
      <c r="AA47" s="875">
        <f t="shared" si="3"/>
        <v>19446</v>
      </c>
      <c r="AB47" s="875">
        <f t="shared" si="3"/>
        <v>0</v>
      </c>
      <c r="AC47" s="878"/>
    </row>
    <row r="48" spans="1:30" s="614" customFormat="1" ht="78.75" x14ac:dyDescent="0.2">
      <c r="A48" s="618" t="s">
        <v>748</v>
      </c>
      <c r="B48" s="619" t="s">
        <v>691</v>
      </c>
      <c r="C48" s="620">
        <v>119</v>
      </c>
      <c r="D48" s="620">
        <v>213</v>
      </c>
      <c r="E48" s="596">
        <f>'Прилож 4 24 (4)'!U47</f>
        <v>16917.36</v>
      </c>
      <c r="F48" s="595">
        <f>'Прилож 4 24 (4)'!V47</f>
        <v>0</v>
      </c>
      <c r="G48" s="595">
        <f>'Прилож 4 24 (4)'!W47</f>
        <v>0</v>
      </c>
      <c r="H48" s="595">
        <f>'Прилож 4 24 (4)'!X47</f>
        <v>14362.7</v>
      </c>
      <c r="I48" s="628"/>
      <c r="J48" s="595">
        <f>'Прилож 4 24 (4)'!Z47</f>
        <v>0</v>
      </c>
      <c r="K48" s="595">
        <f>'Прилож 4 24 (4)'!AA47</f>
        <v>0</v>
      </c>
      <c r="L48" s="595">
        <f>'Прилож 4 24 (4)'!AB47</f>
        <v>2554.66</v>
      </c>
      <c r="M48" s="876">
        <f t="shared" si="12"/>
        <v>0</v>
      </c>
      <c r="N48" s="875"/>
      <c r="O48" s="875"/>
      <c r="P48" s="875"/>
      <c r="Q48" s="883"/>
      <c r="R48" s="875"/>
      <c r="S48" s="875"/>
      <c r="T48" s="875"/>
      <c r="U48" s="876">
        <f t="shared" si="11"/>
        <v>16917.36</v>
      </c>
      <c r="V48" s="875">
        <f t="shared" si="9"/>
        <v>0</v>
      </c>
      <c r="W48" s="875">
        <f t="shared" si="10"/>
        <v>0</v>
      </c>
      <c r="X48" s="875">
        <f t="shared" si="10"/>
        <v>14362.7</v>
      </c>
      <c r="Y48" s="883"/>
      <c r="Z48" s="875">
        <f t="shared" si="3"/>
        <v>0</v>
      </c>
      <c r="AA48" s="875">
        <f t="shared" si="3"/>
        <v>0</v>
      </c>
      <c r="AB48" s="875">
        <f t="shared" si="3"/>
        <v>2554.66</v>
      </c>
      <c r="AC48" s="878"/>
    </row>
    <row r="49" spans="1:30" s="614" customFormat="1" x14ac:dyDescent="0.2">
      <c r="A49" s="630" t="s">
        <v>733</v>
      </c>
      <c r="B49" s="631"/>
      <c r="C49" s="624"/>
      <c r="D49" s="624"/>
      <c r="E49" s="596">
        <f>'Прилож 4 24 (4)'!U48</f>
        <v>10163565.32</v>
      </c>
      <c r="F49" s="595">
        <f>'Прилож 4 24 (4)'!V48</f>
        <v>8925817.9199999999</v>
      </c>
      <c r="G49" s="595">
        <f>'Прилож 4 24 (4)'!W48</f>
        <v>308733.08999999997</v>
      </c>
      <c r="H49" s="595">
        <f>'Прилож 4 24 (4)'!X48</f>
        <v>907013.64999999991</v>
      </c>
      <c r="I49" s="626"/>
      <c r="J49" s="595">
        <f>'Прилож 4 24 (4)'!Z48</f>
        <v>0</v>
      </c>
      <c r="K49" s="595">
        <f>'Прилож 4 24 (4)'!AA48</f>
        <v>19446</v>
      </c>
      <c r="L49" s="595">
        <f>'Прилож 4 24 (4)'!AB48</f>
        <v>2554.66</v>
      </c>
      <c r="M49" s="876">
        <f t="shared" si="12"/>
        <v>0</v>
      </c>
      <c r="N49" s="876">
        <f>SUM(N44:N48)</f>
        <v>0</v>
      </c>
      <c r="O49" s="876"/>
      <c r="P49" s="876">
        <f>SUM(P44:P48)</f>
        <v>0</v>
      </c>
      <c r="Q49" s="881"/>
      <c r="R49" s="876"/>
      <c r="S49" s="876"/>
      <c r="T49" s="876"/>
      <c r="U49" s="876">
        <f t="shared" si="11"/>
        <v>10163565.32</v>
      </c>
      <c r="V49" s="875">
        <f t="shared" si="9"/>
        <v>8925817.9199999999</v>
      </c>
      <c r="W49" s="875">
        <f t="shared" si="10"/>
        <v>308733.08999999997</v>
      </c>
      <c r="X49" s="875">
        <f t="shared" si="10"/>
        <v>907013.64999999991</v>
      </c>
      <c r="Y49" s="881"/>
      <c r="Z49" s="875">
        <f t="shared" si="3"/>
        <v>0</v>
      </c>
      <c r="AA49" s="875">
        <f t="shared" si="3"/>
        <v>19446</v>
      </c>
      <c r="AB49" s="875">
        <f t="shared" si="3"/>
        <v>2554.66</v>
      </c>
      <c r="AC49" s="879"/>
      <c r="AD49" s="818"/>
    </row>
    <row r="50" spans="1:30" ht="31.5" x14ac:dyDescent="0.2">
      <c r="A50" s="618" t="s">
        <v>1183</v>
      </c>
      <c r="B50" s="619" t="s">
        <v>747</v>
      </c>
      <c r="C50" s="620">
        <v>244</v>
      </c>
      <c r="D50" s="620">
        <v>221</v>
      </c>
      <c r="E50" s="596">
        <f>'Прилож 4 24 (4)'!U49</f>
        <v>14452.3</v>
      </c>
      <c r="F50" s="595">
        <f>'Прилож 4 24 (4)'!V49</f>
        <v>0</v>
      </c>
      <c r="G50" s="595">
        <f>'Прилож 4 24 (4)'!W49</f>
        <v>0</v>
      </c>
      <c r="H50" s="595">
        <f>'Прилож 4 24 (4)'!X49</f>
        <v>14452.3</v>
      </c>
      <c r="I50" s="628"/>
      <c r="J50" s="595">
        <f>'Прилож 4 24 (4)'!Z49</f>
        <v>0</v>
      </c>
      <c r="K50" s="595">
        <f>'Прилож 4 24 (4)'!AA49</f>
        <v>0</v>
      </c>
      <c r="L50" s="595">
        <f>'Прилож 4 24 (4)'!AB49</f>
        <v>0</v>
      </c>
      <c r="M50" s="876">
        <f t="shared" si="12"/>
        <v>0</v>
      </c>
      <c r="N50" s="875"/>
      <c r="O50" s="875"/>
      <c r="P50" s="875"/>
      <c r="Q50" s="877"/>
      <c r="R50" s="875"/>
      <c r="S50" s="875"/>
      <c r="T50" s="875"/>
      <c r="U50" s="876">
        <f t="shared" si="11"/>
        <v>14452.3</v>
      </c>
      <c r="V50" s="875">
        <f t="shared" si="9"/>
        <v>0</v>
      </c>
      <c r="W50" s="875">
        <f t="shared" si="10"/>
        <v>0</v>
      </c>
      <c r="X50" s="875">
        <f t="shared" si="10"/>
        <v>14452.3</v>
      </c>
      <c r="Y50" s="883"/>
      <c r="Z50" s="875">
        <f t="shared" si="3"/>
        <v>0</v>
      </c>
      <c r="AA50" s="875">
        <f t="shared" si="3"/>
        <v>0</v>
      </c>
      <c r="AB50" s="875">
        <f t="shared" si="3"/>
        <v>0</v>
      </c>
      <c r="AC50" s="878"/>
    </row>
    <row r="51" spans="1:30" x14ac:dyDescent="0.2">
      <c r="A51" s="618" t="s">
        <v>1184</v>
      </c>
      <c r="B51" s="619" t="s">
        <v>747</v>
      </c>
      <c r="C51" s="620">
        <v>244</v>
      </c>
      <c r="D51" s="620">
        <v>221</v>
      </c>
      <c r="E51" s="596">
        <f>'Прилож 4 24 (4)'!U50</f>
        <v>36000</v>
      </c>
      <c r="F51" s="595">
        <f>'Прилож 4 24 (4)'!V50</f>
        <v>0</v>
      </c>
      <c r="G51" s="595">
        <f>'Прилож 4 24 (4)'!W50</f>
        <v>0</v>
      </c>
      <c r="H51" s="595">
        <f>'Прилож 4 24 (4)'!X50</f>
        <v>36000</v>
      </c>
      <c r="I51" s="628"/>
      <c r="J51" s="595">
        <f>'Прилож 4 24 (4)'!Z50</f>
        <v>0</v>
      </c>
      <c r="K51" s="595">
        <f>'Прилож 4 24 (4)'!AA50</f>
        <v>0</v>
      </c>
      <c r="L51" s="595">
        <f>'Прилож 4 24 (4)'!AB50</f>
        <v>0</v>
      </c>
      <c r="M51" s="876">
        <f t="shared" si="12"/>
        <v>0</v>
      </c>
      <c r="N51" s="875"/>
      <c r="O51" s="875"/>
      <c r="P51" s="875"/>
      <c r="Q51" s="877"/>
      <c r="R51" s="875"/>
      <c r="S51" s="875"/>
      <c r="T51" s="875"/>
      <c r="U51" s="876">
        <f t="shared" si="11"/>
        <v>36000</v>
      </c>
      <c r="V51" s="875">
        <f t="shared" si="9"/>
        <v>0</v>
      </c>
      <c r="W51" s="875">
        <f t="shared" si="10"/>
        <v>0</v>
      </c>
      <c r="X51" s="875">
        <f t="shared" si="10"/>
        <v>36000</v>
      </c>
      <c r="Y51" s="883"/>
      <c r="Z51" s="875">
        <f t="shared" si="3"/>
        <v>0</v>
      </c>
      <c r="AA51" s="875">
        <f t="shared" si="3"/>
        <v>0</v>
      </c>
      <c r="AB51" s="875">
        <f t="shared" si="3"/>
        <v>0</v>
      </c>
      <c r="AC51" s="878"/>
    </row>
    <row r="52" spans="1:30" x14ac:dyDescent="0.2">
      <c r="A52" s="618" t="s">
        <v>158</v>
      </c>
      <c r="B52" s="619" t="s">
        <v>747</v>
      </c>
      <c r="C52" s="620">
        <v>244</v>
      </c>
      <c r="D52" s="620">
        <v>221</v>
      </c>
      <c r="E52" s="596">
        <f>'Прилож 4 24 (4)'!U51</f>
        <v>6600</v>
      </c>
      <c r="F52" s="595">
        <f>'Прилож 4 24 (4)'!V51</f>
        <v>0</v>
      </c>
      <c r="G52" s="595">
        <f>'Прилож 4 24 (4)'!W51</f>
        <v>0</v>
      </c>
      <c r="H52" s="595">
        <f>'Прилож 4 24 (4)'!X51</f>
        <v>6600</v>
      </c>
      <c r="I52" s="628"/>
      <c r="J52" s="595">
        <f>'Прилож 4 24 (4)'!Z51</f>
        <v>0</v>
      </c>
      <c r="K52" s="595">
        <f>'Прилож 4 24 (4)'!AA51</f>
        <v>0</v>
      </c>
      <c r="L52" s="595">
        <f>'Прилож 4 24 (4)'!AB51</f>
        <v>0</v>
      </c>
      <c r="M52" s="876">
        <f t="shared" si="12"/>
        <v>0</v>
      </c>
      <c r="N52" s="875"/>
      <c r="O52" s="875"/>
      <c r="P52" s="875"/>
      <c r="Q52" s="877"/>
      <c r="R52" s="875"/>
      <c r="S52" s="875"/>
      <c r="T52" s="875"/>
      <c r="U52" s="876">
        <f t="shared" si="11"/>
        <v>6600</v>
      </c>
      <c r="V52" s="875">
        <f t="shared" si="9"/>
        <v>0</v>
      </c>
      <c r="W52" s="875">
        <f t="shared" si="10"/>
        <v>0</v>
      </c>
      <c r="X52" s="875">
        <f t="shared" si="10"/>
        <v>6600</v>
      </c>
      <c r="Y52" s="883"/>
      <c r="Z52" s="875">
        <f t="shared" si="3"/>
        <v>0</v>
      </c>
      <c r="AA52" s="875">
        <f t="shared" si="3"/>
        <v>0</v>
      </c>
      <c r="AB52" s="875">
        <f t="shared" si="3"/>
        <v>0</v>
      </c>
      <c r="AC52" s="878"/>
    </row>
    <row r="53" spans="1:30" s="637" customFormat="1" x14ac:dyDescent="0.2">
      <c r="A53" s="632" t="s">
        <v>1143</v>
      </c>
      <c r="B53" s="633" t="s">
        <v>747</v>
      </c>
      <c r="C53" s="634">
        <v>244</v>
      </c>
      <c r="D53" s="634">
        <v>221</v>
      </c>
      <c r="E53" s="596">
        <f>'Прилож 4 24 (4)'!U52</f>
        <v>57052.3</v>
      </c>
      <c r="F53" s="595">
        <f>'Прилож 4 24 (4)'!V52</f>
        <v>0</v>
      </c>
      <c r="G53" s="595">
        <f>'Прилож 4 24 (4)'!W52</f>
        <v>0</v>
      </c>
      <c r="H53" s="595">
        <f>'Прилож 4 24 (4)'!X52</f>
        <v>57052.3</v>
      </c>
      <c r="I53" s="635"/>
      <c r="J53" s="595">
        <f>'Прилож 4 24 (4)'!Z52</f>
        <v>0</v>
      </c>
      <c r="K53" s="595">
        <f>'Прилож 4 24 (4)'!AA52</f>
        <v>0</v>
      </c>
      <c r="L53" s="595">
        <f>'Прилож 4 24 (4)'!AB52</f>
        <v>0</v>
      </c>
      <c r="M53" s="876">
        <f t="shared" si="12"/>
        <v>0</v>
      </c>
      <c r="N53" s="884"/>
      <c r="O53" s="884"/>
      <c r="P53" s="884"/>
      <c r="Q53" s="885"/>
      <c r="R53" s="884"/>
      <c r="S53" s="884"/>
      <c r="T53" s="884"/>
      <c r="U53" s="876">
        <f t="shared" si="11"/>
        <v>57052.3</v>
      </c>
      <c r="V53" s="875">
        <f t="shared" si="9"/>
        <v>0</v>
      </c>
      <c r="W53" s="875">
        <f t="shared" si="10"/>
        <v>0</v>
      </c>
      <c r="X53" s="875">
        <f t="shared" si="10"/>
        <v>57052.3</v>
      </c>
      <c r="Y53" s="885"/>
      <c r="Z53" s="875">
        <f t="shared" si="3"/>
        <v>0</v>
      </c>
      <c r="AA53" s="875">
        <f t="shared" si="3"/>
        <v>0</v>
      </c>
      <c r="AB53" s="875">
        <f t="shared" si="3"/>
        <v>0</v>
      </c>
      <c r="AC53" s="886"/>
    </row>
    <row r="54" spans="1:30" ht="31.5" x14ac:dyDescent="0.2">
      <c r="A54" s="618" t="s">
        <v>1183</v>
      </c>
      <c r="B54" s="619" t="s">
        <v>729</v>
      </c>
      <c r="C54" s="620">
        <v>244</v>
      </c>
      <c r="D54" s="620">
        <v>221</v>
      </c>
      <c r="E54" s="596">
        <f>'Прилож 4 24 (4)'!U53</f>
        <v>44560.93</v>
      </c>
      <c r="F54" s="595">
        <f>'Прилож 4 24 (4)'!V53</f>
        <v>0</v>
      </c>
      <c r="G54" s="595">
        <f>'Прилож 4 24 (4)'!W53</f>
        <v>0</v>
      </c>
      <c r="H54" s="595">
        <f>'Прилож 4 24 (4)'!X53</f>
        <v>44560.93</v>
      </c>
      <c r="I54" s="628"/>
      <c r="J54" s="595">
        <f>'Прилож 4 24 (4)'!Z53</f>
        <v>0</v>
      </c>
      <c r="K54" s="595">
        <f>'Прилож 4 24 (4)'!AA53</f>
        <v>0</v>
      </c>
      <c r="L54" s="595">
        <f>'Прилож 4 24 (4)'!AB53</f>
        <v>0</v>
      </c>
      <c r="M54" s="876">
        <f t="shared" si="12"/>
        <v>0</v>
      </c>
      <c r="N54" s="875"/>
      <c r="O54" s="875"/>
      <c r="P54" s="875"/>
      <c r="Q54" s="877"/>
      <c r="R54" s="875"/>
      <c r="S54" s="875"/>
      <c r="T54" s="875"/>
      <c r="U54" s="876">
        <f t="shared" si="11"/>
        <v>44560.93</v>
      </c>
      <c r="V54" s="875">
        <f t="shared" si="9"/>
        <v>0</v>
      </c>
      <c r="W54" s="875">
        <f t="shared" si="10"/>
        <v>0</v>
      </c>
      <c r="X54" s="875">
        <f t="shared" si="10"/>
        <v>44560.93</v>
      </c>
      <c r="Y54" s="883"/>
      <c r="Z54" s="875">
        <f t="shared" si="3"/>
        <v>0</v>
      </c>
      <c r="AA54" s="875">
        <f t="shared" si="3"/>
        <v>0</v>
      </c>
      <c r="AB54" s="875">
        <f t="shared" si="3"/>
        <v>0</v>
      </c>
      <c r="AC54" s="878"/>
    </row>
    <row r="55" spans="1:30" ht="53.25" customHeight="1" x14ac:dyDescent="0.2">
      <c r="A55" s="618" t="s">
        <v>597</v>
      </c>
      <c r="B55" s="619" t="s">
        <v>729</v>
      </c>
      <c r="C55" s="620">
        <v>244</v>
      </c>
      <c r="D55" s="620">
        <v>221</v>
      </c>
      <c r="E55" s="596">
        <f>'Прилож 4 24 (4)'!U54</f>
        <v>34080</v>
      </c>
      <c r="F55" s="595">
        <f>'Прилож 4 24 (4)'!V54</f>
        <v>0</v>
      </c>
      <c r="G55" s="595">
        <f>'Прилож 4 24 (4)'!W54</f>
        <v>0</v>
      </c>
      <c r="H55" s="595">
        <f>'Прилож 4 24 (4)'!X54</f>
        <v>34080</v>
      </c>
      <c r="I55" s="628"/>
      <c r="J55" s="595">
        <f>'Прилож 4 24 (4)'!Z54</f>
        <v>0</v>
      </c>
      <c r="K55" s="595">
        <f>'Прилож 4 24 (4)'!AA54</f>
        <v>0</v>
      </c>
      <c r="L55" s="595">
        <f>'Прилож 4 24 (4)'!AB54</f>
        <v>0</v>
      </c>
      <c r="M55" s="876">
        <f t="shared" si="12"/>
        <v>-22720</v>
      </c>
      <c r="N55" s="875"/>
      <c r="O55" s="875"/>
      <c r="P55" s="875">
        <v>-22720</v>
      </c>
      <c r="Q55" s="877"/>
      <c r="R55" s="875"/>
      <c r="S55" s="875"/>
      <c r="T55" s="875"/>
      <c r="U55" s="876">
        <f t="shared" si="11"/>
        <v>11360</v>
      </c>
      <c r="V55" s="875">
        <f t="shared" si="9"/>
        <v>0</v>
      </c>
      <c r="W55" s="875">
        <f t="shared" si="10"/>
        <v>0</v>
      </c>
      <c r="X55" s="875">
        <f t="shared" si="10"/>
        <v>11360</v>
      </c>
      <c r="Y55" s="883"/>
      <c r="Z55" s="875">
        <f t="shared" si="3"/>
        <v>0</v>
      </c>
      <c r="AA55" s="875">
        <f t="shared" si="3"/>
        <v>0</v>
      </c>
      <c r="AB55" s="875">
        <f t="shared" si="3"/>
        <v>0</v>
      </c>
      <c r="AC55" s="878" t="s">
        <v>1450</v>
      </c>
    </row>
    <row r="56" spans="1:30" x14ac:dyDescent="0.2">
      <c r="A56" s="618" t="s">
        <v>158</v>
      </c>
      <c r="B56" s="619" t="s">
        <v>729</v>
      </c>
      <c r="C56" s="620">
        <v>244</v>
      </c>
      <c r="D56" s="620">
        <v>221</v>
      </c>
      <c r="E56" s="596">
        <f>'Прилож 4 24 (4)'!U55</f>
        <v>6600</v>
      </c>
      <c r="F56" s="595">
        <f>'Прилож 4 24 (4)'!V55</f>
        <v>0</v>
      </c>
      <c r="G56" s="595">
        <f>'Прилож 4 24 (4)'!W55</f>
        <v>0</v>
      </c>
      <c r="H56" s="595">
        <f>'Прилож 4 24 (4)'!X55</f>
        <v>6600</v>
      </c>
      <c r="I56" s="628"/>
      <c r="J56" s="595">
        <f>'Прилож 4 24 (4)'!Z55</f>
        <v>0</v>
      </c>
      <c r="K56" s="595">
        <f>'Прилож 4 24 (4)'!AA55</f>
        <v>0</v>
      </c>
      <c r="L56" s="595">
        <f>'Прилож 4 24 (4)'!AB55</f>
        <v>0</v>
      </c>
      <c r="M56" s="876">
        <f t="shared" si="12"/>
        <v>0</v>
      </c>
      <c r="N56" s="875"/>
      <c r="O56" s="875"/>
      <c r="P56" s="875"/>
      <c r="Q56" s="877"/>
      <c r="R56" s="875"/>
      <c r="S56" s="875"/>
      <c r="T56" s="875"/>
      <c r="U56" s="876">
        <f t="shared" si="11"/>
        <v>6600</v>
      </c>
      <c r="V56" s="875">
        <f t="shared" si="9"/>
        <v>0</v>
      </c>
      <c r="W56" s="875">
        <f t="shared" si="10"/>
        <v>0</v>
      </c>
      <c r="X56" s="875">
        <f t="shared" si="10"/>
        <v>6600</v>
      </c>
      <c r="Y56" s="883"/>
      <c r="Z56" s="875">
        <f t="shared" si="3"/>
        <v>0</v>
      </c>
      <c r="AA56" s="875">
        <f t="shared" si="3"/>
        <v>0</v>
      </c>
      <c r="AB56" s="875">
        <f t="shared" si="3"/>
        <v>0</v>
      </c>
      <c r="AC56" s="878"/>
    </row>
    <row r="57" spans="1:30" s="637" customFormat="1" x14ac:dyDescent="0.2">
      <c r="A57" s="632" t="s">
        <v>1143</v>
      </c>
      <c r="B57" s="633" t="s">
        <v>729</v>
      </c>
      <c r="C57" s="634">
        <v>244</v>
      </c>
      <c r="D57" s="634">
        <v>221</v>
      </c>
      <c r="E57" s="596">
        <f>'Прилож 4 24 (4)'!U56</f>
        <v>85240.93</v>
      </c>
      <c r="F57" s="595">
        <f>'Прилож 4 24 (4)'!V56</f>
        <v>0</v>
      </c>
      <c r="G57" s="595">
        <f>'Прилож 4 24 (4)'!W56</f>
        <v>0</v>
      </c>
      <c r="H57" s="595">
        <f>'Прилож 4 24 (4)'!X56</f>
        <v>85240.93</v>
      </c>
      <c r="I57" s="635"/>
      <c r="J57" s="595">
        <f>'Прилож 4 24 (4)'!Z56</f>
        <v>0</v>
      </c>
      <c r="K57" s="595">
        <f>'Прилож 4 24 (4)'!AA56</f>
        <v>0</v>
      </c>
      <c r="L57" s="595">
        <f>'Прилож 4 24 (4)'!AB56</f>
        <v>0</v>
      </c>
      <c r="M57" s="876">
        <f t="shared" si="12"/>
        <v>-22720</v>
      </c>
      <c r="N57" s="884"/>
      <c r="O57" s="884"/>
      <c r="P57" s="884">
        <f>SUM(P54:P56)</f>
        <v>-22720</v>
      </c>
      <c r="Q57" s="885"/>
      <c r="R57" s="884"/>
      <c r="S57" s="884"/>
      <c r="T57" s="884"/>
      <c r="U57" s="876">
        <f t="shared" si="11"/>
        <v>62520.929999999993</v>
      </c>
      <c r="V57" s="875">
        <f t="shared" si="9"/>
        <v>0</v>
      </c>
      <c r="W57" s="875">
        <f t="shared" si="10"/>
        <v>0</v>
      </c>
      <c r="X57" s="875">
        <f t="shared" si="10"/>
        <v>62520.929999999993</v>
      </c>
      <c r="Y57" s="885"/>
      <c r="Z57" s="875">
        <f t="shared" si="3"/>
        <v>0</v>
      </c>
      <c r="AA57" s="875">
        <f t="shared" si="3"/>
        <v>0</v>
      </c>
      <c r="AB57" s="875">
        <f t="shared" si="3"/>
        <v>0</v>
      </c>
      <c r="AC57" s="886"/>
    </row>
    <row r="58" spans="1:30" s="614" customFormat="1" x14ac:dyDescent="0.2">
      <c r="A58" s="630" t="s">
        <v>734</v>
      </c>
      <c r="B58" s="631"/>
      <c r="C58" s="624"/>
      <c r="D58" s="624"/>
      <c r="E58" s="596">
        <f>'Прилож 4 24 (4)'!U57</f>
        <v>142293.22999999998</v>
      </c>
      <c r="F58" s="595">
        <f>'Прилож 4 24 (4)'!V57</f>
        <v>0</v>
      </c>
      <c r="G58" s="595">
        <f>'Прилож 4 24 (4)'!W57</f>
        <v>0</v>
      </c>
      <c r="H58" s="595">
        <f>'Прилож 4 24 (4)'!X57</f>
        <v>142293.22999999998</v>
      </c>
      <c r="I58" s="626"/>
      <c r="J58" s="595">
        <f>'Прилож 4 24 (4)'!Z57</f>
        <v>0</v>
      </c>
      <c r="K58" s="595">
        <f>'Прилож 4 24 (4)'!AA57</f>
        <v>0</v>
      </c>
      <c r="L58" s="595">
        <f>'Прилож 4 24 (4)'!AB57</f>
        <v>0</v>
      </c>
      <c r="M58" s="876">
        <f t="shared" si="12"/>
        <v>-22720</v>
      </c>
      <c r="N58" s="876"/>
      <c r="O58" s="876"/>
      <c r="P58" s="876">
        <f>P57+P53</f>
        <v>-22720</v>
      </c>
      <c r="Q58" s="881"/>
      <c r="R58" s="876"/>
      <c r="S58" s="876"/>
      <c r="T58" s="876"/>
      <c r="U58" s="876">
        <f t="shared" si="11"/>
        <v>119573.22999999998</v>
      </c>
      <c r="V58" s="875">
        <f t="shared" si="9"/>
        <v>0</v>
      </c>
      <c r="W58" s="875">
        <f t="shared" si="10"/>
        <v>0</v>
      </c>
      <c r="X58" s="875">
        <f t="shared" si="10"/>
        <v>119573.22999999998</v>
      </c>
      <c r="Y58" s="881"/>
      <c r="Z58" s="875">
        <f t="shared" si="3"/>
        <v>0</v>
      </c>
      <c r="AA58" s="875">
        <f t="shared" si="3"/>
        <v>0</v>
      </c>
      <c r="AB58" s="875">
        <f t="shared" si="3"/>
        <v>0</v>
      </c>
      <c r="AC58" s="879"/>
    </row>
    <row r="59" spans="1:30" x14ac:dyDescent="0.2">
      <c r="A59" s="618" t="s">
        <v>126</v>
      </c>
      <c r="B59" s="619" t="s">
        <v>747</v>
      </c>
      <c r="C59" s="620">
        <v>244</v>
      </c>
      <c r="D59" s="620">
        <v>223</v>
      </c>
      <c r="E59" s="596">
        <f>'Прилож 4 24 (4)'!U58</f>
        <v>30113.4</v>
      </c>
      <c r="F59" s="595">
        <f>'Прилож 4 24 (4)'!V58</f>
        <v>0</v>
      </c>
      <c r="G59" s="595">
        <f>'Прилож 4 24 (4)'!W58</f>
        <v>0</v>
      </c>
      <c r="H59" s="595">
        <f>'Прилож 4 24 (4)'!X58</f>
        <v>30113.4</v>
      </c>
      <c r="I59" s="628"/>
      <c r="J59" s="595">
        <f>'Прилож 4 24 (4)'!Z58</f>
        <v>0</v>
      </c>
      <c r="K59" s="595">
        <f>'Прилож 4 24 (4)'!AA58</f>
        <v>0</v>
      </c>
      <c r="L59" s="595">
        <f>'Прилож 4 24 (4)'!AB58</f>
        <v>0</v>
      </c>
      <c r="M59" s="876">
        <f t="shared" si="12"/>
        <v>0</v>
      </c>
      <c r="N59" s="875"/>
      <c r="O59" s="875"/>
      <c r="P59" s="875"/>
      <c r="Q59" s="877"/>
      <c r="R59" s="875"/>
      <c r="S59" s="875"/>
      <c r="T59" s="875"/>
      <c r="U59" s="876">
        <f t="shared" si="11"/>
        <v>30113.4</v>
      </c>
      <c r="V59" s="875">
        <f t="shared" si="9"/>
        <v>0</v>
      </c>
      <c r="W59" s="875">
        <f t="shared" si="10"/>
        <v>0</v>
      </c>
      <c r="X59" s="875">
        <f t="shared" si="10"/>
        <v>30113.4</v>
      </c>
      <c r="Y59" s="883"/>
      <c r="Z59" s="875">
        <f t="shared" si="3"/>
        <v>0</v>
      </c>
      <c r="AA59" s="875">
        <f t="shared" si="3"/>
        <v>0</v>
      </c>
      <c r="AB59" s="875">
        <f t="shared" si="3"/>
        <v>0</v>
      </c>
      <c r="AC59" s="878"/>
    </row>
    <row r="60" spans="1:30" x14ac:dyDescent="0.2">
      <c r="A60" s="618" t="s">
        <v>1261</v>
      </c>
      <c r="B60" s="619" t="s">
        <v>747</v>
      </c>
      <c r="C60" s="620">
        <v>244</v>
      </c>
      <c r="D60" s="620">
        <v>223</v>
      </c>
      <c r="E60" s="596">
        <f>'Прилож 4 24 (4)'!U59</f>
        <v>40636.9</v>
      </c>
      <c r="F60" s="595">
        <f>'Прилож 4 24 (4)'!V59</f>
        <v>0</v>
      </c>
      <c r="G60" s="595">
        <f>'Прилож 4 24 (4)'!W59</f>
        <v>0</v>
      </c>
      <c r="H60" s="595">
        <f>'Прилож 4 24 (4)'!X59</f>
        <v>40636.9</v>
      </c>
      <c r="I60" s="628"/>
      <c r="J60" s="595">
        <f>'Прилож 4 24 (4)'!Z59</f>
        <v>0</v>
      </c>
      <c r="K60" s="595">
        <f>'Прилож 4 24 (4)'!AA59</f>
        <v>0</v>
      </c>
      <c r="L60" s="595">
        <f>'Прилож 4 24 (4)'!AB59</f>
        <v>0</v>
      </c>
      <c r="M60" s="876">
        <f t="shared" si="12"/>
        <v>0</v>
      </c>
      <c r="N60" s="875"/>
      <c r="O60" s="875"/>
      <c r="P60" s="875"/>
      <c r="Q60" s="877"/>
      <c r="R60" s="875"/>
      <c r="S60" s="875"/>
      <c r="T60" s="875"/>
      <c r="U60" s="876">
        <f t="shared" si="11"/>
        <v>40636.9</v>
      </c>
      <c r="V60" s="875">
        <f t="shared" si="9"/>
        <v>0</v>
      </c>
      <c r="W60" s="875">
        <f t="shared" si="10"/>
        <v>0</v>
      </c>
      <c r="X60" s="875">
        <f t="shared" si="10"/>
        <v>40636.9</v>
      </c>
      <c r="Y60" s="883"/>
      <c r="Z60" s="875">
        <f t="shared" si="3"/>
        <v>0</v>
      </c>
      <c r="AA60" s="875">
        <f t="shared" si="3"/>
        <v>0</v>
      </c>
      <c r="AB60" s="875">
        <f t="shared" si="3"/>
        <v>0</v>
      </c>
      <c r="AC60" s="878"/>
    </row>
    <row r="61" spans="1:30" x14ac:dyDescent="0.2">
      <c r="A61" s="618" t="s">
        <v>128</v>
      </c>
      <c r="B61" s="619" t="s">
        <v>747</v>
      </c>
      <c r="C61" s="620">
        <v>244</v>
      </c>
      <c r="D61" s="620">
        <v>223</v>
      </c>
      <c r="E61" s="596">
        <f>'Прилож 4 24 (4)'!U60</f>
        <v>75941.84</v>
      </c>
      <c r="F61" s="595">
        <f>'Прилож 4 24 (4)'!V60</f>
        <v>0</v>
      </c>
      <c r="G61" s="595">
        <f>'Прилож 4 24 (4)'!W60</f>
        <v>0</v>
      </c>
      <c r="H61" s="595">
        <f>'Прилож 4 24 (4)'!X60</f>
        <v>75941.84</v>
      </c>
      <c r="I61" s="628"/>
      <c r="J61" s="595">
        <f>'Прилож 4 24 (4)'!Z60</f>
        <v>0</v>
      </c>
      <c r="K61" s="595">
        <f>'Прилож 4 24 (4)'!AA60</f>
        <v>0</v>
      </c>
      <c r="L61" s="595">
        <f>'Прилож 4 24 (4)'!AB60</f>
        <v>0</v>
      </c>
      <c r="M61" s="876">
        <f t="shared" si="12"/>
        <v>0</v>
      </c>
      <c r="N61" s="875"/>
      <c r="O61" s="875"/>
      <c r="P61" s="875"/>
      <c r="Q61" s="877"/>
      <c r="R61" s="875"/>
      <c r="S61" s="875"/>
      <c r="T61" s="875"/>
      <c r="U61" s="876">
        <f t="shared" si="11"/>
        <v>75941.84</v>
      </c>
      <c r="V61" s="875">
        <f t="shared" si="9"/>
        <v>0</v>
      </c>
      <c r="W61" s="875">
        <f t="shared" si="10"/>
        <v>0</v>
      </c>
      <c r="X61" s="875">
        <f t="shared" si="10"/>
        <v>75941.84</v>
      </c>
      <c r="Y61" s="883"/>
      <c r="Z61" s="875">
        <f t="shared" si="3"/>
        <v>0</v>
      </c>
      <c r="AA61" s="875">
        <f t="shared" si="3"/>
        <v>0</v>
      </c>
      <c r="AB61" s="875">
        <f t="shared" si="3"/>
        <v>0</v>
      </c>
      <c r="AC61" s="878"/>
    </row>
    <row r="62" spans="1:30" x14ac:dyDescent="0.2">
      <c r="A62" s="618" t="s">
        <v>1259</v>
      </c>
      <c r="B62" s="619" t="s">
        <v>747</v>
      </c>
      <c r="C62" s="620">
        <v>244</v>
      </c>
      <c r="D62" s="620">
        <v>223</v>
      </c>
      <c r="E62" s="596">
        <f>'Прилож 4 24 (4)'!U61</f>
        <v>78343.55</v>
      </c>
      <c r="F62" s="595">
        <f>'Прилож 4 24 (4)'!V61</f>
        <v>0</v>
      </c>
      <c r="G62" s="595">
        <f>'Прилож 4 24 (4)'!W61</f>
        <v>0</v>
      </c>
      <c r="H62" s="595">
        <f>'Прилож 4 24 (4)'!X61</f>
        <v>78343.55</v>
      </c>
      <c r="I62" s="628"/>
      <c r="J62" s="595">
        <f>'Прилож 4 24 (4)'!Z61</f>
        <v>0</v>
      </c>
      <c r="K62" s="595">
        <f>'Прилож 4 24 (4)'!AA61</f>
        <v>0</v>
      </c>
      <c r="L62" s="595">
        <f>'Прилож 4 24 (4)'!AB61</f>
        <v>0</v>
      </c>
      <c r="M62" s="876">
        <f t="shared" si="12"/>
        <v>0</v>
      </c>
      <c r="N62" s="875"/>
      <c r="O62" s="875"/>
      <c r="P62" s="875"/>
      <c r="Q62" s="877"/>
      <c r="R62" s="875"/>
      <c r="S62" s="875"/>
      <c r="T62" s="875"/>
      <c r="U62" s="876">
        <f t="shared" si="11"/>
        <v>78343.55</v>
      </c>
      <c r="V62" s="875">
        <f t="shared" si="9"/>
        <v>0</v>
      </c>
      <c r="W62" s="875">
        <f t="shared" si="10"/>
        <v>0</v>
      </c>
      <c r="X62" s="875">
        <f t="shared" si="10"/>
        <v>78343.55</v>
      </c>
      <c r="Y62" s="883"/>
      <c r="Z62" s="875">
        <f t="shared" si="3"/>
        <v>0</v>
      </c>
      <c r="AA62" s="875">
        <f t="shared" si="3"/>
        <v>0</v>
      </c>
      <c r="AB62" s="875">
        <f t="shared" si="3"/>
        <v>0</v>
      </c>
      <c r="AC62" s="878"/>
    </row>
    <row r="63" spans="1:30" ht="31.5" x14ac:dyDescent="0.2">
      <c r="A63" s="618" t="s">
        <v>1238</v>
      </c>
      <c r="B63" s="619" t="s">
        <v>747</v>
      </c>
      <c r="C63" s="620">
        <v>244</v>
      </c>
      <c r="D63" s="620">
        <v>223</v>
      </c>
      <c r="E63" s="596">
        <f>'Прилож 4 24 (4)'!U62</f>
        <v>37970.92</v>
      </c>
      <c r="F63" s="595">
        <f>'Прилож 4 24 (4)'!V62</f>
        <v>0</v>
      </c>
      <c r="G63" s="595">
        <f>'Прилож 4 24 (4)'!W62</f>
        <v>0</v>
      </c>
      <c r="H63" s="595">
        <f>'Прилож 4 24 (4)'!X62</f>
        <v>37970.92</v>
      </c>
      <c r="I63" s="628"/>
      <c r="J63" s="595">
        <f>'Прилож 4 24 (4)'!Z62</f>
        <v>0</v>
      </c>
      <c r="K63" s="595">
        <f>'Прилож 4 24 (4)'!AA62</f>
        <v>0</v>
      </c>
      <c r="L63" s="595">
        <f>'Прилож 4 24 (4)'!AB62</f>
        <v>0</v>
      </c>
      <c r="M63" s="876">
        <f t="shared" si="12"/>
        <v>0</v>
      </c>
      <c r="N63" s="875"/>
      <c r="O63" s="875"/>
      <c r="P63" s="875"/>
      <c r="Q63" s="877"/>
      <c r="R63" s="875"/>
      <c r="S63" s="875"/>
      <c r="T63" s="875"/>
      <c r="U63" s="876">
        <f t="shared" si="11"/>
        <v>37970.92</v>
      </c>
      <c r="V63" s="875">
        <f t="shared" si="9"/>
        <v>0</v>
      </c>
      <c r="W63" s="875">
        <f t="shared" si="10"/>
        <v>0</v>
      </c>
      <c r="X63" s="875">
        <f t="shared" si="10"/>
        <v>37970.92</v>
      </c>
      <c r="Y63" s="883"/>
      <c r="Z63" s="875">
        <f t="shared" si="3"/>
        <v>0</v>
      </c>
      <c r="AA63" s="875">
        <f t="shared" si="3"/>
        <v>0</v>
      </c>
      <c r="AB63" s="875">
        <f t="shared" si="3"/>
        <v>0</v>
      </c>
      <c r="AC63" s="878"/>
    </row>
    <row r="64" spans="1:30" ht="31.5" x14ac:dyDescent="0.2">
      <c r="A64" s="618" t="s">
        <v>1262</v>
      </c>
      <c r="B64" s="619" t="s">
        <v>747</v>
      </c>
      <c r="C64" s="620">
        <v>244</v>
      </c>
      <c r="D64" s="620">
        <v>223</v>
      </c>
      <c r="E64" s="596">
        <f>'Прилож 4 24 (4)'!U63</f>
        <v>39171.78</v>
      </c>
      <c r="F64" s="595">
        <f>'Прилож 4 24 (4)'!V63</f>
        <v>0</v>
      </c>
      <c r="G64" s="595">
        <f>'Прилож 4 24 (4)'!W63</f>
        <v>0</v>
      </c>
      <c r="H64" s="595">
        <f>'Прилож 4 24 (4)'!X63</f>
        <v>39171.78</v>
      </c>
      <c r="I64" s="628"/>
      <c r="J64" s="595">
        <f>'Прилож 4 24 (4)'!Z63</f>
        <v>0</v>
      </c>
      <c r="K64" s="595">
        <f>'Прилож 4 24 (4)'!AA63</f>
        <v>0</v>
      </c>
      <c r="L64" s="595">
        <f>'Прилож 4 24 (4)'!AB63</f>
        <v>0</v>
      </c>
      <c r="M64" s="876">
        <f t="shared" si="12"/>
        <v>0</v>
      </c>
      <c r="N64" s="875"/>
      <c r="O64" s="875"/>
      <c r="P64" s="875"/>
      <c r="Q64" s="877"/>
      <c r="R64" s="875"/>
      <c r="S64" s="875"/>
      <c r="T64" s="875"/>
      <c r="U64" s="876">
        <f t="shared" si="11"/>
        <v>39171.78</v>
      </c>
      <c r="V64" s="875">
        <f t="shared" si="9"/>
        <v>0</v>
      </c>
      <c r="W64" s="875">
        <f t="shared" si="10"/>
        <v>0</v>
      </c>
      <c r="X64" s="875">
        <f t="shared" si="10"/>
        <v>39171.78</v>
      </c>
      <c r="Y64" s="883"/>
      <c r="Z64" s="875">
        <f t="shared" si="3"/>
        <v>0</v>
      </c>
      <c r="AA64" s="875">
        <f t="shared" si="3"/>
        <v>0</v>
      </c>
      <c r="AB64" s="875">
        <f t="shared" si="3"/>
        <v>0</v>
      </c>
      <c r="AC64" s="878"/>
    </row>
    <row r="65" spans="1:29" ht="31.5" x14ac:dyDescent="0.2">
      <c r="A65" s="618" t="s">
        <v>1140</v>
      </c>
      <c r="B65" s="619" t="s">
        <v>747</v>
      </c>
      <c r="C65" s="620">
        <v>244</v>
      </c>
      <c r="D65" s="620">
        <v>223</v>
      </c>
      <c r="E65" s="596">
        <f>'Прилож 4 24 (4)'!U64</f>
        <v>9612.2000000000007</v>
      </c>
      <c r="F65" s="595">
        <f>'Прилож 4 24 (4)'!V64</f>
        <v>0</v>
      </c>
      <c r="G65" s="595">
        <f>'Прилож 4 24 (4)'!W64</f>
        <v>0</v>
      </c>
      <c r="H65" s="595">
        <f>'Прилож 4 24 (4)'!X64</f>
        <v>9612.2000000000007</v>
      </c>
      <c r="I65" s="628"/>
      <c r="J65" s="595">
        <f>'Прилож 4 24 (4)'!Z64</f>
        <v>0</v>
      </c>
      <c r="K65" s="595">
        <f>'Прилож 4 24 (4)'!AA64</f>
        <v>0</v>
      </c>
      <c r="L65" s="595">
        <f>'Прилож 4 24 (4)'!AB64</f>
        <v>0</v>
      </c>
      <c r="M65" s="876">
        <f t="shared" si="12"/>
        <v>0</v>
      </c>
      <c r="N65" s="875"/>
      <c r="O65" s="875"/>
      <c r="P65" s="875"/>
      <c r="Q65" s="877"/>
      <c r="R65" s="875"/>
      <c r="S65" s="875"/>
      <c r="T65" s="875"/>
      <c r="U65" s="876">
        <f t="shared" si="11"/>
        <v>9612.2000000000007</v>
      </c>
      <c r="V65" s="875">
        <f t="shared" si="9"/>
        <v>0</v>
      </c>
      <c r="W65" s="875">
        <f t="shared" si="10"/>
        <v>0</v>
      </c>
      <c r="X65" s="875">
        <f t="shared" si="10"/>
        <v>9612.2000000000007</v>
      </c>
      <c r="Y65" s="883"/>
      <c r="Z65" s="875">
        <f t="shared" si="3"/>
        <v>0</v>
      </c>
      <c r="AA65" s="875">
        <f t="shared" si="3"/>
        <v>0</v>
      </c>
      <c r="AB65" s="875">
        <f t="shared" si="3"/>
        <v>0</v>
      </c>
      <c r="AC65" s="878"/>
    </row>
    <row r="66" spans="1:29" ht="48.75" customHeight="1" x14ac:dyDescent="0.2">
      <c r="A66" s="618" t="s">
        <v>1141</v>
      </c>
      <c r="B66" s="619" t="s">
        <v>747</v>
      </c>
      <c r="C66" s="620">
        <v>244</v>
      </c>
      <c r="D66" s="620">
        <v>223</v>
      </c>
      <c r="E66" s="596">
        <f>'Прилож 4 24 (4)'!U65</f>
        <v>9008.24</v>
      </c>
      <c r="F66" s="595">
        <f>'Прилож 4 24 (4)'!V65</f>
        <v>0</v>
      </c>
      <c r="G66" s="595">
        <f>'Прилож 4 24 (4)'!W65</f>
        <v>0</v>
      </c>
      <c r="H66" s="595">
        <f>'Прилож 4 24 (4)'!X65</f>
        <v>9008.24</v>
      </c>
      <c r="I66" s="628"/>
      <c r="J66" s="595">
        <f>'Прилож 4 24 (4)'!Z65</f>
        <v>0</v>
      </c>
      <c r="K66" s="595">
        <f>'Прилож 4 24 (4)'!AA65</f>
        <v>0</v>
      </c>
      <c r="L66" s="595">
        <f>'Прилож 4 24 (4)'!AB65</f>
        <v>0</v>
      </c>
      <c r="M66" s="876">
        <f t="shared" si="12"/>
        <v>0</v>
      </c>
      <c r="N66" s="875"/>
      <c r="O66" s="875"/>
      <c r="P66" s="875"/>
      <c r="Q66" s="877"/>
      <c r="R66" s="875"/>
      <c r="S66" s="875"/>
      <c r="T66" s="875"/>
      <c r="U66" s="876">
        <f t="shared" si="11"/>
        <v>9008.24</v>
      </c>
      <c r="V66" s="875">
        <f t="shared" si="9"/>
        <v>0</v>
      </c>
      <c r="W66" s="875">
        <f t="shared" si="10"/>
        <v>0</v>
      </c>
      <c r="X66" s="875">
        <f t="shared" si="10"/>
        <v>9008.24</v>
      </c>
      <c r="Y66" s="883"/>
      <c r="Z66" s="875">
        <f t="shared" si="3"/>
        <v>0</v>
      </c>
      <c r="AA66" s="875">
        <f t="shared" si="3"/>
        <v>0</v>
      </c>
      <c r="AB66" s="875">
        <f t="shared" si="3"/>
        <v>0</v>
      </c>
      <c r="AC66" s="878"/>
    </row>
    <row r="67" spans="1:29" ht="48.75" customHeight="1" x14ac:dyDescent="0.2">
      <c r="A67" s="618" t="s">
        <v>130</v>
      </c>
      <c r="B67" s="619" t="s">
        <v>747</v>
      </c>
      <c r="C67" s="620">
        <v>244</v>
      </c>
      <c r="D67" s="620">
        <v>223</v>
      </c>
      <c r="E67" s="596">
        <f>'Прилож 4 24 (4)'!U66</f>
        <v>50838.7</v>
      </c>
      <c r="F67" s="595">
        <f>'Прилож 4 24 (4)'!V66</f>
        <v>0</v>
      </c>
      <c r="G67" s="595">
        <f>'Прилож 4 24 (4)'!W66</f>
        <v>0</v>
      </c>
      <c r="H67" s="595">
        <f>'Прилож 4 24 (4)'!X66</f>
        <v>50838.7</v>
      </c>
      <c r="I67" s="628"/>
      <c r="J67" s="595">
        <f>'Прилож 4 24 (4)'!Z66</f>
        <v>0</v>
      </c>
      <c r="K67" s="595">
        <f>'Прилож 4 24 (4)'!AA66</f>
        <v>0</v>
      </c>
      <c r="L67" s="595">
        <f>'Прилож 4 24 (4)'!AB66</f>
        <v>0</v>
      </c>
      <c r="M67" s="876">
        <f t="shared" si="12"/>
        <v>0</v>
      </c>
      <c r="N67" s="875"/>
      <c r="O67" s="875"/>
      <c r="P67" s="875"/>
      <c r="Q67" s="877"/>
      <c r="R67" s="875"/>
      <c r="S67" s="875"/>
      <c r="T67" s="875"/>
      <c r="U67" s="876">
        <f t="shared" si="11"/>
        <v>50838.7</v>
      </c>
      <c r="V67" s="875">
        <f t="shared" si="9"/>
        <v>0</v>
      </c>
      <c r="W67" s="875">
        <f t="shared" si="10"/>
        <v>0</v>
      </c>
      <c r="X67" s="875">
        <f t="shared" si="10"/>
        <v>50838.7</v>
      </c>
      <c r="Y67" s="883"/>
      <c r="Z67" s="875">
        <f t="shared" si="3"/>
        <v>0</v>
      </c>
      <c r="AA67" s="875">
        <f t="shared" si="3"/>
        <v>0</v>
      </c>
      <c r="AB67" s="875">
        <f t="shared" si="3"/>
        <v>0</v>
      </c>
      <c r="AC67" s="878"/>
    </row>
    <row r="68" spans="1:29" s="637" customFormat="1" ht="16.5" customHeight="1" x14ac:dyDescent="0.2">
      <c r="A68" s="632" t="s">
        <v>1143</v>
      </c>
      <c r="B68" s="633" t="s">
        <v>747</v>
      </c>
      <c r="C68" s="634">
        <v>244</v>
      </c>
      <c r="D68" s="634">
        <v>223</v>
      </c>
      <c r="E68" s="596">
        <f>'Прилож 4 24 (4)'!U67</f>
        <v>371637.53</v>
      </c>
      <c r="F68" s="595">
        <f>'Прилож 4 24 (4)'!V67</f>
        <v>0</v>
      </c>
      <c r="G68" s="595">
        <f>'Прилож 4 24 (4)'!W67</f>
        <v>0</v>
      </c>
      <c r="H68" s="595">
        <f>'Прилож 4 24 (4)'!X67</f>
        <v>371637.53</v>
      </c>
      <c r="I68" s="639"/>
      <c r="J68" s="595">
        <f>'Прилож 4 24 (4)'!Z67</f>
        <v>0</v>
      </c>
      <c r="K68" s="595">
        <f>'Прилож 4 24 (4)'!AA67</f>
        <v>0</v>
      </c>
      <c r="L68" s="595">
        <f>'Прилож 4 24 (4)'!AB67</f>
        <v>0</v>
      </c>
      <c r="M68" s="876">
        <f t="shared" si="12"/>
        <v>0</v>
      </c>
      <c r="N68" s="887"/>
      <c r="O68" s="887"/>
      <c r="P68" s="887"/>
      <c r="Q68" s="888"/>
      <c r="R68" s="887"/>
      <c r="S68" s="887"/>
      <c r="T68" s="887"/>
      <c r="U68" s="876">
        <f t="shared" si="11"/>
        <v>371637.53</v>
      </c>
      <c r="V68" s="875">
        <f t="shared" si="9"/>
        <v>0</v>
      </c>
      <c r="W68" s="875">
        <f t="shared" si="10"/>
        <v>0</v>
      </c>
      <c r="X68" s="875">
        <f t="shared" si="10"/>
        <v>371637.53</v>
      </c>
      <c r="Y68" s="889"/>
      <c r="Z68" s="875">
        <f t="shared" si="3"/>
        <v>0</v>
      </c>
      <c r="AA68" s="875">
        <f t="shared" si="3"/>
        <v>0</v>
      </c>
      <c r="AB68" s="875">
        <f t="shared" si="3"/>
        <v>0</v>
      </c>
      <c r="AC68" s="886"/>
    </row>
    <row r="69" spans="1:29" x14ac:dyDescent="0.2">
      <c r="A69" s="618" t="s">
        <v>126</v>
      </c>
      <c r="B69" s="619" t="s">
        <v>729</v>
      </c>
      <c r="C69" s="620">
        <v>244</v>
      </c>
      <c r="D69" s="620">
        <v>223</v>
      </c>
      <c r="E69" s="596">
        <f>'Прилож 4 24 (4)'!U68</f>
        <v>17818.059999999998</v>
      </c>
      <c r="F69" s="595">
        <f>'Прилож 4 24 (4)'!V68</f>
        <v>0</v>
      </c>
      <c r="G69" s="595">
        <f>'Прилож 4 24 (4)'!W68</f>
        <v>0</v>
      </c>
      <c r="H69" s="595">
        <f>'Прилож 4 24 (4)'!X68</f>
        <v>9511.2999999999993</v>
      </c>
      <c r="I69" s="628"/>
      <c r="J69" s="595">
        <f>'Прилож 4 24 (4)'!Z68</f>
        <v>0</v>
      </c>
      <c r="K69" s="595">
        <f>'Прилож 4 24 (4)'!AA68</f>
        <v>0</v>
      </c>
      <c r="L69" s="595">
        <f>'Прилож 4 24 (4)'!AB68</f>
        <v>8306.76</v>
      </c>
      <c r="M69" s="876">
        <f t="shared" si="12"/>
        <v>0</v>
      </c>
      <c r="N69" s="875"/>
      <c r="O69" s="875"/>
      <c r="P69" s="875"/>
      <c r="Q69" s="877"/>
      <c r="R69" s="875"/>
      <c r="S69" s="875"/>
      <c r="T69" s="875"/>
      <c r="U69" s="876">
        <f t="shared" si="11"/>
        <v>17818.059999999998</v>
      </c>
      <c r="V69" s="875">
        <f t="shared" si="9"/>
        <v>0</v>
      </c>
      <c r="W69" s="875">
        <f t="shared" si="10"/>
        <v>0</v>
      </c>
      <c r="X69" s="875">
        <f t="shared" si="10"/>
        <v>9511.2999999999993</v>
      </c>
      <c r="Y69" s="883"/>
      <c r="Z69" s="875">
        <f t="shared" si="3"/>
        <v>0</v>
      </c>
      <c r="AA69" s="875">
        <f t="shared" si="3"/>
        <v>0</v>
      </c>
      <c r="AB69" s="875">
        <f t="shared" si="3"/>
        <v>8306.76</v>
      </c>
      <c r="AC69" s="878"/>
    </row>
    <row r="70" spans="1:29" x14ac:dyDescent="0.2">
      <c r="A70" s="618" t="s">
        <v>127</v>
      </c>
      <c r="B70" s="619" t="s">
        <v>729</v>
      </c>
      <c r="C70" s="620">
        <v>244</v>
      </c>
      <c r="D70" s="620">
        <v>223</v>
      </c>
      <c r="E70" s="596">
        <f>'Прилож 4 24 (4)'!U69</f>
        <v>10576.599999999999</v>
      </c>
      <c r="F70" s="595">
        <f>'Прилож 4 24 (4)'!V69</f>
        <v>0</v>
      </c>
      <c r="G70" s="595">
        <f>'Прилож 4 24 (4)'!W69</f>
        <v>0</v>
      </c>
      <c r="H70" s="595">
        <f>'Прилож 4 24 (4)'!X69</f>
        <v>4191.91</v>
      </c>
      <c r="I70" s="628"/>
      <c r="J70" s="595">
        <f>'Прилож 4 24 (4)'!Z69</f>
        <v>0</v>
      </c>
      <c r="K70" s="595">
        <f>'Прилож 4 24 (4)'!AA69</f>
        <v>0</v>
      </c>
      <c r="L70" s="595">
        <f>'Прилож 4 24 (4)'!AB69</f>
        <v>6384.69</v>
      </c>
      <c r="M70" s="876">
        <f t="shared" si="12"/>
        <v>0</v>
      </c>
      <c r="N70" s="875"/>
      <c r="O70" s="875"/>
      <c r="P70" s="875"/>
      <c r="Q70" s="877"/>
      <c r="R70" s="875"/>
      <c r="S70" s="875"/>
      <c r="T70" s="875"/>
      <c r="U70" s="876">
        <f t="shared" si="11"/>
        <v>10576.599999999999</v>
      </c>
      <c r="V70" s="875">
        <f t="shared" si="9"/>
        <v>0</v>
      </c>
      <c r="W70" s="875">
        <f t="shared" si="10"/>
        <v>0</v>
      </c>
      <c r="X70" s="875">
        <f t="shared" si="10"/>
        <v>4191.91</v>
      </c>
      <c r="Y70" s="883"/>
      <c r="Z70" s="875">
        <f t="shared" si="3"/>
        <v>0</v>
      </c>
      <c r="AA70" s="875">
        <f t="shared" si="3"/>
        <v>0</v>
      </c>
      <c r="AB70" s="875">
        <f t="shared" si="3"/>
        <v>6384.69</v>
      </c>
      <c r="AC70" s="878"/>
    </row>
    <row r="71" spans="1:29" x14ac:dyDescent="0.2">
      <c r="A71" s="618" t="s">
        <v>128</v>
      </c>
      <c r="B71" s="619" t="s">
        <v>729</v>
      </c>
      <c r="C71" s="620">
        <v>244</v>
      </c>
      <c r="D71" s="620">
        <v>223</v>
      </c>
      <c r="E71" s="596">
        <f>'Прилож 4 24 (4)'!U70</f>
        <v>36541.259999999995</v>
      </c>
      <c r="F71" s="595">
        <f>'Прилож 4 24 (4)'!V70</f>
        <v>0</v>
      </c>
      <c r="G71" s="595">
        <f>'Прилож 4 24 (4)'!W70</f>
        <v>0</v>
      </c>
      <c r="H71" s="595">
        <f>'Прилож 4 24 (4)'!X70</f>
        <v>19267.8</v>
      </c>
      <c r="I71" s="628"/>
      <c r="J71" s="595">
        <f>'Прилож 4 24 (4)'!Z70</f>
        <v>0</v>
      </c>
      <c r="K71" s="595">
        <f>'Прилож 4 24 (4)'!AA70</f>
        <v>0</v>
      </c>
      <c r="L71" s="595">
        <f>'Прилож 4 24 (4)'!AB70</f>
        <v>17273.46</v>
      </c>
      <c r="M71" s="876">
        <f t="shared" si="12"/>
        <v>0</v>
      </c>
      <c r="N71" s="875"/>
      <c r="O71" s="875"/>
      <c r="P71" s="875"/>
      <c r="Q71" s="877"/>
      <c r="R71" s="875"/>
      <c r="S71" s="875"/>
      <c r="T71" s="875"/>
      <c r="U71" s="876">
        <f t="shared" si="11"/>
        <v>36541.259999999995</v>
      </c>
      <c r="V71" s="875">
        <f t="shared" si="9"/>
        <v>0</v>
      </c>
      <c r="W71" s="875">
        <f t="shared" si="10"/>
        <v>0</v>
      </c>
      <c r="X71" s="875">
        <f t="shared" si="10"/>
        <v>19267.8</v>
      </c>
      <c r="Y71" s="883"/>
      <c r="Z71" s="875">
        <f t="shared" si="3"/>
        <v>0</v>
      </c>
      <c r="AA71" s="875">
        <f t="shared" si="3"/>
        <v>0</v>
      </c>
      <c r="AB71" s="875">
        <f t="shared" si="3"/>
        <v>17273.46</v>
      </c>
      <c r="AC71" s="878"/>
    </row>
    <row r="72" spans="1:29" x14ac:dyDescent="0.2">
      <c r="A72" s="618" t="s">
        <v>129</v>
      </c>
      <c r="B72" s="619" t="s">
        <v>729</v>
      </c>
      <c r="C72" s="620">
        <v>244</v>
      </c>
      <c r="D72" s="620">
        <v>223</v>
      </c>
      <c r="E72" s="596">
        <f>'Прилож 4 24 (4)'!U71</f>
        <v>26001.4</v>
      </c>
      <c r="F72" s="595">
        <f>'Прилож 4 24 (4)'!V71</f>
        <v>0</v>
      </c>
      <c r="G72" s="595">
        <f>'Прилож 4 24 (4)'!W71</f>
        <v>0</v>
      </c>
      <c r="H72" s="595">
        <f>'Прилож 4 24 (4)'!X71</f>
        <v>12829.48</v>
      </c>
      <c r="I72" s="628"/>
      <c r="J72" s="595">
        <f>'Прилож 4 24 (4)'!Z71</f>
        <v>0</v>
      </c>
      <c r="K72" s="595">
        <f>'Прилож 4 24 (4)'!AA71</f>
        <v>0</v>
      </c>
      <c r="L72" s="595">
        <f>'Прилож 4 24 (4)'!AB71</f>
        <v>13171.92</v>
      </c>
      <c r="M72" s="876">
        <f t="shared" si="12"/>
        <v>0</v>
      </c>
      <c r="N72" s="875"/>
      <c r="O72" s="875"/>
      <c r="P72" s="875"/>
      <c r="Q72" s="877"/>
      <c r="R72" s="875"/>
      <c r="S72" s="875"/>
      <c r="T72" s="875"/>
      <c r="U72" s="876">
        <f t="shared" si="11"/>
        <v>26001.4</v>
      </c>
      <c r="V72" s="875">
        <f t="shared" si="9"/>
        <v>0</v>
      </c>
      <c r="W72" s="875">
        <f t="shared" si="10"/>
        <v>0</v>
      </c>
      <c r="X72" s="875">
        <f t="shared" si="10"/>
        <v>12829.48</v>
      </c>
      <c r="Y72" s="883"/>
      <c r="Z72" s="875">
        <f t="shared" si="3"/>
        <v>0</v>
      </c>
      <c r="AA72" s="875">
        <f t="shared" si="3"/>
        <v>0</v>
      </c>
      <c r="AB72" s="875">
        <f t="shared" si="3"/>
        <v>13171.92</v>
      </c>
      <c r="AC72" s="878"/>
    </row>
    <row r="73" spans="1:29" ht="31.5" x14ac:dyDescent="0.2">
      <c r="A73" s="618" t="s">
        <v>1238</v>
      </c>
      <c r="B73" s="619" t="s">
        <v>729</v>
      </c>
      <c r="C73" s="620">
        <v>244</v>
      </c>
      <c r="D73" s="620">
        <v>223</v>
      </c>
      <c r="E73" s="596">
        <f>'Прилож 4 24 (4)'!U72</f>
        <v>18270.629999999997</v>
      </c>
      <c r="F73" s="595">
        <f>'Прилож 4 24 (4)'!V72</f>
        <v>0</v>
      </c>
      <c r="G73" s="595">
        <f>'Прилож 4 24 (4)'!W72</f>
        <v>0</v>
      </c>
      <c r="H73" s="595">
        <f>'Прилож 4 24 (4)'!X72</f>
        <v>9633.9</v>
      </c>
      <c r="I73" s="628"/>
      <c r="J73" s="595">
        <f>'Прилож 4 24 (4)'!Z72</f>
        <v>0</v>
      </c>
      <c r="K73" s="595">
        <f>'Прилож 4 24 (4)'!AA72</f>
        <v>0</v>
      </c>
      <c r="L73" s="595">
        <f>'Прилож 4 24 (4)'!AB72</f>
        <v>8636.73</v>
      </c>
      <c r="M73" s="876">
        <f t="shared" si="12"/>
        <v>0</v>
      </c>
      <c r="N73" s="875"/>
      <c r="O73" s="875"/>
      <c r="P73" s="875"/>
      <c r="Q73" s="877"/>
      <c r="R73" s="875"/>
      <c r="S73" s="875"/>
      <c r="T73" s="875"/>
      <c r="U73" s="876">
        <f t="shared" si="11"/>
        <v>18270.629999999997</v>
      </c>
      <c r="V73" s="875">
        <f t="shared" si="9"/>
        <v>0</v>
      </c>
      <c r="W73" s="875">
        <f t="shared" si="10"/>
        <v>0</v>
      </c>
      <c r="X73" s="875">
        <f t="shared" si="10"/>
        <v>9633.9</v>
      </c>
      <c r="Y73" s="883"/>
      <c r="Z73" s="875">
        <f t="shared" si="3"/>
        <v>0</v>
      </c>
      <c r="AA73" s="875">
        <f t="shared" si="3"/>
        <v>0</v>
      </c>
      <c r="AB73" s="875">
        <f t="shared" si="3"/>
        <v>8636.73</v>
      </c>
      <c r="AC73" s="878"/>
    </row>
    <row r="74" spans="1:29" ht="31.5" x14ac:dyDescent="0.2">
      <c r="A74" s="618" t="s">
        <v>1239</v>
      </c>
      <c r="B74" s="619" t="s">
        <v>729</v>
      </c>
      <c r="C74" s="620">
        <v>244</v>
      </c>
      <c r="D74" s="620">
        <v>223</v>
      </c>
      <c r="E74" s="596">
        <f>'Прилож 4 24 (4)'!U73</f>
        <v>13000.7</v>
      </c>
      <c r="F74" s="595">
        <f>'Прилож 4 24 (4)'!V73</f>
        <v>0</v>
      </c>
      <c r="G74" s="595">
        <f>'Прилож 4 24 (4)'!W73</f>
        <v>0</v>
      </c>
      <c r="H74" s="595">
        <f>'Прилож 4 24 (4)'!X73</f>
        <v>6414.74</v>
      </c>
      <c r="I74" s="628"/>
      <c r="J74" s="595">
        <f>'Прилож 4 24 (4)'!Z73</f>
        <v>0</v>
      </c>
      <c r="K74" s="595">
        <f>'Прилож 4 24 (4)'!AA73</f>
        <v>0</v>
      </c>
      <c r="L74" s="595">
        <f>'Прилож 4 24 (4)'!AB73</f>
        <v>6585.96</v>
      </c>
      <c r="M74" s="876">
        <f t="shared" si="12"/>
        <v>0</v>
      </c>
      <c r="N74" s="875"/>
      <c r="O74" s="875"/>
      <c r="P74" s="875"/>
      <c r="Q74" s="877"/>
      <c r="R74" s="875"/>
      <c r="S74" s="875"/>
      <c r="T74" s="875"/>
      <c r="U74" s="876">
        <f t="shared" si="11"/>
        <v>13000.7</v>
      </c>
      <c r="V74" s="875">
        <f t="shared" si="9"/>
        <v>0</v>
      </c>
      <c r="W74" s="875">
        <f t="shared" si="10"/>
        <v>0</v>
      </c>
      <c r="X74" s="875">
        <f t="shared" si="10"/>
        <v>6414.74</v>
      </c>
      <c r="Y74" s="883"/>
      <c r="Z74" s="875">
        <f t="shared" si="3"/>
        <v>0</v>
      </c>
      <c r="AA74" s="875">
        <f t="shared" si="3"/>
        <v>0</v>
      </c>
      <c r="AB74" s="875">
        <f t="shared" si="3"/>
        <v>6585.96</v>
      </c>
      <c r="AC74" s="878"/>
    </row>
    <row r="75" spans="1:29" ht="31.5" x14ac:dyDescent="0.2">
      <c r="A75" s="618" t="s">
        <v>1140</v>
      </c>
      <c r="B75" s="619" t="s">
        <v>729</v>
      </c>
      <c r="C75" s="620">
        <v>244</v>
      </c>
      <c r="D75" s="620">
        <v>223</v>
      </c>
      <c r="E75" s="596">
        <f>'Прилож 4 24 (4)'!U74</f>
        <v>30788.12</v>
      </c>
      <c r="F75" s="595">
        <f>'Прилож 4 24 (4)'!V74</f>
        <v>0</v>
      </c>
      <c r="G75" s="595">
        <f>'Прилож 4 24 (4)'!W74</f>
        <v>0</v>
      </c>
      <c r="H75" s="595">
        <f>'Прилож 4 24 (4)'!X74</f>
        <v>30788.12</v>
      </c>
      <c r="I75" s="628"/>
      <c r="J75" s="595">
        <f>'Прилож 4 24 (4)'!Z74</f>
        <v>0</v>
      </c>
      <c r="K75" s="595">
        <f>'Прилож 4 24 (4)'!AA74</f>
        <v>0</v>
      </c>
      <c r="L75" s="595">
        <f>'Прилож 4 24 (4)'!AB74</f>
        <v>0</v>
      </c>
      <c r="M75" s="876">
        <f t="shared" si="12"/>
        <v>0</v>
      </c>
      <c r="N75" s="875"/>
      <c r="O75" s="875"/>
      <c r="P75" s="875"/>
      <c r="Q75" s="877"/>
      <c r="R75" s="875"/>
      <c r="S75" s="875"/>
      <c r="T75" s="875"/>
      <c r="U75" s="876">
        <f t="shared" si="11"/>
        <v>30788.12</v>
      </c>
      <c r="V75" s="875">
        <f t="shared" si="9"/>
        <v>0</v>
      </c>
      <c r="W75" s="875">
        <f t="shared" si="10"/>
        <v>0</v>
      </c>
      <c r="X75" s="875">
        <f t="shared" si="10"/>
        <v>30788.12</v>
      </c>
      <c r="Y75" s="883"/>
      <c r="Z75" s="875">
        <f t="shared" si="3"/>
        <v>0</v>
      </c>
      <c r="AA75" s="875">
        <f t="shared" si="3"/>
        <v>0</v>
      </c>
      <c r="AB75" s="875">
        <f t="shared" si="3"/>
        <v>0</v>
      </c>
      <c r="AC75" s="878"/>
    </row>
    <row r="76" spans="1:29" ht="31.5" x14ac:dyDescent="0.2">
      <c r="A76" s="618" t="s">
        <v>1141</v>
      </c>
      <c r="B76" s="619" t="s">
        <v>729</v>
      </c>
      <c r="C76" s="620">
        <v>244</v>
      </c>
      <c r="D76" s="620">
        <v>223</v>
      </c>
      <c r="E76" s="596">
        <f>'Прилож 4 24 (4)'!U75</f>
        <v>28826.37</v>
      </c>
      <c r="F76" s="595">
        <f>'Прилож 4 24 (4)'!V75</f>
        <v>0</v>
      </c>
      <c r="G76" s="595">
        <f>'Прилож 4 24 (4)'!W75</f>
        <v>0</v>
      </c>
      <c r="H76" s="595">
        <f>'Прилож 4 24 (4)'!X75</f>
        <v>28826.37</v>
      </c>
      <c r="I76" s="628"/>
      <c r="J76" s="595">
        <f>'Прилож 4 24 (4)'!Z75</f>
        <v>0</v>
      </c>
      <c r="K76" s="595">
        <f>'Прилож 4 24 (4)'!AA75</f>
        <v>0</v>
      </c>
      <c r="L76" s="595">
        <f>'Прилож 4 24 (4)'!AB75</f>
        <v>0</v>
      </c>
      <c r="M76" s="876">
        <f t="shared" si="12"/>
        <v>0</v>
      </c>
      <c r="N76" s="875"/>
      <c r="O76" s="875"/>
      <c r="P76" s="875"/>
      <c r="Q76" s="877"/>
      <c r="R76" s="875"/>
      <c r="S76" s="875"/>
      <c r="T76" s="875"/>
      <c r="U76" s="876">
        <f t="shared" si="11"/>
        <v>28826.37</v>
      </c>
      <c r="V76" s="875">
        <f t="shared" si="9"/>
        <v>0</v>
      </c>
      <c r="W76" s="875">
        <f t="shared" si="10"/>
        <v>0</v>
      </c>
      <c r="X76" s="875">
        <f t="shared" si="10"/>
        <v>28826.37</v>
      </c>
      <c r="Y76" s="883"/>
      <c r="Z76" s="875">
        <f t="shared" si="3"/>
        <v>0</v>
      </c>
      <c r="AA76" s="875">
        <f t="shared" si="3"/>
        <v>0</v>
      </c>
      <c r="AB76" s="875">
        <f t="shared" si="3"/>
        <v>0</v>
      </c>
      <c r="AC76" s="878"/>
    </row>
    <row r="77" spans="1:29" ht="44.25" customHeight="1" x14ac:dyDescent="0.2">
      <c r="A77" s="618" t="s">
        <v>130</v>
      </c>
      <c r="B77" s="619" t="s">
        <v>729</v>
      </c>
      <c r="C77" s="620">
        <v>244</v>
      </c>
      <c r="D77" s="620">
        <v>223</v>
      </c>
      <c r="E77" s="596">
        <f>'Прилож 4 24 (4)'!U76</f>
        <v>38000</v>
      </c>
      <c r="F77" s="595">
        <f>'Прилож 4 24 (4)'!V76</f>
        <v>0</v>
      </c>
      <c r="G77" s="595">
        <f>'Прилож 4 24 (4)'!W76</f>
        <v>0</v>
      </c>
      <c r="H77" s="595">
        <f>'Прилож 4 24 (4)'!X76</f>
        <v>38000</v>
      </c>
      <c r="I77" s="628"/>
      <c r="J77" s="595">
        <f>'Прилож 4 24 (4)'!Z76</f>
        <v>0</v>
      </c>
      <c r="K77" s="595">
        <f>'Прилож 4 24 (4)'!AA76</f>
        <v>0</v>
      </c>
      <c r="L77" s="595">
        <f>'Прилож 4 24 (4)'!AB76</f>
        <v>0</v>
      </c>
      <c r="M77" s="876">
        <f t="shared" si="12"/>
        <v>13300</v>
      </c>
      <c r="N77" s="875"/>
      <c r="O77" s="875"/>
      <c r="P77" s="875">
        <v>13300</v>
      </c>
      <c r="Q77" s="877"/>
      <c r="R77" s="875"/>
      <c r="S77" s="875"/>
      <c r="T77" s="875"/>
      <c r="U77" s="876">
        <f t="shared" si="11"/>
        <v>51300</v>
      </c>
      <c r="V77" s="875">
        <f t="shared" si="9"/>
        <v>0</v>
      </c>
      <c r="W77" s="875">
        <f t="shared" si="10"/>
        <v>0</v>
      </c>
      <c r="X77" s="875">
        <f t="shared" si="10"/>
        <v>51300</v>
      </c>
      <c r="Y77" s="883"/>
      <c r="Z77" s="875">
        <f t="shared" si="3"/>
        <v>0</v>
      </c>
      <c r="AA77" s="875">
        <f t="shared" si="3"/>
        <v>0</v>
      </c>
      <c r="AB77" s="875">
        <f t="shared" si="3"/>
        <v>0</v>
      </c>
      <c r="AC77" s="878" t="s">
        <v>1449</v>
      </c>
    </row>
    <row r="78" spans="1:29" s="637" customFormat="1" ht="35.25" customHeight="1" x14ac:dyDescent="0.2">
      <c r="A78" s="632" t="s">
        <v>1143</v>
      </c>
      <c r="B78" s="633" t="s">
        <v>729</v>
      </c>
      <c r="C78" s="634">
        <v>244</v>
      </c>
      <c r="D78" s="634">
        <v>223</v>
      </c>
      <c r="E78" s="596">
        <f>'Прилож 4 24 (4)'!U77</f>
        <v>219823.13999999998</v>
      </c>
      <c r="F78" s="595">
        <f>'Прилож 4 24 (4)'!V77</f>
        <v>0</v>
      </c>
      <c r="G78" s="595">
        <f>'Прилож 4 24 (4)'!W77</f>
        <v>0</v>
      </c>
      <c r="H78" s="595">
        <f>'Прилож 4 24 (4)'!X77</f>
        <v>159463.62</v>
      </c>
      <c r="I78" s="635"/>
      <c r="J78" s="595">
        <f>'Прилож 4 24 (4)'!Z77</f>
        <v>0</v>
      </c>
      <c r="K78" s="595">
        <f>'Прилож 4 24 (4)'!AA77</f>
        <v>0</v>
      </c>
      <c r="L78" s="595">
        <f>'Прилож 4 24 (4)'!AB77</f>
        <v>60359.519999999997</v>
      </c>
      <c r="M78" s="876">
        <f t="shared" si="12"/>
        <v>13300</v>
      </c>
      <c r="N78" s="884"/>
      <c r="O78" s="884"/>
      <c r="P78" s="884">
        <f>SUM(P69:P77)</f>
        <v>13300</v>
      </c>
      <c r="Q78" s="885"/>
      <c r="R78" s="884"/>
      <c r="S78" s="884"/>
      <c r="T78" s="884">
        <f>SUM(T69:T77)</f>
        <v>0</v>
      </c>
      <c r="U78" s="876">
        <f t="shared" si="11"/>
        <v>233123.13999999998</v>
      </c>
      <c r="V78" s="875">
        <f t="shared" si="9"/>
        <v>0</v>
      </c>
      <c r="W78" s="875">
        <f t="shared" si="10"/>
        <v>0</v>
      </c>
      <c r="X78" s="875">
        <f t="shared" si="10"/>
        <v>172763.62</v>
      </c>
      <c r="Y78" s="885"/>
      <c r="Z78" s="875">
        <f t="shared" si="3"/>
        <v>0</v>
      </c>
      <c r="AA78" s="875">
        <f t="shared" si="3"/>
        <v>0</v>
      </c>
      <c r="AB78" s="875">
        <f t="shared" si="3"/>
        <v>60359.519999999997</v>
      </c>
      <c r="AC78" s="878"/>
    </row>
    <row r="79" spans="1:29" s="614" customFormat="1" x14ac:dyDescent="0.2">
      <c r="A79" s="630" t="s">
        <v>736</v>
      </c>
      <c r="B79" s="631"/>
      <c r="C79" s="624"/>
      <c r="D79" s="624"/>
      <c r="E79" s="596">
        <f>'Прилож 4 24 (4)'!U78</f>
        <v>591460.67000000004</v>
      </c>
      <c r="F79" s="595">
        <f>'Прилож 4 24 (4)'!V78</f>
        <v>0</v>
      </c>
      <c r="G79" s="595">
        <f>'Прилож 4 24 (4)'!W78</f>
        <v>0</v>
      </c>
      <c r="H79" s="595">
        <f>'Прилож 4 24 (4)'!X78</f>
        <v>531101.15</v>
      </c>
      <c r="I79" s="626"/>
      <c r="J79" s="595">
        <f>'Прилож 4 24 (4)'!Z78</f>
        <v>0</v>
      </c>
      <c r="K79" s="595">
        <f>'Прилож 4 24 (4)'!AA78</f>
        <v>0</v>
      </c>
      <c r="L79" s="595">
        <f>'Прилож 4 24 (4)'!AB78</f>
        <v>60359.519999999997</v>
      </c>
      <c r="M79" s="876">
        <f t="shared" si="12"/>
        <v>13300</v>
      </c>
      <c r="N79" s="876"/>
      <c r="O79" s="876"/>
      <c r="P79" s="876">
        <f>P78+P68</f>
        <v>13300</v>
      </c>
      <c r="Q79" s="881"/>
      <c r="R79" s="876"/>
      <c r="S79" s="876"/>
      <c r="T79" s="876">
        <f>T68+T78</f>
        <v>0</v>
      </c>
      <c r="U79" s="876">
        <f t="shared" si="11"/>
        <v>604760.67000000004</v>
      </c>
      <c r="V79" s="875">
        <f t="shared" si="9"/>
        <v>0</v>
      </c>
      <c r="W79" s="875">
        <f t="shared" si="10"/>
        <v>0</v>
      </c>
      <c r="X79" s="875">
        <f t="shared" si="10"/>
        <v>544401.15</v>
      </c>
      <c r="Y79" s="881"/>
      <c r="Z79" s="875">
        <f t="shared" ref="Z79:AB144" si="15">R79+J79</f>
        <v>0</v>
      </c>
      <c r="AA79" s="875">
        <f t="shared" si="15"/>
        <v>0</v>
      </c>
      <c r="AB79" s="875">
        <f t="shared" si="15"/>
        <v>60359.519999999997</v>
      </c>
      <c r="AC79" s="878"/>
    </row>
    <row r="80" spans="1:29" x14ac:dyDescent="0.2">
      <c r="A80" s="618" t="s">
        <v>131</v>
      </c>
      <c r="B80" s="619" t="s">
        <v>747</v>
      </c>
      <c r="C80" s="620">
        <v>247</v>
      </c>
      <c r="D80" s="620">
        <v>223</v>
      </c>
      <c r="E80" s="596">
        <f>'Прилож 4 24 (4)'!U79</f>
        <v>546600</v>
      </c>
      <c r="F80" s="595">
        <f>'Прилож 4 24 (4)'!V79</f>
        <v>0</v>
      </c>
      <c r="G80" s="595">
        <f>'Прилож 4 24 (4)'!W79</f>
        <v>0</v>
      </c>
      <c r="H80" s="595">
        <f>'Прилож 4 24 (4)'!X79</f>
        <v>546600</v>
      </c>
      <c r="I80" s="621"/>
      <c r="J80" s="595">
        <f>'Прилож 4 24 (4)'!Z79</f>
        <v>0</v>
      </c>
      <c r="K80" s="595">
        <f>'Прилож 4 24 (4)'!AA79</f>
        <v>0</v>
      </c>
      <c r="L80" s="595">
        <f>'Прилож 4 24 (4)'!AB79</f>
        <v>0</v>
      </c>
      <c r="M80" s="876">
        <f t="shared" si="12"/>
        <v>0</v>
      </c>
      <c r="N80" s="875"/>
      <c r="O80" s="875"/>
      <c r="P80" s="875"/>
      <c r="Q80" s="877"/>
      <c r="R80" s="875"/>
      <c r="S80" s="875"/>
      <c r="T80" s="875"/>
      <c r="U80" s="876">
        <f t="shared" si="11"/>
        <v>546600</v>
      </c>
      <c r="V80" s="875">
        <f t="shared" si="9"/>
        <v>0</v>
      </c>
      <c r="W80" s="875">
        <f t="shared" si="10"/>
        <v>0</v>
      </c>
      <c r="X80" s="875">
        <f t="shared" si="10"/>
        <v>546600</v>
      </c>
      <c r="Y80" s="877"/>
      <c r="Z80" s="875">
        <f t="shared" si="15"/>
        <v>0</v>
      </c>
      <c r="AA80" s="875">
        <f t="shared" si="15"/>
        <v>0</v>
      </c>
      <c r="AB80" s="875">
        <f t="shared" si="15"/>
        <v>0</v>
      </c>
      <c r="AC80" s="878"/>
    </row>
    <row r="81" spans="1:29" ht="16.5" customHeight="1" x14ac:dyDescent="0.2">
      <c r="A81" s="618" t="s">
        <v>133</v>
      </c>
      <c r="B81" s="619" t="s">
        <v>747</v>
      </c>
      <c r="C81" s="620">
        <v>247</v>
      </c>
      <c r="D81" s="620">
        <v>223</v>
      </c>
      <c r="E81" s="596">
        <f>'Прилож 4 24 (4)'!U80</f>
        <v>465510.83</v>
      </c>
      <c r="F81" s="595">
        <f>'Прилож 4 24 (4)'!V80</f>
        <v>0</v>
      </c>
      <c r="G81" s="595">
        <f>'Прилож 4 24 (4)'!W80</f>
        <v>0</v>
      </c>
      <c r="H81" s="595">
        <f>'Прилож 4 24 (4)'!X80</f>
        <v>465510.83</v>
      </c>
      <c r="I81" s="621"/>
      <c r="J81" s="595">
        <f>'Прилож 4 24 (4)'!Z80</f>
        <v>0</v>
      </c>
      <c r="K81" s="595">
        <f>'Прилож 4 24 (4)'!AA80</f>
        <v>0</v>
      </c>
      <c r="L81" s="595">
        <f>'Прилож 4 24 (4)'!AB80</f>
        <v>0</v>
      </c>
      <c r="M81" s="876">
        <f t="shared" si="12"/>
        <v>0</v>
      </c>
      <c r="N81" s="875"/>
      <c r="O81" s="875"/>
      <c r="P81" s="875"/>
      <c r="Q81" s="877"/>
      <c r="R81" s="875"/>
      <c r="S81" s="875"/>
      <c r="T81" s="875"/>
      <c r="U81" s="876">
        <f t="shared" si="11"/>
        <v>465510.83</v>
      </c>
      <c r="V81" s="875">
        <f t="shared" si="9"/>
        <v>0</v>
      </c>
      <c r="W81" s="875">
        <f t="shared" si="10"/>
        <v>0</v>
      </c>
      <c r="X81" s="875">
        <f t="shared" si="10"/>
        <v>465510.83</v>
      </c>
      <c r="Y81" s="877"/>
      <c r="Z81" s="875">
        <f t="shared" si="15"/>
        <v>0</v>
      </c>
      <c r="AA81" s="875">
        <f t="shared" si="15"/>
        <v>0</v>
      </c>
      <c r="AB81" s="875">
        <f t="shared" si="15"/>
        <v>0</v>
      </c>
      <c r="AC81" s="878"/>
    </row>
    <row r="82" spans="1:29" ht="16.5" customHeight="1" x14ac:dyDescent="0.2">
      <c r="A82" s="618" t="s">
        <v>1260</v>
      </c>
      <c r="B82" s="619" t="s">
        <v>747</v>
      </c>
      <c r="C82" s="620">
        <v>247</v>
      </c>
      <c r="D82" s="620">
        <v>223</v>
      </c>
      <c r="E82" s="596">
        <f>'Прилож 4 24 (4)'!U81</f>
        <v>318968.24</v>
      </c>
      <c r="F82" s="595">
        <f>'Прилож 4 24 (4)'!V81</f>
        <v>0</v>
      </c>
      <c r="G82" s="595">
        <f>'Прилож 4 24 (4)'!W81</f>
        <v>0</v>
      </c>
      <c r="H82" s="595">
        <f>'Прилож 4 24 (4)'!X81</f>
        <v>318968.24</v>
      </c>
      <c r="I82" s="621"/>
      <c r="J82" s="595">
        <f>'Прилож 4 24 (4)'!Z81</f>
        <v>0</v>
      </c>
      <c r="K82" s="595">
        <f>'Прилож 4 24 (4)'!AA81</f>
        <v>0</v>
      </c>
      <c r="L82" s="595">
        <f>'Прилож 4 24 (4)'!AB81</f>
        <v>0</v>
      </c>
      <c r="M82" s="876">
        <f t="shared" si="12"/>
        <v>0</v>
      </c>
      <c r="N82" s="875"/>
      <c r="O82" s="875"/>
      <c r="P82" s="875"/>
      <c r="Q82" s="877"/>
      <c r="R82" s="875"/>
      <c r="S82" s="875"/>
      <c r="T82" s="875"/>
      <c r="U82" s="876">
        <f t="shared" si="11"/>
        <v>318968.24</v>
      </c>
      <c r="V82" s="875">
        <f t="shared" si="9"/>
        <v>0</v>
      </c>
      <c r="W82" s="875">
        <f t="shared" si="10"/>
        <v>0</v>
      </c>
      <c r="X82" s="875">
        <f t="shared" si="10"/>
        <v>318968.24</v>
      </c>
      <c r="Y82" s="877"/>
      <c r="Z82" s="875">
        <f t="shared" si="15"/>
        <v>0</v>
      </c>
      <c r="AA82" s="875">
        <f t="shared" si="15"/>
        <v>0</v>
      </c>
      <c r="AB82" s="875">
        <f t="shared" si="15"/>
        <v>0</v>
      </c>
      <c r="AC82" s="878"/>
    </row>
    <row r="83" spans="1:29" ht="31.5" x14ac:dyDescent="0.2">
      <c r="A83" s="618" t="s">
        <v>1240</v>
      </c>
      <c r="B83" s="619" t="s">
        <v>747</v>
      </c>
      <c r="C83" s="620">
        <v>247</v>
      </c>
      <c r="D83" s="620">
        <v>223</v>
      </c>
      <c r="E83" s="596">
        <f>'Прилож 4 24 (4)'!U82</f>
        <v>63447.51</v>
      </c>
      <c r="F83" s="595">
        <f>'Прилож 4 24 (4)'!V82</f>
        <v>0</v>
      </c>
      <c r="G83" s="595">
        <f>'Прилож 4 24 (4)'!W82</f>
        <v>0</v>
      </c>
      <c r="H83" s="595">
        <f>'Прилож 4 24 (4)'!X82</f>
        <v>63447.51</v>
      </c>
      <c r="I83" s="621"/>
      <c r="J83" s="595">
        <f>'Прилож 4 24 (4)'!Z82</f>
        <v>0</v>
      </c>
      <c r="K83" s="595">
        <f>'Прилож 4 24 (4)'!AA82</f>
        <v>0</v>
      </c>
      <c r="L83" s="595">
        <f>'Прилож 4 24 (4)'!AB82</f>
        <v>0</v>
      </c>
      <c r="M83" s="876">
        <f t="shared" si="12"/>
        <v>0</v>
      </c>
      <c r="N83" s="875"/>
      <c r="O83" s="875"/>
      <c r="P83" s="875"/>
      <c r="Q83" s="877"/>
      <c r="R83" s="875"/>
      <c r="S83" s="875"/>
      <c r="T83" s="875"/>
      <c r="U83" s="876">
        <f t="shared" si="11"/>
        <v>63447.51</v>
      </c>
      <c r="V83" s="875">
        <f t="shared" si="9"/>
        <v>0</v>
      </c>
      <c r="W83" s="875">
        <f t="shared" si="10"/>
        <v>0</v>
      </c>
      <c r="X83" s="875">
        <f t="shared" si="10"/>
        <v>63447.51</v>
      </c>
      <c r="Y83" s="877"/>
      <c r="Z83" s="875">
        <f t="shared" si="15"/>
        <v>0</v>
      </c>
      <c r="AA83" s="875">
        <f t="shared" si="15"/>
        <v>0</v>
      </c>
      <c r="AB83" s="875">
        <f t="shared" si="15"/>
        <v>0</v>
      </c>
      <c r="AC83" s="878"/>
    </row>
    <row r="84" spans="1:29" ht="31.5" x14ac:dyDescent="0.2">
      <c r="A84" s="618" t="s">
        <v>1241</v>
      </c>
      <c r="B84" s="619" t="s">
        <v>747</v>
      </c>
      <c r="C84" s="620">
        <v>247</v>
      </c>
      <c r="D84" s="620">
        <v>223</v>
      </c>
      <c r="E84" s="596">
        <f>'Прилож 4 24 (4)'!U83</f>
        <v>52047.07</v>
      </c>
      <c r="F84" s="595">
        <f>'Прилож 4 24 (4)'!V83</f>
        <v>0</v>
      </c>
      <c r="G84" s="595">
        <f>'Прилож 4 24 (4)'!W83</f>
        <v>0</v>
      </c>
      <c r="H84" s="595">
        <f>'Прилож 4 24 (4)'!X83</f>
        <v>52047.07</v>
      </c>
      <c r="I84" s="621"/>
      <c r="J84" s="595">
        <f>'Прилож 4 24 (4)'!Z83</f>
        <v>0</v>
      </c>
      <c r="K84" s="595">
        <f>'Прилож 4 24 (4)'!AA83</f>
        <v>0</v>
      </c>
      <c r="L84" s="595">
        <f>'Прилож 4 24 (4)'!AB83</f>
        <v>0</v>
      </c>
      <c r="M84" s="876">
        <f t="shared" si="12"/>
        <v>0</v>
      </c>
      <c r="N84" s="875"/>
      <c r="O84" s="875"/>
      <c r="P84" s="875"/>
      <c r="Q84" s="877"/>
      <c r="R84" s="875"/>
      <c r="S84" s="875"/>
      <c r="T84" s="875"/>
      <c r="U84" s="876">
        <f t="shared" si="11"/>
        <v>52047.07</v>
      </c>
      <c r="V84" s="875">
        <f t="shared" si="9"/>
        <v>0</v>
      </c>
      <c r="W84" s="875">
        <f t="shared" si="10"/>
        <v>0</v>
      </c>
      <c r="X84" s="875">
        <f t="shared" si="10"/>
        <v>52047.07</v>
      </c>
      <c r="Y84" s="877"/>
      <c r="Z84" s="875">
        <f t="shared" si="15"/>
        <v>0</v>
      </c>
      <c r="AA84" s="875">
        <f t="shared" si="15"/>
        <v>0</v>
      </c>
      <c r="AB84" s="875">
        <f t="shared" si="15"/>
        <v>0</v>
      </c>
      <c r="AC84" s="878"/>
    </row>
    <row r="85" spans="1:29" ht="31.5" x14ac:dyDescent="0.2">
      <c r="A85" s="618" t="s">
        <v>1242</v>
      </c>
      <c r="B85" s="619" t="s">
        <v>747</v>
      </c>
      <c r="C85" s="620">
        <v>247</v>
      </c>
      <c r="D85" s="620">
        <v>223</v>
      </c>
      <c r="E85" s="596">
        <f>'Прилож 4 24 (4)'!U84</f>
        <v>40719.379999999997</v>
      </c>
      <c r="F85" s="595">
        <f>'Прилож 4 24 (4)'!V84</f>
        <v>0</v>
      </c>
      <c r="G85" s="595">
        <f>'Прилож 4 24 (4)'!W84</f>
        <v>0</v>
      </c>
      <c r="H85" s="595">
        <f>'Прилож 4 24 (4)'!X84</f>
        <v>40719.379999999997</v>
      </c>
      <c r="I85" s="621"/>
      <c r="J85" s="595">
        <f>'Прилож 4 24 (4)'!Z84</f>
        <v>0</v>
      </c>
      <c r="K85" s="595">
        <f>'Прилож 4 24 (4)'!AA84</f>
        <v>0</v>
      </c>
      <c r="L85" s="595">
        <f>'Прилож 4 24 (4)'!AB84</f>
        <v>0</v>
      </c>
      <c r="M85" s="876">
        <f t="shared" si="12"/>
        <v>0</v>
      </c>
      <c r="N85" s="875"/>
      <c r="O85" s="875"/>
      <c r="P85" s="875"/>
      <c r="Q85" s="877"/>
      <c r="R85" s="875"/>
      <c r="S85" s="875"/>
      <c r="T85" s="875"/>
      <c r="U85" s="876">
        <f t="shared" si="11"/>
        <v>40719.379999999997</v>
      </c>
      <c r="V85" s="875">
        <f t="shared" si="9"/>
        <v>0</v>
      </c>
      <c r="W85" s="875">
        <f t="shared" si="10"/>
        <v>0</v>
      </c>
      <c r="X85" s="875">
        <f t="shared" si="10"/>
        <v>40719.379999999997</v>
      </c>
      <c r="Y85" s="877"/>
      <c r="Z85" s="875">
        <f t="shared" si="15"/>
        <v>0</v>
      </c>
      <c r="AA85" s="875">
        <f t="shared" si="15"/>
        <v>0</v>
      </c>
      <c r="AB85" s="875">
        <f t="shared" si="15"/>
        <v>0</v>
      </c>
      <c r="AC85" s="878"/>
    </row>
    <row r="86" spans="1:29" ht="31.5" x14ac:dyDescent="0.2">
      <c r="A86" s="618" t="s">
        <v>1242</v>
      </c>
      <c r="B86" s="619" t="s">
        <v>747</v>
      </c>
      <c r="C86" s="620">
        <v>247</v>
      </c>
      <c r="D86" s="620">
        <v>223</v>
      </c>
      <c r="E86" s="596">
        <f>'Прилож 4 24 (4)'!U85</f>
        <v>52360.07</v>
      </c>
      <c r="F86" s="595">
        <f>'Прилож 4 24 (4)'!V85</f>
        <v>0</v>
      </c>
      <c r="G86" s="595">
        <f>'Прилож 4 24 (4)'!W85</f>
        <v>0</v>
      </c>
      <c r="H86" s="595">
        <f>'Прилож 4 24 (4)'!X85</f>
        <v>52360.07</v>
      </c>
      <c r="I86" s="621"/>
      <c r="J86" s="595">
        <f>'Прилож 4 24 (4)'!Z85</f>
        <v>0</v>
      </c>
      <c r="K86" s="595">
        <f>'Прилож 4 24 (4)'!AA85</f>
        <v>0</v>
      </c>
      <c r="L86" s="595">
        <f>'Прилож 4 24 (4)'!AB85</f>
        <v>0</v>
      </c>
      <c r="M86" s="876">
        <f t="shared" si="12"/>
        <v>0</v>
      </c>
      <c r="N86" s="875"/>
      <c r="O86" s="875"/>
      <c r="P86" s="875"/>
      <c r="Q86" s="877"/>
      <c r="R86" s="875"/>
      <c r="S86" s="875"/>
      <c r="T86" s="875"/>
      <c r="U86" s="876">
        <f t="shared" si="11"/>
        <v>52360.07</v>
      </c>
      <c r="V86" s="875">
        <f t="shared" si="9"/>
        <v>0</v>
      </c>
      <c r="W86" s="875">
        <f t="shared" si="10"/>
        <v>0</v>
      </c>
      <c r="X86" s="875">
        <f t="shared" si="10"/>
        <v>52360.07</v>
      </c>
      <c r="Y86" s="877"/>
      <c r="Z86" s="875">
        <f t="shared" si="15"/>
        <v>0</v>
      </c>
      <c r="AA86" s="875">
        <f t="shared" si="15"/>
        <v>0</v>
      </c>
      <c r="AB86" s="875">
        <f t="shared" si="15"/>
        <v>0</v>
      </c>
      <c r="AC86" s="878"/>
    </row>
    <row r="87" spans="1:29" s="637" customFormat="1" x14ac:dyDescent="0.2">
      <c r="A87" s="632" t="s">
        <v>1143</v>
      </c>
      <c r="B87" s="633" t="s">
        <v>747</v>
      </c>
      <c r="C87" s="634">
        <v>247</v>
      </c>
      <c r="D87" s="634">
        <v>223</v>
      </c>
      <c r="E87" s="596">
        <f>'Прилож 4 24 (4)'!U86</f>
        <v>1539653.1</v>
      </c>
      <c r="F87" s="595">
        <f>'Прилож 4 24 (4)'!V86</f>
        <v>0</v>
      </c>
      <c r="G87" s="595">
        <f>'Прилож 4 24 (4)'!W86</f>
        <v>0</v>
      </c>
      <c r="H87" s="595">
        <f>'Прилож 4 24 (4)'!X86</f>
        <v>1539653.1</v>
      </c>
      <c r="I87" s="635"/>
      <c r="J87" s="595">
        <f>'Прилож 4 24 (4)'!Z86</f>
        <v>0</v>
      </c>
      <c r="K87" s="595">
        <f>'Прилож 4 24 (4)'!AA86</f>
        <v>0</v>
      </c>
      <c r="L87" s="595">
        <f>'Прилож 4 24 (4)'!AB86</f>
        <v>0</v>
      </c>
      <c r="M87" s="876">
        <f t="shared" si="12"/>
        <v>0</v>
      </c>
      <c r="N87" s="884"/>
      <c r="O87" s="884"/>
      <c r="P87" s="884"/>
      <c r="Q87" s="885"/>
      <c r="R87" s="884"/>
      <c r="S87" s="884"/>
      <c r="T87" s="884"/>
      <c r="U87" s="876">
        <f t="shared" si="11"/>
        <v>1539653.1</v>
      </c>
      <c r="V87" s="875">
        <f t="shared" si="9"/>
        <v>0</v>
      </c>
      <c r="W87" s="875">
        <f t="shared" si="10"/>
        <v>0</v>
      </c>
      <c r="X87" s="875">
        <f t="shared" si="10"/>
        <v>1539653.1</v>
      </c>
      <c r="Y87" s="885"/>
      <c r="Z87" s="875">
        <f t="shared" si="15"/>
        <v>0</v>
      </c>
      <c r="AA87" s="875">
        <f t="shared" si="15"/>
        <v>0</v>
      </c>
      <c r="AB87" s="875">
        <f t="shared" si="15"/>
        <v>0</v>
      </c>
      <c r="AC87" s="886"/>
    </row>
    <row r="88" spans="1:29" x14ac:dyDescent="0.2">
      <c r="A88" s="618" t="s">
        <v>131</v>
      </c>
      <c r="B88" s="619" t="s">
        <v>729</v>
      </c>
      <c r="C88" s="620">
        <v>247</v>
      </c>
      <c r="D88" s="620">
        <v>223</v>
      </c>
      <c r="E88" s="596">
        <f>'Прилож 4 24 (4)'!U87</f>
        <v>939599.21</v>
      </c>
      <c r="F88" s="595">
        <f>'Прилож 4 24 (4)'!V87</f>
        <v>0</v>
      </c>
      <c r="G88" s="595">
        <f>'Прилож 4 24 (4)'!W87</f>
        <v>0</v>
      </c>
      <c r="H88" s="595">
        <f>'Прилож 4 24 (4)'!X87</f>
        <v>446000</v>
      </c>
      <c r="I88" s="621"/>
      <c r="J88" s="595">
        <f>'Прилож 4 24 (4)'!Z87</f>
        <v>0</v>
      </c>
      <c r="K88" s="595">
        <f>'Прилож 4 24 (4)'!AA87</f>
        <v>0</v>
      </c>
      <c r="L88" s="595">
        <f>'Прилож 4 24 (4)'!AB87</f>
        <v>493599.21</v>
      </c>
      <c r="M88" s="876">
        <f t="shared" si="12"/>
        <v>0</v>
      </c>
      <c r="N88" s="875"/>
      <c r="O88" s="875"/>
      <c r="P88" s="875"/>
      <c r="Q88" s="877"/>
      <c r="R88" s="875"/>
      <c r="S88" s="875"/>
      <c r="T88" s="875"/>
      <c r="U88" s="876">
        <f t="shared" si="11"/>
        <v>939599.21</v>
      </c>
      <c r="V88" s="875">
        <f t="shared" si="9"/>
        <v>0</v>
      </c>
      <c r="W88" s="875">
        <f t="shared" si="10"/>
        <v>0</v>
      </c>
      <c r="X88" s="875">
        <f t="shared" si="10"/>
        <v>446000</v>
      </c>
      <c r="Y88" s="877"/>
      <c r="Z88" s="875">
        <f t="shared" si="15"/>
        <v>0</v>
      </c>
      <c r="AA88" s="875">
        <f t="shared" si="15"/>
        <v>0</v>
      </c>
      <c r="AB88" s="875">
        <f t="shared" si="15"/>
        <v>493599.21</v>
      </c>
      <c r="AC88" s="878"/>
    </row>
    <row r="89" spans="1:29" ht="30" customHeight="1" x14ac:dyDescent="0.2">
      <c r="A89" s="618" t="s">
        <v>133</v>
      </c>
      <c r="B89" s="619" t="s">
        <v>729</v>
      </c>
      <c r="C89" s="620">
        <v>247</v>
      </c>
      <c r="D89" s="620">
        <v>223</v>
      </c>
      <c r="E89" s="596">
        <f>'Прилож 4 24 (4)'!U88</f>
        <v>1433105.62</v>
      </c>
      <c r="F89" s="595">
        <f>'Прилож 4 24 (4)'!V88</f>
        <v>0</v>
      </c>
      <c r="G89" s="595">
        <f>'Прилож 4 24 (4)'!W88</f>
        <v>0</v>
      </c>
      <c r="H89" s="595">
        <f>'Прилож 4 24 (4)'!X88</f>
        <v>1088533.3600000001</v>
      </c>
      <c r="I89" s="621"/>
      <c r="J89" s="595">
        <f>'Прилож 4 24 (4)'!Z88</f>
        <v>0</v>
      </c>
      <c r="K89" s="595">
        <f>'Прилож 4 24 (4)'!AA88</f>
        <v>0</v>
      </c>
      <c r="L89" s="595">
        <f>'Прилож 4 24 (4)'!AB88</f>
        <v>344572.26</v>
      </c>
      <c r="M89" s="876">
        <f t="shared" si="12"/>
        <v>0</v>
      </c>
      <c r="N89" s="875"/>
      <c r="O89" s="875"/>
      <c r="P89" s="875"/>
      <c r="Q89" s="877"/>
      <c r="R89" s="875"/>
      <c r="S89" s="875"/>
      <c r="T89" s="875"/>
      <c r="U89" s="876">
        <f t="shared" si="11"/>
        <v>1433105.62</v>
      </c>
      <c r="V89" s="875">
        <f t="shared" si="9"/>
        <v>0</v>
      </c>
      <c r="W89" s="875">
        <f t="shared" si="10"/>
        <v>0</v>
      </c>
      <c r="X89" s="875">
        <f t="shared" si="10"/>
        <v>1088533.3600000001</v>
      </c>
      <c r="Y89" s="877"/>
      <c r="Z89" s="875">
        <f t="shared" si="15"/>
        <v>0</v>
      </c>
      <c r="AA89" s="875">
        <f t="shared" si="15"/>
        <v>0</v>
      </c>
      <c r="AB89" s="875">
        <f t="shared" si="15"/>
        <v>344572.26</v>
      </c>
      <c r="AC89" s="878"/>
    </row>
    <row r="90" spans="1:29" ht="34.5" customHeight="1" x14ac:dyDescent="0.2">
      <c r="A90" s="618" t="s">
        <v>1260</v>
      </c>
      <c r="B90" s="619" t="s">
        <v>729</v>
      </c>
      <c r="C90" s="620">
        <v>247</v>
      </c>
      <c r="D90" s="620">
        <v>223</v>
      </c>
      <c r="E90" s="596">
        <f>'Прилож 4 24 (4)'!U89</f>
        <v>899813.5</v>
      </c>
      <c r="F90" s="595">
        <f>'Прилож 4 24 (4)'!V89</f>
        <v>0</v>
      </c>
      <c r="G90" s="595">
        <f>'Прилож 4 24 (4)'!W89</f>
        <v>0</v>
      </c>
      <c r="H90" s="595">
        <f>'Прилож 4 24 (4)'!X89</f>
        <v>618609.81999999995</v>
      </c>
      <c r="I90" s="621"/>
      <c r="J90" s="595">
        <f>'Прилож 4 24 (4)'!Z89</f>
        <v>0</v>
      </c>
      <c r="K90" s="595">
        <f>'Прилож 4 24 (4)'!AA89</f>
        <v>0</v>
      </c>
      <c r="L90" s="595">
        <f>'Прилож 4 24 (4)'!AB89</f>
        <v>281203.68</v>
      </c>
      <c r="M90" s="876">
        <f t="shared" si="12"/>
        <v>0</v>
      </c>
      <c r="N90" s="875"/>
      <c r="O90" s="875"/>
      <c r="P90" s="875"/>
      <c r="Q90" s="877"/>
      <c r="R90" s="875"/>
      <c r="S90" s="875"/>
      <c r="T90" s="875"/>
      <c r="U90" s="876">
        <f t="shared" si="11"/>
        <v>899813.5</v>
      </c>
      <c r="V90" s="875">
        <f t="shared" si="9"/>
        <v>0</v>
      </c>
      <c r="W90" s="875">
        <f t="shared" si="10"/>
        <v>0</v>
      </c>
      <c r="X90" s="875">
        <f t="shared" si="10"/>
        <v>618609.81999999995</v>
      </c>
      <c r="Y90" s="877"/>
      <c r="Z90" s="875">
        <f t="shared" si="15"/>
        <v>0</v>
      </c>
      <c r="AA90" s="875">
        <f t="shared" si="15"/>
        <v>0</v>
      </c>
      <c r="AB90" s="875">
        <f t="shared" si="15"/>
        <v>281203.68</v>
      </c>
      <c r="AC90" s="878"/>
    </row>
    <row r="91" spans="1:29" ht="31.5" x14ac:dyDescent="0.2">
      <c r="A91" s="618" t="s">
        <v>1240</v>
      </c>
      <c r="B91" s="619" t="s">
        <v>729</v>
      </c>
      <c r="C91" s="620">
        <v>247</v>
      </c>
      <c r="D91" s="620">
        <v>223</v>
      </c>
      <c r="E91" s="596">
        <f>'Прилож 4 24 (4)'!U90</f>
        <v>26226.5</v>
      </c>
      <c r="F91" s="595">
        <f>'Прилож 4 24 (4)'!V90</f>
        <v>0</v>
      </c>
      <c r="G91" s="595">
        <f>'Прилож 4 24 (4)'!W90</f>
        <v>0</v>
      </c>
      <c r="H91" s="595">
        <f>'Прилож 4 24 (4)'!X90</f>
        <v>15346.51</v>
      </c>
      <c r="I91" s="621"/>
      <c r="J91" s="595">
        <f>'Прилож 4 24 (4)'!Z90</f>
        <v>0</v>
      </c>
      <c r="K91" s="595">
        <f>'Прилож 4 24 (4)'!AA90</f>
        <v>0</v>
      </c>
      <c r="L91" s="595">
        <f>'Прилож 4 24 (4)'!AB90</f>
        <v>10879.99</v>
      </c>
      <c r="M91" s="876">
        <f t="shared" si="12"/>
        <v>0</v>
      </c>
      <c r="N91" s="875"/>
      <c r="O91" s="875"/>
      <c r="P91" s="875"/>
      <c r="Q91" s="877"/>
      <c r="R91" s="875"/>
      <c r="S91" s="875"/>
      <c r="T91" s="875"/>
      <c r="U91" s="876">
        <f t="shared" si="11"/>
        <v>26226.5</v>
      </c>
      <c r="V91" s="875">
        <f t="shared" si="9"/>
        <v>0</v>
      </c>
      <c r="W91" s="875">
        <f t="shared" si="10"/>
        <v>0</v>
      </c>
      <c r="X91" s="875">
        <f t="shared" si="10"/>
        <v>15346.51</v>
      </c>
      <c r="Y91" s="877"/>
      <c r="Z91" s="875">
        <f t="shared" si="15"/>
        <v>0</v>
      </c>
      <c r="AA91" s="875">
        <f t="shared" si="15"/>
        <v>0</v>
      </c>
      <c r="AB91" s="875">
        <f t="shared" si="15"/>
        <v>10879.99</v>
      </c>
      <c r="AC91" s="878"/>
    </row>
    <row r="92" spans="1:29" ht="31.5" x14ac:dyDescent="0.2">
      <c r="A92" s="618" t="s">
        <v>1241</v>
      </c>
      <c r="B92" s="619" t="s">
        <v>729</v>
      </c>
      <c r="C92" s="620">
        <v>247</v>
      </c>
      <c r="D92" s="620">
        <v>223</v>
      </c>
      <c r="E92" s="596">
        <f>'Прилож 4 24 (4)'!U91</f>
        <v>22442.33</v>
      </c>
      <c r="F92" s="595">
        <f>'Прилож 4 24 (4)'!V91</f>
        <v>0</v>
      </c>
      <c r="G92" s="595">
        <f>'Прилож 4 24 (4)'!W91</f>
        <v>0</v>
      </c>
      <c r="H92" s="595">
        <f>'Прилож 4 24 (4)'!X91</f>
        <v>13515.22</v>
      </c>
      <c r="I92" s="621"/>
      <c r="J92" s="595">
        <f>'Прилож 4 24 (4)'!Z91</f>
        <v>0</v>
      </c>
      <c r="K92" s="595">
        <f>'Прилож 4 24 (4)'!AA91</f>
        <v>0</v>
      </c>
      <c r="L92" s="595">
        <f>'Прилож 4 24 (4)'!AB91</f>
        <v>8927.11</v>
      </c>
      <c r="M92" s="876">
        <f t="shared" si="12"/>
        <v>0</v>
      </c>
      <c r="N92" s="875"/>
      <c r="O92" s="875"/>
      <c r="P92" s="875"/>
      <c r="Q92" s="877"/>
      <c r="R92" s="875"/>
      <c r="S92" s="875"/>
      <c r="T92" s="875"/>
      <c r="U92" s="876">
        <f t="shared" si="11"/>
        <v>22442.33</v>
      </c>
      <c r="V92" s="875">
        <f t="shared" si="9"/>
        <v>0</v>
      </c>
      <c r="W92" s="875">
        <f t="shared" si="10"/>
        <v>0</v>
      </c>
      <c r="X92" s="875">
        <f t="shared" si="10"/>
        <v>13515.22</v>
      </c>
      <c r="Y92" s="877"/>
      <c r="Z92" s="875">
        <f t="shared" si="15"/>
        <v>0</v>
      </c>
      <c r="AA92" s="875">
        <f t="shared" si="15"/>
        <v>0</v>
      </c>
      <c r="AB92" s="875">
        <f t="shared" si="15"/>
        <v>8927.11</v>
      </c>
      <c r="AC92" s="878"/>
    </row>
    <row r="93" spans="1:29" ht="31.5" x14ac:dyDescent="0.2">
      <c r="A93" s="618" t="s">
        <v>1242</v>
      </c>
      <c r="B93" s="619" t="s">
        <v>729</v>
      </c>
      <c r="C93" s="620">
        <v>247</v>
      </c>
      <c r="D93" s="620">
        <v>223</v>
      </c>
      <c r="E93" s="596">
        <f>'Прилож 4 24 (4)'!U92</f>
        <v>17091.29</v>
      </c>
      <c r="F93" s="595">
        <f>'Прилож 4 24 (4)'!V92</f>
        <v>0</v>
      </c>
      <c r="G93" s="595">
        <f>'Прилож 4 24 (4)'!W92</f>
        <v>0</v>
      </c>
      <c r="H93" s="595">
        <f>'Прилож 4 24 (4)'!X92</f>
        <v>9599.83</v>
      </c>
      <c r="I93" s="621"/>
      <c r="J93" s="595">
        <f>'Прилож 4 24 (4)'!Z92</f>
        <v>0</v>
      </c>
      <c r="K93" s="595">
        <f>'Прилож 4 24 (4)'!AA92</f>
        <v>0</v>
      </c>
      <c r="L93" s="595">
        <f>'Прилож 4 24 (4)'!AB92</f>
        <v>7491.46</v>
      </c>
      <c r="M93" s="876">
        <f t="shared" si="12"/>
        <v>0</v>
      </c>
      <c r="N93" s="875"/>
      <c r="O93" s="875"/>
      <c r="P93" s="875"/>
      <c r="Q93" s="877"/>
      <c r="R93" s="875"/>
      <c r="S93" s="875"/>
      <c r="T93" s="875"/>
      <c r="U93" s="876">
        <f t="shared" si="11"/>
        <v>17091.29</v>
      </c>
      <c r="V93" s="875">
        <f t="shared" si="9"/>
        <v>0</v>
      </c>
      <c r="W93" s="875">
        <f t="shared" si="10"/>
        <v>0</v>
      </c>
      <c r="X93" s="875">
        <f t="shared" si="10"/>
        <v>9599.83</v>
      </c>
      <c r="Y93" s="877"/>
      <c r="Z93" s="875">
        <f t="shared" si="15"/>
        <v>0</v>
      </c>
      <c r="AA93" s="875">
        <f t="shared" si="15"/>
        <v>0</v>
      </c>
      <c r="AB93" s="875">
        <f t="shared" si="15"/>
        <v>7491.46</v>
      </c>
      <c r="AC93" s="878"/>
    </row>
    <row r="94" spans="1:29" ht="31.5" x14ac:dyDescent="0.2">
      <c r="A94" s="618" t="s">
        <v>1242</v>
      </c>
      <c r="B94" s="619" t="s">
        <v>729</v>
      </c>
      <c r="C94" s="620">
        <v>247</v>
      </c>
      <c r="D94" s="620">
        <v>223</v>
      </c>
      <c r="E94" s="596">
        <f>'Прилож 4 24 (4)'!U93</f>
        <v>18156.04</v>
      </c>
      <c r="F94" s="595">
        <f>'Прилож 4 24 (4)'!V93</f>
        <v>0</v>
      </c>
      <c r="G94" s="595">
        <f>'Прилож 4 24 (4)'!W93</f>
        <v>0</v>
      </c>
      <c r="H94" s="595">
        <f>'Прилож 4 24 (4)'!X93</f>
        <v>10621.01</v>
      </c>
      <c r="I94" s="621"/>
      <c r="J94" s="595">
        <f>'Прилож 4 24 (4)'!Z93</f>
        <v>0</v>
      </c>
      <c r="K94" s="595">
        <f>'Прилож 4 24 (4)'!AA93</f>
        <v>0</v>
      </c>
      <c r="L94" s="595">
        <f>'Прилож 4 24 (4)'!AB93</f>
        <v>7535.03</v>
      </c>
      <c r="M94" s="876">
        <f t="shared" si="12"/>
        <v>0</v>
      </c>
      <c r="N94" s="875"/>
      <c r="O94" s="875"/>
      <c r="P94" s="875"/>
      <c r="Q94" s="877"/>
      <c r="R94" s="875"/>
      <c r="S94" s="875"/>
      <c r="T94" s="875"/>
      <c r="U94" s="876">
        <f t="shared" si="11"/>
        <v>18156.04</v>
      </c>
      <c r="V94" s="875">
        <f t="shared" si="9"/>
        <v>0</v>
      </c>
      <c r="W94" s="875">
        <f t="shared" si="10"/>
        <v>0</v>
      </c>
      <c r="X94" s="875">
        <f t="shared" si="10"/>
        <v>10621.01</v>
      </c>
      <c r="Y94" s="877"/>
      <c r="Z94" s="875">
        <f t="shared" si="15"/>
        <v>0</v>
      </c>
      <c r="AA94" s="875">
        <f t="shared" si="15"/>
        <v>0</v>
      </c>
      <c r="AB94" s="875">
        <f t="shared" si="15"/>
        <v>7535.03</v>
      </c>
      <c r="AC94" s="878"/>
    </row>
    <row r="95" spans="1:29" s="637" customFormat="1" x14ac:dyDescent="0.2">
      <c r="A95" s="632" t="s">
        <v>1143</v>
      </c>
      <c r="B95" s="633" t="s">
        <v>729</v>
      </c>
      <c r="C95" s="634">
        <v>247</v>
      </c>
      <c r="D95" s="634">
        <v>223</v>
      </c>
      <c r="E95" s="596">
        <f>'Прилож 4 24 (4)'!U94</f>
        <v>3356434.49</v>
      </c>
      <c r="F95" s="595">
        <f>'Прилож 4 24 (4)'!V94</f>
        <v>0</v>
      </c>
      <c r="G95" s="595">
        <f>'Прилож 4 24 (4)'!W94</f>
        <v>0</v>
      </c>
      <c r="H95" s="595">
        <f>'Прилож 4 24 (4)'!X94</f>
        <v>2202225.75</v>
      </c>
      <c r="I95" s="635"/>
      <c r="J95" s="595">
        <f>'Прилож 4 24 (4)'!Z94</f>
        <v>0</v>
      </c>
      <c r="K95" s="595">
        <f>'Прилож 4 24 (4)'!AA94</f>
        <v>0</v>
      </c>
      <c r="L95" s="595">
        <f>'Прилож 4 24 (4)'!AB94</f>
        <v>1154208.74</v>
      </c>
      <c r="M95" s="876">
        <f t="shared" si="12"/>
        <v>0</v>
      </c>
      <c r="N95" s="884"/>
      <c r="O95" s="884"/>
      <c r="P95" s="884"/>
      <c r="Q95" s="885"/>
      <c r="R95" s="884"/>
      <c r="S95" s="884"/>
      <c r="T95" s="884">
        <f>SUM(T88:T94)</f>
        <v>0</v>
      </c>
      <c r="U95" s="876">
        <f t="shared" si="11"/>
        <v>3356434.49</v>
      </c>
      <c r="V95" s="875">
        <f t="shared" si="11"/>
        <v>0</v>
      </c>
      <c r="W95" s="875">
        <f t="shared" ref="W95:X163" si="16">O95+G95</f>
        <v>0</v>
      </c>
      <c r="X95" s="875">
        <f t="shared" si="16"/>
        <v>2202225.75</v>
      </c>
      <c r="Y95" s="885"/>
      <c r="Z95" s="875">
        <f t="shared" si="15"/>
        <v>0</v>
      </c>
      <c r="AA95" s="875">
        <f t="shared" si="15"/>
        <v>0</v>
      </c>
      <c r="AB95" s="875">
        <f t="shared" si="15"/>
        <v>1154208.74</v>
      </c>
      <c r="AC95" s="878"/>
    </row>
    <row r="96" spans="1:29" s="614" customFormat="1" x14ac:dyDescent="0.2">
      <c r="A96" s="630" t="s">
        <v>737</v>
      </c>
      <c r="B96" s="631"/>
      <c r="C96" s="624"/>
      <c r="D96" s="624"/>
      <c r="E96" s="596">
        <f>'Прилож 4 24 (4)'!U95</f>
        <v>4896087.59</v>
      </c>
      <c r="F96" s="595">
        <f>'Прилож 4 24 (4)'!V95</f>
        <v>0</v>
      </c>
      <c r="G96" s="595">
        <f>'Прилож 4 24 (4)'!W95</f>
        <v>0</v>
      </c>
      <c r="H96" s="595">
        <f>'Прилож 4 24 (4)'!X95</f>
        <v>3741878.85</v>
      </c>
      <c r="I96" s="626"/>
      <c r="J96" s="595">
        <f>'Прилож 4 24 (4)'!Z95</f>
        <v>0</v>
      </c>
      <c r="K96" s="595">
        <f>'Прилож 4 24 (4)'!AA95</f>
        <v>0</v>
      </c>
      <c r="L96" s="595">
        <f>'Прилож 4 24 (4)'!AB95</f>
        <v>1154208.74</v>
      </c>
      <c r="M96" s="876">
        <f t="shared" ref="M96:M164" si="17">N96+P96+R96+S96+T96+O96</f>
        <v>0</v>
      </c>
      <c r="N96" s="876"/>
      <c r="O96" s="876"/>
      <c r="P96" s="876"/>
      <c r="Q96" s="881"/>
      <c r="R96" s="876"/>
      <c r="S96" s="876"/>
      <c r="T96" s="876">
        <f>T87+T95</f>
        <v>0</v>
      </c>
      <c r="U96" s="876">
        <f t="shared" ref="U96:V164" si="18">E96+M96</f>
        <v>4896087.59</v>
      </c>
      <c r="V96" s="875">
        <f t="shared" si="18"/>
        <v>0</v>
      </c>
      <c r="W96" s="875">
        <f t="shared" si="16"/>
        <v>0</v>
      </c>
      <c r="X96" s="875">
        <f t="shared" si="16"/>
        <v>3741878.85</v>
      </c>
      <c r="Y96" s="881"/>
      <c r="Z96" s="875">
        <f t="shared" si="15"/>
        <v>0</v>
      </c>
      <c r="AA96" s="875">
        <f t="shared" si="15"/>
        <v>0</v>
      </c>
      <c r="AB96" s="875">
        <f t="shared" si="15"/>
        <v>1154208.74</v>
      </c>
      <c r="AC96" s="879"/>
    </row>
    <row r="97" spans="1:29" ht="31.5" x14ac:dyDescent="0.2">
      <c r="A97" s="618" t="s">
        <v>1230</v>
      </c>
      <c r="B97" s="619" t="s">
        <v>729</v>
      </c>
      <c r="C97" s="620">
        <v>243</v>
      </c>
      <c r="D97" s="620">
        <v>225</v>
      </c>
      <c r="E97" s="596">
        <f>'Прилож 4 24 (4)'!U96</f>
        <v>0</v>
      </c>
      <c r="F97" s="595">
        <f>'Прилож 4 24 (4)'!V96</f>
        <v>0</v>
      </c>
      <c r="G97" s="595">
        <f>'Прилож 4 24 (4)'!W96</f>
        <v>0</v>
      </c>
      <c r="H97" s="595">
        <f>'Прилож 4 24 (4)'!X96</f>
        <v>0</v>
      </c>
      <c r="I97" s="621"/>
      <c r="J97" s="595">
        <f>'Прилож 4 24 (4)'!Z96</f>
        <v>0</v>
      </c>
      <c r="K97" s="595">
        <f>'Прилож 4 24 (4)'!AA96</f>
        <v>0</v>
      </c>
      <c r="L97" s="595">
        <f>'Прилож 4 24 (4)'!AB96</f>
        <v>0</v>
      </c>
      <c r="M97" s="876">
        <f t="shared" si="17"/>
        <v>0</v>
      </c>
      <c r="N97" s="875"/>
      <c r="O97" s="875"/>
      <c r="P97" s="875"/>
      <c r="Q97" s="890"/>
      <c r="R97" s="875"/>
      <c r="S97" s="875"/>
      <c r="T97" s="875"/>
      <c r="U97" s="876">
        <f t="shared" si="18"/>
        <v>0</v>
      </c>
      <c r="V97" s="875">
        <f t="shared" si="18"/>
        <v>0</v>
      </c>
      <c r="W97" s="875">
        <f t="shared" si="16"/>
        <v>0</v>
      </c>
      <c r="X97" s="875">
        <f t="shared" si="16"/>
        <v>0</v>
      </c>
      <c r="Y97" s="877"/>
      <c r="Z97" s="875">
        <f t="shared" si="15"/>
        <v>0</v>
      </c>
      <c r="AA97" s="875">
        <f t="shared" si="15"/>
        <v>0</v>
      </c>
      <c r="AB97" s="875">
        <f t="shared" si="15"/>
        <v>0</v>
      </c>
      <c r="AC97" s="878"/>
    </row>
    <row r="98" spans="1:29" s="614" customFormat="1" ht="28.5" customHeight="1" x14ac:dyDescent="0.2">
      <c r="A98" s="630" t="s">
        <v>1312</v>
      </c>
      <c r="B98" s="631" t="s">
        <v>729</v>
      </c>
      <c r="C98" s="624">
        <v>243</v>
      </c>
      <c r="D98" s="624">
        <v>225</v>
      </c>
      <c r="E98" s="596">
        <f>'Прилож 4 24 (4)'!U97</f>
        <v>0</v>
      </c>
      <c r="F98" s="595">
        <f>'Прилож 4 24 (4)'!V97</f>
        <v>0</v>
      </c>
      <c r="G98" s="595">
        <f>'Прилож 4 24 (4)'!W97</f>
        <v>0</v>
      </c>
      <c r="H98" s="595">
        <f>'Прилож 4 24 (4)'!X97</f>
        <v>0</v>
      </c>
      <c r="I98" s="626"/>
      <c r="J98" s="595">
        <f>'Прилож 4 24 (4)'!Z97</f>
        <v>0</v>
      </c>
      <c r="K98" s="595">
        <f>'Прилож 4 24 (4)'!AA97</f>
        <v>0</v>
      </c>
      <c r="L98" s="595">
        <f>'Прилож 4 24 (4)'!AB97</f>
        <v>0</v>
      </c>
      <c r="M98" s="876">
        <f t="shared" si="17"/>
        <v>0</v>
      </c>
      <c r="N98" s="876"/>
      <c r="O98" s="876"/>
      <c r="P98" s="876"/>
      <c r="Q98" s="881"/>
      <c r="R98" s="876"/>
      <c r="S98" s="876"/>
      <c r="T98" s="876"/>
      <c r="U98" s="876">
        <f t="shared" si="18"/>
        <v>0</v>
      </c>
      <c r="V98" s="875">
        <f t="shared" si="18"/>
        <v>0</v>
      </c>
      <c r="W98" s="875">
        <f t="shared" si="16"/>
        <v>0</v>
      </c>
      <c r="X98" s="875">
        <f t="shared" si="16"/>
        <v>0</v>
      </c>
      <c r="Y98" s="881"/>
      <c r="Z98" s="875">
        <f t="shared" si="15"/>
        <v>0</v>
      </c>
      <c r="AA98" s="875">
        <f t="shared" si="15"/>
        <v>0</v>
      </c>
      <c r="AB98" s="875">
        <f t="shared" si="15"/>
        <v>0</v>
      </c>
      <c r="AC98" s="879"/>
    </row>
    <row r="99" spans="1:29" ht="77.45" customHeight="1" x14ac:dyDescent="0.2">
      <c r="A99" s="618" t="s">
        <v>1188</v>
      </c>
      <c r="B99" s="619" t="s">
        <v>747</v>
      </c>
      <c r="C99" s="620">
        <v>244</v>
      </c>
      <c r="D99" s="620">
        <v>225</v>
      </c>
      <c r="E99" s="596">
        <f>'Прилож 4 24 (4)'!U98</f>
        <v>50400</v>
      </c>
      <c r="F99" s="595">
        <f>'Прилож 4 24 (4)'!V98</f>
        <v>0</v>
      </c>
      <c r="G99" s="595">
        <f>'Прилож 4 24 (4)'!W98</f>
        <v>0</v>
      </c>
      <c r="H99" s="595">
        <f>'Прилож 4 24 (4)'!X98</f>
        <v>50400</v>
      </c>
      <c r="I99" s="628"/>
      <c r="J99" s="595">
        <f>'Прилож 4 24 (4)'!Z98</f>
        <v>0</v>
      </c>
      <c r="K99" s="595">
        <f>'Прилож 4 24 (4)'!AA98</f>
        <v>0</v>
      </c>
      <c r="L99" s="595">
        <f>'Прилож 4 24 (4)'!AB98</f>
        <v>0</v>
      </c>
      <c r="M99" s="876">
        <f t="shared" si="17"/>
        <v>0</v>
      </c>
      <c r="N99" s="875"/>
      <c r="O99" s="875"/>
      <c r="P99" s="875"/>
      <c r="Q99" s="877"/>
      <c r="R99" s="875"/>
      <c r="S99" s="875"/>
      <c r="T99" s="875"/>
      <c r="U99" s="876">
        <f t="shared" si="18"/>
        <v>50400</v>
      </c>
      <c r="V99" s="875">
        <f t="shared" si="18"/>
        <v>0</v>
      </c>
      <c r="W99" s="875">
        <f t="shared" si="16"/>
        <v>0</v>
      </c>
      <c r="X99" s="875">
        <f t="shared" si="16"/>
        <v>50400</v>
      </c>
      <c r="Y99" s="883"/>
      <c r="Z99" s="875">
        <f t="shared" si="15"/>
        <v>0</v>
      </c>
      <c r="AA99" s="875">
        <f t="shared" si="15"/>
        <v>0</v>
      </c>
      <c r="AB99" s="875">
        <f t="shared" si="15"/>
        <v>0</v>
      </c>
      <c r="AC99" s="878"/>
    </row>
    <row r="100" spans="1:29" x14ac:dyDescent="0.2">
      <c r="A100" s="618" t="s">
        <v>1193</v>
      </c>
      <c r="B100" s="619" t="s">
        <v>747</v>
      </c>
      <c r="C100" s="620">
        <v>244</v>
      </c>
      <c r="D100" s="620">
        <v>225</v>
      </c>
      <c r="E100" s="596">
        <f>'Прилож 4 24 (4)'!U99</f>
        <v>49836</v>
      </c>
      <c r="F100" s="595">
        <f>'Прилож 4 24 (4)'!V99</f>
        <v>0</v>
      </c>
      <c r="G100" s="595">
        <f>'Прилож 4 24 (4)'!W99</f>
        <v>0</v>
      </c>
      <c r="H100" s="595">
        <f>'Прилож 4 24 (4)'!X99</f>
        <v>49836</v>
      </c>
      <c r="I100" s="628"/>
      <c r="J100" s="595">
        <f>'Прилож 4 24 (4)'!Z99</f>
        <v>0</v>
      </c>
      <c r="K100" s="595">
        <f>'Прилож 4 24 (4)'!AA99</f>
        <v>0</v>
      </c>
      <c r="L100" s="595">
        <f>'Прилож 4 24 (4)'!AB99</f>
        <v>0</v>
      </c>
      <c r="M100" s="876">
        <f t="shared" si="17"/>
        <v>0</v>
      </c>
      <c r="N100" s="875"/>
      <c r="O100" s="875"/>
      <c r="P100" s="875"/>
      <c r="Q100" s="877"/>
      <c r="R100" s="875"/>
      <c r="S100" s="875"/>
      <c r="T100" s="875"/>
      <c r="U100" s="876">
        <f t="shared" si="18"/>
        <v>49836</v>
      </c>
      <c r="V100" s="875">
        <f t="shared" si="18"/>
        <v>0</v>
      </c>
      <c r="W100" s="875">
        <f t="shared" si="16"/>
        <v>0</v>
      </c>
      <c r="X100" s="875">
        <f t="shared" si="16"/>
        <v>49836</v>
      </c>
      <c r="Y100" s="883"/>
      <c r="Z100" s="875">
        <f t="shared" si="15"/>
        <v>0</v>
      </c>
      <c r="AA100" s="875">
        <f t="shared" si="15"/>
        <v>0</v>
      </c>
      <c r="AB100" s="875">
        <f t="shared" si="15"/>
        <v>0</v>
      </c>
      <c r="AC100" s="878"/>
    </row>
    <row r="101" spans="1:29" ht="54" customHeight="1" x14ac:dyDescent="0.2">
      <c r="A101" s="618" t="s">
        <v>1192</v>
      </c>
      <c r="B101" s="619" t="s">
        <v>747</v>
      </c>
      <c r="C101" s="620">
        <v>244</v>
      </c>
      <c r="D101" s="620">
        <v>225</v>
      </c>
      <c r="E101" s="596">
        <f>'Прилож 4 24 (4)'!U100</f>
        <v>3859</v>
      </c>
      <c r="F101" s="595">
        <f>'Прилож 4 24 (4)'!V100</f>
        <v>0</v>
      </c>
      <c r="G101" s="595">
        <f>'Прилож 4 24 (4)'!W100</f>
        <v>0</v>
      </c>
      <c r="H101" s="595">
        <f>'Прилож 4 24 (4)'!X100</f>
        <v>3859</v>
      </c>
      <c r="I101" s="628"/>
      <c r="J101" s="595">
        <f>'Прилож 4 24 (4)'!Z100</f>
        <v>0</v>
      </c>
      <c r="K101" s="595">
        <f>'Прилож 4 24 (4)'!AA100</f>
        <v>0</v>
      </c>
      <c r="L101" s="595">
        <f>'Прилож 4 24 (4)'!AB100</f>
        <v>0</v>
      </c>
      <c r="M101" s="876">
        <f t="shared" si="17"/>
        <v>0</v>
      </c>
      <c r="N101" s="875"/>
      <c r="O101" s="875"/>
      <c r="P101" s="875"/>
      <c r="Q101" s="877"/>
      <c r="R101" s="875"/>
      <c r="S101" s="875"/>
      <c r="T101" s="875"/>
      <c r="U101" s="876">
        <f t="shared" si="18"/>
        <v>3859</v>
      </c>
      <c r="V101" s="875">
        <f t="shared" si="18"/>
        <v>0</v>
      </c>
      <c r="W101" s="875">
        <f t="shared" si="16"/>
        <v>0</v>
      </c>
      <c r="X101" s="875">
        <f t="shared" si="16"/>
        <v>3859</v>
      </c>
      <c r="Y101" s="883"/>
      <c r="Z101" s="875">
        <f t="shared" si="15"/>
        <v>0</v>
      </c>
      <c r="AA101" s="875">
        <f t="shared" si="15"/>
        <v>0</v>
      </c>
      <c r="AB101" s="875">
        <f t="shared" si="15"/>
        <v>0</v>
      </c>
      <c r="AC101" s="878"/>
    </row>
    <row r="102" spans="1:29" ht="31.5" x14ac:dyDescent="0.2">
      <c r="A102" s="618" t="s">
        <v>1187</v>
      </c>
      <c r="B102" s="619" t="s">
        <v>747</v>
      </c>
      <c r="C102" s="620">
        <v>244</v>
      </c>
      <c r="D102" s="620">
        <v>225</v>
      </c>
      <c r="E102" s="596">
        <f>'Прилож 4 24 (4)'!U101</f>
        <v>21600</v>
      </c>
      <c r="F102" s="595">
        <f>'Прилож 4 24 (4)'!V101</f>
        <v>0</v>
      </c>
      <c r="G102" s="595">
        <f>'Прилож 4 24 (4)'!W101</f>
        <v>0</v>
      </c>
      <c r="H102" s="595">
        <f>'Прилож 4 24 (4)'!X101</f>
        <v>21600</v>
      </c>
      <c r="I102" s="628"/>
      <c r="J102" s="595">
        <f>'Прилож 4 24 (4)'!Z101</f>
        <v>0</v>
      </c>
      <c r="K102" s="595">
        <f>'Прилож 4 24 (4)'!AA101</f>
        <v>0</v>
      </c>
      <c r="L102" s="595">
        <f>'Прилож 4 24 (4)'!AB101</f>
        <v>0</v>
      </c>
      <c r="M102" s="876">
        <f t="shared" si="17"/>
        <v>0</v>
      </c>
      <c r="N102" s="875"/>
      <c r="O102" s="875"/>
      <c r="P102" s="875"/>
      <c r="Q102" s="877"/>
      <c r="R102" s="875"/>
      <c r="S102" s="875"/>
      <c r="T102" s="875"/>
      <c r="U102" s="876">
        <f t="shared" si="18"/>
        <v>21600</v>
      </c>
      <c r="V102" s="875">
        <f t="shared" si="18"/>
        <v>0</v>
      </c>
      <c r="W102" s="875">
        <f t="shared" si="16"/>
        <v>0</v>
      </c>
      <c r="X102" s="875">
        <f t="shared" si="16"/>
        <v>21600</v>
      </c>
      <c r="Y102" s="883"/>
      <c r="Z102" s="875">
        <f t="shared" si="15"/>
        <v>0</v>
      </c>
      <c r="AA102" s="875">
        <f t="shared" si="15"/>
        <v>0</v>
      </c>
      <c r="AB102" s="875">
        <f t="shared" si="15"/>
        <v>0</v>
      </c>
      <c r="AC102" s="878"/>
    </row>
    <row r="103" spans="1:29" s="612" customFormat="1" ht="31.5" x14ac:dyDescent="0.2">
      <c r="A103" s="618" t="s">
        <v>1203</v>
      </c>
      <c r="B103" s="619" t="s">
        <v>747</v>
      </c>
      <c r="C103" s="620">
        <v>244</v>
      </c>
      <c r="D103" s="620">
        <v>225</v>
      </c>
      <c r="E103" s="596">
        <f>'Прилож 4 24 (4)'!U102</f>
        <v>16551.099999999999</v>
      </c>
      <c r="F103" s="595">
        <f>'Прилож 4 24 (4)'!V102</f>
        <v>0</v>
      </c>
      <c r="G103" s="595">
        <f>'Прилож 4 24 (4)'!W102</f>
        <v>0</v>
      </c>
      <c r="H103" s="595">
        <f>'Прилож 4 24 (4)'!X102</f>
        <v>16551.099999999999</v>
      </c>
      <c r="I103" s="628"/>
      <c r="J103" s="595">
        <f>'Прилож 4 24 (4)'!Z102</f>
        <v>0</v>
      </c>
      <c r="K103" s="595">
        <f>'Прилож 4 24 (4)'!AA102</f>
        <v>0</v>
      </c>
      <c r="L103" s="595">
        <f>'Прилож 4 24 (4)'!AB102</f>
        <v>0</v>
      </c>
      <c r="M103" s="876">
        <f t="shared" si="17"/>
        <v>0</v>
      </c>
      <c r="N103" s="875"/>
      <c r="O103" s="875"/>
      <c r="P103" s="875"/>
      <c r="Q103" s="877"/>
      <c r="R103" s="875"/>
      <c r="S103" s="875"/>
      <c r="T103" s="875"/>
      <c r="U103" s="876">
        <f t="shared" si="18"/>
        <v>16551.099999999999</v>
      </c>
      <c r="V103" s="875">
        <f t="shared" si="18"/>
        <v>0</v>
      </c>
      <c r="W103" s="875">
        <f t="shared" si="16"/>
        <v>0</v>
      </c>
      <c r="X103" s="875">
        <f t="shared" si="16"/>
        <v>16551.099999999999</v>
      </c>
      <c r="Y103" s="883"/>
      <c r="Z103" s="875">
        <f t="shared" si="15"/>
        <v>0</v>
      </c>
      <c r="AA103" s="875">
        <f t="shared" si="15"/>
        <v>0</v>
      </c>
      <c r="AB103" s="875">
        <f t="shared" si="15"/>
        <v>0</v>
      </c>
      <c r="AC103" s="878"/>
    </row>
    <row r="104" spans="1:29" s="612" customFormat="1" ht="32.25" customHeight="1" x14ac:dyDescent="0.2">
      <c r="A104" s="618" t="s">
        <v>583</v>
      </c>
      <c r="B104" s="619" t="s">
        <v>747</v>
      </c>
      <c r="C104" s="620">
        <v>244</v>
      </c>
      <c r="D104" s="620">
        <v>225</v>
      </c>
      <c r="E104" s="596">
        <f>'Прилож 4 24 (4)'!U103</f>
        <v>8330</v>
      </c>
      <c r="F104" s="595">
        <f>'Прилож 4 24 (4)'!V103</f>
        <v>0</v>
      </c>
      <c r="G104" s="595">
        <f>'Прилож 4 24 (4)'!W103</f>
        <v>0</v>
      </c>
      <c r="H104" s="595">
        <f>'Прилож 4 24 (4)'!X103</f>
        <v>8330</v>
      </c>
      <c r="I104" s="628"/>
      <c r="J104" s="595">
        <f>'Прилож 4 24 (4)'!Z103</f>
        <v>0</v>
      </c>
      <c r="K104" s="595">
        <f>'Прилож 4 24 (4)'!AA103</f>
        <v>0</v>
      </c>
      <c r="L104" s="595">
        <f>'Прилож 4 24 (4)'!AB103</f>
        <v>0</v>
      </c>
      <c r="M104" s="876">
        <f t="shared" si="17"/>
        <v>0</v>
      </c>
      <c r="N104" s="875"/>
      <c r="O104" s="875"/>
      <c r="P104" s="875"/>
      <c r="Q104" s="877"/>
      <c r="R104" s="875"/>
      <c r="S104" s="875"/>
      <c r="T104" s="875"/>
      <c r="U104" s="876">
        <f t="shared" si="18"/>
        <v>8330</v>
      </c>
      <c r="V104" s="875">
        <f t="shared" si="18"/>
        <v>0</v>
      </c>
      <c r="W104" s="875">
        <f t="shared" si="16"/>
        <v>0</v>
      </c>
      <c r="X104" s="875">
        <f t="shared" si="16"/>
        <v>8330</v>
      </c>
      <c r="Y104" s="883"/>
      <c r="Z104" s="875">
        <f t="shared" si="15"/>
        <v>0</v>
      </c>
      <c r="AA104" s="875">
        <f t="shared" si="15"/>
        <v>0</v>
      </c>
      <c r="AB104" s="875">
        <f t="shared" si="15"/>
        <v>0</v>
      </c>
      <c r="AC104" s="878"/>
    </row>
    <row r="105" spans="1:29" s="612" customFormat="1" x14ac:dyDescent="0.2">
      <c r="A105" s="618" t="s">
        <v>1297</v>
      </c>
      <c r="B105" s="619" t="s">
        <v>747</v>
      </c>
      <c r="C105" s="620">
        <v>244</v>
      </c>
      <c r="D105" s="620">
        <v>225</v>
      </c>
      <c r="E105" s="596">
        <f>'Прилож 4 24 (4)'!U104</f>
        <v>4000</v>
      </c>
      <c r="F105" s="595">
        <f>'Прилож 4 24 (4)'!V104</f>
        <v>0</v>
      </c>
      <c r="G105" s="595">
        <f>'Прилож 4 24 (4)'!W104</f>
        <v>0</v>
      </c>
      <c r="H105" s="595">
        <f>'Прилож 4 24 (4)'!X104</f>
        <v>4000</v>
      </c>
      <c r="I105" s="628"/>
      <c r="J105" s="595">
        <f>'Прилож 4 24 (4)'!Z104</f>
        <v>0</v>
      </c>
      <c r="K105" s="595">
        <f>'Прилож 4 24 (4)'!AA104</f>
        <v>0</v>
      </c>
      <c r="L105" s="595">
        <f>'Прилож 4 24 (4)'!AB104</f>
        <v>0</v>
      </c>
      <c r="M105" s="876">
        <f t="shared" si="17"/>
        <v>0</v>
      </c>
      <c r="N105" s="875"/>
      <c r="O105" s="875"/>
      <c r="P105" s="875"/>
      <c r="Q105" s="877"/>
      <c r="R105" s="875"/>
      <c r="S105" s="875"/>
      <c r="T105" s="875"/>
      <c r="U105" s="876">
        <f t="shared" si="18"/>
        <v>4000</v>
      </c>
      <c r="V105" s="875">
        <f t="shared" si="18"/>
        <v>0</v>
      </c>
      <c r="W105" s="875">
        <f t="shared" si="16"/>
        <v>0</v>
      </c>
      <c r="X105" s="875">
        <f t="shared" si="16"/>
        <v>4000</v>
      </c>
      <c r="Y105" s="883"/>
      <c r="Z105" s="875">
        <f t="shared" si="15"/>
        <v>0</v>
      </c>
      <c r="AA105" s="875">
        <f t="shared" si="15"/>
        <v>0</v>
      </c>
      <c r="AB105" s="875">
        <f t="shared" si="15"/>
        <v>0</v>
      </c>
      <c r="AC105" s="878"/>
    </row>
    <row r="106" spans="1:29" s="612" customFormat="1" x14ac:dyDescent="0.2">
      <c r="A106" s="618" t="s">
        <v>1204</v>
      </c>
      <c r="B106" s="619" t="s">
        <v>747</v>
      </c>
      <c r="C106" s="620">
        <v>244</v>
      </c>
      <c r="D106" s="620">
        <v>225</v>
      </c>
      <c r="E106" s="596">
        <f>'Прилож 4 24 (4)'!U105</f>
        <v>20000</v>
      </c>
      <c r="F106" s="595">
        <f>'Прилож 4 24 (4)'!V105</f>
        <v>0</v>
      </c>
      <c r="G106" s="595">
        <f>'Прилож 4 24 (4)'!W105</f>
        <v>0</v>
      </c>
      <c r="H106" s="595">
        <f>'Прилож 4 24 (4)'!X105</f>
        <v>20000</v>
      </c>
      <c r="I106" s="628"/>
      <c r="J106" s="595">
        <f>'Прилож 4 24 (4)'!Z105</f>
        <v>0</v>
      </c>
      <c r="K106" s="595">
        <f>'Прилож 4 24 (4)'!AA105</f>
        <v>0</v>
      </c>
      <c r="L106" s="595">
        <f>'Прилож 4 24 (4)'!AB105</f>
        <v>0</v>
      </c>
      <c r="M106" s="876">
        <f t="shared" si="17"/>
        <v>0</v>
      </c>
      <c r="N106" s="875"/>
      <c r="O106" s="875"/>
      <c r="P106" s="875"/>
      <c r="Q106" s="877"/>
      <c r="R106" s="875"/>
      <c r="S106" s="875"/>
      <c r="T106" s="875"/>
      <c r="U106" s="876">
        <f t="shared" si="18"/>
        <v>20000</v>
      </c>
      <c r="V106" s="875">
        <f t="shared" si="18"/>
        <v>0</v>
      </c>
      <c r="W106" s="875">
        <f t="shared" si="16"/>
        <v>0</v>
      </c>
      <c r="X106" s="875">
        <f t="shared" si="16"/>
        <v>20000</v>
      </c>
      <c r="Y106" s="883"/>
      <c r="Z106" s="875">
        <f t="shared" si="15"/>
        <v>0</v>
      </c>
      <c r="AA106" s="875">
        <f t="shared" si="15"/>
        <v>0</v>
      </c>
      <c r="AB106" s="875">
        <f t="shared" si="15"/>
        <v>0</v>
      </c>
      <c r="AC106" s="878"/>
    </row>
    <row r="107" spans="1:29" s="612" customFormat="1" ht="31.5" customHeight="1" x14ac:dyDescent="0.2">
      <c r="A107" s="618" t="s">
        <v>143</v>
      </c>
      <c r="B107" s="619" t="s">
        <v>747</v>
      </c>
      <c r="C107" s="620">
        <v>244</v>
      </c>
      <c r="D107" s="620">
        <v>225</v>
      </c>
      <c r="E107" s="596">
        <f>'Прилож 4 24 (4)'!U106</f>
        <v>12000</v>
      </c>
      <c r="F107" s="595">
        <f>'Прилож 4 24 (4)'!V106</f>
        <v>0</v>
      </c>
      <c r="G107" s="595">
        <f>'Прилож 4 24 (4)'!W106</f>
        <v>0</v>
      </c>
      <c r="H107" s="595">
        <f>'Прилож 4 24 (4)'!X106</f>
        <v>12000</v>
      </c>
      <c r="I107" s="628"/>
      <c r="J107" s="595">
        <f>'Прилож 4 24 (4)'!Z106</f>
        <v>0</v>
      </c>
      <c r="K107" s="595">
        <f>'Прилож 4 24 (4)'!AA106</f>
        <v>0</v>
      </c>
      <c r="L107" s="595">
        <f>'Прилож 4 24 (4)'!AB106</f>
        <v>0</v>
      </c>
      <c r="M107" s="876">
        <f t="shared" si="17"/>
        <v>104.58</v>
      </c>
      <c r="N107" s="875"/>
      <c r="O107" s="875"/>
      <c r="P107" s="875">
        <v>104.58</v>
      </c>
      <c r="Q107" s="877"/>
      <c r="R107" s="875"/>
      <c r="S107" s="875"/>
      <c r="T107" s="875"/>
      <c r="U107" s="876">
        <f t="shared" si="18"/>
        <v>12104.58</v>
      </c>
      <c r="V107" s="875">
        <f t="shared" si="18"/>
        <v>0</v>
      </c>
      <c r="W107" s="875">
        <f t="shared" si="16"/>
        <v>0</v>
      </c>
      <c r="X107" s="875">
        <f t="shared" si="16"/>
        <v>12104.58</v>
      </c>
      <c r="Y107" s="883"/>
      <c r="Z107" s="875">
        <f t="shared" si="15"/>
        <v>0</v>
      </c>
      <c r="AA107" s="875">
        <f t="shared" si="15"/>
        <v>0</v>
      </c>
      <c r="AB107" s="875">
        <f t="shared" si="15"/>
        <v>0</v>
      </c>
      <c r="AC107" s="878" t="s">
        <v>1354</v>
      </c>
    </row>
    <row r="108" spans="1:29" s="612" customFormat="1" ht="31.5" x14ac:dyDescent="0.2">
      <c r="A108" s="618" t="s">
        <v>645</v>
      </c>
      <c r="B108" s="619" t="s">
        <v>747</v>
      </c>
      <c r="C108" s="620">
        <v>244</v>
      </c>
      <c r="D108" s="620">
        <v>225</v>
      </c>
      <c r="E108" s="596">
        <f>'Прилож 4 24 (4)'!U107</f>
        <v>10000</v>
      </c>
      <c r="F108" s="595">
        <f>'Прилож 4 24 (4)'!V107</f>
        <v>0</v>
      </c>
      <c r="G108" s="595">
        <f>'Прилож 4 24 (4)'!W107</f>
        <v>0</v>
      </c>
      <c r="H108" s="595">
        <f>'Прилож 4 24 (4)'!X107</f>
        <v>10000</v>
      </c>
      <c r="I108" s="628"/>
      <c r="J108" s="595">
        <f>'Прилож 4 24 (4)'!Z107</f>
        <v>0</v>
      </c>
      <c r="K108" s="595">
        <f>'Прилож 4 24 (4)'!AA107</f>
        <v>0</v>
      </c>
      <c r="L108" s="595">
        <f>'Прилож 4 24 (4)'!AB107</f>
        <v>0</v>
      </c>
      <c r="M108" s="876">
        <f t="shared" si="17"/>
        <v>-10000</v>
      </c>
      <c r="N108" s="875"/>
      <c r="O108" s="875"/>
      <c r="P108" s="875">
        <v>-10000</v>
      </c>
      <c r="Q108" s="877"/>
      <c r="R108" s="875"/>
      <c r="S108" s="875"/>
      <c r="T108" s="875"/>
      <c r="U108" s="876">
        <f t="shared" si="18"/>
        <v>0</v>
      </c>
      <c r="V108" s="875">
        <f t="shared" si="18"/>
        <v>0</v>
      </c>
      <c r="W108" s="875">
        <f t="shared" si="16"/>
        <v>0</v>
      </c>
      <c r="X108" s="875">
        <f t="shared" si="16"/>
        <v>0</v>
      </c>
      <c r="Y108" s="883"/>
      <c r="Z108" s="875">
        <f t="shared" si="15"/>
        <v>0</v>
      </c>
      <c r="AA108" s="875">
        <f t="shared" si="15"/>
        <v>0</v>
      </c>
      <c r="AB108" s="875">
        <f t="shared" si="15"/>
        <v>0</v>
      </c>
      <c r="AC108" s="878" t="s">
        <v>1444</v>
      </c>
    </row>
    <row r="109" spans="1:29" s="612" customFormat="1" ht="31.5" x14ac:dyDescent="0.2">
      <c r="A109" s="618" t="s">
        <v>646</v>
      </c>
      <c r="B109" s="619" t="s">
        <v>747</v>
      </c>
      <c r="C109" s="620">
        <v>244</v>
      </c>
      <c r="D109" s="620">
        <v>225</v>
      </c>
      <c r="E109" s="596">
        <f>'Прилож 4 24 (4)'!U108</f>
        <v>20000</v>
      </c>
      <c r="F109" s="595">
        <f>'Прилож 4 24 (4)'!V108</f>
        <v>0</v>
      </c>
      <c r="G109" s="595">
        <f>'Прилож 4 24 (4)'!W108</f>
        <v>0</v>
      </c>
      <c r="H109" s="595">
        <f>'Прилож 4 24 (4)'!X108</f>
        <v>20000</v>
      </c>
      <c r="I109" s="628"/>
      <c r="J109" s="595">
        <f>'Прилож 4 24 (4)'!Z108</f>
        <v>0</v>
      </c>
      <c r="K109" s="595">
        <f>'Прилож 4 24 (4)'!AA108</f>
        <v>0</v>
      </c>
      <c r="L109" s="595">
        <f>'Прилож 4 24 (4)'!AB108</f>
        <v>0</v>
      </c>
      <c r="M109" s="876">
        <f t="shared" si="17"/>
        <v>24200</v>
      </c>
      <c r="N109" s="875"/>
      <c r="O109" s="875"/>
      <c r="P109" s="875">
        <v>24200</v>
      </c>
      <c r="Q109" s="877"/>
      <c r="R109" s="875"/>
      <c r="S109" s="875"/>
      <c r="T109" s="875"/>
      <c r="U109" s="876">
        <f t="shared" si="18"/>
        <v>44200</v>
      </c>
      <c r="V109" s="875">
        <f t="shared" si="18"/>
        <v>0</v>
      </c>
      <c r="W109" s="875">
        <f t="shared" si="16"/>
        <v>0</v>
      </c>
      <c r="X109" s="875">
        <f t="shared" si="16"/>
        <v>44200</v>
      </c>
      <c r="Y109" s="883"/>
      <c r="Z109" s="875">
        <f t="shared" si="15"/>
        <v>0</v>
      </c>
      <c r="AA109" s="875">
        <f t="shared" si="15"/>
        <v>0</v>
      </c>
      <c r="AB109" s="875">
        <f t="shared" si="15"/>
        <v>0</v>
      </c>
      <c r="AC109" s="878" t="s">
        <v>1458</v>
      </c>
    </row>
    <row r="110" spans="1:29" s="612" customFormat="1" ht="38.25" customHeight="1" x14ac:dyDescent="0.2">
      <c r="A110" s="618" t="s">
        <v>146</v>
      </c>
      <c r="B110" s="619" t="s">
        <v>747</v>
      </c>
      <c r="C110" s="620">
        <v>244</v>
      </c>
      <c r="D110" s="620">
        <v>225</v>
      </c>
      <c r="E110" s="596">
        <f>'Прилож 4 24 (4)'!U109</f>
        <v>20000</v>
      </c>
      <c r="F110" s="595">
        <f>'Прилож 4 24 (4)'!V109</f>
        <v>0</v>
      </c>
      <c r="G110" s="595">
        <f>'Прилож 4 24 (4)'!W109</f>
        <v>0</v>
      </c>
      <c r="H110" s="595">
        <f>'Прилож 4 24 (4)'!X109</f>
        <v>20000</v>
      </c>
      <c r="I110" s="628"/>
      <c r="J110" s="595">
        <f>'Прилож 4 24 (4)'!Z109</f>
        <v>0</v>
      </c>
      <c r="K110" s="595">
        <f>'Прилож 4 24 (4)'!AA109</f>
        <v>0</v>
      </c>
      <c r="L110" s="595">
        <f>'Прилож 4 24 (4)'!AB109</f>
        <v>0</v>
      </c>
      <c r="M110" s="876">
        <f t="shared" si="17"/>
        <v>0</v>
      </c>
      <c r="N110" s="875"/>
      <c r="O110" s="875"/>
      <c r="P110" s="875"/>
      <c r="Q110" s="877"/>
      <c r="R110" s="875"/>
      <c r="S110" s="875"/>
      <c r="T110" s="875"/>
      <c r="U110" s="876">
        <f t="shared" si="18"/>
        <v>20000</v>
      </c>
      <c r="V110" s="875">
        <f t="shared" si="18"/>
        <v>0</v>
      </c>
      <c r="W110" s="875">
        <f t="shared" si="16"/>
        <v>0</v>
      </c>
      <c r="X110" s="875">
        <f t="shared" si="16"/>
        <v>20000</v>
      </c>
      <c r="Y110" s="883"/>
      <c r="Z110" s="875">
        <f t="shared" si="15"/>
        <v>0</v>
      </c>
      <c r="AA110" s="875">
        <f t="shared" si="15"/>
        <v>0</v>
      </c>
      <c r="AB110" s="875">
        <f t="shared" si="15"/>
        <v>0</v>
      </c>
      <c r="AC110" s="878"/>
    </row>
    <row r="111" spans="1:29" s="612" customFormat="1" ht="47.25" x14ac:dyDescent="0.2">
      <c r="A111" s="618" t="s">
        <v>148</v>
      </c>
      <c r="B111" s="619" t="s">
        <v>747</v>
      </c>
      <c r="C111" s="620">
        <v>244</v>
      </c>
      <c r="D111" s="620">
        <v>225</v>
      </c>
      <c r="E111" s="596">
        <f>'Прилож 4 24 (4)'!U110</f>
        <v>12000</v>
      </c>
      <c r="F111" s="595">
        <f>'Прилож 4 24 (4)'!V110</f>
        <v>0</v>
      </c>
      <c r="G111" s="595">
        <f>'Прилож 4 24 (4)'!W110</f>
        <v>0</v>
      </c>
      <c r="H111" s="595">
        <f>'Прилож 4 24 (4)'!X110</f>
        <v>12000</v>
      </c>
      <c r="I111" s="628"/>
      <c r="J111" s="595">
        <f>'Прилож 4 24 (4)'!Z110</f>
        <v>0</v>
      </c>
      <c r="K111" s="595">
        <f>'Прилож 4 24 (4)'!AA110</f>
        <v>0</v>
      </c>
      <c r="L111" s="595">
        <f>'Прилож 4 24 (4)'!AB110</f>
        <v>0</v>
      </c>
      <c r="M111" s="876">
        <f t="shared" si="17"/>
        <v>0</v>
      </c>
      <c r="N111" s="875"/>
      <c r="O111" s="875"/>
      <c r="P111" s="875"/>
      <c r="Q111" s="877"/>
      <c r="R111" s="875"/>
      <c r="S111" s="875"/>
      <c r="T111" s="875"/>
      <c r="U111" s="876">
        <f t="shared" si="18"/>
        <v>12000</v>
      </c>
      <c r="V111" s="875">
        <f t="shared" si="18"/>
        <v>0</v>
      </c>
      <c r="W111" s="875">
        <f t="shared" si="16"/>
        <v>0</v>
      </c>
      <c r="X111" s="875">
        <f t="shared" si="16"/>
        <v>12000</v>
      </c>
      <c r="Y111" s="883"/>
      <c r="Z111" s="875">
        <f t="shared" si="15"/>
        <v>0</v>
      </c>
      <c r="AA111" s="875">
        <f t="shared" si="15"/>
        <v>0</v>
      </c>
      <c r="AB111" s="875">
        <f t="shared" si="15"/>
        <v>0</v>
      </c>
      <c r="AC111" s="878"/>
    </row>
    <row r="112" spans="1:29" s="612" customFormat="1" ht="42" customHeight="1" x14ac:dyDescent="0.2">
      <c r="A112" s="618" t="s">
        <v>149</v>
      </c>
      <c r="B112" s="619" t="s">
        <v>747</v>
      </c>
      <c r="C112" s="620">
        <v>244</v>
      </c>
      <c r="D112" s="620">
        <v>225</v>
      </c>
      <c r="E112" s="596">
        <f>'Прилож 4 24 (4)'!U111</f>
        <v>4000</v>
      </c>
      <c r="F112" s="595">
        <f>'Прилож 4 24 (4)'!V111</f>
        <v>0</v>
      </c>
      <c r="G112" s="595">
        <f>'Прилож 4 24 (4)'!W111</f>
        <v>0</v>
      </c>
      <c r="H112" s="595">
        <f>'Прилож 4 24 (4)'!X111</f>
        <v>4000</v>
      </c>
      <c r="I112" s="628"/>
      <c r="J112" s="595">
        <f>'Прилож 4 24 (4)'!Z111</f>
        <v>0</v>
      </c>
      <c r="K112" s="595">
        <f>'Прилож 4 24 (4)'!AA111</f>
        <v>0</v>
      </c>
      <c r="L112" s="595">
        <f>'Прилож 4 24 (4)'!AB111</f>
        <v>0</v>
      </c>
      <c r="M112" s="876">
        <f t="shared" si="17"/>
        <v>-966.78</v>
      </c>
      <c r="N112" s="875"/>
      <c r="O112" s="875"/>
      <c r="P112" s="875">
        <v>-966.78</v>
      </c>
      <c r="Q112" s="877"/>
      <c r="R112" s="875"/>
      <c r="S112" s="875"/>
      <c r="T112" s="875"/>
      <c r="U112" s="876">
        <f t="shared" si="18"/>
        <v>3033.2200000000003</v>
      </c>
      <c r="V112" s="875">
        <f t="shared" si="18"/>
        <v>0</v>
      </c>
      <c r="W112" s="875">
        <f t="shared" si="16"/>
        <v>0</v>
      </c>
      <c r="X112" s="875">
        <f t="shared" si="16"/>
        <v>3033.2200000000003</v>
      </c>
      <c r="Y112" s="883"/>
      <c r="Z112" s="875">
        <f t="shared" si="15"/>
        <v>0</v>
      </c>
      <c r="AA112" s="875">
        <f t="shared" si="15"/>
        <v>0</v>
      </c>
      <c r="AB112" s="875">
        <f t="shared" si="15"/>
        <v>0</v>
      </c>
      <c r="AC112" s="878" t="s">
        <v>1444</v>
      </c>
    </row>
    <row r="113" spans="1:29" s="612" customFormat="1" x14ac:dyDescent="0.2">
      <c r="A113" s="618" t="s">
        <v>647</v>
      </c>
      <c r="B113" s="619" t="s">
        <v>747</v>
      </c>
      <c r="C113" s="620">
        <v>244</v>
      </c>
      <c r="D113" s="620">
        <v>225</v>
      </c>
      <c r="E113" s="596">
        <f>'Прилож 4 24 (4)'!U112</f>
        <v>10000</v>
      </c>
      <c r="F113" s="595">
        <f>'Прилож 4 24 (4)'!V112</f>
        <v>0</v>
      </c>
      <c r="G113" s="595">
        <f>'Прилож 4 24 (4)'!W112</f>
        <v>0</v>
      </c>
      <c r="H113" s="595">
        <f>'Прилож 4 24 (4)'!X112</f>
        <v>10000</v>
      </c>
      <c r="I113" s="628"/>
      <c r="J113" s="595">
        <f>'Прилож 4 24 (4)'!Z112</f>
        <v>0</v>
      </c>
      <c r="K113" s="595">
        <f>'Прилож 4 24 (4)'!AA112</f>
        <v>0</v>
      </c>
      <c r="L113" s="595">
        <f>'Прилож 4 24 (4)'!AB112</f>
        <v>0</v>
      </c>
      <c r="M113" s="876">
        <f t="shared" si="17"/>
        <v>0</v>
      </c>
      <c r="N113" s="875"/>
      <c r="O113" s="875"/>
      <c r="P113" s="875"/>
      <c r="Q113" s="877"/>
      <c r="R113" s="875"/>
      <c r="S113" s="875"/>
      <c r="T113" s="875"/>
      <c r="U113" s="876">
        <f t="shared" si="18"/>
        <v>10000</v>
      </c>
      <c r="V113" s="875">
        <f t="shared" si="18"/>
        <v>0</v>
      </c>
      <c r="W113" s="875">
        <f t="shared" si="16"/>
        <v>0</v>
      </c>
      <c r="X113" s="875">
        <f t="shared" si="16"/>
        <v>10000</v>
      </c>
      <c r="Y113" s="883"/>
      <c r="Z113" s="875">
        <f t="shared" si="15"/>
        <v>0</v>
      </c>
      <c r="AA113" s="875">
        <f t="shared" si="15"/>
        <v>0</v>
      </c>
      <c r="AB113" s="875">
        <f t="shared" si="15"/>
        <v>0</v>
      </c>
      <c r="AC113" s="878"/>
    </row>
    <row r="114" spans="1:29" s="612" customFormat="1" ht="31.5" x14ac:dyDescent="0.2">
      <c r="A114" s="618" t="s">
        <v>1185</v>
      </c>
      <c r="B114" s="619" t="s">
        <v>747</v>
      </c>
      <c r="C114" s="620">
        <v>244</v>
      </c>
      <c r="D114" s="620">
        <v>225</v>
      </c>
      <c r="E114" s="596">
        <f>'Прилож 4 24 (4)'!U113</f>
        <v>19716</v>
      </c>
      <c r="F114" s="595">
        <f>'Прилож 4 24 (4)'!V113</f>
        <v>0</v>
      </c>
      <c r="G114" s="595">
        <f>'Прилож 4 24 (4)'!W113</f>
        <v>0</v>
      </c>
      <c r="H114" s="595">
        <f>'Прилож 4 24 (4)'!X113</f>
        <v>19716</v>
      </c>
      <c r="I114" s="628"/>
      <c r="J114" s="595">
        <f>'Прилож 4 24 (4)'!Z113</f>
        <v>0</v>
      </c>
      <c r="K114" s="595">
        <f>'Прилож 4 24 (4)'!AA113</f>
        <v>0</v>
      </c>
      <c r="L114" s="595">
        <f>'Прилож 4 24 (4)'!AB113</f>
        <v>0</v>
      </c>
      <c r="M114" s="876">
        <f t="shared" si="17"/>
        <v>0</v>
      </c>
      <c r="N114" s="875"/>
      <c r="O114" s="875"/>
      <c r="P114" s="875"/>
      <c r="Q114" s="877"/>
      <c r="R114" s="875"/>
      <c r="S114" s="875"/>
      <c r="T114" s="875"/>
      <c r="U114" s="876">
        <f t="shared" si="18"/>
        <v>19716</v>
      </c>
      <c r="V114" s="875">
        <f t="shared" si="18"/>
        <v>0</v>
      </c>
      <c r="W114" s="875">
        <f t="shared" si="16"/>
        <v>0</v>
      </c>
      <c r="X114" s="875">
        <f t="shared" si="16"/>
        <v>19716</v>
      </c>
      <c r="Y114" s="883"/>
      <c r="Z114" s="875">
        <f t="shared" si="15"/>
        <v>0</v>
      </c>
      <c r="AA114" s="875">
        <f t="shared" si="15"/>
        <v>0</v>
      </c>
      <c r="AB114" s="875">
        <f t="shared" si="15"/>
        <v>0</v>
      </c>
      <c r="AC114" s="878"/>
    </row>
    <row r="115" spans="1:29" s="612" customFormat="1" ht="31.5" x14ac:dyDescent="0.2">
      <c r="A115" s="618" t="s">
        <v>587</v>
      </c>
      <c r="B115" s="619" t="s">
        <v>747</v>
      </c>
      <c r="C115" s="620">
        <v>244</v>
      </c>
      <c r="D115" s="620">
        <v>225</v>
      </c>
      <c r="E115" s="596">
        <f>'Прилож 4 24 (4)'!U114</f>
        <v>14952</v>
      </c>
      <c r="F115" s="595">
        <f>'Прилож 4 24 (4)'!V114</f>
        <v>0</v>
      </c>
      <c r="G115" s="595">
        <f>'Прилож 4 24 (4)'!W114</f>
        <v>0</v>
      </c>
      <c r="H115" s="595">
        <f>'Прилож 4 24 (4)'!X114</f>
        <v>14952</v>
      </c>
      <c r="I115" s="628"/>
      <c r="J115" s="595">
        <f>'Прилож 4 24 (4)'!Z114</f>
        <v>0</v>
      </c>
      <c r="K115" s="595">
        <f>'Прилож 4 24 (4)'!AA114</f>
        <v>0</v>
      </c>
      <c r="L115" s="595">
        <f>'Прилож 4 24 (4)'!AB114</f>
        <v>0</v>
      </c>
      <c r="M115" s="876">
        <f t="shared" si="17"/>
        <v>0</v>
      </c>
      <c r="N115" s="875"/>
      <c r="O115" s="875"/>
      <c r="P115" s="875"/>
      <c r="Q115" s="877"/>
      <c r="R115" s="875"/>
      <c r="S115" s="875"/>
      <c r="T115" s="875"/>
      <c r="U115" s="876">
        <f t="shared" si="18"/>
        <v>14952</v>
      </c>
      <c r="V115" s="875">
        <f t="shared" si="18"/>
        <v>0</v>
      </c>
      <c r="W115" s="875">
        <f t="shared" si="16"/>
        <v>0</v>
      </c>
      <c r="X115" s="875">
        <f t="shared" si="16"/>
        <v>14952</v>
      </c>
      <c r="Y115" s="883"/>
      <c r="Z115" s="875">
        <f t="shared" si="15"/>
        <v>0</v>
      </c>
      <c r="AA115" s="875">
        <f t="shared" si="15"/>
        <v>0</v>
      </c>
      <c r="AB115" s="875">
        <f t="shared" si="15"/>
        <v>0</v>
      </c>
      <c r="AC115" s="878"/>
    </row>
    <row r="116" spans="1:29" s="612" customFormat="1" x14ac:dyDescent="0.2">
      <c r="A116" s="618" t="s">
        <v>1109</v>
      </c>
      <c r="B116" s="619" t="s">
        <v>747</v>
      </c>
      <c r="C116" s="620">
        <v>244</v>
      </c>
      <c r="D116" s="620">
        <v>225</v>
      </c>
      <c r="E116" s="596">
        <f>'Прилож 4 24 (4)'!U115</f>
        <v>45398.879999999997</v>
      </c>
      <c r="F116" s="595">
        <f>'Прилож 4 24 (4)'!V115</f>
        <v>0</v>
      </c>
      <c r="G116" s="595">
        <f>'Прилож 4 24 (4)'!W115</f>
        <v>0</v>
      </c>
      <c r="H116" s="595">
        <f>'Прилож 4 24 (4)'!X115</f>
        <v>45398.879999999997</v>
      </c>
      <c r="I116" s="621"/>
      <c r="J116" s="595">
        <f>'Прилож 4 24 (4)'!Z115</f>
        <v>0</v>
      </c>
      <c r="K116" s="595">
        <f>'Прилож 4 24 (4)'!AA115</f>
        <v>0</v>
      </c>
      <c r="L116" s="595">
        <f>'Прилож 4 24 (4)'!AB115</f>
        <v>0</v>
      </c>
      <c r="M116" s="876">
        <f t="shared" si="17"/>
        <v>0</v>
      </c>
      <c r="N116" s="875"/>
      <c r="O116" s="875"/>
      <c r="P116" s="875"/>
      <c r="Q116" s="877"/>
      <c r="R116" s="875"/>
      <c r="S116" s="875"/>
      <c r="T116" s="875"/>
      <c r="U116" s="876">
        <f t="shared" si="18"/>
        <v>45398.879999999997</v>
      </c>
      <c r="V116" s="875">
        <f t="shared" si="18"/>
        <v>0</v>
      </c>
      <c r="W116" s="875">
        <f t="shared" si="16"/>
        <v>0</v>
      </c>
      <c r="X116" s="875">
        <f t="shared" si="16"/>
        <v>45398.879999999997</v>
      </c>
      <c r="Y116" s="877"/>
      <c r="Z116" s="875">
        <f t="shared" si="15"/>
        <v>0</v>
      </c>
      <c r="AA116" s="875">
        <f t="shared" si="15"/>
        <v>0</v>
      </c>
      <c r="AB116" s="875">
        <f t="shared" si="15"/>
        <v>0</v>
      </c>
      <c r="AC116" s="878"/>
    </row>
    <row r="117" spans="1:29" ht="31.5" x14ac:dyDescent="0.2">
      <c r="A117" s="618" t="s">
        <v>157</v>
      </c>
      <c r="B117" s="619" t="s">
        <v>747</v>
      </c>
      <c r="C117" s="620">
        <v>244</v>
      </c>
      <c r="D117" s="620">
        <v>225</v>
      </c>
      <c r="E117" s="596">
        <f>'Прилож 4 24 (4)'!U116</f>
        <v>10000</v>
      </c>
      <c r="F117" s="595">
        <f>'Прилож 4 24 (4)'!V116</f>
        <v>0</v>
      </c>
      <c r="G117" s="595">
        <f>'Прилож 4 24 (4)'!W116</f>
        <v>0</v>
      </c>
      <c r="H117" s="595">
        <f>'Прилож 4 24 (4)'!X116</f>
        <v>10000</v>
      </c>
      <c r="I117" s="628"/>
      <c r="J117" s="595">
        <f>'Прилож 4 24 (4)'!Z116</f>
        <v>0</v>
      </c>
      <c r="K117" s="595">
        <f>'Прилож 4 24 (4)'!AA116</f>
        <v>0</v>
      </c>
      <c r="L117" s="595">
        <f>'Прилож 4 24 (4)'!AB116</f>
        <v>0</v>
      </c>
      <c r="M117" s="876">
        <f t="shared" si="17"/>
        <v>0</v>
      </c>
      <c r="N117" s="875"/>
      <c r="O117" s="875"/>
      <c r="P117" s="875"/>
      <c r="Q117" s="877"/>
      <c r="R117" s="875"/>
      <c r="S117" s="875"/>
      <c r="T117" s="875"/>
      <c r="U117" s="876">
        <f t="shared" si="18"/>
        <v>10000</v>
      </c>
      <c r="V117" s="875">
        <f t="shared" si="18"/>
        <v>0</v>
      </c>
      <c r="W117" s="875">
        <f t="shared" si="16"/>
        <v>0</v>
      </c>
      <c r="X117" s="875">
        <f t="shared" si="16"/>
        <v>10000</v>
      </c>
      <c r="Y117" s="883"/>
      <c r="Z117" s="875">
        <f t="shared" si="15"/>
        <v>0</v>
      </c>
      <c r="AA117" s="875">
        <f t="shared" si="15"/>
        <v>0</v>
      </c>
      <c r="AB117" s="875">
        <f t="shared" si="15"/>
        <v>0</v>
      </c>
      <c r="AC117" s="878"/>
    </row>
    <row r="118" spans="1:29" ht="34.15" customHeight="1" x14ac:dyDescent="0.2">
      <c r="A118" s="618" t="s">
        <v>1317</v>
      </c>
      <c r="B118" s="619" t="s">
        <v>747</v>
      </c>
      <c r="C118" s="620">
        <v>244</v>
      </c>
      <c r="D118" s="620">
        <v>225</v>
      </c>
      <c r="E118" s="596">
        <f>'Прилож 4 24 (4)'!U117</f>
        <v>202823.2</v>
      </c>
      <c r="F118" s="595">
        <f>'Прилож 4 24 (4)'!V117</f>
        <v>0</v>
      </c>
      <c r="G118" s="595">
        <f>'Прилож 4 24 (4)'!W117</f>
        <v>0</v>
      </c>
      <c r="H118" s="595">
        <f>'Прилож 4 24 (4)'!X117</f>
        <v>0</v>
      </c>
      <c r="I118" s="621" t="s">
        <v>1322</v>
      </c>
      <c r="J118" s="595">
        <f>'Прилож 4 24 (4)'!Z117</f>
        <v>0</v>
      </c>
      <c r="K118" s="595">
        <f>'Прилож 4 24 (4)'!AA117</f>
        <v>202823.2</v>
      </c>
      <c r="L118" s="595">
        <f>'Прилож 4 24 (4)'!AB117</f>
        <v>0</v>
      </c>
      <c r="M118" s="876">
        <f t="shared" si="17"/>
        <v>0</v>
      </c>
      <c r="N118" s="875"/>
      <c r="O118" s="875"/>
      <c r="P118" s="875"/>
      <c r="Q118" s="877"/>
      <c r="R118" s="875"/>
      <c r="S118" s="875"/>
      <c r="T118" s="875"/>
      <c r="U118" s="876">
        <f t="shared" si="18"/>
        <v>202823.2</v>
      </c>
      <c r="V118" s="875">
        <f t="shared" si="18"/>
        <v>0</v>
      </c>
      <c r="W118" s="875">
        <f t="shared" si="16"/>
        <v>0</v>
      </c>
      <c r="X118" s="875">
        <f t="shared" si="16"/>
        <v>0</v>
      </c>
      <c r="Y118" s="877" t="s">
        <v>1322</v>
      </c>
      <c r="Z118" s="875">
        <f t="shared" si="15"/>
        <v>0</v>
      </c>
      <c r="AA118" s="875">
        <f t="shared" si="15"/>
        <v>202823.2</v>
      </c>
      <c r="AB118" s="875">
        <f t="shared" si="15"/>
        <v>0</v>
      </c>
      <c r="AC118" s="878"/>
    </row>
    <row r="119" spans="1:29" ht="34.15" customHeight="1" x14ac:dyDescent="0.2">
      <c r="A119" s="618" t="s">
        <v>1319</v>
      </c>
      <c r="B119" s="619" t="s">
        <v>747</v>
      </c>
      <c r="C119" s="620">
        <v>244</v>
      </c>
      <c r="D119" s="620">
        <v>225</v>
      </c>
      <c r="E119" s="596">
        <f>'Прилож 4 24 (4)'!U118</f>
        <v>271171.20000000001</v>
      </c>
      <c r="F119" s="595">
        <f>'Прилож 4 24 (4)'!V118</f>
        <v>0</v>
      </c>
      <c r="G119" s="595">
        <f>'Прилож 4 24 (4)'!W118</f>
        <v>0</v>
      </c>
      <c r="H119" s="595">
        <f>'Прилож 4 24 (4)'!X118</f>
        <v>0</v>
      </c>
      <c r="I119" s="621" t="s">
        <v>1322</v>
      </c>
      <c r="J119" s="595">
        <f>'Прилож 4 24 (4)'!Z118</f>
        <v>0</v>
      </c>
      <c r="K119" s="595">
        <f>'Прилож 4 24 (4)'!AA118</f>
        <v>271171.20000000001</v>
      </c>
      <c r="L119" s="595">
        <f>'Прилож 4 24 (4)'!AB118</f>
        <v>0</v>
      </c>
      <c r="M119" s="876">
        <f t="shared" si="17"/>
        <v>0</v>
      </c>
      <c r="N119" s="875"/>
      <c r="O119" s="875"/>
      <c r="P119" s="875"/>
      <c r="Q119" s="877"/>
      <c r="R119" s="875"/>
      <c r="S119" s="875"/>
      <c r="T119" s="875"/>
      <c r="U119" s="876">
        <f t="shared" si="18"/>
        <v>271171.20000000001</v>
      </c>
      <c r="V119" s="875">
        <f t="shared" si="18"/>
        <v>0</v>
      </c>
      <c r="W119" s="875">
        <f t="shared" si="16"/>
        <v>0</v>
      </c>
      <c r="X119" s="875">
        <f t="shared" si="16"/>
        <v>0</v>
      </c>
      <c r="Y119" s="877" t="s">
        <v>1322</v>
      </c>
      <c r="Z119" s="875">
        <f t="shared" si="15"/>
        <v>0</v>
      </c>
      <c r="AA119" s="875">
        <f t="shared" si="15"/>
        <v>271171.20000000001</v>
      </c>
      <c r="AB119" s="875">
        <f t="shared" si="15"/>
        <v>0</v>
      </c>
      <c r="AC119" s="878"/>
    </row>
    <row r="120" spans="1:29" ht="47.25" x14ac:dyDescent="0.2">
      <c r="A120" s="618" t="s">
        <v>1320</v>
      </c>
      <c r="B120" s="619" t="s">
        <v>747</v>
      </c>
      <c r="C120" s="620">
        <v>244</v>
      </c>
      <c r="D120" s="620">
        <v>225</v>
      </c>
      <c r="E120" s="596">
        <f>'Прилож 4 24 (4)'!U119</f>
        <v>340128</v>
      </c>
      <c r="F120" s="595">
        <f>'Прилож 4 24 (4)'!V119</f>
        <v>0</v>
      </c>
      <c r="G120" s="595">
        <f>'Прилож 4 24 (4)'!W119</f>
        <v>0</v>
      </c>
      <c r="H120" s="595">
        <f>'Прилож 4 24 (4)'!X119</f>
        <v>0</v>
      </c>
      <c r="I120" s="621" t="s">
        <v>1322</v>
      </c>
      <c r="J120" s="595">
        <f>'Прилож 4 24 (4)'!Z119</f>
        <v>0</v>
      </c>
      <c r="K120" s="595">
        <f>'Прилож 4 24 (4)'!AA119</f>
        <v>340128</v>
      </c>
      <c r="L120" s="595">
        <f>'Прилож 4 24 (4)'!AB119</f>
        <v>0</v>
      </c>
      <c r="M120" s="876">
        <f t="shared" si="17"/>
        <v>0</v>
      </c>
      <c r="N120" s="875"/>
      <c r="O120" s="875"/>
      <c r="P120" s="875"/>
      <c r="Q120" s="877"/>
      <c r="R120" s="875"/>
      <c r="S120" s="875"/>
      <c r="T120" s="875"/>
      <c r="U120" s="876">
        <f t="shared" si="18"/>
        <v>340128</v>
      </c>
      <c r="V120" s="875">
        <f t="shared" si="18"/>
        <v>0</v>
      </c>
      <c r="W120" s="875">
        <f t="shared" si="16"/>
        <v>0</v>
      </c>
      <c r="X120" s="875">
        <f t="shared" si="16"/>
        <v>0</v>
      </c>
      <c r="Y120" s="877" t="s">
        <v>1322</v>
      </c>
      <c r="Z120" s="875">
        <f t="shared" si="15"/>
        <v>0</v>
      </c>
      <c r="AA120" s="875">
        <f t="shared" si="15"/>
        <v>340128</v>
      </c>
      <c r="AB120" s="875">
        <f t="shared" si="15"/>
        <v>0</v>
      </c>
      <c r="AC120" s="878"/>
    </row>
    <row r="121" spans="1:29" s="637" customFormat="1" x14ac:dyDescent="0.2">
      <c r="A121" s="632" t="s">
        <v>1143</v>
      </c>
      <c r="B121" s="633" t="s">
        <v>747</v>
      </c>
      <c r="C121" s="634">
        <v>244</v>
      </c>
      <c r="D121" s="634">
        <v>225</v>
      </c>
      <c r="E121" s="596">
        <f>'Прилож 4 24 (4)'!U120</f>
        <v>1166765.3800000001</v>
      </c>
      <c r="F121" s="595">
        <f>'Прилож 4 24 (4)'!V120</f>
        <v>0</v>
      </c>
      <c r="G121" s="595">
        <f>'Прилож 4 24 (4)'!W120</f>
        <v>0</v>
      </c>
      <c r="H121" s="595">
        <f>'Прилож 4 24 (4)'!X120</f>
        <v>352642.98</v>
      </c>
      <c r="I121" s="635"/>
      <c r="J121" s="595">
        <f>'Прилож 4 24 (4)'!Z120</f>
        <v>0</v>
      </c>
      <c r="K121" s="595">
        <f>'Прилож 4 24 (4)'!AA120</f>
        <v>814122.4</v>
      </c>
      <c r="L121" s="595">
        <f>'Прилож 4 24 (4)'!AB120</f>
        <v>0</v>
      </c>
      <c r="M121" s="876">
        <f t="shared" si="17"/>
        <v>13337.8</v>
      </c>
      <c r="N121" s="884">
        <f>SUM(N99:N120)</f>
        <v>0</v>
      </c>
      <c r="O121" s="884"/>
      <c r="P121" s="884">
        <f>SUM(P99:P120)</f>
        <v>13337.8</v>
      </c>
      <c r="Q121" s="885"/>
      <c r="R121" s="884"/>
      <c r="S121" s="884"/>
      <c r="T121" s="884"/>
      <c r="U121" s="876">
        <f t="shared" si="18"/>
        <v>1180103.1800000002</v>
      </c>
      <c r="V121" s="875">
        <f t="shared" si="18"/>
        <v>0</v>
      </c>
      <c r="W121" s="875">
        <f t="shared" si="16"/>
        <v>0</v>
      </c>
      <c r="X121" s="875">
        <f t="shared" si="16"/>
        <v>365980.77999999997</v>
      </c>
      <c r="Y121" s="885"/>
      <c r="Z121" s="875">
        <f t="shared" si="15"/>
        <v>0</v>
      </c>
      <c r="AA121" s="875">
        <f t="shared" si="15"/>
        <v>814122.4</v>
      </c>
      <c r="AB121" s="875">
        <f t="shared" si="15"/>
        <v>0</v>
      </c>
      <c r="AC121" s="886"/>
    </row>
    <row r="122" spans="1:29" ht="66.75" customHeight="1" x14ac:dyDescent="0.2">
      <c r="A122" s="618" t="s">
        <v>1188</v>
      </c>
      <c r="B122" s="619" t="s">
        <v>729</v>
      </c>
      <c r="C122" s="620">
        <v>244</v>
      </c>
      <c r="D122" s="620">
        <v>225</v>
      </c>
      <c r="E122" s="596">
        <f>'Прилож 4 24 (4)'!U121</f>
        <v>50400</v>
      </c>
      <c r="F122" s="595">
        <f>'Прилож 4 24 (4)'!V121</f>
        <v>0</v>
      </c>
      <c r="G122" s="595">
        <f>'Прилож 4 24 (4)'!W121</f>
        <v>0</v>
      </c>
      <c r="H122" s="595">
        <f>'Прилож 4 24 (4)'!X121</f>
        <v>50400</v>
      </c>
      <c r="I122" s="628"/>
      <c r="J122" s="595">
        <f>'Прилож 4 24 (4)'!Z121</f>
        <v>0</v>
      </c>
      <c r="K122" s="595">
        <f>'Прилож 4 24 (4)'!AA121</f>
        <v>0</v>
      </c>
      <c r="L122" s="595">
        <f>'Прилож 4 24 (4)'!AB121</f>
        <v>0</v>
      </c>
      <c r="M122" s="876">
        <f t="shared" si="17"/>
        <v>0</v>
      </c>
      <c r="N122" s="875"/>
      <c r="O122" s="875"/>
      <c r="P122" s="875"/>
      <c r="Q122" s="877"/>
      <c r="R122" s="875"/>
      <c r="S122" s="875"/>
      <c r="T122" s="875"/>
      <c r="U122" s="876">
        <f t="shared" si="18"/>
        <v>50400</v>
      </c>
      <c r="V122" s="875">
        <f t="shared" si="18"/>
        <v>0</v>
      </c>
      <c r="W122" s="875">
        <f t="shared" si="16"/>
        <v>0</v>
      </c>
      <c r="X122" s="875">
        <f t="shared" si="16"/>
        <v>50400</v>
      </c>
      <c r="Y122" s="883"/>
      <c r="Z122" s="875">
        <f t="shared" si="15"/>
        <v>0</v>
      </c>
      <c r="AA122" s="875">
        <f t="shared" si="15"/>
        <v>0</v>
      </c>
      <c r="AB122" s="875">
        <f t="shared" si="15"/>
        <v>0</v>
      </c>
      <c r="AC122" s="878"/>
    </row>
    <row r="123" spans="1:29" x14ac:dyDescent="0.2">
      <c r="A123" s="618" t="s">
        <v>1193</v>
      </c>
      <c r="B123" s="619" t="s">
        <v>729</v>
      </c>
      <c r="C123" s="620">
        <v>244</v>
      </c>
      <c r="D123" s="620">
        <v>225</v>
      </c>
      <c r="E123" s="596">
        <f>'Прилож 4 24 (4)'!U122</f>
        <v>73152</v>
      </c>
      <c r="F123" s="595">
        <f>'Прилож 4 24 (4)'!V122</f>
        <v>0</v>
      </c>
      <c r="G123" s="595">
        <f>'Прилож 4 24 (4)'!W122</f>
        <v>0</v>
      </c>
      <c r="H123" s="595">
        <f>'Прилож 4 24 (4)'!X122</f>
        <v>73152</v>
      </c>
      <c r="I123" s="628"/>
      <c r="J123" s="595">
        <f>'Прилож 4 24 (4)'!Z122</f>
        <v>0</v>
      </c>
      <c r="K123" s="595">
        <f>'Прилож 4 24 (4)'!AA122</f>
        <v>0</v>
      </c>
      <c r="L123" s="595">
        <f>'Прилож 4 24 (4)'!AB122</f>
        <v>0</v>
      </c>
      <c r="M123" s="876">
        <f t="shared" si="17"/>
        <v>0</v>
      </c>
      <c r="N123" s="875"/>
      <c r="O123" s="875"/>
      <c r="P123" s="875"/>
      <c r="Q123" s="877"/>
      <c r="R123" s="875"/>
      <c r="S123" s="875"/>
      <c r="T123" s="875"/>
      <c r="U123" s="876">
        <f t="shared" si="18"/>
        <v>73152</v>
      </c>
      <c r="V123" s="875">
        <f t="shared" si="18"/>
        <v>0</v>
      </c>
      <c r="W123" s="875">
        <f t="shared" si="16"/>
        <v>0</v>
      </c>
      <c r="X123" s="875">
        <f t="shared" si="16"/>
        <v>73152</v>
      </c>
      <c r="Y123" s="883"/>
      <c r="Z123" s="875">
        <f t="shared" si="15"/>
        <v>0</v>
      </c>
      <c r="AA123" s="875">
        <f t="shared" si="15"/>
        <v>0</v>
      </c>
      <c r="AB123" s="875">
        <f t="shared" si="15"/>
        <v>0</v>
      </c>
      <c r="AC123" s="878"/>
    </row>
    <row r="124" spans="1:29" ht="36.75" customHeight="1" x14ac:dyDescent="0.2">
      <c r="A124" s="618" t="s">
        <v>1192</v>
      </c>
      <c r="B124" s="619" t="s">
        <v>729</v>
      </c>
      <c r="C124" s="620">
        <v>244</v>
      </c>
      <c r="D124" s="620">
        <v>225</v>
      </c>
      <c r="E124" s="596">
        <f>'Прилож 4 24 (4)'!U123</f>
        <v>3859</v>
      </c>
      <c r="F124" s="595">
        <f>'Прилож 4 24 (4)'!V123</f>
        <v>0</v>
      </c>
      <c r="G124" s="595">
        <f>'Прилож 4 24 (4)'!W123</f>
        <v>0</v>
      </c>
      <c r="H124" s="595">
        <f>'Прилож 4 24 (4)'!X123</f>
        <v>3859</v>
      </c>
      <c r="I124" s="628"/>
      <c r="J124" s="595">
        <f>'Прилож 4 24 (4)'!Z123</f>
        <v>0</v>
      </c>
      <c r="K124" s="595">
        <f>'Прилож 4 24 (4)'!AA123</f>
        <v>0</v>
      </c>
      <c r="L124" s="595">
        <f>'Прилож 4 24 (4)'!AB123</f>
        <v>0</v>
      </c>
      <c r="M124" s="876">
        <f t="shared" si="17"/>
        <v>0</v>
      </c>
      <c r="N124" s="875"/>
      <c r="O124" s="875"/>
      <c r="P124" s="875"/>
      <c r="Q124" s="877"/>
      <c r="R124" s="875"/>
      <c r="S124" s="875"/>
      <c r="T124" s="875"/>
      <c r="U124" s="876">
        <f t="shared" si="18"/>
        <v>3859</v>
      </c>
      <c r="V124" s="875">
        <f t="shared" si="18"/>
        <v>0</v>
      </c>
      <c r="W124" s="875">
        <f t="shared" si="16"/>
        <v>0</v>
      </c>
      <c r="X124" s="875">
        <f t="shared" si="16"/>
        <v>3859</v>
      </c>
      <c r="Y124" s="883"/>
      <c r="Z124" s="875">
        <f t="shared" si="15"/>
        <v>0</v>
      </c>
      <c r="AA124" s="875">
        <f t="shared" si="15"/>
        <v>0</v>
      </c>
      <c r="AB124" s="875">
        <f t="shared" si="15"/>
        <v>0</v>
      </c>
      <c r="AC124" s="878"/>
    </row>
    <row r="125" spans="1:29" ht="31.5" x14ac:dyDescent="0.2">
      <c r="A125" s="618" t="s">
        <v>1186</v>
      </c>
      <c r="B125" s="619" t="s">
        <v>729</v>
      </c>
      <c r="C125" s="620">
        <v>244</v>
      </c>
      <c r="D125" s="620">
        <v>225</v>
      </c>
      <c r="E125" s="596">
        <f>'Прилож 4 24 (4)'!U124</f>
        <v>23457.360000000001</v>
      </c>
      <c r="F125" s="595">
        <f>'Прилож 4 24 (4)'!V124</f>
        <v>0</v>
      </c>
      <c r="G125" s="595">
        <f>'Прилож 4 24 (4)'!W124</f>
        <v>0</v>
      </c>
      <c r="H125" s="595">
        <f>'Прилож 4 24 (4)'!X124</f>
        <v>23457.360000000001</v>
      </c>
      <c r="I125" s="628"/>
      <c r="J125" s="595">
        <f>'Прилож 4 24 (4)'!Z124</f>
        <v>0</v>
      </c>
      <c r="K125" s="595">
        <f>'Прилож 4 24 (4)'!AA124</f>
        <v>0</v>
      </c>
      <c r="L125" s="595">
        <f>'Прилож 4 24 (4)'!AB124</f>
        <v>0</v>
      </c>
      <c r="M125" s="876">
        <f t="shared" si="17"/>
        <v>0</v>
      </c>
      <c r="N125" s="875"/>
      <c r="O125" s="875"/>
      <c r="P125" s="875"/>
      <c r="Q125" s="877"/>
      <c r="R125" s="875"/>
      <c r="S125" s="875"/>
      <c r="T125" s="875"/>
      <c r="U125" s="876">
        <f t="shared" si="18"/>
        <v>23457.360000000001</v>
      </c>
      <c r="V125" s="875">
        <f t="shared" si="18"/>
        <v>0</v>
      </c>
      <c r="W125" s="875">
        <f t="shared" si="16"/>
        <v>0</v>
      </c>
      <c r="X125" s="875">
        <f t="shared" si="16"/>
        <v>23457.360000000001</v>
      </c>
      <c r="Y125" s="883"/>
      <c r="Z125" s="875">
        <f t="shared" si="15"/>
        <v>0</v>
      </c>
      <c r="AA125" s="875">
        <f t="shared" si="15"/>
        <v>0</v>
      </c>
      <c r="AB125" s="875">
        <f t="shared" si="15"/>
        <v>0</v>
      </c>
      <c r="AC125" s="878"/>
    </row>
    <row r="126" spans="1:29" ht="55.5" customHeight="1" x14ac:dyDescent="0.2">
      <c r="A126" s="618" t="s">
        <v>148</v>
      </c>
      <c r="B126" s="619" t="s">
        <v>729</v>
      </c>
      <c r="C126" s="620">
        <v>244</v>
      </c>
      <c r="D126" s="620">
        <v>225</v>
      </c>
      <c r="E126" s="596">
        <f>'Прилож 4 24 (4)'!U125</f>
        <v>4000</v>
      </c>
      <c r="F126" s="595">
        <f>'Прилож 4 24 (4)'!V125</f>
        <v>0</v>
      </c>
      <c r="G126" s="595">
        <f>'Прилож 4 24 (4)'!W125</f>
        <v>0</v>
      </c>
      <c r="H126" s="595">
        <f>'Прилож 4 24 (4)'!X125</f>
        <v>4000</v>
      </c>
      <c r="I126" s="628"/>
      <c r="J126" s="595">
        <f>'Прилож 4 24 (4)'!Z125</f>
        <v>0</v>
      </c>
      <c r="K126" s="595">
        <f>'Прилож 4 24 (4)'!AA125</f>
        <v>0</v>
      </c>
      <c r="L126" s="595">
        <f>'Прилож 4 24 (4)'!AB125</f>
        <v>0</v>
      </c>
      <c r="M126" s="876">
        <f t="shared" si="17"/>
        <v>0</v>
      </c>
      <c r="N126" s="875"/>
      <c r="O126" s="875"/>
      <c r="P126" s="875"/>
      <c r="Q126" s="877"/>
      <c r="R126" s="875"/>
      <c r="S126" s="875"/>
      <c r="T126" s="875"/>
      <c r="U126" s="876">
        <f t="shared" si="18"/>
        <v>4000</v>
      </c>
      <c r="V126" s="875">
        <f t="shared" si="18"/>
        <v>0</v>
      </c>
      <c r="W126" s="875">
        <f t="shared" si="16"/>
        <v>0</v>
      </c>
      <c r="X126" s="875">
        <f t="shared" si="16"/>
        <v>4000</v>
      </c>
      <c r="Y126" s="883"/>
      <c r="Z126" s="875">
        <f t="shared" si="15"/>
        <v>0</v>
      </c>
      <c r="AA126" s="875">
        <f t="shared" si="15"/>
        <v>0</v>
      </c>
      <c r="AB126" s="875">
        <f t="shared" si="15"/>
        <v>0</v>
      </c>
      <c r="AC126" s="878"/>
    </row>
    <row r="127" spans="1:29" x14ac:dyDescent="0.2">
      <c r="A127" s="618" t="s">
        <v>627</v>
      </c>
      <c r="B127" s="619" t="s">
        <v>729</v>
      </c>
      <c r="C127" s="620">
        <v>244</v>
      </c>
      <c r="D127" s="620">
        <v>225</v>
      </c>
      <c r="E127" s="596">
        <f>'Прилож 4 24 (4)'!U126</f>
        <v>126092.16</v>
      </c>
      <c r="F127" s="595">
        <f>'Прилож 4 24 (4)'!V126</f>
        <v>0</v>
      </c>
      <c r="G127" s="595">
        <f>'Прилож 4 24 (4)'!W126</f>
        <v>0</v>
      </c>
      <c r="H127" s="595">
        <f>'Прилож 4 24 (4)'!X126</f>
        <v>126092.16</v>
      </c>
      <c r="I127" s="628"/>
      <c r="J127" s="595">
        <f>'Прилож 4 24 (4)'!Z126</f>
        <v>0</v>
      </c>
      <c r="K127" s="595">
        <f>'Прилож 4 24 (4)'!AA126</f>
        <v>0</v>
      </c>
      <c r="L127" s="595">
        <f>'Прилож 4 24 (4)'!AB126</f>
        <v>0</v>
      </c>
      <c r="M127" s="876">
        <f t="shared" si="17"/>
        <v>0</v>
      </c>
      <c r="N127" s="875"/>
      <c r="O127" s="875"/>
      <c r="P127" s="875"/>
      <c r="Q127" s="877"/>
      <c r="R127" s="875"/>
      <c r="S127" s="875"/>
      <c r="T127" s="875"/>
      <c r="U127" s="876">
        <f t="shared" si="18"/>
        <v>126092.16</v>
      </c>
      <c r="V127" s="875">
        <f t="shared" si="18"/>
        <v>0</v>
      </c>
      <c r="W127" s="875">
        <f t="shared" si="16"/>
        <v>0</v>
      </c>
      <c r="X127" s="875">
        <f t="shared" si="16"/>
        <v>126092.16</v>
      </c>
      <c r="Y127" s="883"/>
      <c r="Z127" s="875">
        <f t="shared" si="15"/>
        <v>0</v>
      </c>
      <c r="AA127" s="875">
        <f t="shared" si="15"/>
        <v>0</v>
      </c>
      <c r="AB127" s="875">
        <f t="shared" si="15"/>
        <v>0</v>
      </c>
      <c r="AC127" s="878"/>
    </row>
    <row r="128" spans="1:29" ht="34.5" customHeight="1" x14ac:dyDescent="0.2">
      <c r="A128" s="618" t="s">
        <v>759</v>
      </c>
      <c r="B128" s="619" t="s">
        <v>729</v>
      </c>
      <c r="C128" s="620">
        <v>244</v>
      </c>
      <c r="D128" s="620">
        <v>225</v>
      </c>
      <c r="E128" s="596">
        <f>'Прилож 4 24 (4)'!U127</f>
        <v>0</v>
      </c>
      <c r="F128" s="595">
        <f>'Прилож 4 24 (4)'!V127</f>
        <v>0</v>
      </c>
      <c r="G128" s="595">
        <f>'Прилож 4 24 (4)'!W127</f>
        <v>0</v>
      </c>
      <c r="H128" s="595">
        <f>'Прилож 4 24 (4)'!X127</f>
        <v>0</v>
      </c>
      <c r="I128" s="628"/>
      <c r="J128" s="595">
        <f>'Прилож 4 24 (4)'!Z127</f>
        <v>0</v>
      </c>
      <c r="K128" s="595">
        <f>'Прилож 4 24 (4)'!AA127</f>
        <v>0</v>
      </c>
      <c r="L128" s="595">
        <f>'Прилож 4 24 (4)'!AB127</f>
        <v>0</v>
      </c>
      <c r="M128" s="876">
        <f t="shared" si="17"/>
        <v>0</v>
      </c>
      <c r="N128" s="875"/>
      <c r="O128" s="875"/>
      <c r="P128" s="875"/>
      <c r="Q128" s="877"/>
      <c r="R128" s="875"/>
      <c r="S128" s="875"/>
      <c r="T128" s="875"/>
      <c r="U128" s="876">
        <f t="shared" si="18"/>
        <v>0</v>
      </c>
      <c r="V128" s="875">
        <f t="shared" si="18"/>
        <v>0</v>
      </c>
      <c r="W128" s="875">
        <f t="shared" si="16"/>
        <v>0</v>
      </c>
      <c r="X128" s="875">
        <f t="shared" si="16"/>
        <v>0</v>
      </c>
      <c r="Y128" s="883"/>
      <c r="Z128" s="875">
        <f t="shared" si="15"/>
        <v>0</v>
      </c>
      <c r="AA128" s="875">
        <f t="shared" si="15"/>
        <v>0</v>
      </c>
      <c r="AB128" s="875">
        <f t="shared" si="15"/>
        <v>0</v>
      </c>
      <c r="AC128" s="878"/>
    </row>
    <row r="129" spans="1:29" ht="28.5" customHeight="1" x14ac:dyDescent="0.2">
      <c r="A129" s="618" t="s">
        <v>143</v>
      </c>
      <c r="B129" s="619" t="s">
        <v>729</v>
      </c>
      <c r="C129" s="620">
        <v>244</v>
      </c>
      <c r="D129" s="620">
        <v>225</v>
      </c>
      <c r="E129" s="596">
        <f>'Прилож 4 24 (4)'!U128</f>
        <v>36219.360000000001</v>
      </c>
      <c r="F129" s="595">
        <f>'Прилож 4 24 (4)'!V128</f>
        <v>0</v>
      </c>
      <c r="G129" s="595">
        <f>'Прилож 4 24 (4)'!W128</f>
        <v>0</v>
      </c>
      <c r="H129" s="595">
        <f>'Прилож 4 24 (4)'!X128</f>
        <v>36219.360000000001</v>
      </c>
      <c r="I129" s="628"/>
      <c r="J129" s="595">
        <f>'Прилож 4 24 (4)'!Z128</f>
        <v>0</v>
      </c>
      <c r="K129" s="595">
        <f>'Прилож 4 24 (4)'!AA128</f>
        <v>0</v>
      </c>
      <c r="L129" s="595">
        <f>'Прилож 4 24 (4)'!AB128</f>
        <v>0</v>
      </c>
      <c r="M129" s="876">
        <f t="shared" si="17"/>
        <v>7357.11</v>
      </c>
      <c r="N129" s="875"/>
      <c r="O129" s="875"/>
      <c r="P129" s="875">
        <v>7357.11</v>
      </c>
      <c r="Q129" s="877"/>
      <c r="R129" s="875"/>
      <c r="S129" s="875"/>
      <c r="T129" s="875"/>
      <c r="U129" s="876">
        <f t="shared" si="18"/>
        <v>43576.47</v>
      </c>
      <c r="V129" s="875">
        <f t="shared" si="18"/>
        <v>0</v>
      </c>
      <c r="W129" s="875">
        <f t="shared" si="16"/>
        <v>0</v>
      </c>
      <c r="X129" s="875">
        <f t="shared" si="16"/>
        <v>43576.47</v>
      </c>
      <c r="Y129" s="883"/>
      <c r="Z129" s="875">
        <f t="shared" si="15"/>
        <v>0</v>
      </c>
      <c r="AA129" s="875">
        <f t="shared" si="15"/>
        <v>0</v>
      </c>
      <c r="AB129" s="875">
        <f t="shared" si="15"/>
        <v>0</v>
      </c>
      <c r="AC129" s="878" t="s">
        <v>1354</v>
      </c>
    </row>
    <row r="130" spans="1:29" ht="39" customHeight="1" x14ac:dyDescent="0.2">
      <c r="A130" s="618" t="s">
        <v>635</v>
      </c>
      <c r="B130" s="619" t="s">
        <v>729</v>
      </c>
      <c r="C130" s="620">
        <v>244</v>
      </c>
      <c r="D130" s="620">
        <v>225</v>
      </c>
      <c r="E130" s="596">
        <f>'Прилож 4 24 (4)'!U129</f>
        <v>70000</v>
      </c>
      <c r="F130" s="595">
        <f>'Прилож 4 24 (4)'!V129</f>
        <v>0</v>
      </c>
      <c r="G130" s="595">
        <f>'Прилож 4 24 (4)'!W129</f>
        <v>0</v>
      </c>
      <c r="H130" s="595">
        <f>'Прилож 4 24 (4)'!X129</f>
        <v>70000</v>
      </c>
      <c r="I130" s="628"/>
      <c r="J130" s="595">
        <f>'Прилож 4 24 (4)'!Z129</f>
        <v>0</v>
      </c>
      <c r="K130" s="595">
        <f>'Прилож 4 24 (4)'!AA129</f>
        <v>0</v>
      </c>
      <c r="L130" s="595">
        <f>'Прилож 4 24 (4)'!AB129</f>
        <v>0</v>
      </c>
      <c r="M130" s="876">
        <f t="shared" si="17"/>
        <v>0</v>
      </c>
      <c r="N130" s="875"/>
      <c r="O130" s="875"/>
      <c r="P130" s="875"/>
      <c r="Q130" s="877"/>
      <c r="R130" s="875"/>
      <c r="S130" s="875"/>
      <c r="T130" s="875"/>
      <c r="U130" s="876">
        <f t="shared" si="18"/>
        <v>70000</v>
      </c>
      <c r="V130" s="875">
        <f t="shared" si="18"/>
        <v>0</v>
      </c>
      <c r="W130" s="875">
        <f t="shared" si="16"/>
        <v>0</v>
      </c>
      <c r="X130" s="875">
        <f t="shared" si="16"/>
        <v>70000</v>
      </c>
      <c r="Y130" s="883"/>
      <c r="Z130" s="875">
        <f t="shared" si="15"/>
        <v>0</v>
      </c>
      <c r="AA130" s="875">
        <f t="shared" si="15"/>
        <v>0</v>
      </c>
      <c r="AB130" s="875">
        <f t="shared" si="15"/>
        <v>0</v>
      </c>
      <c r="AC130" s="878"/>
    </row>
    <row r="131" spans="1:29" ht="36.75" customHeight="1" x14ac:dyDescent="0.2">
      <c r="A131" s="618" t="s">
        <v>951</v>
      </c>
      <c r="B131" s="619" t="s">
        <v>729</v>
      </c>
      <c r="C131" s="620">
        <v>244</v>
      </c>
      <c r="D131" s="620">
        <v>225</v>
      </c>
      <c r="E131" s="596">
        <f>'Прилож 4 24 (4)'!U130</f>
        <v>22000</v>
      </c>
      <c r="F131" s="595">
        <f>'Прилож 4 24 (4)'!V130</f>
        <v>0</v>
      </c>
      <c r="G131" s="595">
        <f>'Прилож 4 24 (4)'!W130</f>
        <v>0</v>
      </c>
      <c r="H131" s="595">
        <f>'Прилож 4 24 (4)'!X130</f>
        <v>22000</v>
      </c>
      <c r="I131" s="628"/>
      <c r="J131" s="595">
        <f>'Прилож 4 24 (4)'!Z130</f>
        <v>0</v>
      </c>
      <c r="K131" s="595">
        <f>'Прилож 4 24 (4)'!AA130</f>
        <v>0</v>
      </c>
      <c r="L131" s="595">
        <f>'Прилож 4 24 (4)'!AB130</f>
        <v>0</v>
      </c>
      <c r="M131" s="876">
        <f t="shared" si="17"/>
        <v>2062.89</v>
      </c>
      <c r="N131" s="875"/>
      <c r="O131" s="875"/>
      <c r="P131" s="875">
        <v>2062.89</v>
      </c>
      <c r="Q131" s="877"/>
      <c r="R131" s="875"/>
      <c r="S131" s="875"/>
      <c r="T131" s="875"/>
      <c r="U131" s="876">
        <f t="shared" si="18"/>
        <v>24062.89</v>
      </c>
      <c r="V131" s="875">
        <f t="shared" si="18"/>
        <v>0</v>
      </c>
      <c r="W131" s="875">
        <f t="shared" si="16"/>
        <v>0</v>
      </c>
      <c r="X131" s="875">
        <f t="shared" si="16"/>
        <v>24062.89</v>
      </c>
      <c r="Y131" s="883"/>
      <c r="Z131" s="875">
        <f t="shared" si="15"/>
        <v>0</v>
      </c>
      <c r="AA131" s="875">
        <f t="shared" si="15"/>
        <v>0</v>
      </c>
      <c r="AB131" s="875">
        <f t="shared" si="15"/>
        <v>0</v>
      </c>
      <c r="AC131" s="878" t="s">
        <v>1448</v>
      </c>
    </row>
    <row r="132" spans="1:29" ht="34.5" customHeight="1" x14ac:dyDescent="0.2">
      <c r="A132" s="618" t="s">
        <v>150</v>
      </c>
      <c r="B132" s="619" t="s">
        <v>729</v>
      </c>
      <c r="C132" s="620">
        <v>244</v>
      </c>
      <c r="D132" s="620">
        <v>225</v>
      </c>
      <c r="E132" s="596">
        <f>'Прилож 4 24 (4)'!U131</f>
        <v>0</v>
      </c>
      <c r="F132" s="595">
        <f>'Прилож 4 24 (4)'!V131</f>
        <v>0</v>
      </c>
      <c r="G132" s="595">
        <f>'Прилож 4 24 (4)'!W131</f>
        <v>0</v>
      </c>
      <c r="H132" s="595">
        <f>'Прилож 4 24 (4)'!X131</f>
        <v>0</v>
      </c>
      <c r="I132" s="628"/>
      <c r="J132" s="595">
        <f>'Прилож 4 24 (4)'!Z131</f>
        <v>0</v>
      </c>
      <c r="K132" s="595">
        <f>'Прилож 4 24 (4)'!AA131</f>
        <v>0</v>
      </c>
      <c r="L132" s="595">
        <f>'Прилож 4 24 (4)'!AB131</f>
        <v>0</v>
      </c>
      <c r="M132" s="876">
        <f t="shared" si="17"/>
        <v>0</v>
      </c>
      <c r="N132" s="875"/>
      <c r="O132" s="875"/>
      <c r="P132" s="875"/>
      <c r="Q132" s="877"/>
      <c r="R132" s="875"/>
      <c r="S132" s="875"/>
      <c r="T132" s="875"/>
      <c r="U132" s="876">
        <f t="shared" si="18"/>
        <v>0</v>
      </c>
      <c r="V132" s="875">
        <f t="shared" si="18"/>
        <v>0</v>
      </c>
      <c r="W132" s="875">
        <f t="shared" si="16"/>
        <v>0</v>
      </c>
      <c r="X132" s="875">
        <f t="shared" si="16"/>
        <v>0</v>
      </c>
      <c r="Y132" s="883"/>
      <c r="Z132" s="875">
        <f t="shared" si="15"/>
        <v>0</v>
      </c>
      <c r="AA132" s="875">
        <f t="shared" si="15"/>
        <v>0</v>
      </c>
      <c r="AB132" s="875">
        <f t="shared" si="15"/>
        <v>0</v>
      </c>
      <c r="AC132" s="878"/>
    </row>
    <row r="133" spans="1:29" ht="41.25" customHeight="1" x14ac:dyDescent="0.2">
      <c r="A133" s="618" t="s">
        <v>952</v>
      </c>
      <c r="B133" s="619" t="s">
        <v>729</v>
      </c>
      <c r="C133" s="620">
        <v>244</v>
      </c>
      <c r="D133" s="620">
        <v>225</v>
      </c>
      <c r="E133" s="596">
        <f>'Прилож 4 24 (4)'!U132</f>
        <v>21188</v>
      </c>
      <c r="F133" s="595">
        <f>'Прилож 4 24 (4)'!V132</f>
        <v>0</v>
      </c>
      <c r="G133" s="595">
        <f>'Прилож 4 24 (4)'!W132</f>
        <v>0</v>
      </c>
      <c r="H133" s="595">
        <f>'Прилож 4 24 (4)'!X132</f>
        <v>21188</v>
      </c>
      <c r="I133" s="628"/>
      <c r="J133" s="595">
        <f>'Прилож 4 24 (4)'!Z132</f>
        <v>0</v>
      </c>
      <c r="K133" s="595">
        <f>'Прилож 4 24 (4)'!AA132</f>
        <v>0</v>
      </c>
      <c r="L133" s="595">
        <f>'Прилож 4 24 (4)'!AB132</f>
        <v>0</v>
      </c>
      <c r="M133" s="876">
        <f t="shared" si="17"/>
        <v>0</v>
      </c>
      <c r="N133" s="875"/>
      <c r="O133" s="875"/>
      <c r="P133" s="875"/>
      <c r="Q133" s="877"/>
      <c r="R133" s="875"/>
      <c r="S133" s="875"/>
      <c r="T133" s="875"/>
      <c r="U133" s="876">
        <f t="shared" si="18"/>
        <v>21188</v>
      </c>
      <c r="V133" s="875">
        <f t="shared" si="18"/>
        <v>0</v>
      </c>
      <c r="W133" s="875">
        <f t="shared" si="16"/>
        <v>0</v>
      </c>
      <c r="X133" s="875">
        <f t="shared" si="16"/>
        <v>21188</v>
      </c>
      <c r="Y133" s="883"/>
      <c r="Z133" s="875">
        <f t="shared" si="15"/>
        <v>0</v>
      </c>
      <c r="AA133" s="875">
        <f t="shared" si="15"/>
        <v>0</v>
      </c>
      <c r="AB133" s="875">
        <f t="shared" si="15"/>
        <v>0</v>
      </c>
      <c r="AC133" s="878"/>
    </row>
    <row r="134" spans="1:29" ht="39.75" customHeight="1" x14ac:dyDescent="0.2">
      <c r="A134" s="618" t="s">
        <v>149</v>
      </c>
      <c r="B134" s="619" t="s">
        <v>729</v>
      </c>
      <c r="C134" s="620">
        <v>244</v>
      </c>
      <c r="D134" s="620">
        <v>225</v>
      </c>
      <c r="E134" s="596">
        <f>'Прилож 4 24 (4)'!U133</f>
        <v>2652</v>
      </c>
      <c r="F134" s="595">
        <f>'Прилож 4 24 (4)'!V133</f>
        <v>0</v>
      </c>
      <c r="G134" s="595">
        <f>'Прилож 4 24 (4)'!W133</f>
        <v>0</v>
      </c>
      <c r="H134" s="595">
        <f>'Прилож 4 24 (4)'!X133</f>
        <v>2652</v>
      </c>
      <c r="I134" s="628"/>
      <c r="J134" s="595">
        <f>'Прилож 4 24 (4)'!Z133</f>
        <v>0</v>
      </c>
      <c r="K134" s="595">
        <f>'Прилож 4 24 (4)'!AA133</f>
        <v>0</v>
      </c>
      <c r="L134" s="595">
        <f>'Прилож 4 24 (4)'!AB133</f>
        <v>0</v>
      </c>
      <c r="M134" s="876">
        <f t="shared" si="17"/>
        <v>0</v>
      </c>
      <c r="N134" s="875"/>
      <c r="O134" s="875"/>
      <c r="P134" s="875"/>
      <c r="Q134" s="877"/>
      <c r="R134" s="875"/>
      <c r="S134" s="875"/>
      <c r="T134" s="875"/>
      <c r="U134" s="876">
        <f t="shared" si="18"/>
        <v>2652</v>
      </c>
      <c r="V134" s="875">
        <f t="shared" si="18"/>
        <v>0</v>
      </c>
      <c r="W134" s="875">
        <f t="shared" si="16"/>
        <v>0</v>
      </c>
      <c r="X134" s="875">
        <f t="shared" si="16"/>
        <v>2652</v>
      </c>
      <c r="Y134" s="883"/>
      <c r="Z134" s="875">
        <f t="shared" si="15"/>
        <v>0</v>
      </c>
      <c r="AA134" s="875">
        <f t="shared" si="15"/>
        <v>0</v>
      </c>
      <c r="AB134" s="875">
        <f t="shared" si="15"/>
        <v>0</v>
      </c>
      <c r="AC134" s="878"/>
    </row>
    <row r="135" spans="1:29" ht="31.5" x14ac:dyDescent="0.2">
      <c r="A135" s="618" t="s">
        <v>644</v>
      </c>
      <c r="B135" s="619" t="s">
        <v>729</v>
      </c>
      <c r="C135" s="620">
        <v>244</v>
      </c>
      <c r="D135" s="620">
        <v>225</v>
      </c>
      <c r="E135" s="596">
        <f>'Прилож 4 24 (4)'!U134</f>
        <v>15000</v>
      </c>
      <c r="F135" s="595">
        <f>'Прилож 4 24 (4)'!V134</f>
        <v>0</v>
      </c>
      <c r="G135" s="595">
        <f>'Прилож 4 24 (4)'!W134</f>
        <v>0</v>
      </c>
      <c r="H135" s="595">
        <f>'Прилож 4 24 (4)'!X134</f>
        <v>15000</v>
      </c>
      <c r="I135" s="628"/>
      <c r="J135" s="595">
        <f>'Прилож 4 24 (4)'!Z134</f>
        <v>0</v>
      </c>
      <c r="K135" s="595">
        <f>'Прилож 4 24 (4)'!AA134</f>
        <v>0</v>
      </c>
      <c r="L135" s="595">
        <f>'Прилож 4 24 (4)'!AB134</f>
        <v>0</v>
      </c>
      <c r="M135" s="876">
        <f t="shared" si="17"/>
        <v>0</v>
      </c>
      <c r="N135" s="875"/>
      <c r="O135" s="875"/>
      <c r="P135" s="875"/>
      <c r="Q135" s="877"/>
      <c r="R135" s="875"/>
      <c r="S135" s="875"/>
      <c r="T135" s="875"/>
      <c r="U135" s="876">
        <f t="shared" si="18"/>
        <v>15000</v>
      </c>
      <c r="V135" s="875">
        <f t="shared" si="18"/>
        <v>0</v>
      </c>
      <c r="W135" s="875">
        <f t="shared" si="16"/>
        <v>0</v>
      </c>
      <c r="X135" s="875">
        <f t="shared" si="16"/>
        <v>15000</v>
      </c>
      <c r="Y135" s="883"/>
      <c r="Z135" s="875">
        <f t="shared" si="15"/>
        <v>0</v>
      </c>
      <c r="AA135" s="875">
        <f t="shared" si="15"/>
        <v>0</v>
      </c>
      <c r="AB135" s="875">
        <f t="shared" si="15"/>
        <v>0</v>
      </c>
      <c r="AC135" s="878"/>
    </row>
    <row r="136" spans="1:29" ht="31.5" x14ac:dyDescent="0.2">
      <c r="A136" s="618" t="s">
        <v>587</v>
      </c>
      <c r="B136" s="619" t="s">
        <v>729</v>
      </c>
      <c r="C136" s="620">
        <v>244</v>
      </c>
      <c r="D136" s="620">
        <v>225</v>
      </c>
      <c r="E136" s="596">
        <f>'Прилож 4 24 (4)'!U135</f>
        <v>15624</v>
      </c>
      <c r="F136" s="595">
        <f>'Прилож 4 24 (4)'!V135</f>
        <v>0</v>
      </c>
      <c r="G136" s="595">
        <f>'Прилож 4 24 (4)'!W135</f>
        <v>0</v>
      </c>
      <c r="H136" s="595">
        <f>'Прилож 4 24 (4)'!X135</f>
        <v>15624</v>
      </c>
      <c r="I136" s="628"/>
      <c r="J136" s="595">
        <f>'Прилож 4 24 (4)'!Z135</f>
        <v>0</v>
      </c>
      <c r="K136" s="595">
        <f>'Прилож 4 24 (4)'!AA135</f>
        <v>0</v>
      </c>
      <c r="L136" s="595">
        <f>'Прилож 4 24 (4)'!AB135</f>
        <v>0</v>
      </c>
      <c r="M136" s="876">
        <f t="shared" si="17"/>
        <v>0</v>
      </c>
      <c r="N136" s="875"/>
      <c r="O136" s="875"/>
      <c r="P136" s="875"/>
      <c r="Q136" s="877"/>
      <c r="R136" s="875"/>
      <c r="S136" s="875"/>
      <c r="T136" s="875"/>
      <c r="U136" s="876">
        <f t="shared" si="18"/>
        <v>15624</v>
      </c>
      <c r="V136" s="875">
        <f t="shared" si="18"/>
        <v>0</v>
      </c>
      <c r="W136" s="875">
        <f t="shared" si="16"/>
        <v>0</v>
      </c>
      <c r="X136" s="875">
        <f t="shared" si="16"/>
        <v>15624</v>
      </c>
      <c r="Y136" s="883"/>
      <c r="Z136" s="875">
        <f t="shared" si="15"/>
        <v>0</v>
      </c>
      <c r="AA136" s="875">
        <f t="shared" si="15"/>
        <v>0</v>
      </c>
      <c r="AB136" s="875">
        <f t="shared" si="15"/>
        <v>0</v>
      </c>
      <c r="AC136" s="878"/>
    </row>
    <row r="137" spans="1:29" ht="28.5" customHeight="1" x14ac:dyDescent="0.2">
      <c r="A137" s="618" t="s">
        <v>1208</v>
      </c>
      <c r="B137" s="619" t="s">
        <v>729</v>
      </c>
      <c r="C137" s="620">
        <v>244</v>
      </c>
      <c r="D137" s="620">
        <v>225</v>
      </c>
      <c r="E137" s="596">
        <f>'Прилож 4 24 (4)'!U136</f>
        <v>0</v>
      </c>
      <c r="F137" s="595">
        <f>'Прилож 4 24 (4)'!V136</f>
        <v>0</v>
      </c>
      <c r="G137" s="595">
        <f>'Прилож 4 24 (4)'!W136</f>
        <v>0</v>
      </c>
      <c r="H137" s="595">
        <f>'Прилож 4 24 (4)'!X136</f>
        <v>0</v>
      </c>
      <c r="I137" s="628"/>
      <c r="J137" s="595">
        <f>'Прилож 4 24 (4)'!Z136</f>
        <v>0</v>
      </c>
      <c r="K137" s="595">
        <f>'Прилож 4 24 (4)'!AA136</f>
        <v>0</v>
      </c>
      <c r="L137" s="595">
        <f>'Прилож 4 24 (4)'!AB136</f>
        <v>0</v>
      </c>
      <c r="M137" s="876">
        <f t="shared" si="17"/>
        <v>0</v>
      </c>
      <c r="N137" s="875"/>
      <c r="O137" s="875"/>
      <c r="P137" s="875"/>
      <c r="Q137" s="877"/>
      <c r="R137" s="875"/>
      <c r="S137" s="875"/>
      <c r="T137" s="875"/>
      <c r="U137" s="876">
        <f t="shared" si="18"/>
        <v>0</v>
      </c>
      <c r="V137" s="875">
        <f t="shared" si="18"/>
        <v>0</v>
      </c>
      <c r="W137" s="875">
        <f t="shared" si="16"/>
        <v>0</v>
      </c>
      <c r="X137" s="875">
        <f t="shared" si="16"/>
        <v>0</v>
      </c>
      <c r="Y137" s="883"/>
      <c r="Z137" s="875">
        <f t="shared" si="15"/>
        <v>0</v>
      </c>
      <c r="AA137" s="875">
        <f t="shared" si="15"/>
        <v>0</v>
      </c>
      <c r="AB137" s="875">
        <f t="shared" si="15"/>
        <v>0</v>
      </c>
      <c r="AC137" s="878"/>
    </row>
    <row r="138" spans="1:29" ht="31.5" x14ac:dyDescent="0.2">
      <c r="A138" s="618" t="s">
        <v>157</v>
      </c>
      <c r="B138" s="619" t="s">
        <v>729</v>
      </c>
      <c r="C138" s="620">
        <v>244</v>
      </c>
      <c r="D138" s="620">
        <v>225</v>
      </c>
      <c r="E138" s="596">
        <f>'Прилож 4 24 (4)'!U137</f>
        <v>10000</v>
      </c>
      <c r="F138" s="595">
        <f>'Прилож 4 24 (4)'!V137</f>
        <v>0</v>
      </c>
      <c r="G138" s="595">
        <f>'Прилож 4 24 (4)'!W137</f>
        <v>0</v>
      </c>
      <c r="H138" s="595">
        <f>'Прилож 4 24 (4)'!X137</f>
        <v>10000</v>
      </c>
      <c r="I138" s="628"/>
      <c r="J138" s="595">
        <f>'Прилож 4 24 (4)'!Z137</f>
        <v>0</v>
      </c>
      <c r="K138" s="595">
        <f>'Прилож 4 24 (4)'!AA137</f>
        <v>0</v>
      </c>
      <c r="L138" s="595">
        <f>'Прилож 4 24 (4)'!AB137</f>
        <v>0</v>
      </c>
      <c r="M138" s="876">
        <f t="shared" si="17"/>
        <v>0</v>
      </c>
      <c r="N138" s="875"/>
      <c r="O138" s="875"/>
      <c r="P138" s="875"/>
      <c r="Q138" s="877"/>
      <c r="R138" s="875"/>
      <c r="S138" s="875"/>
      <c r="T138" s="875"/>
      <c r="U138" s="876">
        <f t="shared" si="18"/>
        <v>10000</v>
      </c>
      <c r="V138" s="875">
        <f t="shared" si="18"/>
        <v>0</v>
      </c>
      <c r="W138" s="875">
        <f t="shared" si="16"/>
        <v>0</v>
      </c>
      <c r="X138" s="875">
        <f t="shared" si="16"/>
        <v>10000</v>
      </c>
      <c r="Y138" s="883"/>
      <c r="Z138" s="875">
        <f t="shared" si="15"/>
        <v>0</v>
      </c>
      <c r="AA138" s="875">
        <f t="shared" si="15"/>
        <v>0</v>
      </c>
      <c r="AB138" s="875">
        <f t="shared" si="15"/>
        <v>0</v>
      </c>
      <c r="AC138" s="878"/>
    </row>
    <row r="139" spans="1:29" ht="30" customHeight="1" x14ac:dyDescent="0.2">
      <c r="A139" s="618" t="s">
        <v>583</v>
      </c>
      <c r="B139" s="619" t="s">
        <v>729</v>
      </c>
      <c r="C139" s="620">
        <v>244</v>
      </c>
      <c r="D139" s="620">
        <v>225</v>
      </c>
      <c r="E139" s="596">
        <f>'Прилож 4 24 (4)'!U138</f>
        <v>10310</v>
      </c>
      <c r="F139" s="595">
        <f>'Прилож 4 24 (4)'!V138</f>
        <v>0</v>
      </c>
      <c r="G139" s="595">
        <f>'Прилож 4 24 (4)'!W138</f>
        <v>0</v>
      </c>
      <c r="H139" s="595">
        <f>'Прилож 4 24 (4)'!X138</f>
        <v>10310</v>
      </c>
      <c r="I139" s="628"/>
      <c r="J139" s="595">
        <f>'Прилож 4 24 (4)'!Z138</f>
        <v>0</v>
      </c>
      <c r="K139" s="595">
        <f>'Прилож 4 24 (4)'!AA138</f>
        <v>0</v>
      </c>
      <c r="L139" s="595">
        <f>'Прилож 4 24 (4)'!AB138</f>
        <v>0</v>
      </c>
      <c r="M139" s="876">
        <f t="shared" si="17"/>
        <v>0</v>
      </c>
      <c r="N139" s="875"/>
      <c r="O139" s="875"/>
      <c r="P139" s="875"/>
      <c r="Q139" s="877"/>
      <c r="R139" s="875"/>
      <c r="S139" s="875"/>
      <c r="T139" s="875"/>
      <c r="U139" s="876">
        <f t="shared" si="18"/>
        <v>10310</v>
      </c>
      <c r="V139" s="875">
        <f t="shared" si="18"/>
        <v>0</v>
      </c>
      <c r="W139" s="875">
        <f t="shared" si="16"/>
        <v>0</v>
      </c>
      <c r="X139" s="875">
        <f t="shared" si="16"/>
        <v>10310</v>
      </c>
      <c r="Y139" s="883"/>
      <c r="Z139" s="875">
        <f t="shared" si="15"/>
        <v>0</v>
      </c>
      <c r="AA139" s="875">
        <f t="shared" si="15"/>
        <v>0</v>
      </c>
      <c r="AB139" s="875">
        <f t="shared" si="15"/>
        <v>0</v>
      </c>
      <c r="AC139" s="878"/>
    </row>
    <row r="140" spans="1:29" ht="25.5" customHeight="1" x14ac:dyDescent="0.2">
      <c r="A140" s="618" t="s">
        <v>1204</v>
      </c>
      <c r="B140" s="619" t="s">
        <v>729</v>
      </c>
      <c r="C140" s="620">
        <v>244</v>
      </c>
      <c r="D140" s="620">
        <v>225</v>
      </c>
      <c r="E140" s="596">
        <f>'Прилож 4 24 (4)'!U139</f>
        <v>44690</v>
      </c>
      <c r="F140" s="595">
        <f>'Прилож 4 24 (4)'!V139</f>
        <v>0</v>
      </c>
      <c r="G140" s="595">
        <f>'Прилож 4 24 (4)'!W139</f>
        <v>0</v>
      </c>
      <c r="H140" s="595">
        <f>'Прилож 4 24 (4)'!X139</f>
        <v>44690</v>
      </c>
      <c r="I140" s="628"/>
      <c r="J140" s="595">
        <f>'Прилож 4 24 (4)'!Z139</f>
        <v>0</v>
      </c>
      <c r="K140" s="595">
        <f>'Прилож 4 24 (4)'!AA139</f>
        <v>0</v>
      </c>
      <c r="L140" s="595">
        <f>'Прилож 4 24 (4)'!AB139</f>
        <v>0</v>
      </c>
      <c r="M140" s="876">
        <f t="shared" si="17"/>
        <v>0</v>
      </c>
      <c r="N140" s="875"/>
      <c r="O140" s="875"/>
      <c r="P140" s="875"/>
      <c r="Q140" s="877"/>
      <c r="R140" s="875"/>
      <c r="S140" s="875"/>
      <c r="T140" s="875"/>
      <c r="U140" s="876">
        <f t="shared" si="18"/>
        <v>44690</v>
      </c>
      <c r="V140" s="875">
        <f t="shared" si="18"/>
        <v>0</v>
      </c>
      <c r="W140" s="875">
        <f t="shared" si="16"/>
        <v>0</v>
      </c>
      <c r="X140" s="875">
        <f t="shared" si="16"/>
        <v>44690</v>
      </c>
      <c r="Y140" s="883"/>
      <c r="Z140" s="875">
        <f t="shared" si="15"/>
        <v>0</v>
      </c>
      <c r="AA140" s="875">
        <f t="shared" si="15"/>
        <v>0</v>
      </c>
      <c r="AB140" s="875">
        <f t="shared" si="15"/>
        <v>0</v>
      </c>
      <c r="AC140" s="878"/>
    </row>
    <row r="141" spans="1:29" ht="47.25" x14ac:dyDescent="0.2">
      <c r="A141" s="618" t="s">
        <v>1327</v>
      </c>
      <c r="B141" s="619" t="s">
        <v>729</v>
      </c>
      <c r="C141" s="620">
        <v>244</v>
      </c>
      <c r="D141" s="620">
        <v>225</v>
      </c>
      <c r="E141" s="596">
        <f>'Прилож 4 24 (4)'!U140</f>
        <v>5075389</v>
      </c>
      <c r="F141" s="595">
        <f>'Прилож 4 24 (4)'!V140</f>
        <v>0</v>
      </c>
      <c r="G141" s="595">
        <f>'Прилож 4 24 (4)'!W140</f>
        <v>0</v>
      </c>
      <c r="H141" s="595">
        <f>'Прилож 4 24 (4)'!X140</f>
        <v>0</v>
      </c>
      <c r="I141" s="621" t="s">
        <v>1314</v>
      </c>
      <c r="J141" s="595">
        <f>'Прилож 4 24 (4)'!Z140</f>
        <v>0</v>
      </c>
      <c r="K141" s="595">
        <f>'Прилож 4 24 (4)'!AA140</f>
        <v>5075389</v>
      </c>
      <c r="L141" s="595">
        <f>'Прилож 4 24 (4)'!AB140</f>
        <v>0</v>
      </c>
      <c r="M141" s="876">
        <f t="shared" si="17"/>
        <v>0</v>
      </c>
      <c r="N141" s="875"/>
      <c r="O141" s="875"/>
      <c r="P141" s="875"/>
      <c r="Q141" s="877"/>
      <c r="R141" s="875"/>
      <c r="S141" s="875"/>
      <c r="T141" s="875"/>
      <c r="U141" s="876">
        <f t="shared" si="18"/>
        <v>5075389</v>
      </c>
      <c r="V141" s="875">
        <f t="shared" si="18"/>
        <v>0</v>
      </c>
      <c r="W141" s="875">
        <f t="shared" si="16"/>
        <v>0</v>
      </c>
      <c r="X141" s="875">
        <f t="shared" si="16"/>
        <v>0</v>
      </c>
      <c r="Y141" s="877" t="s">
        <v>1314</v>
      </c>
      <c r="Z141" s="875">
        <f t="shared" si="15"/>
        <v>0</v>
      </c>
      <c r="AA141" s="875">
        <f t="shared" si="15"/>
        <v>5075389</v>
      </c>
      <c r="AB141" s="875">
        <f t="shared" si="15"/>
        <v>0</v>
      </c>
      <c r="AC141" s="878"/>
    </row>
    <row r="142" spans="1:29" ht="37.5" customHeight="1" x14ac:dyDescent="0.2">
      <c r="A142" s="994" t="s">
        <v>1446</v>
      </c>
      <c r="B142" s="619" t="s">
        <v>729</v>
      </c>
      <c r="C142" s="620">
        <v>244</v>
      </c>
      <c r="D142" s="620">
        <v>225</v>
      </c>
      <c r="E142" s="596"/>
      <c r="F142" s="595"/>
      <c r="G142" s="595"/>
      <c r="H142" s="595"/>
      <c r="I142" s="621"/>
      <c r="J142" s="595"/>
      <c r="K142" s="595"/>
      <c r="L142" s="595"/>
      <c r="M142" s="876">
        <f t="shared" si="17"/>
        <v>249291.8</v>
      </c>
      <c r="N142" s="875"/>
      <c r="O142" s="875"/>
      <c r="P142" s="875"/>
      <c r="Q142" s="621" t="s">
        <v>1314</v>
      </c>
      <c r="R142" s="875"/>
      <c r="S142" s="875">
        <v>249291.8</v>
      </c>
      <c r="T142" s="875"/>
      <c r="U142" s="876">
        <f t="shared" si="18"/>
        <v>249291.8</v>
      </c>
      <c r="V142" s="875"/>
      <c r="W142" s="875"/>
      <c r="X142" s="875">
        <f t="shared" si="16"/>
        <v>0</v>
      </c>
      <c r="Y142" s="877" t="s">
        <v>1314</v>
      </c>
      <c r="Z142" s="875"/>
      <c r="AA142" s="875">
        <f t="shared" si="15"/>
        <v>249291.8</v>
      </c>
      <c r="AB142" s="875"/>
      <c r="AC142" s="878" t="s">
        <v>1439</v>
      </c>
    </row>
    <row r="143" spans="1:29" ht="38.25" customHeight="1" x14ac:dyDescent="0.2">
      <c r="A143" s="994" t="s">
        <v>1447</v>
      </c>
      <c r="B143" s="619" t="s">
        <v>729</v>
      </c>
      <c r="C143" s="620">
        <v>244</v>
      </c>
      <c r="D143" s="620">
        <v>225</v>
      </c>
      <c r="E143" s="596"/>
      <c r="F143" s="595"/>
      <c r="G143" s="595"/>
      <c r="H143" s="595"/>
      <c r="I143" s="621"/>
      <c r="J143" s="595"/>
      <c r="K143" s="595"/>
      <c r="L143" s="595"/>
      <c r="M143" s="876">
        <f t="shared" si="17"/>
        <v>601984.80000000005</v>
      </c>
      <c r="N143" s="875"/>
      <c r="O143" s="875"/>
      <c r="P143" s="875"/>
      <c r="Q143" s="621" t="s">
        <v>1314</v>
      </c>
      <c r="R143" s="875"/>
      <c r="S143" s="875">
        <v>601984.80000000005</v>
      </c>
      <c r="T143" s="875"/>
      <c r="U143" s="876">
        <f t="shared" si="18"/>
        <v>601984.80000000005</v>
      </c>
      <c r="V143" s="875"/>
      <c r="W143" s="875"/>
      <c r="X143" s="875">
        <f t="shared" si="16"/>
        <v>0</v>
      </c>
      <c r="Y143" s="877" t="s">
        <v>1314</v>
      </c>
      <c r="Z143" s="875"/>
      <c r="AA143" s="875">
        <f t="shared" si="15"/>
        <v>601984.80000000005</v>
      </c>
      <c r="AB143" s="875"/>
      <c r="AC143" s="878" t="s">
        <v>1439</v>
      </c>
    </row>
    <row r="144" spans="1:29" s="637" customFormat="1" x14ac:dyDescent="0.2">
      <c r="A144" s="1016" t="s">
        <v>1143</v>
      </c>
      <c r="B144" s="633" t="s">
        <v>729</v>
      </c>
      <c r="C144" s="634">
        <v>244</v>
      </c>
      <c r="D144" s="634">
        <v>225</v>
      </c>
      <c r="E144" s="596">
        <f>'Прилож 4 24 (4)'!U141</f>
        <v>5604032.8799999999</v>
      </c>
      <c r="F144" s="595">
        <f>'Прилож 4 24 (4)'!V141</f>
        <v>0</v>
      </c>
      <c r="G144" s="595">
        <f>'Прилож 4 24 (4)'!W141</f>
        <v>0</v>
      </c>
      <c r="H144" s="595">
        <f>'Прилож 4 24 (4)'!X141</f>
        <v>528643.88</v>
      </c>
      <c r="I144" s="635"/>
      <c r="J144" s="595">
        <f>'Прилож 4 24 (4)'!Z141</f>
        <v>0</v>
      </c>
      <c r="K144" s="595">
        <f>'Прилож 4 24 (4)'!AA141</f>
        <v>5075389</v>
      </c>
      <c r="L144" s="595">
        <f>'Прилож 4 24 (4)'!AB141</f>
        <v>0</v>
      </c>
      <c r="M144" s="876">
        <f>N144+P144+R144+S144+T144+O144</f>
        <v>860696.60000000009</v>
      </c>
      <c r="N144" s="891"/>
      <c r="O144" s="891"/>
      <c r="P144" s="892">
        <f>SUM(P122:P143)</f>
        <v>9420</v>
      </c>
      <c r="Q144" s="885"/>
      <c r="R144" s="884"/>
      <c r="S144" s="884">
        <f>SUM(S122:S143)</f>
        <v>851276.60000000009</v>
      </c>
      <c r="T144" s="884"/>
      <c r="U144" s="876">
        <f>E144+M144</f>
        <v>6464729.4800000004</v>
      </c>
      <c r="V144" s="875">
        <f t="shared" si="18"/>
        <v>0</v>
      </c>
      <c r="W144" s="875">
        <f t="shared" si="16"/>
        <v>0</v>
      </c>
      <c r="X144" s="875">
        <f t="shared" si="16"/>
        <v>538063.88</v>
      </c>
      <c r="Y144" s="885"/>
      <c r="Z144" s="875">
        <f t="shared" si="15"/>
        <v>0</v>
      </c>
      <c r="AA144" s="875">
        <f t="shared" si="15"/>
        <v>5926665.5999999996</v>
      </c>
      <c r="AB144" s="875">
        <f t="shared" si="15"/>
        <v>0</v>
      </c>
      <c r="AC144" s="886"/>
    </row>
    <row r="145" spans="1:30" ht="36" customHeight="1" x14ac:dyDescent="0.2">
      <c r="A145" s="994" t="s">
        <v>677</v>
      </c>
      <c r="B145" s="619" t="s">
        <v>691</v>
      </c>
      <c r="C145" s="620">
        <v>244</v>
      </c>
      <c r="D145" s="620">
        <v>225</v>
      </c>
      <c r="E145" s="596">
        <f>'Прилож 4 24 (4)'!U142</f>
        <v>13452</v>
      </c>
      <c r="F145" s="595">
        <f>'Прилож 4 24 (4)'!V142</f>
        <v>0</v>
      </c>
      <c r="G145" s="595">
        <f>'Прилож 4 24 (4)'!W142</f>
        <v>0</v>
      </c>
      <c r="H145" s="595">
        <f>'Прилож 4 24 (4)'!X142</f>
        <v>11086.939999999999</v>
      </c>
      <c r="I145" s="628"/>
      <c r="J145" s="595">
        <f>'Прилож 4 24 (4)'!Z142</f>
        <v>0</v>
      </c>
      <c r="K145" s="595">
        <f>'Прилож 4 24 (4)'!AA142</f>
        <v>0</v>
      </c>
      <c r="L145" s="595">
        <f>'Прилож 4 24 (4)'!AB142</f>
        <v>2365.06</v>
      </c>
      <c r="M145" s="876">
        <f t="shared" si="17"/>
        <v>0</v>
      </c>
      <c r="N145" s="875"/>
      <c r="O145" s="875"/>
      <c r="P145" s="875"/>
      <c r="Q145" s="877"/>
      <c r="R145" s="875"/>
      <c r="S145" s="875"/>
      <c r="T145" s="875"/>
      <c r="U145" s="876">
        <f t="shared" si="18"/>
        <v>13452</v>
      </c>
      <c r="V145" s="875">
        <f t="shared" si="18"/>
        <v>0</v>
      </c>
      <c r="W145" s="875">
        <f t="shared" si="16"/>
        <v>0</v>
      </c>
      <c r="X145" s="875">
        <f t="shared" si="16"/>
        <v>11086.939999999999</v>
      </c>
      <c r="Y145" s="883"/>
      <c r="Z145" s="875">
        <f t="shared" ref="Z145:AB213" si="19">R145+J145</f>
        <v>0</v>
      </c>
      <c r="AA145" s="875">
        <f t="shared" si="19"/>
        <v>0</v>
      </c>
      <c r="AB145" s="875">
        <f t="shared" si="19"/>
        <v>2365.06</v>
      </c>
      <c r="AC145" s="878"/>
    </row>
    <row r="146" spans="1:30" ht="36" customHeight="1" x14ac:dyDescent="0.2">
      <c r="A146" s="994" t="s">
        <v>1436</v>
      </c>
      <c r="B146" s="619" t="s">
        <v>691</v>
      </c>
      <c r="C146" s="620">
        <v>244</v>
      </c>
      <c r="D146" s="620">
        <v>225</v>
      </c>
      <c r="E146" s="596"/>
      <c r="F146" s="595"/>
      <c r="G146" s="595"/>
      <c r="H146" s="595"/>
      <c r="I146" s="628"/>
      <c r="J146" s="595"/>
      <c r="K146" s="595"/>
      <c r="L146" s="595"/>
      <c r="M146" s="876">
        <f t="shared" si="17"/>
        <v>10200</v>
      </c>
      <c r="N146" s="875"/>
      <c r="O146" s="875"/>
      <c r="P146" s="875"/>
      <c r="Q146" s="877" t="s">
        <v>1440</v>
      </c>
      <c r="R146" s="875"/>
      <c r="S146" s="875">
        <v>10200</v>
      </c>
      <c r="T146" s="875"/>
      <c r="U146" s="876">
        <f t="shared" si="18"/>
        <v>10200</v>
      </c>
      <c r="V146" s="875"/>
      <c r="W146" s="875"/>
      <c r="X146" s="875"/>
      <c r="Y146" s="883" t="s">
        <v>1440</v>
      </c>
      <c r="Z146" s="875"/>
      <c r="AA146" s="875">
        <f t="shared" si="19"/>
        <v>10200</v>
      </c>
      <c r="AB146" s="875"/>
      <c r="AC146" s="878" t="s">
        <v>1442</v>
      </c>
    </row>
    <row r="147" spans="1:30" ht="17.25" customHeight="1" x14ac:dyDescent="0.2">
      <c r="A147" s="632" t="s">
        <v>1143</v>
      </c>
      <c r="B147" s="633" t="s">
        <v>691</v>
      </c>
      <c r="C147" s="634">
        <v>244</v>
      </c>
      <c r="D147" s="634">
        <v>225</v>
      </c>
      <c r="E147" s="596">
        <v>13452</v>
      </c>
      <c r="F147" s="595"/>
      <c r="G147" s="595"/>
      <c r="H147" s="595">
        <f>SUM(H145:H146)</f>
        <v>11086.939999999999</v>
      </c>
      <c r="I147" s="628"/>
      <c r="J147" s="595"/>
      <c r="K147" s="595"/>
      <c r="L147" s="595">
        <f>SUM(L145:L146)</f>
        <v>2365.06</v>
      </c>
      <c r="M147" s="876">
        <f t="shared" si="17"/>
        <v>10200</v>
      </c>
      <c r="N147" s="875"/>
      <c r="O147" s="875"/>
      <c r="P147" s="875"/>
      <c r="Q147" s="877"/>
      <c r="R147" s="875"/>
      <c r="S147" s="875">
        <f>SUM(S145:S146)</f>
        <v>10200</v>
      </c>
      <c r="T147" s="875"/>
      <c r="U147" s="876">
        <f t="shared" si="18"/>
        <v>23652</v>
      </c>
      <c r="V147" s="875"/>
      <c r="W147" s="875"/>
      <c r="X147" s="875">
        <f>SUM(X145:X146)</f>
        <v>11086.939999999999</v>
      </c>
      <c r="Y147" s="883"/>
      <c r="Z147" s="875"/>
      <c r="AA147" s="875">
        <f>SUM(AA145:AA146)</f>
        <v>10200</v>
      </c>
      <c r="AB147" s="875">
        <f>SUM(AB145:AB146)</f>
        <v>2365.06</v>
      </c>
      <c r="AC147" s="878"/>
    </row>
    <row r="148" spans="1:30" s="614" customFormat="1" x14ac:dyDescent="0.2">
      <c r="A148" s="630" t="s">
        <v>738</v>
      </c>
      <c r="B148" s="631"/>
      <c r="C148" s="624"/>
      <c r="D148" s="624"/>
      <c r="E148" s="596">
        <f>'Прилож 4 24 (4)'!U143</f>
        <v>6784250.2599999998</v>
      </c>
      <c r="F148" s="595">
        <f>'Прилож 4 24 (4)'!V143</f>
        <v>0</v>
      </c>
      <c r="G148" s="595">
        <f>'Прилож 4 24 (4)'!W143</f>
        <v>0</v>
      </c>
      <c r="H148" s="595">
        <f>'Прилож 4 24 (4)'!X143</f>
        <v>892373.8</v>
      </c>
      <c r="I148" s="626"/>
      <c r="J148" s="595">
        <f>'Прилож 4 24 (4)'!Z143</f>
        <v>0</v>
      </c>
      <c r="K148" s="595">
        <f>'Прилож 4 24 (4)'!AA143</f>
        <v>5889511.4000000004</v>
      </c>
      <c r="L148" s="595">
        <f>'Прилож 4 24 (4)'!AB143</f>
        <v>2365.06</v>
      </c>
      <c r="M148" s="876">
        <f t="shared" si="17"/>
        <v>884234.40000000014</v>
      </c>
      <c r="N148" s="876">
        <f>N121+N144+N145</f>
        <v>0</v>
      </c>
      <c r="O148" s="876"/>
      <c r="P148" s="876">
        <f>P121+P144+P145</f>
        <v>22757.8</v>
      </c>
      <c r="Q148" s="881"/>
      <c r="R148" s="876"/>
      <c r="S148" s="876">
        <f>S144+S121+S147</f>
        <v>861476.60000000009</v>
      </c>
      <c r="T148" s="876"/>
      <c r="U148" s="876">
        <f t="shared" si="18"/>
        <v>7668484.6600000001</v>
      </c>
      <c r="V148" s="875">
        <f t="shared" si="18"/>
        <v>0</v>
      </c>
      <c r="W148" s="875">
        <f t="shared" si="16"/>
        <v>0</v>
      </c>
      <c r="X148" s="875">
        <f t="shared" si="16"/>
        <v>915131.60000000009</v>
      </c>
      <c r="Y148" s="881"/>
      <c r="Z148" s="875">
        <f t="shared" si="19"/>
        <v>0</v>
      </c>
      <c r="AA148" s="875">
        <f t="shared" si="19"/>
        <v>6750988</v>
      </c>
      <c r="AB148" s="875">
        <f>T148+L148</f>
        <v>2365.06</v>
      </c>
      <c r="AC148" s="879"/>
      <c r="AD148" s="818"/>
    </row>
    <row r="149" spans="1:30" ht="31.5" x14ac:dyDescent="0.2">
      <c r="A149" s="618" t="s">
        <v>586</v>
      </c>
      <c r="B149" s="619" t="s">
        <v>747</v>
      </c>
      <c r="C149" s="620">
        <v>244</v>
      </c>
      <c r="D149" s="620">
        <v>226</v>
      </c>
      <c r="E149" s="596">
        <f>'Прилож 4 24 (4)'!U144</f>
        <v>53845.919999999998</v>
      </c>
      <c r="F149" s="595">
        <f>'Прилож 4 24 (4)'!V144</f>
        <v>0</v>
      </c>
      <c r="G149" s="595">
        <f>'Прилож 4 24 (4)'!W144</f>
        <v>0</v>
      </c>
      <c r="H149" s="595">
        <f>'Прилож 4 24 (4)'!X144</f>
        <v>53845.919999999998</v>
      </c>
      <c r="I149" s="628"/>
      <c r="J149" s="595">
        <f>'Прилож 4 24 (4)'!Z144</f>
        <v>0</v>
      </c>
      <c r="K149" s="595">
        <f>'Прилож 4 24 (4)'!AA144</f>
        <v>0</v>
      </c>
      <c r="L149" s="595">
        <f>'Прилож 4 24 (4)'!AB144</f>
        <v>0</v>
      </c>
      <c r="M149" s="876">
        <f t="shared" si="17"/>
        <v>0</v>
      </c>
      <c r="N149" s="875"/>
      <c r="O149" s="875"/>
      <c r="P149" s="875"/>
      <c r="Q149" s="877"/>
      <c r="R149" s="875"/>
      <c r="S149" s="875"/>
      <c r="T149" s="875"/>
      <c r="U149" s="876">
        <f t="shared" si="18"/>
        <v>53845.919999999998</v>
      </c>
      <c r="V149" s="875">
        <f t="shared" si="18"/>
        <v>0</v>
      </c>
      <c r="W149" s="875">
        <f t="shared" si="16"/>
        <v>0</v>
      </c>
      <c r="X149" s="875">
        <f t="shared" si="16"/>
        <v>53845.919999999998</v>
      </c>
      <c r="Y149" s="883"/>
      <c r="Z149" s="875">
        <f t="shared" si="19"/>
        <v>0</v>
      </c>
      <c r="AA149" s="875">
        <f t="shared" si="19"/>
        <v>0</v>
      </c>
      <c r="AB149" s="875">
        <f t="shared" si="19"/>
        <v>0</v>
      </c>
      <c r="AC149" s="878"/>
    </row>
    <row r="150" spans="1:30" ht="31.5" x14ac:dyDescent="0.2">
      <c r="A150" s="618" t="s">
        <v>154</v>
      </c>
      <c r="B150" s="619" t="s">
        <v>747</v>
      </c>
      <c r="C150" s="620">
        <v>244</v>
      </c>
      <c r="D150" s="620">
        <v>226</v>
      </c>
      <c r="E150" s="596">
        <f>'Прилож 4 24 (4)'!U145</f>
        <v>50000</v>
      </c>
      <c r="F150" s="595">
        <f>'Прилож 4 24 (4)'!V145</f>
        <v>0</v>
      </c>
      <c r="G150" s="595">
        <f>'Прилож 4 24 (4)'!W145</f>
        <v>0</v>
      </c>
      <c r="H150" s="595">
        <f>'Прилож 4 24 (4)'!X145</f>
        <v>50000</v>
      </c>
      <c r="I150" s="628"/>
      <c r="J150" s="595">
        <f>'Прилож 4 24 (4)'!Z145</f>
        <v>0</v>
      </c>
      <c r="K150" s="595">
        <f>'Прилож 4 24 (4)'!AA145</f>
        <v>0</v>
      </c>
      <c r="L150" s="595">
        <f>'Прилож 4 24 (4)'!AB145</f>
        <v>0</v>
      </c>
      <c r="M150" s="876">
        <f t="shared" si="17"/>
        <v>0</v>
      </c>
      <c r="N150" s="875"/>
      <c r="O150" s="875"/>
      <c r="P150" s="875"/>
      <c r="Q150" s="877"/>
      <c r="R150" s="875"/>
      <c r="S150" s="875"/>
      <c r="T150" s="875"/>
      <c r="U150" s="876">
        <f t="shared" si="18"/>
        <v>50000</v>
      </c>
      <c r="V150" s="875">
        <f t="shared" si="18"/>
        <v>0</v>
      </c>
      <c r="W150" s="875">
        <f t="shared" si="16"/>
        <v>0</v>
      </c>
      <c r="X150" s="875">
        <f t="shared" si="16"/>
        <v>50000</v>
      </c>
      <c r="Y150" s="883"/>
      <c r="Z150" s="875">
        <f t="shared" si="19"/>
        <v>0</v>
      </c>
      <c r="AA150" s="875">
        <f t="shared" si="19"/>
        <v>0</v>
      </c>
      <c r="AB150" s="875">
        <f t="shared" si="19"/>
        <v>0</v>
      </c>
      <c r="AC150" s="878"/>
    </row>
    <row r="151" spans="1:30" ht="31.5" x14ac:dyDescent="0.2">
      <c r="A151" s="618" t="s">
        <v>642</v>
      </c>
      <c r="B151" s="619" t="s">
        <v>747</v>
      </c>
      <c r="C151" s="620">
        <v>244</v>
      </c>
      <c r="D151" s="620">
        <v>226</v>
      </c>
      <c r="E151" s="596">
        <f>'Прилож 4 24 (4)'!U146</f>
        <v>60720</v>
      </c>
      <c r="F151" s="595">
        <f>'Прилож 4 24 (4)'!V146</f>
        <v>0</v>
      </c>
      <c r="G151" s="595">
        <f>'Прилож 4 24 (4)'!W146</f>
        <v>0</v>
      </c>
      <c r="H151" s="595">
        <f>'Прилож 4 24 (4)'!X146</f>
        <v>60720</v>
      </c>
      <c r="I151" s="628"/>
      <c r="J151" s="595">
        <f>'Прилож 4 24 (4)'!Z146</f>
        <v>0</v>
      </c>
      <c r="K151" s="595">
        <f>'Прилож 4 24 (4)'!AA146</f>
        <v>0</v>
      </c>
      <c r="L151" s="595">
        <f>'Прилож 4 24 (4)'!AB146</f>
        <v>0</v>
      </c>
      <c r="M151" s="876">
        <f t="shared" si="17"/>
        <v>0</v>
      </c>
      <c r="N151" s="875"/>
      <c r="O151" s="875"/>
      <c r="P151" s="875"/>
      <c r="Q151" s="877"/>
      <c r="R151" s="875"/>
      <c r="S151" s="875"/>
      <c r="T151" s="875"/>
      <c r="U151" s="876">
        <f t="shared" si="18"/>
        <v>60720</v>
      </c>
      <c r="V151" s="875">
        <f t="shared" si="18"/>
        <v>0</v>
      </c>
      <c r="W151" s="875">
        <f t="shared" si="16"/>
        <v>0</v>
      </c>
      <c r="X151" s="875">
        <f t="shared" si="16"/>
        <v>60720</v>
      </c>
      <c r="Y151" s="883"/>
      <c r="Z151" s="875">
        <f t="shared" si="19"/>
        <v>0</v>
      </c>
      <c r="AA151" s="875">
        <f t="shared" si="19"/>
        <v>0</v>
      </c>
      <c r="AB151" s="875">
        <f t="shared" si="19"/>
        <v>0</v>
      </c>
      <c r="AC151" s="878"/>
    </row>
    <row r="152" spans="1:30" ht="186" customHeight="1" x14ac:dyDescent="0.2">
      <c r="A152" s="618" t="s">
        <v>1243</v>
      </c>
      <c r="B152" s="619" t="s">
        <v>747</v>
      </c>
      <c r="C152" s="620">
        <v>244</v>
      </c>
      <c r="D152" s="620">
        <v>226</v>
      </c>
      <c r="E152" s="596">
        <f>'Прилож 4 24 (4)'!U147</f>
        <v>23830</v>
      </c>
      <c r="F152" s="595">
        <f>'Прилож 4 24 (4)'!V147</f>
        <v>0</v>
      </c>
      <c r="G152" s="595">
        <f>'Прилож 4 24 (4)'!W147</f>
        <v>0</v>
      </c>
      <c r="H152" s="595">
        <f>'Прилож 4 24 (4)'!X147</f>
        <v>23830</v>
      </c>
      <c r="I152" s="628"/>
      <c r="J152" s="595">
        <f>'Прилож 4 24 (4)'!Z147</f>
        <v>0</v>
      </c>
      <c r="K152" s="595">
        <f>'Прилож 4 24 (4)'!AA147</f>
        <v>0</v>
      </c>
      <c r="L152" s="595">
        <f>'Прилож 4 24 (4)'!AB147</f>
        <v>0</v>
      </c>
      <c r="M152" s="876">
        <f t="shared" si="17"/>
        <v>0</v>
      </c>
      <c r="N152" s="875"/>
      <c r="O152" s="875"/>
      <c r="P152" s="875"/>
      <c r="Q152" s="877"/>
      <c r="R152" s="875"/>
      <c r="S152" s="875"/>
      <c r="T152" s="875"/>
      <c r="U152" s="876">
        <f t="shared" si="18"/>
        <v>23830</v>
      </c>
      <c r="V152" s="875">
        <f t="shared" si="18"/>
        <v>0</v>
      </c>
      <c r="W152" s="875">
        <f t="shared" si="16"/>
        <v>0</v>
      </c>
      <c r="X152" s="875">
        <f t="shared" si="16"/>
        <v>23830</v>
      </c>
      <c r="Y152" s="883"/>
      <c r="Z152" s="875">
        <f t="shared" si="19"/>
        <v>0</v>
      </c>
      <c r="AA152" s="875">
        <f t="shared" si="19"/>
        <v>0</v>
      </c>
      <c r="AB152" s="875">
        <f t="shared" si="19"/>
        <v>0</v>
      </c>
      <c r="AC152" s="878"/>
    </row>
    <row r="153" spans="1:30" x14ac:dyDescent="0.2">
      <c r="A153" s="618" t="s">
        <v>593</v>
      </c>
      <c r="B153" s="619" t="s">
        <v>747</v>
      </c>
      <c r="C153" s="620">
        <v>244</v>
      </c>
      <c r="D153" s="620">
        <v>226</v>
      </c>
      <c r="E153" s="596">
        <f>'Прилож 4 24 (4)'!U148</f>
        <v>7430</v>
      </c>
      <c r="F153" s="595">
        <f>'Прилож 4 24 (4)'!V148</f>
        <v>0</v>
      </c>
      <c r="G153" s="595">
        <f>'Прилож 4 24 (4)'!W148</f>
        <v>0</v>
      </c>
      <c r="H153" s="595">
        <f>'Прилож 4 24 (4)'!X148</f>
        <v>7430</v>
      </c>
      <c r="I153" s="628"/>
      <c r="J153" s="595">
        <f>'Прилож 4 24 (4)'!Z148</f>
        <v>0</v>
      </c>
      <c r="K153" s="595">
        <f>'Прилож 4 24 (4)'!AA148</f>
        <v>0</v>
      </c>
      <c r="L153" s="595">
        <f>'Прилож 4 24 (4)'!AB148</f>
        <v>0</v>
      </c>
      <c r="M153" s="876">
        <f t="shared" si="17"/>
        <v>0</v>
      </c>
      <c r="N153" s="875"/>
      <c r="O153" s="875"/>
      <c r="P153" s="875"/>
      <c r="Q153" s="877"/>
      <c r="R153" s="875"/>
      <c r="S153" s="875"/>
      <c r="T153" s="875"/>
      <c r="U153" s="876">
        <f t="shared" si="18"/>
        <v>7430</v>
      </c>
      <c r="V153" s="875">
        <f t="shared" si="18"/>
        <v>0</v>
      </c>
      <c r="W153" s="875">
        <f t="shared" si="16"/>
        <v>0</v>
      </c>
      <c r="X153" s="875">
        <f t="shared" si="16"/>
        <v>7430</v>
      </c>
      <c r="Y153" s="883"/>
      <c r="Z153" s="875">
        <f t="shared" si="19"/>
        <v>0</v>
      </c>
      <c r="AA153" s="875">
        <f t="shared" si="19"/>
        <v>0</v>
      </c>
      <c r="AB153" s="875">
        <f t="shared" si="19"/>
        <v>0</v>
      </c>
      <c r="AC153" s="878"/>
    </row>
    <row r="154" spans="1:30" x14ac:dyDescent="0.2">
      <c r="A154" s="618" t="s">
        <v>1194</v>
      </c>
      <c r="B154" s="619" t="s">
        <v>747</v>
      </c>
      <c r="C154" s="620">
        <v>244</v>
      </c>
      <c r="D154" s="620">
        <v>226</v>
      </c>
      <c r="E154" s="596">
        <f>'Прилож 4 24 (4)'!U149</f>
        <v>18900</v>
      </c>
      <c r="F154" s="595">
        <f>'Прилож 4 24 (4)'!V149</f>
        <v>0</v>
      </c>
      <c r="G154" s="595">
        <f>'Прилож 4 24 (4)'!W149</f>
        <v>0</v>
      </c>
      <c r="H154" s="595">
        <f>'Прилож 4 24 (4)'!X149</f>
        <v>18900</v>
      </c>
      <c r="I154" s="628"/>
      <c r="J154" s="595">
        <f>'Прилож 4 24 (4)'!Z149</f>
        <v>0</v>
      </c>
      <c r="K154" s="595">
        <f>'Прилож 4 24 (4)'!AA149</f>
        <v>0</v>
      </c>
      <c r="L154" s="595">
        <f>'Прилож 4 24 (4)'!AB149</f>
        <v>0</v>
      </c>
      <c r="M154" s="876">
        <f t="shared" si="17"/>
        <v>0</v>
      </c>
      <c r="N154" s="875"/>
      <c r="O154" s="875"/>
      <c r="P154" s="875"/>
      <c r="Q154" s="877"/>
      <c r="R154" s="875"/>
      <c r="S154" s="875"/>
      <c r="T154" s="875"/>
      <c r="U154" s="876">
        <f>E154+M154</f>
        <v>18900</v>
      </c>
      <c r="V154" s="875">
        <f t="shared" si="18"/>
        <v>0</v>
      </c>
      <c r="W154" s="875">
        <f t="shared" si="16"/>
        <v>0</v>
      </c>
      <c r="X154" s="875">
        <f t="shared" si="16"/>
        <v>18900</v>
      </c>
      <c r="Y154" s="883"/>
      <c r="Z154" s="875">
        <f t="shared" si="19"/>
        <v>0</v>
      </c>
      <c r="AA154" s="875">
        <f t="shared" si="19"/>
        <v>0</v>
      </c>
      <c r="AB154" s="875">
        <f t="shared" si="19"/>
        <v>0</v>
      </c>
      <c r="AC154" s="878"/>
    </row>
    <row r="155" spans="1:30" ht="51.75" customHeight="1" x14ac:dyDescent="0.2">
      <c r="A155" s="618" t="s">
        <v>1318</v>
      </c>
      <c r="B155" s="619" t="s">
        <v>747</v>
      </c>
      <c r="C155" s="620">
        <v>244</v>
      </c>
      <c r="D155" s="620">
        <v>226</v>
      </c>
      <c r="E155" s="596">
        <f>SUM(E145:E147)</f>
        <v>26904</v>
      </c>
      <c r="F155" s="595"/>
      <c r="G155" s="595"/>
      <c r="H155" s="595"/>
      <c r="I155" s="628"/>
      <c r="J155" s="595"/>
      <c r="K155" s="595"/>
      <c r="L155" s="595"/>
      <c r="M155" s="875">
        <f>N155+O155+P155+R155+S155+T155</f>
        <v>252769.2</v>
      </c>
      <c r="N155" s="875"/>
      <c r="O155" s="875"/>
      <c r="P155" s="875"/>
      <c r="Q155" s="877" t="s">
        <v>1322</v>
      </c>
      <c r="R155" s="875"/>
      <c r="S155" s="875">
        <v>252769.2</v>
      </c>
      <c r="T155" s="875"/>
      <c r="U155" s="876">
        <f>E155+M155</f>
        <v>279673.2</v>
      </c>
      <c r="V155" s="875">
        <f t="shared" si="18"/>
        <v>0</v>
      </c>
      <c r="W155" s="875">
        <f t="shared" si="16"/>
        <v>0</v>
      </c>
      <c r="X155" s="875">
        <f t="shared" si="16"/>
        <v>0</v>
      </c>
      <c r="Y155" s="877" t="s">
        <v>1322</v>
      </c>
      <c r="Z155" s="875">
        <f t="shared" si="19"/>
        <v>0</v>
      </c>
      <c r="AA155" s="875">
        <f t="shared" si="19"/>
        <v>252769.2</v>
      </c>
      <c r="AB155" s="875">
        <f t="shared" si="19"/>
        <v>0</v>
      </c>
      <c r="AC155" s="878" t="s">
        <v>1438</v>
      </c>
    </row>
    <row r="156" spans="1:30" s="637" customFormat="1" x14ac:dyDescent="0.2">
      <c r="A156" s="632" t="s">
        <v>1143</v>
      </c>
      <c r="B156" s="619" t="s">
        <v>747</v>
      </c>
      <c r="C156" s="634">
        <v>244</v>
      </c>
      <c r="D156" s="634">
        <v>226</v>
      </c>
      <c r="E156" s="596">
        <f>'Прилож 4 24 (4)'!U150</f>
        <v>214725.91999999998</v>
      </c>
      <c r="F156" s="595">
        <f>'Прилож 4 24 (4)'!V150</f>
        <v>0</v>
      </c>
      <c r="G156" s="595">
        <f>'Прилож 4 24 (4)'!W150</f>
        <v>0</v>
      </c>
      <c r="H156" s="595">
        <f>'Прилож 4 24 (4)'!X150</f>
        <v>214725.91999999998</v>
      </c>
      <c r="I156" s="640"/>
      <c r="J156" s="595">
        <f>'Прилож 4 24 (4)'!Z150</f>
        <v>0</v>
      </c>
      <c r="K156" s="595">
        <f>'Прилож 4 24 (4)'!AA150</f>
        <v>0</v>
      </c>
      <c r="L156" s="595">
        <f>'Прилож 4 24 (4)'!AB150</f>
        <v>0</v>
      </c>
      <c r="M156" s="876">
        <f t="shared" si="17"/>
        <v>252769.2</v>
      </c>
      <c r="N156" s="887"/>
      <c r="O156" s="887"/>
      <c r="P156" s="887">
        <f>SUM(P149:P154)</f>
        <v>0</v>
      </c>
      <c r="Q156" s="893"/>
      <c r="R156" s="887"/>
      <c r="S156" s="887">
        <f>SUM(S149:S155)</f>
        <v>252769.2</v>
      </c>
      <c r="T156" s="887"/>
      <c r="U156" s="876">
        <f t="shared" si="18"/>
        <v>467495.12</v>
      </c>
      <c r="V156" s="875">
        <f t="shared" si="18"/>
        <v>0</v>
      </c>
      <c r="W156" s="875">
        <f t="shared" si="16"/>
        <v>0</v>
      </c>
      <c r="X156" s="875">
        <f t="shared" si="16"/>
        <v>214725.91999999998</v>
      </c>
      <c r="Y156" s="893"/>
      <c r="Z156" s="875">
        <f t="shared" si="19"/>
        <v>0</v>
      </c>
      <c r="AA156" s="875">
        <f t="shared" si="19"/>
        <v>252769.2</v>
      </c>
      <c r="AB156" s="875">
        <f t="shared" si="19"/>
        <v>0</v>
      </c>
      <c r="AC156" s="886"/>
    </row>
    <row r="157" spans="1:30" ht="31.5" x14ac:dyDescent="0.2">
      <c r="A157" s="618" t="s">
        <v>586</v>
      </c>
      <c r="B157" s="619" t="s">
        <v>729</v>
      </c>
      <c r="C157" s="620">
        <v>244</v>
      </c>
      <c r="D157" s="620">
        <v>226</v>
      </c>
      <c r="E157" s="596">
        <f>'Прилож 4 24 (4)'!U151</f>
        <v>53845.919999999998</v>
      </c>
      <c r="F157" s="595">
        <f>'Прилож 4 24 (4)'!V151</f>
        <v>0</v>
      </c>
      <c r="G157" s="595">
        <f>'Прилож 4 24 (4)'!W151</f>
        <v>0</v>
      </c>
      <c r="H157" s="595">
        <f>'Прилож 4 24 (4)'!X151</f>
        <v>53845.919999999998</v>
      </c>
      <c r="I157" s="628"/>
      <c r="J157" s="595">
        <f>'Прилож 4 24 (4)'!Z151</f>
        <v>0</v>
      </c>
      <c r="K157" s="595">
        <f>'Прилож 4 24 (4)'!AA151</f>
        <v>0</v>
      </c>
      <c r="L157" s="595">
        <f>'Прилож 4 24 (4)'!AB151</f>
        <v>0</v>
      </c>
      <c r="M157" s="876">
        <f t="shared" si="17"/>
        <v>0</v>
      </c>
      <c r="N157" s="875"/>
      <c r="O157" s="875"/>
      <c r="P157" s="875"/>
      <c r="Q157" s="877"/>
      <c r="R157" s="875"/>
      <c r="S157" s="875"/>
      <c r="T157" s="875"/>
      <c r="U157" s="876">
        <f t="shared" si="18"/>
        <v>53845.919999999998</v>
      </c>
      <c r="V157" s="875">
        <f t="shared" si="18"/>
        <v>0</v>
      </c>
      <c r="W157" s="875">
        <f t="shared" si="16"/>
        <v>0</v>
      </c>
      <c r="X157" s="875">
        <f t="shared" si="16"/>
        <v>53845.919999999998</v>
      </c>
      <c r="Y157" s="883"/>
      <c r="Z157" s="875">
        <f t="shared" si="19"/>
        <v>0</v>
      </c>
      <c r="AA157" s="875">
        <f t="shared" si="19"/>
        <v>0</v>
      </c>
      <c r="AB157" s="875">
        <f t="shared" si="19"/>
        <v>0</v>
      </c>
      <c r="AC157" s="878"/>
    </row>
    <row r="158" spans="1:30" ht="31.5" x14ac:dyDescent="0.2">
      <c r="A158" s="618" t="s">
        <v>642</v>
      </c>
      <c r="B158" s="619" t="s">
        <v>729</v>
      </c>
      <c r="C158" s="620">
        <v>244</v>
      </c>
      <c r="D158" s="620">
        <v>226</v>
      </c>
      <c r="E158" s="596">
        <f>'Прилож 4 24 (4)'!U152</f>
        <v>60720</v>
      </c>
      <c r="F158" s="595">
        <f>'Прилож 4 24 (4)'!V152</f>
        <v>0</v>
      </c>
      <c r="G158" s="595">
        <f>'Прилож 4 24 (4)'!W152</f>
        <v>0</v>
      </c>
      <c r="H158" s="595">
        <f>'Прилож 4 24 (4)'!X152</f>
        <v>60720</v>
      </c>
      <c r="I158" s="628"/>
      <c r="J158" s="595">
        <f>'Прилож 4 24 (4)'!Z152</f>
        <v>0</v>
      </c>
      <c r="K158" s="595">
        <f>'Прилож 4 24 (4)'!AA152</f>
        <v>0</v>
      </c>
      <c r="L158" s="595">
        <f>'Прилож 4 24 (4)'!AB152</f>
        <v>0</v>
      </c>
      <c r="M158" s="876">
        <f t="shared" si="17"/>
        <v>0</v>
      </c>
      <c r="N158" s="875"/>
      <c r="O158" s="875"/>
      <c r="P158" s="875"/>
      <c r="Q158" s="877"/>
      <c r="R158" s="875"/>
      <c r="S158" s="875"/>
      <c r="T158" s="875"/>
      <c r="U158" s="876">
        <f t="shared" si="18"/>
        <v>60720</v>
      </c>
      <c r="V158" s="875">
        <f t="shared" si="18"/>
        <v>0</v>
      </c>
      <c r="W158" s="875">
        <f t="shared" si="16"/>
        <v>0</v>
      </c>
      <c r="X158" s="875">
        <f t="shared" si="16"/>
        <v>60720</v>
      </c>
      <c r="Y158" s="883"/>
      <c r="Z158" s="875">
        <f t="shared" si="19"/>
        <v>0</v>
      </c>
      <c r="AA158" s="875">
        <f t="shared" si="19"/>
        <v>0</v>
      </c>
      <c r="AB158" s="875">
        <f t="shared" si="19"/>
        <v>0</v>
      </c>
      <c r="AC158" s="878"/>
    </row>
    <row r="159" spans="1:30" ht="87.75" customHeight="1" x14ac:dyDescent="0.2">
      <c r="A159" s="618" t="s">
        <v>1244</v>
      </c>
      <c r="B159" s="619" t="s">
        <v>729</v>
      </c>
      <c r="C159" s="620">
        <v>244</v>
      </c>
      <c r="D159" s="620">
        <v>226</v>
      </c>
      <c r="E159" s="596">
        <f>'Прилож 4 24 (4)'!U153</f>
        <v>37665</v>
      </c>
      <c r="F159" s="595">
        <f>'Прилож 4 24 (4)'!V153</f>
        <v>0</v>
      </c>
      <c r="G159" s="595">
        <f>'Прилож 4 24 (4)'!W153</f>
        <v>0</v>
      </c>
      <c r="H159" s="595">
        <f>'Прилож 4 24 (4)'!X153</f>
        <v>37665</v>
      </c>
      <c r="I159" s="628"/>
      <c r="J159" s="595">
        <f>'Прилож 4 24 (4)'!Z153</f>
        <v>0</v>
      </c>
      <c r="K159" s="595">
        <f>'Прилож 4 24 (4)'!AA153</f>
        <v>0</v>
      </c>
      <c r="L159" s="595">
        <f>'Прилож 4 24 (4)'!AB153</f>
        <v>0</v>
      </c>
      <c r="M159" s="876">
        <f t="shared" si="17"/>
        <v>0</v>
      </c>
      <c r="N159" s="875"/>
      <c r="O159" s="875"/>
      <c r="P159" s="875"/>
      <c r="Q159" s="877"/>
      <c r="R159" s="875"/>
      <c r="S159" s="875"/>
      <c r="T159" s="875"/>
      <c r="U159" s="876">
        <f t="shared" si="18"/>
        <v>37665</v>
      </c>
      <c r="V159" s="875">
        <f t="shared" si="18"/>
        <v>0</v>
      </c>
      <c r="W159" s="875">
        <f t="shared" si="16"/>
        <v>0</v>
      </c>
      <c r="X159" s="875">
        <f t="shared" si="16"/>
        <v>37665</v>
      </c>
      <c r="Y159" s="883"/>
      <c r="Z159" s="875">
        <f t="shared" si="19"/>
        <v>0</v>
      </c>
      <c r="AA159" s="875">
        <f t="shared" si="19"/>
        <v>0</v>
      </c>
      <c r="AB159" s="875">
        <f t="shared" si="19"/>
        <v>0</v>
      </c>
      <c r="AC159" s="878"/>
    </row>
    <row r="160" spans="1:30" ht="31.5" x14ac:dyDescent="0.2">
      <c r="A160" s="618" t="s">
        <v>752</v>
      </c>
      <c r="B160" s="619" t="s">
        <v>729</v>
      </c>
      <c r="C160" s="620">
        <v>244</v>
      </c>
      <c r="D160" s="620">
        <v>226</v>
      </c>
      <c r="E160" s="596">
        <f>'Прилож 4 24 (4)'!U154</f>
        <v>150000</v>
      </c>
      <c r="F160" s="595">
        <f>'Прилож 4 24 (4)'!V154</f>
        <v>0</v>
      </c>
      <c r="G160" s="595">
        <f>'Прилож 4 24 (4)'!W154</f>
        <v>0</v>
      </c>
      <c r="H160" s="595">
        <f>'Прилож 4 24 (4)'!X154</f>
        <v>150000</v>
      </c>
      <c r="I160" s="628"/>
      <c r="J160" s="595">
        <f>'Прилож 4 24 (4)'!Z154</f>
        <v>0</v>
      </c>
      <c r="K160" s="595">
        <f>'Прилож 4 24 (4)'!AA154</f>
        <v>0</v>
      </c>
      <c r="L160" s="595">
        <f>'Прилож 4 24 (4)'!AB154</f>
        <v>0</v>
      </c>
      <c r="M160" s="876">
        <f t="shared" si="17"/>
        <v>0</v>
      </c>
      <c r="N160" s="875"/>
      <c r="O160" s="875"/>
      <c r="P160" s="875"/>
      <c r="Q160" s="877"/>
      <c r="R160" s="875"/>
      <c r="S160" s="875"/>
      <c r="T160" s="875"/>
      <c r="U160" s="876">
        <f t="shared" si="18"/>
        <v>150000</v>
      </c>
      <c r="V160" s="875">
        <f t="shared" si="18"/>
        <v>0</v>
      </c>
      <c r="W160" s="875">
        <f t="shared" si="16"/>
        <v>0</v>
      </c>
      <c r="X160" s="875">
        <f t="shared" si="16"/>
        <v>150000</v>
      </c>
      <c r="Y160" s="883"/>
      <c r="Z160" s="875">
        <f t="shared" si="19"/>
        <v>0</v>
      </c>
      <c r="AA160" s="875">
        <f t="shared" si="19"/>
        <v>0</v>
      </c>
      <c r="AB160" s="875">
        <f t="shared" si="19"/>
        <v>0</v>
      </c>
      <c r="AC160" s="878"/>
    </row>
    <row r="161" spans="1:30" ht="137.25" customHeight="1" x14ac:dyDescent="0.2">
      <c r="A161" s="618" t="s">
        <v>593</v>
      </c>
      <c r="B161" s="619" t="s">
        <v>729</v>
      </c>
      <c r="C161" s="620">
        <v>244</v>
      </c>
      <c r="D161" s="620">
        <v>226</v>
      </c>
      <c r="E161" s="596">
        <f>'Прилож 4 24 (4)'!U155</f>
        <v>26720</v>
      </c>
      <c r="F161" s="595">
        <f>'Прилож 4 24 (4)'!V155</f>
        <v>0</v>
      </c>
      <c r="G161" s="595">
        <f>'Прилож 4 24 (4)'!W155</f>
        <v>0</v>
      </c>
      <c r="H161" s="595">
        <f>'Прилож 4 24 (4)'!X155</f>
        <v>26720</v>
      </c>
      <c r="I161" s="628"/>
      <c r="J161" s="595">
        <f>'Прилож 4 24 (4)'!Z155</f>
        <v>0</v>
      </c>
      <c r="K161" s="595">
        <f>'Прилож 4 24 (4)'!AA155</f>
        <v>0</v>
      </c>
      <c r="L161" s="595">
        <f>'Прилож 4 24 (4)'!AB155</f>
        <v>0</v>
      </c>
      <c r="M161" s="876">
        <f t="shared" si="17"/>
        <v>0</v>
      </c>
      <c r="N161" s="875"/>
      <c r="O161" s="875"/>
      <c r="P161" s="875"/>
      <c r="Q161" s="877"/>
      <c r="R161" s="875"/>
      <c r="S161" s="875"/>
      <c r="T161" s="875"/>
      <c r="U161" s="876">
        <f t="shared" si="18"/>
        <v>26720</v>
      </c>
      <c r="V161" s="875">
        <f t="shared" si="18"/>
        <v>0</v>
      </c>
      <c r="W161" s="875">
        <f t="shared" si="16"/>
        <v>0</v>
      </c>
      <c r="X161" s="875">
        <f t="shared" si="16"/>
        <v>26720</v>
      </c>
      <c r="Y161" s="883"/>
      <c r="Z161" s="875">
        <f t="shared" si="19"/>
        <v>0</v>
      </c>
      <c r="AA161" s="875">
        <f t="shared" si="19"/>
        <v>0</v>
      </c>
      <c r="AB161" s="875">
        <f t="shared" si="19"/>
        <v>0</v>
      </c>
      <c r="AC161" s="878"/>
    </row>
    <row r="162" spans="1:30" ht="69" customHeight="1" x14ac:dyDescent="0.2">
      <c r="A162" s="618" t="s">
        <v>914</v>
      </c>
      <c r="B162" s="619" t="s">
        <v>729</v>
      </c>
      <c r="C162" s="620">
        <v>244</v>
      </c>
      <c r="D162" s="620">
        <v>226</v>
      </c>
      <c r="E162" s="596">
        <f>'Прилож 4 24 (4)'!U156</f>
        <v>54800</v>
      </c>
      <c r="F162" s="595">
        <f>'Прилож 4 24 (4)'!V156</f>
        <v>0</v>
      </c>
      <c r="G162" s="595">
        <f>'Прилож 4 24 (4)'!W156</f>
        <v>0</v>
      </c>
      <c r="H162" s="595">
        <f>'Прилож 4 24 (4)'!X156</f>
        <v>54800</v>
      </c>
      <c r="I162" s="628"/>
      <c r="J162" s="595">
        <f>'Прилож 4 24 (4)'!Z156</f>
        <v>0</v>
      </c>
      <c r="K162" s="595">
        <f>'Прилож 4 24 (4)'!AA156</f>
        <v>0</v>
      </c>
      <c r="L162" s="595">
        <f>'Прилож 4 24 (4)'!AB156</f>
        <v>0</v>
      </c>
      <c r="M162" s="876">
        <f t="shared" si="17"/>
        <v>0</v>
      </c>
      <c r="N162" s="875"/>
      <c r="O162" s="875"/>
      <c r="P162" s="875"/>
      <c r="Q162" s="877"/>
      <c r="R162" s="875"/>
      <c r="S162" s="875"/>
      <c r="T162" s="875"/>
      <c r="U162" s="876">
        <f t="shared" si="18"/>
        <v>54800</v>
      </c>
      <c r="V162" s="875">
        <f t="shared" si="18"/>
        <v>0</v>
      </c>
      <c r="W162" s="875">
        <f t="shared" si="16"/>
        <v>0</v>
      </c>
      <c r="X162" s="875">
        <f t="shared" si="16"/>
        <v>54800</v>
      </c>
      <c r="Y162" s="883"/>
      <c r="Z162" s="875">
        <f t="shared" si="19"/>
        <v>0</v>
      </c>
      <c r="AA162" s="875">
        <f t="shared" si="19"/>
        <v>0</v>
      </c>
      <c r="AB162" s="875">
        <f t="shared" si="19"/>
        <v>0</v>
      </c>
      <c r="AC162" s="1002"/>
    </row>
    <row r="163" spans="1:30" ht="60" customHeight="1" x14ac:dyDescent="0.2">
      <c r="A163" s="618" t="s">
        <v>1245</v>
      </c>
      <c r="B163" s="619" t="s">
        <v>729</v>
      </c>
      <c r="C163" s="620">
        <v>244</v>
      </c>
      <c r="D163" s="620">
        <v>226</v>
      </c>
      <c r="E163" s="596">
        <f>'Прилож 4 24 (4)'!U157</f>
        <v>7200</v>
      </c>
      <c r="F163" s="595">
        <f>'Прилож 4 24 (4)'!V157</f>
        <v>0</v>
      </c>
      <c r="G163" s="595">
        <f>'Прилож 4 24 (4)'!W157</f>
        <v>0</v>
      </c>
      <c r="H163" s="595">
        <f>'Прилож 4 24 (4)'!X157</f>
        <v>7200</v>
      </c>
      <c r="I163" s="628"/>
      <c r="J163" s="595">
        <f>'Прилож 4 24 (4)'!Z157</f>
        <v>0</v>
      </c>
      <c r="K163" s="595">
        <f>'Прилож 4 24 (4)'!AA157</f>
        <v>0</v>
      </c>
      <c r="L163" s="595">
        <f>'Прилож 4 24 (4)'!AB157</f>
        <v>0</v>
      </c>
      <c r="M163" s="876">
        <f t="shared" si="17"/>
        <v>0</v>
      </c>
      <c r="N163" s="875"/>
      <c r="O163" s="875"/>
      <c r="P163" s="875"/>
      <c r="Q163" s="877"/>
      <c r="R163" s="875"/>
      <c r="S163" s="875"/>
      <c r="T163" s="875"/>
      <c r="U163" s="876">
        <f t="shared" si="18"/>
        <v>7200</v>
      </c>
      <c r="V163" s="875">
        <f t="shared" si="18"/>
        <v>0</v>
      </c>
      <c r="W163" s="875">
        <f t="shared" si="16"/>
        <v>0</v>
      </c>
      <c r="X163" s="875">
        <f t="shared" si="16"/>
        <v>7200</v>
      </c>
      <c r="Y163" s="883"/>
      <c r="Z163" s="875">
        <f t="shared" si="19"/>
        <v>0</v>
      </c>
      <c r="AA163" s="875">
        <f t="shared" si="19"/>
        <v>0</v>
      </c>
      <c r="AB163" s="875">
        <f t="shared" si="19"/>
        <v>0</v>
      </c>
      <c r="AC163" s="878"/>
    </row>
    <row r="164" spans="1:30" ht="36" customHeight="1" x14ac:dyDescent="0.2">
      <c r="A164" s="618" t="s">
        <v>1185</v>
      </c>
      <c r="B164" s="619" t="s">
        <v>729</v>
      </c>
      <c r="C164" s="620">
        <v>244</v>
      </c>
      <c r="D164" s="620">
        <v>226</v>
      </c>
      <c r="E164" s="596">
        <f>'Прилож 4 24 (4)'!U158</f>
        <v>9600</v>
      </c>
      <c r="F164" s="595">
        <f>'Прилож 4 24 (4)'!V158</f>
        <v>0</v>
      </c>
      <c r="G164" s="595">
        <f>'Прилож 4 24 (4)'!W158</f>
        <v>0</v>
      </c>
      <c r="H164" s="595">
        <f>'Прилож 4 24 (4)'!X158</f>
        <v>9600</v>
      </c>
      <c r="I164" s="621"/>
      <c r="J164" s="595">
        <f>'Прилож 4 24 (4)'!Z158</f>
        <v>0</v>
      </c>
      <c r="K164" s="595">
        <f>'Прилож 4 24 (4)'!AA158</f>
        <v>0</v>
      </c>
      <c r="L164" s="595">
        <f>'Прилож 4 24 (4)'!AB158</f>
        <v>0</v>
      </c>
      <c r="M164" s="876">
        <f t="shared" si="17"/>
        <v>0</v>
      </c>
      <c r="N164" s="875"/>
      <c r="O164" s="875"/>
      <c r="P164" s="875"/>
      <c r="Q164" s="877"/>
      <c r="R164" s="875"/>
      <c r="S164" s="875"/>
      <c r="T164" s="875"/>
      <c r="U164" s="876">
        <f t="shared" si="18"/>
        <v>9600</v>
      </c>
      <c r="V164" s="875">
        <f t="shared" si="18"/>
        <v>0</v>
      </c>
      <c r="W164" s="875">
        <f t="shared" ref="W164:X231" si="20">O164+G164</f>
        <v>0</v>
      </c>
      <c r="X164" s="875">
        <f t="shared" si="20"/>
        <v>9600</v>
      </c>
      <c r="Y164" s="877"/>
      <c r="Z164" s="875">
        <f t="shared" si="19"/>
        <v>0</v>
      </c>
      <c r="AA164" s="875">
        <f t="shared" si="19"/>
        <v>0</v>
      </c>
      <c r="AB164" s="875">
        <f t="shared" si="19"/>
        <v>0</v>
      </c>
      <c r="AC164" s="878"/>
    </row>
    <row r="165" spans="1:30" x14ac:dyDescent="0.2">
      <c r="A165" s="618" t="s">
        <v>1194</v>
      </c>
      <c r="B165" s="619" t="s">
        <v>729</v>
      </c>
      <c r="C165" s="620">
        <v>244</v>
      </c>
      <c r="D165" s="620">
        <v>226</v>
      </c>
      <c r="E165" s="596">
        <f>'Прилож 4 24 (4)'!U159</f>
        <v>13500</v>
      </c>
      <c r="F165" s="595">
        <f>'Прилож 4 24 (4)'!V159</f>
        <v>0</v>
      </c>
      <c r="G165" s="595">
        <f>'Прилож 4 24 (4)'!W159</f>
        <v>0</v>
      </c>
      <c r="H165" s="595">
        <f>'Прилож 4 24 (4)'!X159</f>
        <v>13500</v>
      </c>
      <c r="I165" s="621"/>
      <c r="J165" s="595">
        <f>'Прилож 4 24 (4)'!Z159</f>
        <v>0</v>
      </c>
      <c r="K165" s="595">
        <f>'Прилож 4 24 (4)'!AA159</f>
        <v>0</v>
      </c>
      <c r="L165" s="595">
        <f>'Прилож 4 24 (4)'!AB159</f>
        <v>0</v>
      </c>
      <c r="M165" s="876">
        <f t="shared" ref="M165:M232" si="21">N165+P165+R165+S165+T165+O165</f>
        <v>0</v>
      </c>
      <c r="N165" s="875"/>
      <c r="O165" s="875"/>
      <c r="P165" s="875"/>
      <c r="Q165" s="877"/>
      <c r="R165" s="875"/>
      <c r="S165" s="875"/>
      <c r="T165" s="875"/>
      <c r="U165" s="876">
        <f t="shared" ref="U165:V232" si="22">E165+M165</f>
        <v>13500</v>
      </c>
      <c r="V165" s="875">
        <f t="shared" si="22"/>
        <v>0</v>
      </c>
      <c r="W165" s="875">
        <f t="shared" si="20"/>
        <v>0</v>
      </c>
      <c r="X165" s="875">
        <f t="shared" si="20"/>
        <v>13500</v>
      </c>
      <c r="Y165" s="877"/>
      <c r="Z165" s="875">
        <f t="shared" si="19"/>
        <v>0</v>
      </c>
      <c r="AA165" s="875">
        <f t="shared" si="19"/>
        <v>0</v>
      </c>
      <c r="AB165" s="875">
        <f t="shared" si="19"/>
        <v>0</v>
      </c>
      <c r="AC165" s="878"/>
    </row>
    <row r="166" spans="1:30" ht="47.25" x14ac:dyDescent="0.2">
      <c r="A166" s="618" t="s">
        <v>1223</v>
      </c>
      <c r="B166" s="619" t="s">
        <v>729</v>
      </c>
      <c r="C166" s="620">
        <v>244</v>
      </c>
      <c r="D166" s="620">
        <v>226</v>
      </c>
      <c r="E166" s="596">
        <f>'Прилож 4 24 (4)'!U160</f>
        <v>14900</v>
      </c>
      <c r="F166" s="595">
        <f>'Прилож 4 24 (4)'!V160</f>
        <v>0</v>
      </c>
      <c r="G166" s="595">
        <f>'Прилож 4 24 (4)'!W160</f>
        <v>0</v>
      </c>
      <c r="H166" s="595">
        <f>'Прилож 4 24 (4)'!X160</f>
        <v>14900</v>
      </c>
      <c r="I166" s="628"/>
      <c r="J166" s="595">
        <f>'Прилож 4 24 (4)'!Z160</f>
        <v>0</v>
      </c>
      <c r="K166" s="595">
        <f>'Прилож 4 24 (4)'!AA160</f>
        <v>0</v>
      </c>
      <c r="L166" s="595">
        <f>'Прилож 4 24 (4)'!AB160</f>
        <v>0</v>
      </c>
      <c r="M166" s="876">
        <f t="shared" si="21"/>
        <v>0</v>
      </c>
      <c r="N166" s="875"/>
      <c r="O166" s="875"/>
      <c r="P166" s="875"/>
      <c r="Q166" s="877"/>
      <c r="R166" s="875"/>
      <c r="S166" s="875"/>
      <c r="T166" s="875"/>
      <c r="U166" s="876">
        <f t="shared" si="22"/>
        <v>14900</v>
      </c>
      <c r="V166" s="875">
        <f t="shared" si="22"/>
        <v>0</v>
      </c>
      <c r="W166" s="875">
        <f t="shared" si="20"/>
        <v>0</v>
      </c>
      <c r="X166" s="875">
        <f t="shared" si="20"/>
        <v>14900</v>
      </c>
      <c r="Y166" s="883"/>
      <c r="Z166" s="875">
        <f t="shared" si="19"/>
        <v>0</v>
      </c>
      <c r="AA166" s="875">
        <f t="shared" si="19"/>
        <v>0</v>
      </c>
      <c r="AB166" s="875">
        <f t="shared" si="19"/>
        <v>0</v>
      </c>
      <c r="AC166" s="878"/>
    </row>
    <row r="167" spans="1:30" ht="47.25" x14ac:dyDescent="0.2">
      <c r="A167" s="618" t="s">
        <v>1289</v>
      </c>
      <c r="B167" s="619" t="s">
        <v>729</v>
      </c>
      <c r="C167" s="620">
        <v>244</v>
      </c>
      <c r="D167" s="620">
        <v>226</v>
      </c>
      <c r="E167" s="596">
        <f>'Прилож 4 24 (4)'!U161</f>
        <v>11320</v>
      </c>
      <c r="F167" s="595">
        <f>'Прилож 4 24 (4)'!V161</f>
        <v>0</v>
      </c>
      <c r="G167" s="595">
        <f>'Прилож 4 24 (4)'!W161</f>
        <v>0</v>
      </c>
      <c r="H167" s="595">
        <f>'Прилож 4 24 (4)'!X161</f>
        <v>11320</v>
      </c>
      <c r="I167" s="628"/>
      <c r="J167" s="595">
        <f>'Прилож 4 24 (4)'!Z161</f>
        <v>0</v>
      </c>
      <c r="K167" s="595">
        <f>'Прилож 4 24 (4)'!AA161</f>
        <v>0</v>
      </c>
      <c r="L167" s="595">
        <f>'Прилож 4 24 (4)'!AB161</f>
        <v>0</v>
      </c>
      <c r="M167" s="876">
        <f t="shared" si="21"/>
        <v>0</v>
      </c>
      <c r="N167" s="875"/>
      <c r="O167" s="875"/>
      <c r="P167" s="875"/>
      <c r="Q167" s="877"/>
      <c r="R167" s="875"/>
      <c r="S167" s="875"/>
      <c r="T167" s="875"/>
      <c r="U167" s="876">
        <f t="shared" si="22"/>
        <v>11320</v>
      </c>
      <c r="V167" s="875">
        <f t="shared" si="22"/>
        <v>0</v>
      </c>
      <c r="W167" s="875">
        <f t="shared" si="20"/>
        <v>0</v>
      </c>
      <c r="X167" s="875">
        <f t="shared" si="20"/>
        <v>11320</v>
      </c>
      <c r="Y167" s="883"/>
      <c r="Z167" s="875">
        <f t="shared" si="19"/>
        <v>0</v>
      </c>
      <c r="AA167" s="875">
        <f t="shared" si="19"/>
        <v>0</v>
      </c>
      <c r="AB167" s="875">
        <f t="shared" si="19"/>
        <v>0</v>
      </c>
      <c r="AC167" s="878"/>
    </row>
    <row r="168" spans="1:30" x14ac:dyDescent="0.2">
      <c r="A168" s="618" t="s">
        <v>1313</v>
      </c>
      <c r="B168" s="619" t="s">
        <v>729</v>
      </c>
      <c r="C168" s="620">
        <v>244</v>
      </c>
      <c r="D168" s="620">
        <v>226</v>
      </c>
      <c r="E168" s="596">
        <f>'Прилож 4 24 (4)'!U162</f>
        <v>163101.6</v>
      </c>
      <c r="F168" s="595">
        <f>'Прилож 4 24 (4)'!V162</f>
        <v>0</v>
      </c>
      <c r="G168" s="595">
        <f>'Прилож 4 24 (4)'!W162</f>
        <v>0</v>
      </c>
      <c r="H168" s="595">
        <f>'Прилож 4 24 (4)'!X162</f>
        <v>0</v>
      </c>
      <c r="I168" s="582" t="s">
        <v>1314</v>
      </c>
      <c r="J168" s="595">
        <f>'Прилож 4 24 (4)'!Z162</f>
        <v>0</v>
      </c>
      <c r="K168" s="595">
        <f>'Прилож 4 24 (4)'!AA162</f>
        <v>163101.6</v>
      </c>
      <c r="L168" s="595">
        <f>'Прилож 4 24 (4)'!AB162</f>
        <v>0</v>
      </c>
      <c r="M168" s="876">
        <f t="shared" si="21"/>
        <v>0</v>
      </c>
      <c r="N168" s="875"/>
      <c r="O168" s="875"/>
      <c r="P168" s="875"/>
      <c r="Q168" s="873"/>
      <c r="R168" s="875"/>
      <c r="S168" s="875"/>
      <c r="T168" s="875"/>
      <c r="U168" s="876">
        <f t="shared" si="22"/>
        <v>163101.6</v>
      </c>
      <c r="V168" s="875">
        <f t="shared" si="22"/>
        <v>0</v>
      </c>
      <c r="W168" s="875">
        <f t="shared" si="20"/>
        <v>0</v>
      </c>
      <c r="X168" s="875">
        <f t="shared" si="20"/>
        <v>0</v>
      </c>
      <c r="Y168" s="873" t="s">
        <v>1314</v>
      </c>
      <c r="Z168" s="875">
        <f t="shared" si="19"/>
        <v>0</v>
      </c>
      <c r="AA168" s="875">
        <f t="shared" si="19"/>
        <v>163101.6</v>
      </c>
      <c r="AB168" s="875">
        <f t="shared" si="19"/>
        <v>0</v>
      </c>
      <c r="AC168" s="878"/>
    </row>
    <row r="169" spans="1:30" ht="59.25" customHeight="1" x14ac:dyDescent="0.2">
      <c r="A169" s="618" t="s">
        <v>1318</v>
      </c>
      <c r="B169" s="619" t="s">
        <v>729</v>
      </c>
      <c r="C169" s="620">
        <v>244</v>
      </c>
      <c r="D169" s="620">
        <v>226</v>
      </c>
      <c r="E169" s="596">
        <f>'Прилож 4 24 (4)'!U163</f>
        <v>252769.2</v>
      </c>
      <c r="F169" s="595">
        <f>'Прилож 4 24 (4)'!V163</f>
        <v>0</v>
      </c>
      <c r="G169" s="595">
        <f>'Прилож 4 24 (4)'!W163</f>
        <v>0</v>
      </c>
      <c r="H169" s="595">
        <f>'Прилож 4 24 (4)'!X163</f>
        <v>0</v>
      </c>
      <c r="I169" s="582" t="s">
        <v>1314</v>
      </c>
      <c r="J169" s="595">
        <f>'Прилож 4 24 (4)'!Z163</f>
        <v>0</v>
      </c>
      <c r="K169" s="595">
        <f>'Прилож 4 24 (4)'!AA163</f>
        <v>252769.2</v>
      </c>
      <c r="L169" s="595">
        <f>'Прилож 4 24 (4)'!AB163</f>
        <v>0</v>
      </c>
      <c r="M169" s="876">
        <f t="shared" si="21"/>
        <v>-252769.2</v>
      </c>
      <c r="N169" s="875"/>
      <c r="O169" s="875"/>
      <c r="P169" s="875"/>
      <c r="Q169" s="990" t="s">
        <v>1314</v>
      </c>
      <c r="R169" s="875"/>
      <c r="S169" s="875">
        <v>-252769.2</v>
      </c>
      <c r="T169" s="875"/>
      <c r="U169" s="876">
        <f t="shared" si="22"/>
        <v>0</v>
      </c>
      <c r="V169" s="875">
        <f t="shared" si="22"/>
        <v>0</v>
      </c>
      <c r="W169" s="875">
        <f t="shared" si="20"/>
        <v>0</v>
      </c>
      <c r="X169" s="875">
        <f t="shared" si="20"/>
        <v>0</v>
      </c>
      <c r="Y169" s="873" t="s">
        <v>1314</v>
      </c>
      <c r="Z169" s="875">
        <f t="shared" si="19"/>
        <v>0</v>
      </c>
      <c r="AA169" s="875">
        <f t="shared" si="19"/>
        <v>0</v>
      </c>
      <c r="AB169" s="875">
        <f t="shared" si="19"/>
        <v>0</v>
      </c>
      <c r="AC169" s="878" t="s">
        <v>1438</v>
      </c>
    </row>
    <row r="170" spans="1:30" ht="63.75" customHeight="1" x14ac:dyDescent="0.2">
      <c r="A170" s="618" t="s">
        <v>1424</v>
      </c>
      <c r="B170" s="619" t="s">
        <v>729</v>
      </c>
      <c r="C170" s="620">
        <v>244</v>
      </c>
      <c r="D170" s="620">
        <v>226</v>
      </c>
      <c r="E170" s="596">
        <f>'Прилож 4 24 (4)'!U164</f>
        <v>43822.35</v>
      </c>
      <c r="F170" s="595">
        <f>'Прилож 4 24 (4)'!V164</f>
        <v>43822.35</v>
      </c>
      <c r="G170" s="595">
        <f>'Прилож 4 24 (4)'!W164</f>
        <v>0</v>
      </c>
      <c r="H170" s="595">
        <f>'Прилож 4 24 (4)'!X164</f>
        <v>0</v>
      </c>
      <c r="I170" s="582"/>
      <c r="J170" s="595">
        <f>'Прилож 4 24 (4)'!Z164</f>
        <v>0</v>
      </c>
      <c r="K170" s="595">
        <f>'Прилож 4 24 (4)'!AA164</f>
        <v>0</v>
      </c>
      <c r="L170" s="595">
        <f>'Прилож 4 24 (4)'!AB164</f>
        <v>0</v>
      </c>
      <c r="M170" s="876">
        <f t="shared" si="21"/>
        <v>0</v>
      </c>
      <c r="N170" s="875"/>
      <c r="O170" s="875"/>
      <c r="P170" s="875"/>
      <c r="Q170" s="873"/>
      <c r="R170" s="875"/>
      <c r="S170" s="875"/>
      <c r="T170" s="875"/>
      <c r="U170" s="876">
        <f t="shared" si="22"/>
        <v>43822.35</v>
      </c>
      <c r="V170" s="875">
        <f t="shared" si="22"/>
        <v>43822.35</v>
      </c>
      <c r="W170" s="875">
        <f t="shared" si="20"/>
        <v>0</v>
      </c>
      <c r="X170" s="875">
        <f t="shared" si="20"/>
        <v>0</v>
      </c>
      <c r="Y170" s="873"/>
      <c r="Z170" s="875">
        <f t="shared" si="19"/>
        <v>0</v>
      </c>
      <c r="AA170" s="875">
        <f t="shared" si="19"/>
        <v>0</v>
      </c>
      <c r="AB170" s="875">
        <f t="shared" si="19"/>
        <v>0</v>
      </c>
      <c r="AC170" s="878"/>
    </row>
    <row r="171" spans="1:30" ht="41.25" customHeight="1" x14ac:dyDescent="0.2">
      <c r="A171" s="618" t="s">
        <v>1393</v>
      </c>
      <c r="B171" s="619" t="s">
        <v>729</v>
      </c>
      <c r="C171" s="620">
        <v>244</v>
      </c>
      <c r="D171" s="620">
        <v>226</v>
      </c>
      <c r="E171" s="596">
        <f>'Прилож 4 24 (4)'!U165</f>
        <v>35920</v>
      </c>
      <c r="F171" s="595">
        <f>'Прилож 4 24 (4)'!V165</f>
        <v>0</v>
      </c>
      <c r="G171" s="595">
        <f>'Прилож 4 24 (4)'!W165</f>
        <v>0</v>
      </c>
      <c r="H171" s="595">
        <f>'Прилож 4 24 (4)'!X165</f>
        <v>35920</v>
      </c>
      <c r="I171" s="582"/>
      <c r="J171" s="595">
        <f>'Прилож 4 24 (4)'!Z165</f>
        <v>0</v>
      </c>
      <c r="K171" s="595">
        <f>'Прилож 4 24 (4)'!AA165</f>
        <v>0</v>
      </c>
      <c r="L171" s="595">
        <f>'Прилож 4 24 (4)'!AB165</f>
        <v>0</v>
      </c>
      <c r="M171" s="876">
        <f t="shared" si="21"/>
        <v>0</v>
      </c>
      <c r="N171" s="875"/>
      <c r="O171" s="875"/>
      <c r="P171" s="875"/>
      <c r="Q171" s="873"/>
      <c r="R171" s="875"/>
      <c r="S171" s="875"/>
      <c r="T171" s="875"/>
      <c r="U171" s="876">
        <f t="shared" si="22"/>
        <v>35920</v>
      </c>
      <c r="V171" s="875">
        <f t="shared" si="22"/>
        <v>0</v>
      </c>
      <c r="W171" s="875">
        <f t="shared" si="20"/>
        <v>0</v>
      </c>
      <c r="X171" s="875">
        <f t="shared" si="20"/>
        <v>35920</v>
      </c>
      <c r="Y171" s="873"/>
      <c r="Z171" s="875">
        <f t="shared" si="19"/>
        <v>0</v>
      </c>
      <c r="AA171" s="875">
        <f t="shared" si="19"/>
        <v>0</v>
      </c>
      <c r="AB171" s="875">
        <f t="shared" si="19"/>
        <v>0</v>
      </c>
      <c r="AC171" s="878"/>
    </row>
    <row r="172" spans="1:30" s="637" customFormat="1" x14ac:dyDescent="0.2">
      <c r="A172" s="632" t="s">
        <v>1143</v>
      </c>
      <c r="B172" s="633" t="s">
        <v>729</v>
      </c>
      <c r="C172" s="634">
        <v>244</v>
      </c>
      <c r="D172" s="634">
        <v>226</v>
      </c>
      <c r="E172" s="596">
        <f>'Прилож 4 24 (4)'!U166</f>
        <v>935884.07</v>
      </c>
      <c r="F172" s="595">
        <f>'Прилож 4 24 (4)'!V166</f>
        <v>43822.35</v>
      </c>
      <c r="G172" s="595">
        <f>'Прилож 4 24 (4)'!W166</f>
        <v>0</v>
      </c>
      <c r="H172" s="595">
        <f>'Прилож 4 24 (4)'!X166</f>
        <v>476190.92</v>
      </c>
      <c r="I172" s="635"/>
      <c r="J172" s="595">
        <f>'Прилож 4 24 (4)'!Z166</f>
        <v>0</v>
      </c>
      <c r="K172" s="595">
        <f>'Прилож 4 24 (4)'!AA166</f>
        <v>415870.80000000005</v>
      </c>
      <c r="L172" s="595">
        <f>'Прилож 4 24 (4)'!AB166</f>
        <v>0</v>
      </c>
      <c r="M172" s="876">
        <f t="shared" si="21"/>
        <v>-252769.2</v>
      </c>
      <c r="N172" s="884">
        <f>SUM(N157:N171)</f>
        <v>0</v>
      </c>
      <c r="O172" s="884"/>
      <c r="P172" s="884">
        <f>SUM(P157:P171)</f>
        <v>0</v>
      </c>
      <c r="Q172" s="885"/>
      <c r="R172" s="884"/>
      <c r="S172" s="884">
        <f>SUM(S157:S171)</f>
        <v>-252769.2</v>
      </c>
      <c r="T172" s="884"/>
      <c r="U172" s="876">
        <f t="shared" si="22"/>
        <v>683114.86999999988</v>
      </c>
      <c r="V172" s="875">
        <f t="shared" si="22"/>
        <v>43822.35</v>
      </c>
      <c r="W172" s="875">
        <f t="shared" si="20"/>
        <v>0</v>
      </c>
      <c r="X172" s="875">
        <f t="shared" si="20"/>
        <v>476190.92</v>
      </c>
      <c r="Y172" s="885"/>
      <c r="Z172" s="875">
        <f t="shared" si="19"/>
        <v>0</v>
      </c>
      <c r="AA172" s="875">
        <f t="shared" si="19"/>
        <v>163101.60000000003</v>
      </c>
      <c r="AB172" s="875">
        <f t="shared" si="19"/>
        <v>0</v>
      </c>
      <c r="AC172" s="886"/>
      <c r="AD172" s="819"/>
    </row>
    <row r="173" spans="1:30" x14ac:dyDescent="0.2">
      <c r="A173" s="618" t="s">
        <v>753</v>
      </c>
      <c r="B173" s="619" t="s">
        <v>691</v>
      </c>
      <c r="C173" s="620">
        <v>244</v>
      </c>
      <c r="D173" s="620">
        <v>226</v>
      </c>
      <c r="E173" s="596">
        <f>'Прилож 4 24 (4)'!U167</f>
        <v>190259.99999999997</v>
      </c>
      <c r="F173" s="595">
        <f>'Прилож 4 24 (4)'!V167</f>
        <v>32288.77</v>
      </c>
      <c r="G173" s="595">
        <f>'Прилож 4 24 (4)'!W167</f>
        <v>0</v>
      </c>
      <c r="H173" s="595">
        <f>'Прилож 4 24 (4)'!X167</f>
        <v>109128.84</v>
      </c>
      <c r="I173" s="628"/>
      <c r="J173" s="595">
        <f>'Прилож 4 24 (4)'!Z167</f>
        <v>0</v>
      </c>
      <c r="K173" s="595">
        <f>'Прилож 4 24 (4)'!AA167</f>
        <v>0</v>
      </c>
      <c r="L173" s="595">
        <f>'Прилож 4 24 (4)'!AB167</f>
        <v>48842.39</v>
      </c>
      <c r="M173" s="876">
        <f t="shared" si="21"/>
        <v>0</v>
      </c>
      <c r="N173" s="875"/>
      <c r="O173" s="875"/>
      <c r="P173" s="875"/>
      <c r="Q173" s="877"/>
      <c r="R173" s="875"/>
      <c r="S173" s="875"/>
      <c r="T173" s="875"/>
      <c r="U173" s="876">
        <f t="shared" si="22"/>
        <v>190259.99999999997</v>
      </c>
      <c r="V173" s="875">
        <f t="shared" si="22"/>
        <v>32288.77</v>
      </c>
      <c r="W173" s="875">
        <f t="shared" si="20"/>
        <v>0</v>
      </c>
      <c r="X173" s="875">
        <f t="shared" si="20"/>
        <v>109128.84</v>
      </c>
      <c r="Y173" s="883"/>
      <c r="Z173" s="875">
        <f t="shared" si="19"/>
        <v>0</v>
      </c>
      <c r="AA173" s="875">
        <f t="shared" si="19"/>
        <v>0</v>
      </c>
      <c r="AB173" s="875">
        <f t="shared" si="19"/>
        <v>48842.39</v>
      </c>
      <c r="AC173" s="878"/>
    </row>
    <row r="174" spans="1:30" x14ac:dyDescent="0.2">
      <c r="A174" s="618" t="s">
        <v>754</v>
      </c>
      <c r="B174" s="619" t="s">
        <v>691</v>
      </c>
      <c r="C174" s="620">
        <v>244</v>
      </c>
      <c r="D174" s="620">
        <v>226</v>
      </c>
      <c r="E174" s="596">
        <f>'Прилож 4 24 (4)'!U168</f>
        <v>74560.5</v>
      </c>
      <c r="F174" s="595">
        <f>'Прилож 4 24 (4)'!V168</f>
        <v>0</v>
      </c>
      <c r="G174" s="595">
        <f>'Прилож 4 24 (4)'!W168</f>
        <v>0</v>
      </c>
      <c r="H174" s="595">
        <f>'Прилож 4 24 (4)'!X168</f>
        <v>63301.25</v>
      </c>
      <c r="I174" s="628"/>
      <c r="J174" s="595">
        <f>'Прилож 4 24 (4)'!Z168</f>
        <v>0</v>
      </c>
      <c r="K174" s="595">
        <f>'Прилож 4 24 (4)'!AA168</f>
        <v>0</v>
      </c>
      <c r="L174" s="595">
        <f>'Прилож 4 24 (4)'!AB168</f>
        <v>11259.25</v>
      </c>
      <c r="M174" s="876">
        <f t="shared" si="21"/>
        <v>0</v>
      </c>
      <c r="N174" s="875"/>
      <c r="O174" s="875"/>
      <c r="P174" s="875"/>
      <c r="Q174" s="877"/>
      <c r="R174" s="875"/>
      <c r="S174" s="875"/>
      <c r="T174" s="875"/>
      <c r="U174" s="876">
        <f t="shared" si="22"/>
        <v>74560.5</v>
      </c>
      <c r="V174" s="875">
        <f t="shared" si="22"/>
        <v>0</v>
      </c>
      <c r="W174" s="875">
        <f t="shared" si="20"/>
        <v>0</v>
      </c>
      <c r="X174" s="875">
        <f t="shared" si="20"/>
        <v>63301.25</v>
      </c>
      <c r="Y174" s="883"/>
      <c r="Z174" s="875">
        <f t="shared" si="19"/>
        <v>0</v>
      </c>
      <c r="AA174" s="875">
        <f t="shared" si="19"/>
        <v>0</v>
      </c>
      <c r="AB174" s="875">
        <f t="shared" si="19"/>
        <v>11259.25</v>
      </c>
      <c r="AC174" s="878"/>
    </row>
    <row r="175" spans="1:30" ht="73.5" customHeight="1" x14ac:dyDescent="0.2">
      <c r="A175" s="618" t="s">
        <v>712</v>
      </c>
      <c r="B175" s="619" t="s">
        <v>691</v>
      </c>
      <c r="C175" s="620">
        <v>244</v>
      </c>
      <c r="D175" s="620">
        <v>226</v>
      </c>
      <c r="E175" s="596">
        <f>'Прилож 4 24 (4)'!U169</f>
        <v>29965.949999999997</v>
      </c>
      <c r="F175" s="595">
        <f>'Прилож 4 24 (4)'!V169</f>
        <v>0</v>
      </c>
      <c r="G175" s="595">
        <f>'Прилож 4 24 (4)'!W169</f>
        <v>0</v>
      </c>
      <c r="H175" s="595">
        <f>'Прилож 4 24 (4)'!X169</f>
        <v>28538.999999999996</v>
      </c>
      <c r="I175" s="628"/>
      <c r="J175" s="595">
        <f>'Прилож 4 24 (4)'!Z169</f>
        <v>0</v>
      </c>
      <c r="K175" s="595">
        <f>'Прилож 4 24 (4)'!AA169</f>
        <v>0</v>
      </c>
      <c r="L175" s="595">
        <f>'Прилож 4 24 (4)'!AB169</f>
        <v>1426.95</v>
      </c>
      <c r="M175" s="876">
        <f t="shared" si="21"/>
        <v>-1426.95</v>
      </c>
      <c r="N175" s="875"/>
      <c r="O175" s="875"/>
      <c r="P175" s="875">
        <v>-1426.95</v>
      </c>
      <c r="Q175" s="877"/>
      <c r="R175" s="875"/>
      <c r="S175" s="875"/>
      <c r="T175" s="875"/>
      <c r="U175" s="876">
        <f t="shared" si="22"/>
        <v>28538.999999999996</v>
      </c>
      <c r="V175" s="875">
        <f t="shared" si="22"/>
        <v>0</v>
      </c>
      <c r="W175" s="875">
        <f t="shared" si="20"/>
        <v>0</v>
      </c>
      <c r="X175" s="875">
        <f t="shared" si="20"/>
        <v>27112.049999999996</v>
      </c>
      <c r="Y175" s="883"/>
      <c r="Z175" s="875">
        <f t="shared" si="19"/>
        <v>0</v>
      </c>
      <c r="AA175" s="875">
        <f t="shared" si="19"/>
        <v>0</v>
      </c>
      <c r="AB175" s="875">
        <f t="shared" si="19"/>
        <v>1426.95</v>
      </c>
      <c r="AC175" s="878" t="s">
        <v>1454</v>
      </c>
    </row>
    <row r="176" spans="1:30" x14ac:dyDescent="0.2">
      <c r="A176" s="618" t="s">
        <v>755</v>
      </c>
      <c r="B176" s="619" t="s">
        <v>691</v>
      </c>
      <c r="C176" s="620">
        <v>244</v>
      </c>
      <c r="D176" s="620">
        <v>226</v>
      </c>
      <c r="E176" s="596">
        <f>'Прилож 4 24 (4)'!U170</f>
        <v>0</v>
      </c>
      <c r="F176" s="595">
        <f>'Прилож 4 24 (4)'!V170</f>
        <v>0</v>
      </c>
      <c r="G176" s="595">
        <f>'Прилож 4 24 (4)'!W170</f>
        <v>0</v>
      </c>
      <c r="H176" s="595">
        <f>'Прилож 4 24 (4)'!X170</f>
        <v>0</v>
      </c>
      <c r="I176" s="628"/>
      <c r="J176" s="595">
        <f>'Прилож 4 24 (4)'!Z170</f>
        <v>0</v>
      </c>
      <c r="K176" s="595">
        <f>'Прилож 4 24 (4)'!AA170</f>
        <v>0</v>
      </c>
      <c r="L176" s="595">
        <f>'Прилож 4 24 (4)'!AB170</f>
        <v>0</v>
      </c>
      <c r="M176" s="876">
        <f t="shared" si="21"/>
        <v>0</v>
      </c>
      <c r="N176" s="875"/>
      <c r="O176" s="875"/>
      <c r="P176" s="875"/>
      <c r="Q176" s="877"/>
      <c r="R176" s="875"/>
      <c r="S176" s="875"/>
      <c r="T176" s="875"/>
      <c r="U176" s="876">
        <f t="shared" si="22"/>
        <v>0</v>
      </c>
      <c r="V176" s="875">
        <f t="shared" si="22"/>
        <v>0</v>
      </c>
      <c r="W176" s="875">
        <f t="shared" si="20"/>
        <v>0</v>
      </c>
      <c r="X176" s="875">
        <f t="shared" si="20"/>
        <v>0</v>
      </c>
      <c r="Y176" s="883"/>
      <c r="Z176" s="875">
        <f t="shared" si="19"/>
        <v>0</v>
      </c>
      <c r="AA176" s="875">
        <f t="shared" si="19"/>
        <v>0</v>
      </c>
      <c r="AB176" s="875">
        <f t="shared" si="19"/>
        <v>0</v>
      </c>
      <c r="AC176" s="878"/>
    </row>
    <row r="177" spans="1:30" ht="44.25" customHeight="1" x14ac:dyDescent="0.2">
      <c r="A177" s="618" t="s">
        <v>756</v>
      </c>
      <c r="B177" s="619" t="s">
        <v>691</v>
      </c>
      <c r="C177" s="620">
        <v>244</v>
      </c>
      <c r="D177" s="620">
        <v>226</v>
      </c>
      <c r="E177" s="596">
        <f>'Прилож 4 24 (4)'!U171</f>
        <v>29384.920000000002</v>
      </c>
      <c r="F177" s="595">
        <f>'Прилож 4 24 (4)'!V171</f>
        <v>0</v>
      </c>
      <c r="G177" s="595">
        <f>'Прилож 4 24 (4)'!W171</f>
        <v>0</v>
      </c>
      <c r="H177" s="595">
        <f>'Прилож 4 24 (4)'!X171</f>
        <v>25135.27</v>
      </c>
      <c r="I177" s="628"/>
      <c r="J177" s="595">
        <f>'Прилож 4 24 (4)'!Z171</f>
        <v>0</v>
      </c>
      <c r="K177" s="595">
        <f>'Прилож 4 24 (4)'!AA171</f>
        <v>0</v>
      </c>
      <c r="L177" s="595">
        <f>'Прилож 4 24 (4)'!AB171</f>
        <v>4249.6499999999996</v>
      </c>
      <c r="M177" s="876">
        <f t="shared" si="21"/>
        <v>0</v>
      </c>
      <c r="N177" s="875"/>
      <c r="O177" s="875"/>
      <c r="P177" s="875"/>
      <c r="Q177" s="877"/>
      <c r="R177" s="875"/>
      <c r="S177" s="875"/>
      <c r="T177" s="875"/>
      <c r="U177" s="876">
        <f t="shared" si="22"/>
        <v>29384.920000000002</v>
      </c>
      <c r="V177" s="875">
        <f t="shared" si="22"/>
        <v>0</v>
      </c>
      <c r="W177" s="875">
        <f t="shared" si="20"/>
        <v>0</v>
      </c>
      <c r="X177" s="875">
        <f t="shared" si="20"/>
        <v>25135.27</v>
      </c>
      <c r="Y177" s="883"/>
      <c r="Z177" s="875">
        <f t="shared" si="19"/>
        <v>0</v>
      </c>
      <c r="AA177" s="875">
        <f t="shared" si="19"/>
        <v>0</v>
      </c>
      <c r="AB177" s="875">
        <f t="shared" si="19"/>
        <v>4249.6499999999996</v>
      </c>
      <c r="AC177" s="878"/>
    </row>
    <row r="178" spans="1:30" x14ac:dyDescent="0.2">
      <c r="A178" s="618" t="s">
        <v>706</v>
      </c>
      <c r="B178" s="619" t="s">
        <v>691</v>
      </c>
      <c r="C178" s="620">
        <v>244</v>
      </c>
      <c r="D178" s="620">
        <v>226</v>
      </c>
      <c r="E178" s="596">
        <f>'Прилож 4 24 (4)'!U172</f>
        <v>0</v>
      </c>
      <c r="F178" s="595">
        <f>'Прилож 4 24 (4)'!V172</f>
        <v>0</v>
      </c>
      <c r="G178" s="595">
        <f>'Прилож 4 24 (4)'!W172</f>
        <v>0</v>
      </c>
      <c r="H178" s="595">
        <f>'Прилож 4 24 (4)'!X172</f>
        <v>0</v>
      </c>
      <c r="I178" s="628"/>
      <c r="J178" s="595">
        <f>'Прилож 4 24 (4)'!Z172</f>
        <v>0</v>
      </c>
      <c r="K178" s="595">
        <f>'Прилож 4 24 (4)'!AA172</f>
        <v>0</v>
      </c>
      <c r="L178" s="595">
        <f>'Прилож 4 24 (4)'!AB172</f>
        <v>0</v>
      </c>
      <c r="M178" s="876">
        <f t="shared" si="21"/>
        <v>0</v>
      </c>
      <c r="N178" s="875"/>
      <c r="O178" s="875"/>
      <c r="P178" s="875"/>
      <c r="Q178" s="877"/>
      <c r="R178" s="875"/>
      <c r="S178" s="875"/>
      <c r="T178" s="875"/>
      <c r="U178" s="876">
        <f t="shared" si="22"/>
        <v>0</v>
      </c>
      <c r="V178" s="875">
        <f t="shared" si="22"/>
        <v>0</v>
      </c>
      <c r="W178" s="875">
        <f t="shared" si="20"/>
        <v>0</v>
      </c>
      <c r="X178" s="875">
        <f t="shared" si="20"/>
        <v>0</v>
      </c>
      <c r="Y178" s="883"/>
      <c r="Z178" s="875">
        <f t="shared" si="19"/>
        <v>0</v>
      </c>
      <c r="AA178" s="875">
        <f t="shared" si="19"/>
        <v>0</v>
      </c>
      <c r="AB178" s="875">
        <f t="shared" si="19"/>
        <v>0</v>
      </c>
      <c r="AC178" s="878"/>
    </row>
    <row r="179" spans="1:30" ht="61.5" customHeight="1" x14ac:dyDescent="0.2">
      <c r="A179" s="994" t="s">
        <v>1445</v>
      </c>
      <c r="B179" s="619" t="s">
        <v>691</v>
      </c>
      <c r="C179" s="620">
        <v>244</v>
      </c>
      <c r="D179" s="620">
        <v>226</v>
      </c>
      <c r="E179" s="596"/>
      <c r="F179" s="595"/>
      <c r="G179" s="595"/>
      <c r="H179" s="595"/>
      <c r="I179" s="628"/>
      <c r="J179" s="595"/>
      <c r="K179" s="595"/>
      <c r="L179" s="595"/>
      <c r="M179" s="876">
        <f t="shared" si="21"/>
        <v>21411</v>
      </c>
      <c r="N179" s="875"/>
      <c r="O179" s="875"/>
      <c r="P179" s="875"/>
      <c r="Q179" s="877" t="s">
        <v>1440</v>
      </c>
      <c r="R179" s="875"/>
      <c r="S179" s="875">
        <v>21411</v>
      </c>
      <c r="T179" s="875"/>
      <c r="U179" s="876">
        <f t="shared" si="22"/>
        <v>21411</v>
      </c>
      <c r="V179" s="875">
        <f t="shared" si="22"/>
        <v>0</v>
      </c>
      <c r="W179" s="875">
        <f t="shared" si="20"/>
        <v>0</v>
      </c>
      <c r="X179" s="875"/>
      <c r="Y179" s="877" t="s">
        <v>1440</v>
      </c>
      <c r="Z179" s="875"/>
      <c r="AA179" s="875">
        <f t="shared" si="19"/>
        <v>21411</v>
      </c>
      <c r="AB179" s="875">
        <f t="shared" si="19"/>
        <v>0</v>
      </c>
      <c r="AC179" s="878" t="s">
        <v>1442</v>
      </c>
    </row>
    <row r="180" spans="1:30" s="637" customFormat="1" x14ac:dyDescent="0.2">
      <c r="A180" s="632" t="s">
        <v>1143</v>
      </c>
      <c r="B180" s="633" t="s">
        <v>691</v>
      </c>
      <c r="C180" s="634">
        <v>244</v>
      </c>
      <c r="D180" s="634">
        <v>226</v>
      </c>
      <c r="E180" s="596">
        <f>'Прилож 4 24 (4)'!U173</f>
        <v>324171.37</v>
      </c>
      <c r="F180" s="595">
        <f>'Прилож 4 24 (4)'!V173</f>
        <v>32288.77</v>
      </c>
      <c r="G180" s="595">
        <f>'Прилож 4 24 (4)'!W173</f>
        <v>0</v>
      </c>
      <c r="H180" s="595">
        <f>'Прилож 4 24 (4)'!X173</f>
        <v>226104.36</v>
      </c>
      <c r="I180" s="635"/>
      <c r="J180" s="595">
        <f>'Прилож 4 24 (4)'!Z173</f>
        <v>0</v>
      </c>
      <c r="K180" s="595">
        <f>'Прилож 4 24 (4)'!AA173</f>
        <v>0</v>
      </c>
      <c r="L180" s="595">
        <f>'Прилож 4 24 (4)'!AB173</f>
        <v>65778.240000000005</v>
      </c>
      <c r="M180" s="876">
        <f t="shared" si="21"/>
        <v>19984.05</v>
      </c>
      <c r="N180" s="884"/>
      <c r="O180" s="884"/>
      <c r="P180" s="884">
        <f>SUM(P173:P178)</f>
        <v>-1426.95</v>
      </c>
      <c r="Q180" s="885"/>
      <c r="R180" s="884"/>
      <c r="S180" s="884">
        <f>SUM(S173:S179)</f>
        <v>21411</v>
      </c>
      <c r="T180" s="884">
        <f>SUM(T173:T178)</f>
        <v>0</v>
      </c>
      <c r="U180" s="876">
        <f t="shared" si="22"/>
        <v>344155.42</v>
      </c>
      <c r="V180" s="875">
        <f t="shared" si="22"/>
        <v>32288.77</v>
      </c>
      <c r="W180" s="875">
        <f t="shared" si="20"/>
        <v>0</v>
      </c>
      <c r="X180" s="875">
        <f t="shared" si="20"/>
        <v>224677.40999999997</v>
      </c>
      <c r="Y180" s="885"/>
      <c r="Z180" s="875">
        <f t="shared" si="19"/>
        <v>0</v>
      </c>
      <c r="AA180" s="875">
        <f t="shared" si="19"/>
        <v>21411</v>
      </c>
      <c r="AB180" s="875">
        <f t="shared" si="19"/>
        <v>65778.240000000005</v>
      </c>
      <c r="AC180" s="886"/>
      <c r="AD180" s="819"/>
    </row>
    <row r="181" spans="1:30" s="614" customFormat="1" x14ac:dyDescent="0.2">
      <c r="A181" s="630" t="s">
        <v>739</v>
      </c>
      <c r="B181" s="631"/>
      <c r="C181" s="624"/>
      <c r="D181" s="624"/>
      <c r="E181" s="596">
        <f>'Прилож 4 24 (4)'!U174</f>
        <v>1474781.36</v>
      </c>
      <c r="F181" s="595">
        <f>'Прилож 4 24 (4)'!V174</f>
        <v>76111.12</v>
      </c>
      <c r="G181" s="595">
        <f>'Прилож 4 24 (4)'!W174</f>
        <v>0</v>
      </c>
      <c r="H181" s="595">
        <f>'Прилож 4 24 (4)'!X174</f>
        <v>917021.19999999984</v>
      </c>
      <c r="I181" s="626"/>
      <c r="J181" s="595">
        <f>'Прилож 4 24 (4)'!Z174</f>
        <v>0</v>
      </c>
      <c r="K181" s="595">
        <f>'Прилож 4 24 (4)'!AA174</f>
        <v>415870.80000000005</v>
      </c>
      <c r="L181" s="595">
        <f>'Прилож 4 24 (4)'!AB174</f>
        <v>65778.240000000005</v>
      </c>
      <c r="M181" s="876">
        <f>N181+P181+R181+S181+T181+O181</f>
        <v>19984.05</v>
      </c>
      <c r="N181" s="876">
        <f>N180+N172+N156</f>
        <v>0</v>
      </c>
      <c r="O181" s="876"/>
      <c r="P181" s="876">
        <f>P180+P172+P156</f>
        <v>-1426.95</v>
      </c>
      <c r="Q181" s="881"/>
      <c r="R181" s="876">
        <f>R180+R172+R156</f>
        <v>0</v>
      </c>
      <c r="S181" s="876">
        <f>S180+S172+S156</f>
        <v>21411</v>
      </c>
      <c r="T181" s="876">
        <f>T180+T172+T156</f>
        <v>0</v>
      </c>
      <c r="U181" s="876">
        <f>E181+M181</f>
        <v>1494765.4100000001</v>
      </c>
      <c r="V181" s="875">
        <f t="shared" si="22"/>
        <v>76111.12</v>
      </c>
      <c r="W181" s="875">
        <f t="shared" si="20"/>
        <v>0</v>
      </c>
      <c r="X181" s="875">
        <f t="shared" si="20"/>
        <v>915594.24999999988</v>
      </c>
      <c r="Y181" s="881"/>
      <c r="Z181" s="875">
        <f t="shared" si="19"/>
        <v>0</v>
      </c>
      <c r="AA181" s="875">
        <f t="shared" si="19"/>
        <v>437281.80000000005</v>
      </c>
      <c r="AB181" s="875">
        <f t="shared" si="19"/>
        <v>65778.240000000005</v>
      </c>
      <c r="AC181" s="879"/>
      <c r="AD181" s="819"/>
    </row>
    <row r="182" spans="1:30" ht="34.5" customHeight="1" x14ac:dyDescent="0.2">
      <c r="A182" s="618" t="s">
        <v>637</v>
      </c>
      <c r="B182" s="619" t="s">
        <v>729</v>
      </c>
      <c r="C182" s="620">
        <v>244</v>
      </c>
      <c r="D182" s="620">
        <v>227</v>
      </c>
      <c r="E182" s="596">
        <f>'Прилож 4 24 (4)'!U175</f>
        <v>10000</v>
      </c>
      <c r="F182" s="595">
        <f>'Прилож 4 24 (4)'!V175</f>
        <v>0</v>
      </c>
      <c r="G182" s="595">
        <f>'Прилож 4 24 (4)'!W175</f>
        <v>0</v>
      </c>
      <c r="H182" s="595">
        <f>'Прилож 4 24 (4)'!X175</f>
        <v>10000</v>
      </c>
      <c r="I182" s="628"/>
      <c r="J182" s="595">
        <f>'Прилож 4 24 (4)'!Z175</f>
        <v>0</v>
      </c>
      <c r="K182" s="595">
        <f>'Прилож 4 24 (4)'!AA175</f>
        <v>0</v>
      </c>
      <c r="L182" s="595">
        <f>'Прилож 4 24 (4)'!AB175</f>
        <v>0</v>
      </c>
      <c r="M182" s="876">
        <f t="shared" si="21"/>
        <v>0</v>
      </c>
      <c r="N182" s="875"/>
      <c r="O182" s="875"/>
      <c r="P182" s="875"/>
      <c r="Q182" s="877"/>
      <c r="R182" s="875"/>
      <c r="S182" s="875"/>
      <c r="T182" s="875"/>
      <c r="U182" s="876">
        <f t="shared" si="22"/>
        <v>10000</v>
      </c>
      <c r="V182" s="875">
        <f t="shared" si="22"/>
        <v>0</v>
      </c>
      <c r="W182" s="875">
        <f t="shared" si="20"/>
        <v>0</v>
      </c>
      <c r="X182" s="875">
        <f t="shared" si="20"/>
        <v>10000</v>
      </c>
      <c r="Y182" s="883"/>
      <c r="Z182" s="875">
        <f t="shared" si="19"/>
        <v>0</v>
      </c>
      <c r="AA182" s="875">
        <f t="shared" si="19"/>
        <v>0</v>
      </c>
      <c r="AB182" s="875">
        <f t="shared" si="19"/>
        <v>0</v>
      </c>
      <c r="AC182" s="878"/>
    </row>
    <row r="183" spans="1:30" ht="25.5" customHeight="1" x14ac:dyDescent="0.2">
      <c r="A183" s="618" t="s">
        <v>678</v>
      </c>
      <c r="B183" s="619" t="s">
        <v>691</v>
      </c>
      <c r="C183" s="620">
        <v>244</v>
      </c>
      <c r="D183" s="620">
        <v>227</v>
      </c>
      <c r="E183" s="596">
        <f>'Прилож 4 24 (4)'!U176</f>
        <v>1827</v>
      </c>
      <c r="F183" s="595">
        <f>'Прилож 4 24 (4)'!V176</f>
        <v>0</v>
      </c>
      <c r="G183" s="595">
        <f>'Прилож 4 24 (4)'!W176</f>
        <v>0</v>
      </c>
      <c r="H183" s="595">
        <f>'Прилож 4 24 (4)'!X176</f>
        <v>1551.11</v>
      </c>
      <c r="I183" s="628"/>
      <c r="J183" s="595">
        <f>'Прилож 4 24 (4)'!Z176</f>
        <v>0</v>
      </c>
      <c r="K183" s="595">
        <f>'Прилож 4 24 (4)'!AA176</f>
        <v>0</v>
      </c>
      <c r="L183" s="595">
        <f>'Прилож 4 24 (4)'!AB176</f>
        <v>275.89</v>
      </c>
      <c r="M183" s="876">
        <f t="shared" si="21"/>
        <v>0</v>
      </c>
      <c r="N183" s="875"/>
      <c r="O183" s="875"/>
      <c r="P183" s="875"/>
      <c r="Q183" s="877"/>
      <c r="R183" s="875"/>
      <c r="S183" s="875"/>
      <c r="T183" s="875"/>
      <c r="U183" s="876">
        <f t="shared" si="22"/>
        <v>1827</v>
      </c>
      <c r="V183" s="875">
        <f t="shared" si="22"/>
        <v>0</v>
      </c>
      <c r="W183" s="875">
        <f t="shared" si="20"/>
        <v>0</v>
      </c>
      <c r="X183" s="875">
        <f t="shared" si="20"/>
        <v>1551.11</v>
      </c>
      <c r="Y183" s="883"/>
      <c r="Z183" s="875">
        <f t="shared" si="19"/>
        <v>0</v>
      </c>
      <c r="AA183" s="875">
        <f t="shared" si="19"/>
        <v>0</v>
      </c>
      <c r="AB183" s="875">
        <f t="shared" si="19"/>
        <v>275.89</v>
      </c>
      <c r="AC183" s="878"/>
    </row>
    <row r="184" spans="1:30" s="614" customFormat="1" x14ac:dyDescent="0.2">
      <c r="A184" s="630" t="s">
        <v>740</v>
      </c>
      <c r="B184" s="631"/>
      <c r="C184" s="624"/>
      <c r="D184" s="624"/>
      <c r="E184" s="596">
        <f>'Прилож 4 24 (4)'!U177</f>
        <v>11827</v>
      </c>
      <c r="F184" s="595">
        <f>'Прилож 4 24 (4)'!V177</f>
        <v>0</v>
      </c>
      <c r="G184" s="595">
        <f>'Прилож 4 24 (4)'!W177</f>
        <v>0</v>
      </c>
      <c r="H184" s="595">
        <f>'Прилож 4 24 (4)'!X177</f>
        <v>11551.11</v>
      </c>
      <c r="I184" s="626"/>
      <c r="J184" s="595">
        <f>'Прилож 4 24 (4)'!Z177</f>
        <v>0</v>
      </c>
      <c r="K184" s="595">
        <f>'Прилож 4 24 (4)'!AA177</f>
        <v>0</v>
      </c>
      <c r="L184" s="595">
        <f>'Прилож 4 24 (4)'!AB177</f>
        <v>275.89</v>
      </c>
      <c r="M184" s="876">
        <f t="shared" si="21"/>
        <v>0</v>
      </c>
      <c r="N184" s="876"/>
      <c r="O184" s="876"/>
      <c r="P184" s="876"/>
      <c r="Q184" s="881"/>
      <c r="R184" s="876"/>
      <c r="S184" s="876"/>
      <c r="T184" s="876"/>
      <c r="U184" s="876">
        <f t="shared" si="22"/>
        <v>11827</v>
      </c>
      <c r="V184" s="875">
        <f t="shared" si="22"/>
        <v>0</v>
      </c>
      <c r="W184" s="875">
        <f t="shared" si="20"/>
        <v>0</v>
      </c>
      <c r="X184" s="875">
        <f t="shared" si="20"/>
        <v>11551.11</v>
      </c>
      <c r="Y184" s="881"/>
      <c r="Z184" s="875">
        <f t="shared" si="19"/>
        <v>0</v>
      </c>
      <c r="AA184" s="875">
        <f t="shared" si="19"/>
        <v>0</v>
      </c>
      <c r="AB184" s="875">
        <f t="shared" si="19"/>
        <v>275.89</v>
      </c>
      <c r="AC184" s="879"/>
    </row>
    <row r="185" spans="1:30" x14ac:dyDescent="0.2">
      <c r="A185" s="618" t="s">
        <v>1227</v>
      </c>
      <c r="B185" s="619" t="s">
        <v>747</v>
      </c>
      <c r="C185" s="620">
        <v>244</v>
      </c>
      <c r="D185" s="620">
        <v>310</v>
      </c>
      <c r="E185" s="596">
        <f>'Прилож 4 24 (4)'!U178</f>
        <v>0</v>
      </c>
      <c r="F185" s="595">
        <f>'Прилож 4 24 (4)'!V178</f>
        <v>0</v>
      </c>
      <c r="G185" s="595">
        <f>'Прилож 4 24 (4)'!W178</f>
        <v>0</v>
      </c>
      <c r="H185" s="595">
        <f>'Прилож 4 24 (4)'!X178</f>
        <v>0</v>
      </c>
      <c r="I185" s="621"/>
      <c r="J185" s="595">
        <f>'Прилож 4 24 (4)'!Z178</f>
        <v>0</v>
      </c>
      <c r="K185" s="595">
        <f>'Прилож 4 24 (4)'!AA178</f>
        <v>0</v>
      </c>
      <c r="L185" s="595">
        <f>'Прилож 4 24 (4)'!AB178</f>
        <v>0</v>
      </c>
      <c r="M185" s="876">
        <f t="shared" si="21"/>
        <v>0</v>
      </c>
      <c r="N185" s="875"/>
      <c r="O185" s="875"/>
      <c r="P185" s="875"/>
      <c r="Q185" s="877"/>
      <c r="R185" s="875"/>
      <c r="S185" s="875"/>
      <c r="T185" s="875"/>
      <c r="U185" s="876">
        <f t="shared" si="22"/>
        <v>0</v>
      </c>
      <c r="V185" s="875">
        <f t="shared" si="22"/>
        <v>0</v>
      </c>
      <c r="W185" s="875">
        <f t="shared" si="20"/>
        <v>0</v>
      </c>
      <c r="X185" s="875">
        <f t="shared" si="20"/>
        <v>0</v>
      </c>
      <c r="Y185" s="877"/>
      <c r="Z185" s="875">
        <f t="shared" si="19"/>
        <v>0</v>
      </c>
      <c r="AA185" s="875">
        <f t="shared" si="19"/>
        <v>0</v>
      </c>
      <c r="AB185" s="875">
        <f t="shared" si="19"/>
        <v>0</v>
      </c>
      <c r="AC185" s="878"/>
    </row>
    <row r="186" spans="1:30" ht="31.5" x14ac:dyDescent="0.2">
      <c r="A186" s="618" t="s">
        <v>1228</v>
      </c>
      <c r="B186" s="619" t="s">
        <v>747</v>
      </c>
      <c r="C186" s="620">
        <v>244</v>
      </c>
      <c r="D186" s="620">
        <v>310</v>
      </c>
      <c r="E186" s="596">
        <f>'Прилож 4 24 (4)'!U179</f>
        <v>0</v>
      </c>
      <c r="F186" s="595">
        <f>'Прилож 4 24 (4)'!V179</f>
        <v>0</v>
      </c>
      <c r="G186" s="595">
        <f>'Прилож 4 24 (4)'!W179</f>
        <v>0</v>
      </c>
      <c r="H186" s="595">
        <f>'Прилож 4 24 (4)'!X179</f>
        <v>0</v>
      </c>
      <c r="I186" s="621"/>
      <c r="J186" s="595">
        <f>'Прилож 4 24 (4)'!Z179</f>
        <v>0</v>
      </c>
      <c r="K186" s="595">
        <f>'Прилож 4 24 (4)'!AA179</f>
        <v>0</v>
      </c>
      <c r="L186" s="595">
        <f>'Прилож 4 24 (4)'!AB179</f>
        <v>0</v>
      </c>
      <c r="M186" s="876">
        <f t="shared" si="21"/>
        <v>0</v>
      </c>
      <c r="N186" s="875"/>
      <c r="O186" s="875"/>
      <c r="P186" s="875"/>
      <c r="Q186" s="877"/>
      <c r="R186" s="875"/>
      <c r="S186" s="875"/>
      <c r="T186" s="875"/>
      <c r="U186" s="876">
        <f t="shared" si="22"/>
        <v>0</v>
      </c>
      <c r="V186" s="875">
        <f t="shared" si="22"/>
        <v>0</v>
      </c>
      <c r="W186" s="875">
        <f t="shared" si="20"/>
        <v>0</v>
      </c>
      <c r="X186" s="875">
        <f t="shared" si="20"/>
        <v>0</v>
      </c>
      <c r="Y186" s="877"/>
      <c r="Z186" s="875">
        <f t="shared" si="19"/>
        <v>0</v>
      </c>
      <c r="AA186" s="875">
        <f t="shared" si="19"/>
        <v>0</v>
      </c>
      <c r="AB186" s="875">
        <f t="shared" si="19"/>
        <v>0</v>
      </c>
      <c r="AC186" s="878"/>
    </row>
    <row r="187" spans="1:30" ht="31.5" x14ac:dyDescent="0.2">
      <c r="A187" s="618" t="s">
        <v>1229</v>
      </c>
      <c r="B187" s="619" t="s">
        <v>747</v>
      </c>
      <c r="C187" s="620">
        <v>244</v>
      </c>
      <c r="D187" s="620">
        <v>310</v>
      </c>
      <c r="E187" s="596">
        <f>'Прилож 4 24 (4)'!U180</f>
        <v>0</v>
      </c>
      <c r="F187" s="595">
        <f>'Прилож 4 24 (4)'!V180</f>
        <v>0</v>
      </c>
      <c r="G187" s="595">
        <f>'Прилож 4 24 (4)'!W180</f>
        <v>0</v>
      </c>
      <c r="H187" s="595">
        <f>'Прилож 4 24 (4)'!X180</f>
        <v>0</v>
      </c>
      <c r="I187" s="621"/>
      <c r="J187" s="595">
        <f>'Прилож 4 24 (4)'!Z180</f>
        <v>0</v>
      </c>
      <c r="K187" s="595">
        <f>'Прилож 4 24 (4)'!AA180</f>
        <v>0</v>
      </c>
      <c r="L187" s="595">
        <f>'Прилож 4 24 (4)'!AB180</f>
        <v>0</v>
      </c>
      <c r="M187" s="876">
        <f t="shared" si="21"/>
        <v>0</v>
      </c>
      <c r="N187" s="875"/>
      <c r="O187" s="875"/>
      <c r="P187" s="875"/>
      <c r="Q187" s="877"/>
      <c r="R187" s="875"/>
      <c r="S187" s="875"/>
      <c r="T187" s="875"/>
      <c r="U187" s="876">
        <f t="shared" si="22"/>
        <v>0</v>
      </c>
      <c r="V187" s="875">
        <f t="shared" si="22"/>
        <v>0</v>
      </c>
      <c r="W187" s="875">
        <f t="shared" si="20"/>
        <v>0</v>
      </c>
      <c r="X187" s="875">
        <f t="shared" si="20"/>
        <v>0</v>
      </c>
      <c r="Y187" s="877"/>
      <c r="Z187" s="875">
        <f t="shared" si="19"/>
        <v>0</v>
      </c>
      <c r="AA187" s="875">
        <f t="shared" si="19"/>
        <v>0</v>
      </c>
      <c r="AB187" s="875">
        <f t="shared" si="19"/>
        <v>0</v>
      </c>
      <c r="AC187" s="878"/>
    </row>
    <row r="188" spans="1:30" x14ac:dyDescent="0.2">
      <c r="A188" s="618" t="s">
        <v>1284</v>
      </c>
      <c r="B188" s="619" t="s">
        <v>747</v>
      </c>
      <c r="C188" s="620">
        <v>244</v>
      </c>
      <c r="D188" s="620">
        <v>310</v>
      </c>
      <c r="E188" s="596">
        <f>'Прилож 4 24 (4)'!U181</f>
        <v>18000</v>
      </c>
      <c r="F188" s="595">
        <f>'Прилож 4 24 (4)'!V181</f>
        <v>18000</v>
      </c>
      <c r="G188" s="595">
        <f>'Прилож 4 24 (4)'!W181</f>
        <v>0</v>
      </c>
      <c r="H188" s="595">
        <f>'Прилож 4 24 (4)'!X181</f>
        <v>0</v>
      </c>
      <c r="I188" s="621"/>
      <c r="J188" s="595">
        <f>'Прилож 4 24 (4)'!Z181</f>
        <v>0</v>
      </c>
      <c r="K188" s="595">
        <f>'Прилож 4 24 (4)'!AA181</f>
        <v>0</v>
      </c>
      <c r="L188" s="595">
        <f>'Прилож 4 24 (4)'!AB181</f>
        <v>0</v>
      </c>
      <c r="M188" s="876">
        <f t="shared" si="21"/>
        <v>0</v>
      </c>
      <c r="N188" s="875"/>
      <c r="O188" s="875"/>
      <c r="P188" s="875"/>
      <c r="Q188" s="877"/>
      <c r="R188" s="875"/>
      <c r="S188" s="875"/>
      <c r="T188" s="875"/>
      <c r="U188" s="876">
        <f t="shared" si="22"/>
        <v>18000</v>
      </c>
      <c r="V188" s="875">
        <f t="shared" si="22"/>
        <v>18000</v>
      </c>
      <c r="W188" s="875">
        <f t="shared" si="20"/>
        <v>0</v>
      </c>
      <c r="X188" s="875">
        <f t="shared" si="20"/>
        <v>0</v>
      </c>
      <c r="Y188" s="877"/>
      <c r="Z188" s="875">
        <f t="shared" si="19"/>
        <v>0</v>
      </c>
      <c r="AA188" s="875">
        <f t="shared" si="19"/>
        <v>0</v>
      </c>
      <c r="AB188" s="875">
        <f t="shared" si="19"/>
        <v>0</v>
      </c>
      <c r="AC188" s="878"/>
    </row>
    <row r="189" spans="1:30" ht="35.25" customHeight="1" x14ac:dyDescent="0.2">
      <c r="A189" s="618" t="s">
        <v>1344</v>
      </c>
      <c r="B189" s="619" t="s">
        <v>747</v>
      </c>
      <c r="C189" s="620">
        <v>244</v>
      </c>
      <c r="D189" s="620">
        <v>310</v>
      </c>
      <c r="E189" s="596">
        <f>'Прилож 4 24 (4)'!U182</f>
        <v>219950</v>
      </c>
      <c r="F189" s="595">
        <f>'Прилож 4 24 (4)'!V182</f>
        <v>219950</v>
      </c>
      <c r="G189" s="595">
        <f>'Прилож 4 24 (4)'!W182</f>
        <v>0</v>
      </c>
      <c r="H189" s="595">
        <f>'Прилож 4 24 (4)'!X182</f>
        <v>0</v>
      </c>
      <c r="I189" s="621"/>
      <c r="J189" s="595">
        <f>'Прилож 4 24 (4)'!Z182</f>
        <v>0</v>
      </c>
      <c r="K189" s="595">
        <f>'Прилож 4 24 (4)'!AA182</f>
        <v>0</v>
      </c>
      <c r="L189" s="595">
        <f>'Прилож 4 24 (4)'!AB182</f>
        <v>0</v>
      </c>
      <c r="M189" s="876">
        <f t="shared" si="21"/>
        <v>0</v>
      </c>
      <c r="N189" s="875"/>
      <c r="O189" s="875"/>
      <c r="P189" s="875"/>
      <c r="Q189" s="877"/>
      <c r="R189" s="875"/>
      <c r="S189" s="875"/>
      <c r="T189" s="875"/>
      <c r="U189" s="876">
        <f t="shared" si="22"/>
        <v>219950</v>
      </c>
      <c r="V189" s="875">
        <f t="shared" si="22"/>
        <v>219950</v>
      </c>
      <c r="W189" s="875">
        <f t="shared" si="20"/>
        <v>0</v>
      </c>
      <c r="X189" s="875">
        <f t="shared" si="20"/>
        <v>0</v>
      </c>
      <c r="Y189" s="877"/>
      <c r="Z189" s="875">
        <f t="shared" si="19"/>
        <v>0</v>
      </c>
      <c r="AA189" s="875">
        <f t="shared" si="19"/>
        <v>0</v>
      </c>
      <c r="AB189" s="875">
        <f t="shared" si="19"/>
        <v>0</v>
      </c>
      <c r="AC189" s="878"/>
    </row>
    <row r="190" spans="1:30" ht="34.5" customHeight="1" x14ac:dyDescent="0.2">
      <c r="A190" s="618" t="s">
        <v>1345</v>
      </c>
      <c r="B190" s="619" t="s">
        <v>747</v>
      </c>
      <c r="C190" s="620">
        <v>244</v>
      </c>
      <c r="D190" s="620">
        <v>310</v>
      </c>
      <c r="E190" s="596">
        <f>'Прилож 4 24 (4)'!U183</f>
        <v>45990</v>
      </c>
      <c r="F190" s="595">
        <f>'Прилож 4 24 (4)'!V183</f>
        <v>45990</v>
      </c>
      <c r="G190" s="595">
        <f>'Прилож 4 24 (4)'!W183</f>
        <v>0</v>
      </c>
      <c r="H190" s="595">
        <f>'Прилож 4 24 (4)'!X183</f>
        <v>0</v>
      </c>
      <c r="I190" s="621"/>
      <c r="J190" s="595">
        <f>'Прилож 4 24 (4)'!Z183</f>
        <v>0</v>
      </c>
      <c r="K190" s="595">
        <f>'Прилож 4 24 (4)'!AA183</f>
        <v>0</v>
      </c>
      <c r="L190" s="595">
        <f>'Прилож 4 24 (4)'!AB183</f>
        <v>0</v>
      </c>
      <c r="M190" s="876">
        <f t="shared" si="21"/>
        <v>0</v>
      </c>
      <c r="N190" s="875"/>
      <c r="O190" s="875"/>
      <c r="P190" s="875"/>
      <c r="Q190" s="877"/>
      <c r="R190" s="875"/>
      <c r="S190" s="875"/>
      <c r="T190" s="875"/>
      <c r="U190" s="876">
        <f t="shared" si="22"/>
        <v>45990</v>
      </c>
      <c r="V190" s="875">
        <f t="shared" si="22"/>
        <v>45990</v>
      </c>
      <c r="W190" s="875">
        <f t="shared" si="20"/>
        <v>0</v>
      </c>
      <c r="X190" s="875">
        <f t="shared" si="20"/>
        <v>0</v>
      </c>
      <c r="Y190" s="877"/>
      <c r="Z190" s="875">
        <f t="shared" si="19"/>
        <v>0</v>
      </c>
      <c r="AA190" s="875">
        <f t="shared" si="19"/>
        <v>0</v>
      </c>
      <c r="AB190" s="875">
        <f t="shared" si="19"/>
        <v>0</v>
      </c>
      <c r="AC190" s="878"/>
    </row>
    <row r="191" spans="1:30" s="637" customFormat="1" x14ac:dyDescent="0.2">
      <c r="A191" s="632" t="s">
        <v>783</v>
      </c>
      <c r="B191" s="633"/>
      <c r="C191" s="634"/>
      <c r="D191" s="634"/>
      <c r="E191" s="596">
        <f>'Прилож 4 24 (4)'!U184</f>
        <v>283940</v>
      </c>
      <c r="F191" s="595">
        <f>'Прилож 4 24 (4)'!V184</f>
        <v>283940</v>
      </c>
      <c r="G191" s="595">
        <f>'Прилож 4 24 (4)'!W184</f>
        <v>0</v>
      </c>
      <c r="H191" s="595">
        <f>'Прилож 4 24 (4)'!X184</f>
        <v>0</v>
      </c>
      <c r="I191" s="597">
        <f t="shared" ref="I191" si="23">SUM(I185:I188)</f>
        <v>0</v>
      </c>
      <c r="J191" s="595">
        <f>'Прилож 4 24 (4)'!Z184</f>
        <v>0</v>
      </c>
      <c r="K191" s="595">
        <f>'Прилож 4 24 (4)'!AA184</f>
        <v>0</v>
      </c>
      <c r="L191" s="595">
        <f>'Прилож 4 24 (4)'!AB184</f>
        <v>0</v>
      </c>
      <c r="M191" s="876">
        <f t="shared" si="21"/>
        <v>0</v>
      </c>
      <c r="N191" s="884">
        <f>SUM(N185:N190)</f>
        <v>0</v>
      </c>
      <c r="O191" s="884"/>
      <c r="P191" s="884"/>
      <c r="Q191" s="884"/>
      <c r="R191" s="884"/>
      <c r="S191" s="884"/>
      <c r="T191" s="884"/>
      <c r="U191" s="876">
        <f t="shared" si="22"/>
        <v>283940</v>
      </c>
      <c r="V191" s="875">
        <f t="shared" si="22"/>
        <v>283940</v>
      </c>
      <c r="W191" s="875">
        <f t="shared" si="20"/>
        <v>0</v>
      </c>
      <c r="X191" s="875">
        <f t="shared" si="20"/>
        <v>0</v>
      </c>
      <c r="Y191" s="884">
        <f t="shared" ref="Y191" si="24">SUM(Y185:Y188)</f>
        <v>0</v>
      </c>
      <c r="Z191" s="875">
        <f t="shared" si="19"/>
        <v>0</v>
      </c>
      <c r="AA191" s="875">
        <f t="shared" si="19"/>
        <v>0</v>
      </c>
      <c r="AB191" s="875">
        <f t="shared" si="19"/>
        <v>0</v>
      </c>
      <c r="AC191" s="886"/>
    </row>
    <row r="192" spans="1:30" ht="31.5" x14ac:dyDescent="0.2">
      <c r="A192" s="618" t="s">
        <v>1281</v>
      </c>
      <c r="B192" s="619" t="s">
        <v>729</v>
      </c>
      <c r="C192" s="620">
        <v>244</v>
      </c>
      <c r="D192" s="620">
        <v>310</v>
      </c>
      <c r="E192" s="596">
        <f>'Прилож 4 24 (4)'!U185</f>
        <v>50000</v>
      </c>
      <c r="F192" s="595">
        <f>'Прилож 4 24 (4)'!V185</f>
        <v>50000</v>
      </c>
      <c r="G192" s="595">
        <f>'Прилож 4 24 (4)'!W185</f>
        <v>0</v>
      </c>
      <c r="H192" s="595">
        <f>'Прилож 4 24 (4)'!X185</f>
        <v>0</v>
      </c>
      <c r="I192" s="621"/>
      <c r="J192" s="595">
        <f>'Прилож 4 24 (4)'!Z185</f>
        <v>0</v>
      </c>
      <c r="K192" s="595">
        <f>'Прилож 4 24 (4)'!AA185</f>
        <v>0</v>
      </c>
      <c r="L192" s="595">
        <f>'Прилож 4 24 (4)'!AB185</f>
        <v>0</v>
      </c>
      <c r="M192" s="876">
        <f t="shared" si="21"/>
        <v>0</v>
      </c>
      <c r="N192" s="875"/>
      <c r="O192" s="875"/>
      <c r="P192" s="875"/>
      <c r="Q192" s="877"/>
      <c r="R192" s="875"/>
      <c r="S192" s="875"/>
      <c r="T192" s="875"/>
      <c r="U192" s="876">
        <f t="shared" si="22"/>
        <v>50000</v>
      </c>
      <c r="V192" s="875">
        <f t="shared" si="22"/>
        <v>50000</v>
      </c>
      <c r="W192" s="875">
        <f t="shared" si="20"/>
        <v>0</v>
      </c>
      <c r="X192" s="875">
        <f t="shared" si="20"/>
        <v>0</v>
      </c>
      <c r="Y192" s="877"/>
      <c r="Z192" s="875">
        <f t="shared" si="19"/>
        <v>0</v>
      </c>
      <c r="AA192" s="875">
        <f t="shared" si="19"/>
        <v>0</v>
      </c>
      <c r="AB192" s="875">
        <f t="shared" si="19"/>
        <v>0</v>
      </c>
      <c r="AC192" s="878"/>
    </row>
    <row r="193" spans="1:30" ht="93" customHeight="1" x14ac:dyDescent="0.2">
      <c r="A193" s="618" t="s">
        <v>1282</v>
      </c>
      <c r="B193" s="619" t="s">
        <v>729</v>
      </c>
      <c r="C193" s="620">
        <v>244</v>
      </c>
      <c r="D193" s="620">
        <v>310</v>
      </c>
      <c r="E193" s="596">
        <f>'Прилож 4 24 (4)'!U186</f>
        <v>584046.51</v>
      </c>
      <c r="F193" s="595">
        <f>'Прилож 4 24 (4)'!V186</f>
        <v>584046.51</v>
      </c>
      <c r="G193" s="595">
        <f>'Прилож 4 24 (4)'!W186</f>
        <v>0</v>
      </c>
      <c r="H193" s="595">
        <f>'Прилож 4 24 (4)'!X186</f>
        <v>0</v>
      </c>
      <c r="I193" s="621"/>
      <c r="J193" s="595">
        <f>'Прилож 4 24 (4)'!Z186</f>
        <v>0</v>
      </c>
      <c r="K193" s="595">
        <f>'Прилож 4 24 (4)'!AA186</f>
        <v>0</v>
      </c>
      <c r="L193" s="595">
        <f>'Прилож 4 24 (4)'!AB186</f>
        <v>0</v>
      </c>
      <c r="M193" s="876">
        <f t="shared" si="21"/>
        <v>0</v>
      </c>
      <c r="N193" s="875"/>
      <c r="O193" s="875"/>
      <c r="P193" s="875"/>
      <c r="Q193" s="877"/>
      <c r="R193" s="875"/>
      <c r="S193" s="875"/>
      <c r="T193" s="875"/>
      <c r="U193" s="876">
        <f t="shared" si="22"/>
        <v>584046.51</v>
      </c>
      <c r="V193" s="875">
        <f t="shared" si="22"/>
        <v>584046.51</v>
      </c>
      <c r="W193" s="875">
        <f t="shared" si="20"/>
        <v>0</v>
      </c>
      <c r="X193" s="875">
        <f t="shared" si="20"/>
        <v>0</v>
      </c>
      <c r="Y193" s="877"/>
      <c r="Z193" s="875">
        <f t="shared" si="19"/>
        <v>0</v>
      </c>
      <c r="AA193" s="875">
        <f t="shared" si="19"/>
        <v>0</v>
      </c>
      <c r="AB193" s="875">
        <f t="shared" si="19"/>
        <v>0</v>
      </c>
      <c r="AC193" s="878"/>
    </row>
    <row r="194" spans="1:30" x14ac:dyDescent="0.2">
      <c r="A194" s="618" t="s">
        <v>1284</v>
      </c>
      <c r="B194" s="619" t="s">
        <v>729</v>
      </c>
      <c r="C194" s="620">
        <v>244</v>
      </c>
      <c r="D194" s="620">
        <v>310</v>
      </c>
      <c r="E194" s="596">
        <f>'Прилож 4 24 (4)'!U187</f>
        <v>27000</v>
      </c>
      <c r="F194" s="595">
        <f>'Прилож 4 24 (4)'!V187</f>
        <v>27000</v>
      </c>
      <c r="G194" s="595">
        <f>'Прилож 4 24 (4)'!W187</f>
        <v>0</v>
      </c>
      <c r="H194" s="595">
        <f>'Прилож 4 24 (4)'!X187</f>
        <v>0</v>
      </c>
      <c r="I194" s="621"/>
      <c r="J194" s="595">
        <f>'Прилож 4 24 (4)'!Z187</f>
        <v>0</v>
      </c>
      <c r="K194" s="595">
        <f>'Прилож 4 24 (4)'!AA187</f>
        <v>0</v>
      </c>
      <c r="L194" s="595">
        <f>'Прилож 4 24 (4)'!AB187</f>
        <v>0</v>
      </c>
      <c r="M194" s="876">
        <f t="shared" si="21"/>
        <v>0</v>
      </c>
      <c r="N194" s="875"/>
      <c r="O194" s="875"/>
      <c r="P194" s="875"/>
      <c r="Q194" s="877"/>
      <c r="R194" s="875"/>
      <c r="S194" s="875"/>
      <c r="T194" s="875"/>
      <c r="U194" s="876">
        <f t="shared" si="22"/>
        <v>27000</v>
      </c>
      <c r="V194" s="875">
        <f t="shared" si="22"/>
        <v>27000</v>
      </c>
      <c r="W194" s="875">
        <f t="shared" si="20"/>
        <v>0</v>
      </c>
      <c r="X194" s="875">
        <f t="shared" si="20"/>
        <v>0</v>
      </c>
      <c r="Y194" s="877"/>
      <c r="Z194" s="875">
        <f t="shared" si="19"/>
        <v>0</v>
      </c>
      <c r="AA194" s="875">
        <f t="shared" si="19"/>
        <v>0</v>
      </c>
      <c r="AB194" s="875">
        <f t="shared" si="19"/>
        <v>0</v>
      </c>
      <c r="AC194" s="878"/>
    </row>
    <row r="195" spans="1:30" x14ac:dyDescent="0.2">
      <c r="A195" s="618" t="s">
        <v>1227</v>
      </c>
      <c r="B195" s="619" t="s">
        <v>729</v>
      </c>
      <c r="C195" s="620">
        <v>244</v>
      </c>
      <c r="D195" s="620">
        <v>310</v>
      </c>
      <c r="E195" s="596">
        <f>'Прилож 4 24 (4)'!U188</f>
        <v>4025</v>
      </c>
      <c r="F195" s="595">
        <f>'Прилож 4 24 (4)'!V188</f>
        <v>0</v>
      </c>
      <c r="G195" s="595">
        <f>'Прилож 4 24 (4)'!W188</f>
        <v>0</v>
      </c>
      <c r="H195" s="595">
        <f>'Прилож 4 24 (4)'!X188</f>
        <v>0</v>
      </c>
      <c r="I195" s="621" t="s">
        <v>1226</v>
      </c>
      <c r="J195" s="595">
        <f>'Прилож 4 24 (4)'!Z188</f>
        <v>0</v>
      </c>
      <c r="K195" s="595">
        <f>'Прилож 4 24 (4)'!AA188</f>
        <v>4025</v>
      </c>
      <c r="L195" s="595">
        <f>'Прилож 4 24 (4)'!AB188</f>
        <v>0</v>
      </c>
      <c r="M195" s="876">
        <f t="shared" si="21"/>
        <v>0</v>
      </c>
      <c r="N195" s="875"/>
      <c r="O195" s="875"/>
      <c r="P195" s="875"/>
      <c r="Q195" s="877"/>
      <c r="R195" s="875"/>
      <c r="S195" s="875"/>
      <c r="T195" s="875"/>
      <c r="U195" s="876">
        <f t="shared" si="22"/>
        <v>4025</v>
      </c>
      <c r="V195" s="875">
        <f t="shared" si="22"/>
        <v>0</v>
      </c>
      <c r="W195" s="875">
        <f t="shared" si="20"/>
        <v>0</v>
      </c>
      <c r="X195" s="875">
        <f t="shared" si="20"/>
        <v>0</v>
      </c>
      <c r="Y195" s="877" t="s">
        <v>1226</v>
      </c>
      <c r="Z195" s="875">
        <f t="shared" si="19"/>
        <v>0</v>
      </c>
      <c r="AA195" s="875">
        <f t="shared" si="19"/>
        <v>4025</v>
      </c>
      <c r="AB195" s="875">
        <f t="shared" si="19"/>
        <v>0</v>
      </c>
      <c r="AC195" s="878"/>
    </row>
    <row r="196" spans="1:30" ht="31.5" x14ac:dyDescent="0.2">
      <c r="A196" s="618" t="s">
        <v>1228</v>
      </c>
      <c r="B196" s="619" t="s">
        <v>729</v>
      </c>
      <c r="C196" s="620">
        <v>244</v>
      </c>
      <c r="D196" s="620">
        <v>310</v>
      </c>
      <c r="E196" s="596">
        <f>'Прилож 4 24 (4)'!U189</f>
        <v>4638</v>
      </c>
      <c r="F196" s="595">
        <f>'Прилож 4 24 (4)'!V189</f>
        <v>0</v>
      </c>
      <c r="G196" s="595">
        <f>'Прилож 4 24 (4)'!W189</f>
        <v>0</v>
      </c>
      <c r="H196" s="595">
        <f>'Прилож 4 24 (4)'!X189</f>
        <v>0</v>
      </c>
      <c r="I196" s="621" t="s">
        <v>1226</v>
      </c>
      <c r="J196" s="595">
        <f>'Прилож 4 24 (4)'!Z189</f>
        <v>0</v>
      </c>
      <c r="K196" s="595">
        <f>'Прилож 4 24 (4)'!AA189</f>
        <v>4638</v>
      </c>
      <c r="L196" s="595">
        <f>'Прилож 4 24 (4)'!AB189</f>
        <v>0</v>
      </c>
      <c r="M196" s="876">
        <f t="shared" si="21"/>
        <v>0</v>
      </c>
      <c r="N196" s="875"/>
      <c r="O196" s="875"/>
      <c r="P196" s="875"/>
      <c r="Q196" s="877"/>
      <c r="R196" s="875"/>
      <c r="S196" s="875"/>
      <c r="T196" s="875"/>
      <c r="U196" s="876">
        <f t="shared" si="22"/>
        <v>4638</v>
      </c>
      <c r="V196" s="875">
        <f t="shared" si="22"/>
        <v>0</v>
      </c>
      <c r="W196" s="875">
        <f t="shared" si="20"/>
        <v>0</v>
      </c>
      <c r="X196" s="875">
        <f t="shared" si="20"/>
        <v>0</v>
      </c>
      <c r="Y196" s="877" t="s">
        <v>1226</v>
      </c>
      <c r="Z196" s="875">
        <f t="shared" si="19"/>
        <v>0</v>
      </c>
      <c r="AA196" s="875">
        <f t="shared" si="19"/>
        <v>4638</v>
      </c>
      <c r="AB196" s="875">
        <f t="shared" si="19"/>
        <v>0</v>
      </c>
      <c r="AC196" s="878"/>
      <c r="AD196" s="820"/>
    </row>
    <row r="197" spans="1:30" ht="31.5" x14ac:dyDescent="0.2">
      <c r="A197" s="618" t="s">
        <v>1229</v>
      </c>
      <c r="B197" s="619" t="s">
        <v>729</v>
      </c>
      <c r="C197" s="620">
        <v>244</v>
      </c>
      <c r="D197" s="620">
        <v>310</v>
      </c>
      <c r="E197" s="596">
        <f>'Прилож 4 24 (4)'!U190</f>
        <v>93768</v>
      </c>
      <c r="F197" s="595">
        <f>'Прилож 4 24 (4)'!V190</f>
        <v>0</v>
      </c>
      <c r="G197" s="595">
        <f>'Прилож 4 24 (4)'!W190</f>
        <v>0</v>
      </c>
      <c r="H197" s="595">
        <f>'Прилож 4 24 (4)'!X190</f>
        <v>0</v>
      </c>
      <c r="I197" s="621" t="s">
        <v>1226</v>
      </c>
      <c r="J197" s="595">
        <f>'Прилож 4 24 (4)'!Z190</f>
        <v>0</v>
      </c>
      <c r="K197" s="595">
        <f>'Прилож 4 24 (4)'!AA190</f>
        <v>93768</v>
      </c>
      <c r="L197" s="595">
        <f>'Прилож 4 24 (4)'!AB190</f>
        <v>0</v>
      </c>
      <c r="M197" s="876">
        <f t="shared" si="21"/>
        <v>0</v>
      </c>
      <c r="N197" s="875"/>
      <c r="O197" s="875"/>
      <c r="P197" s="875"/>
      <c r="Q197" s="877"/>
      <c r="R197" s="875"/>
      <c r="S197" s="875"/>
      <c r="T197" s="875"/>
      <c r="U197" s="876">
        <f t="shared" si="22"/>
        <v>93768</v>
      </c>
      <c r="V197" s="875">
        <f t="shared" si="22"/>
        <v>0</v>
      </c>
      <c r="W197" s="875">
        <f t="shared" si="20"/>
        <v>0</v>
      </c>
      <c r="X197" s="875">
        <f t="shared" si="20"/>
        <v>0</v>
      </c>
      <c r="Y197" s="877" t="s">
        <v>1226</v>
      </c>
      <c r="Z197" s="875">
        <f t="shared" si="19"/>
        <v>0</v>
      </c>
      <c r="AA197" s="875">
        <f t="shared" si="19"/>
        <v>93768</v>
      </c>
      <c r="AB197" s="875">
        <f t="shared" si="19"/>
        <v>0</v>
      </c>
      <c r="AC197" s="878"/>
    </row>
    <row r="198" spans="1:30" ht="48.75" customHeight="1" x14ac:dyDescent="0.2">
      <c r="A198" s="618" t="s">
        <v>1360</v>
      </c>
      <c r="B198" s="619" t="s">
        <v>729</v>
      </c>
      <c r="C198" s="620">
        <v>244</v>
      </c>
      <c r="D198" s="620">
        <v>310</v>
      </c>
      <c r="E198" s="596">
        <f>'Прилож 4 24 (4)'!U191</f>
        <v>100000</v>
      </c>
      <c r="F198" s="595">
        <f>'Прилож 4 24 (4)'!V191</f>
        <v>0</v>
      </c>
      <c r="G198" s="595">
        <f>'Прилож 4 24 (4)'!W191</f>
        <v>0</v>
      </c>
      <c r="H198" s="595">
        <f>'Прилож 4 24 (4)'!X191</f>
        <v>0</v>
      </c>
      <c r="I198" s="993" t="s">
        <v>1226</v>
      </c>
      <c r="J198" s="595">
        <f>'Прилож 4 24 (4)'!Z191</f>
        <v>0</v>
      </c>
      <c r="K198" s="595">
        <f>'Прилож 4 24 (4)'!AA191</f>
        <v>100000</v>
      </c>
      <c r="L198" s="595">
        <f>'Прилож 4 24 (4)'!AB191</f>
        <v>0</v>
      </c>
      <c r="M198" s="876">
        <f t="shared" si="21"/>
        <v>0</v>
      </c>
      <c r="N198" s="875"/>
      <c r="O198" s="875"/>
      <c r="P198" s="875"/>
      <c r="Q198" s="877"/>
      <c r="R198" s="875"/>
      <c r="S198" s="875"/>
      <c r="T198" s="875"/>
      <c r="U198" s="876">
        <f t="shared" si="22"/>
        <v>100000</v>
      </c>
      <c r="V198" s="875">
        <f t="shared" si="22"/>
        <v>0</v>
      </c>
      <c r="W198" s="875">
        <f t="shared" si="20"/>
        <v>0</v>
      </c>
      <c r="X198" s="875">
        <f t="shared" si="20"/>
        <v>0</v>
      </c>
      <c r="Y198" s="1001" t="s">
        <v>1226</v>
      </c>
      <c r="Z198" s="875">
        <f t="shared" si="19"/>
        <v>0</v>
      </c>
      <c r="AA198" s="875">
        <f t="shared" si="19"/>
        <v>100000</v>
      </c>
      <c r="AB198" s="875">
        <f t="shared" si="19"/>
        <v>0</v>
      </c>
      <c r="AC198" s="878"/>
    </row>
    <row r="199" spans="1:30" ht="54" customHeight="1" x14ac:dyDescent="0.2">
      <c r="A199" s="618" t="s">
        <v>1358</v>
      </c>
      <c r="B199" s="619" t="s">
        <v>729</v>
      </c>
      <c r="C199" s="620">
        <v>244</v>
      </c>
      <c r="D199" s="620">
        <v>310</v>
      </c>
      <c r="E199" s="596">
        <f>'Прилож 4 24 (4)'!U192</f>
        <v>107260</v>
      </c>
      <c r="F199" s="595">
        <f>'Прилож 4 24 (4)'!V192</f>
        <v>107260</v>
      </c>
      <c r="G199" s="595">
        <f>'Прилож 4 24 (4)'!W192</f>
        <v>0</v>
      </c>
      <c r="H199" s="595">
        <f>'Прилож 4 24 (4)'!X192</f>
        <v>0</v>
      </c>
      <c r="I199" s="621"/>
      <c r="J199" s="595">
        <f>'Прилож 4 24 (4)'!Z192</f>
        <v>0</v>
      </c>
      <c r="K199" s="595">
        <f>'Прилож 4 24 (4)'!AA192</f>
        <v>0</v>
      </c>
      <c r="L199" s="595">
        <f>'Прилож 4 24 (4)'!AB192</f>
        <v>0</v>
      </c>
      <c r="M199" s="876">
        <f t="shared" si="21"/>
        <v>0</v>
      </c>
      <c r="N199" s="875"/>
      <c r="O199" s="875"/>
      <c r="P199" s="875"/>
      <c r="Q199" s="877"/>
      <c r="R199" s="875"/>
      <c r="S199" s="875"/>
      <c r="T199" s="875"/>
      <c r="U199" s="876">
        <f t="shared" si="22"/>
        <v>107260</v>
      </c>
      <c r="V199" s="875">
        <f t="shared" si="22"/>
        <v>107260</v>
      </c>
      <c r="W199" s="875">
        <f t="shared" si="20"/>
        <v>0</v>
      </c>
      <c r="X199" s="875">
        <f t="shared" si="20"/>
        <v>0</v>
      </c>
      <c r="Y199" s="877"/>
      <c r="Z199" s="875">
        <f t="shared" si="19"/>
        <v>0</v>
      </c>
      <c r="AA199" s="875">
        <f t="shared" si="19"/>
        <v>0</v>
      </c>
      <c r="AB199" s="875">
        <f t="shared" si="19"/>
        <v>0</v>
      </c>
      <c r="AC199" s="878"/>
    </row>
    <row r="200" spans="1:30" ht="42" customHeight="1" x14ac:dyDescent="0.2">
      <c r="A200" s="618" t="s">
        <v>1359</v>
      </c>
      <c r="B200" s="619" t="s">
        <v>729</v>
      </c>
      <c r="C200" s="620">
        <v>244</v>
      </c>
      <c r="D200" s="620">
        <v>310</v>
      </c>
      <c r="E200" s="596">
        <f>'Прилож 4 24 (4)'!U193</f>
        <v>76990</v>
      </c>
      <c r="F200" s="595">
        <f>'Прилож 4 24 (4)'!V193</f>
        <v>76990</v>
      </c>
      <c r="G200" s="595">
        <f>'Прилож 4 24 (4)'!W193</f>
        <v>0</v>
      </c>
      <c r="H200" s="595">
        <f>'Прилож 4 24 (4)'!X193</f>
        <v>0</v>
      </c>
      <c r="I200" s="621"/>
      <c r="J200" s="595">
        <f>'Прилож 4 24 (4)'!Z193</f>
        <v>0</v>
      </c>
      <c r="K200" s="595">
        <f>'Прилож 4 24 (4)'!AA193</f>
        <v>0</v>
      </c>
      <c r="L200" s="595">
        <f>'Прилож 4 24 (4)'!AB193</f>
        <v>0</v>
      </c>
      <c r="M200" s="876">
        <f t="shared" si="21"/>
        <v>0</v>
      </c>
      <c r="N200" s="875"/>
      <c r="O200" s="875"/>
      <c r="P200" s="875"/>
      <c r="Q200" s="877"/>
      <c r="R200" s="875"/>
      <c r="S200" s="875"/>
      <c r="T200" s="875"/>
      <c r="U200" s="876">
        <f t="shared" si="22"/>
        <v>76990</v>
      </c>
      <c r="V200" s="875">
        <f t="shared" si="22"/>
        <v>76990</v>
      </c>
      <c r="W200" s="875">
        <f t="shared" si="20"/>
        <v>0</v>
      </c>
      <c r="X200" s="875">
        <f t="shared" si="20"/>
        <v>0</v>
      </c>
      <c r="Y200" s="877"/>
      <c r="Z200" s="875">
        <f t="shared" si="19"/>
        <v>0</v>
      </c>
      <c r="AA200" s="875">
        <f t="shared" si="19"/>
        <v>0</v>
      </c>
      <c r="AB200" s="875">
        <f t="shared" si="19"/>
        <v>0</v>
      </c>
      <c r="AC200" s="878"/>
    </row>
    <row r="201" spans="1:30" x14ac:dyDescent="0.2">
      <c r="A201" s="618" t="s">
        <v>1287</v>
      </c>
      <c r="B201" s="619" t="s">
        <v>729</v>
      </c>
      <c r="C201" s="620">
        <v>244</v>
      </c>
      <c r="D201" s="620">
        <v>310</v>
      </c>
      <c r="E201" s="596">
        <f>'Прилож 4 24 (4)'!U194</f>
        <v>1047727.51</v>
      </c>
      <c r="F201" s="595">
        <f>'Прилож 4 24 (4)'!V194</f>
        <v>845296.51</v>
      </c>
      <c r="G201" s="595">
        <f>'Прилож 4 24 (4)'!W194</f>
        <v>0</v>
      </c>
      <c r="H201" s="595">
        <f>'Прилож 4 24 (4)'!X194</f>
        <v>0</v>
      </c>
      <c r="I201" s="596">
        <f>SUM(I192:I194)</f>
        <v>0</v>
      </c>
      <c r="J201" s="595">
        <f>'Прилож 4 24 (4)'!Z194</f>
        <v>0</v>
      </c>
      <c r="K201" s="595">
        <f>'Прилож 4 24 (4)'!AA194</f>
        <v>202431</v>
      </c>
      <c r="L201" s="595">
        <f>'Прилож 4 24 (4)'!AB194</f>
        <v>0</v>
      </c>
      <c r="M201" s="876">
        <f t="shared" si="21"/>
        <v>0</v>
      </c>
      <c r="N201" s="876">
        <f>SUM(N192:N200)</f>
        <v>0</v>
      </c>
      <c r="O201" s="876"/>
      <c r="P201" s="876"/>
      <c r="Q201" s="876"/>
      <c r="R201" s="876"/>
      <c r="S201" s="876">
        <f>SUM(S192:S198)</f>
        <v>0</v>
      </c>
      <c r="T201" s="876">
        <f>SUM(T192:T198)</f>
        <v>0</v>
      </c>
      <c r="U201" s="876">
        <f t="shared" si="22"/>
        <v>1047727.51</v>
      </c>
      <c r="V201" s="875">
        <f t="shared" si="22"/>
        <v>845296.51</v>
      </c>
      <c r="W201" s="875">
        <f t="shared" si="20"/>
        <v>0</v>
      </c>
      <c r="X201" s="875">
        <f t="shared" si="20"/>
        <v>0</v>
      </c>
      <c r="Y201" s="876">
        <f>SUM(Y192:Y194)</f>
        <v>0</v>
      </c>
      <c r="Z201" s="875">
        <f t="shared" si="19"/>
        <v>0</v>
      </c>
      <c r="AA201" s="875">
        <f t="shared" si="19"/>
        <v>202431</v>
      </c>
      <c r="AB201" s="875">
        <f t="shared" si="19"/>
        <v>0</v>
      </c>
      <c r="AC201" s="876"/>
      <c r="AD201" s="820"/>
    </row>
    <row r="202" spans="1:30" s="614" customFormat="1" ht="29.25" customHeight="1" x14ac:dyDescent="0.2">
      <c r="A202" s="630" t="s">
        <v>741</v>
      </c>
      <c r="B202" s="631"/>
      <c r="C202" s="624"/>
      <c r="D202" s="624"/>
      <c r="E202" s="596">
        <f>'Прилож 4 24 (4)'!U195</f>
        <v>1331667.51</v>
      </c>
      <c r="F202" s="595">
        <f>'Прилож 4 24 (4)'!V195</f>
        <v>1129236.51</v>
      </c>
      <c r="G202" s="595">
        <f>'Прилож 4 24 (4)'!W195</f>
        <v>0</v>
      </c>
      <c r="H202" s="595">
        <f>'Прилож 4 24 (4)'!X195</f>
        <v>0</v>
      </c>
      <c r="I202" s="596">
        <f>I201+I191</f>
        <v>0</v>
      </c>
      <c r="J202" s="595">
        <f>'Прилож 4 24 (4)'!Z195</f>
        <v>0</v>
      </c>
      <c r="K202" s="595">
        <f>'Прилож 4 24 (4)'!AA195</f>
        <v>202431</v>
      </c>
      <c r="L202" s="595">
        <f>'Прилож 4 24 (4)'!AB195</f>
        <v>0</v>
      </c>
      <c r="M202" s="876">
        <f t="shared" si="21"/>
        <v>0</v>
      </c>
      <c r="N202" s="876">
        <f>N191+N201</f>
        <v>0</v>
      </c>
      <c r="O202" s="876"/>
      <c r="P202" s="876"/>
      <c r="Q202" s="876"/>
      <c r="R202" s="876"/>
      <c r="S202" s="876">
        <f>S191+S201</f>
        <v>0</v>
      </c>
      <c r="T202" s="876">
        <f>T191+T201</f>
        <v>0</v>
      </c>
      <c r="U202" s="876">
        <f t="shared" si="22"/>
        <v>1331667.51</v>
      </c>
      <c r="V202" s="875">
        <f t="shared" si="22"/>
        <v>1129236.51</v>
      </c>
      <c r="W202" s="875">
        <f t="shared" si="20"/>
        <v>0</v>
      </c>
      <c r="X202" s="875">
        <f t="shared" si="20"/>
        <v>0</v>
      </c>
      <c r="Y202" s="876">
        <f>Y201+Y191</f>
        <v>0</v>
      </c>
      <c r="Z202" s="875">
        <f t="shared" si="19"/>
        <v>0</v>
      </c>
      <c r="AA202" s="875">
        <f t="shared" si="19"/>
        <v>202431</v>
      </c>
      <c r="AB202" s="875">
        <f t="shared" si="19"/>
        <v>0</v>
      </c>
      <c r="AC202" s="876"/>
    </row>
    <row r="203" spans="1:30" x14ac:dyDescent="0.2">
      <c r="A203" s="618" t="s">
        <v>588</v>
      </c>
      <c r="B203" s="619" t="s">
        <v>747</v>
      </c>
      <c r="C203" s="620">
        <v>244</v>
      </c>
      <c r="D203" s="620">
        <v>341</v>
      </c>
      <c r="E203" s="596">
        <f>'Прилож 4 24 (4)'!U196</f>
        <v>0</v>
      </c>
      <c r="F203" s="595">
        <f>'Прилож 4 24 (4)'!V196</f>
        <v>0</v>
      </c>
      <c r="G203" s="595">
        <f>'Прилож 4 24 (4)'!W196</f>
        <v>0</v>
      </c>
      <c r="H203" s="595">
        <f>'Прилож 4 24 (4)'!X196</f>
        <v>0</v>
      </c>
      <c r="I203" s="621"/>
      <c r="J203" s="595">
        <f>'Прилож 4 24 (4)'!Z196</f>
        <v>0</v>
      </c>
      <c r="K203" s="595">
        <f>'Прилож 4 24 (4)'!AA196</f>
        <v>0</v>
      </c>
      <c r="L203" s="595">
        <f>'Прилож 4 24 (4)'!AB196</f>
        <v>0</v>
      </c>
      <c r="M203" s="876">
        <f t="shared" si="21"/>
        <v>0</v>
      </c>
      <c r="N203" s="875"/>
      <c r="O203" s="875"/>
      <c r="P203" s="875"/>
      <c r="Q203" s="894"/>
      <c r="R203" s="875"/>
      <c r="S203" s="875"/>
      <c r="T203" s="875"/>
      <c r="U203" s="876">
        <f t="shared" si="22"/>
        <v>0</v>
      </c>
      <c r="V203" s="875">
        <f t="shared" si="22"/>
        <v>0</v>
      </c>
      <c r="W203" s="875">
        <f t="shared" si="20"/>
        <v>0</v>
      </c>
      <c r="X203" s="875">
        <f t="shared" si="20"/>
        <v>0</v>
      </c>
      <c r="Y203" s="877"/>
      <c r="Z203" s="875">
        <f t="shared" si="19"/>
        <v>0</v>
      </c>
      <c r="AA203" s="875">
        <f t="shared" si="19"/>
        <v>0</v>
      </c>
      <c r="AB203" s="875">
        <f t="shared" si="19"/>
        <v>0</v>
      </c>
      <c r="AC203" s="878"/>
    </row>
    <row r="204" spans="1:30" x14ac:dyDescent="0.2">
      <c r="A204" s="618" t="s">
        <v>588</v>
      </c>
      <c r="B204" s="619" t="s">
        <v>729</v>
      </c>
      <c r="C204" s="620">
        <v>244</v>
      </c>
      <c r="D204" s="620">
        <v>341</v>
      </c>
      <c r="E204" s="596">
        <f>'Прилож 4 24 (4)'!U197</f>
        <v>27315</v>
      </c>
      <c r="F204" s="595">
        <f>'Прилож 4 24 (4)'!V197</f>
        <v>0</v>
      </c>
      <c r="G204" s="595">
        <f>'Прилож 4 24 (4)'!W197</f>
        <v>0</v>
      </c>
      <c r="H204" s="595">
        <f>'Прилож 4 24 (4)'!X197</f>
        <v>13280</v>
      </c>
      <c r="I204" s="621" t="s">
        <v>1226</v>
      </c>
      <c r="J204" s="595">
        <f>'Прилож 4 24 (4)'!Z197</f>
        <v>0</v>
      </c>
      <c r="K204" s="595">
        <f>'Прилож 4 24 (4)'!AA197</f>
        <v>14035</v>
      </c>
      <c r="L204" s="595">
        <f>'Прилож 4 24 (4)'!AB197</f>
        <v>0</v>
      </c>
      <c r="M204" s="876">
        <f t="shared" si="21"/>
        <v>0</v>
      </c>
      <c r="N204" s="875"/>
      <c r="O204" s="875"/>
      <c r="P204" s="875"/>
      <c r="Q204" s="894"/>
      <c r="R204" s="875"/>
      <c r="S204" s="875"/>
      <c r="T204" s="875"/>
      <c r="U204" s="876">
        <f t="shared" si="22"/>
        <v>27315</v>
      </c>
      <c r="V204" s="875">
        <f t="shared" si="22"/>
        <v>0</v>
      </c>
      <c r="W204" s="875">
        <f t="shared" si="20"/>
        <v>0</v>
      </c>
      <c r="X204" s="875">
        <f t="shared" si="20"/>
        <v>13280</v>
      </c>
      <c r="Y204" s="877" t="s">
        <v>1226</v>
      </c>
      <c r="Z204" s="875">
        <f t="shared" si="19"/>
        <v>0</v>
      </c>
      <c r="AA204" s="875">
        <f t="shared" si="19"/>
        <v>14035</v>
      </c>
      <c r="AB204" s="875">
        <f t="shared" si="19"/>
        <v>0</v>
      </c>
      <c r="AC204" s="878"/>
    </row>
    <row r="205" spans="1:30" s="614" customFormat="1" ht="26.25" customHeight="1" x14ac:dyDescent="0.2">
      <c r="A205" s="630" t="s">
        <v>742</v>
      </c>
      <c r="B205" s="631"/>
      <c r="C205" s="624"/>
      <c r="D205" s="624"/>
      <c r="E205" s="596">
        <f>'Прилож 4 24 (4)'!U198</f>
        <v>27315</v>
      </c>
      <c r="F205" s="595">
        <f>'Прилож 4 24 (4)'!V198</f>
        <v>0</v>
      </c>
      <c r="G205" s="595">
        <f>'Прилож 4 24 (4)'!W198</f>
        <v>0</v>
      </c>
      <c r="H205" s="595">
        <f>'Прилож 4 24 (4)'!X198</f>
        <v>13280</v>
      </c>
      <c r="I205" s="626"/>
      <c r="J205" s="595">
        <f>'Прилож 4 24 (4)'!Z198</f>
        <v>0</v>
      </c>
      <c r="K205" s="595">
        <f>'Прилож 4 24 (4)'!AA198</f>
        <v>14035</v>
      </c>
      <c r="L205" s="595">
        <f>'Прилож 4 24 (4)'!AB198</f>
        <v>0</v>
      </c>
      <c r="M205" s="876">
        <f>N205+P205+R205+S205+T205+O205</f>
        <v>0</v>
      </c>
      <c r="N205" s="876"/>
      <c r="O205" s="876"/>
      <c r="P205" s="876">
        <f>P203+P204</f>
        <v>0</v>
      </c>
      <c r="Q205" s="881"/>
      <c r="R205" s="876"/>
      <c r="S205" s="876"/>
      <c r="T205" s="876"/>
      <c r="U205" s="876">
        <f t="shared" si="22"/>
        <v>27315</v>
      </c>
      <c r="V205" s="875">
        <f t="shared" si="22"/>
        <v>0</v>
      </c>
      <c r="W205" s="875">
        <f t="shared" si="20"/>
        <v>0</v>
      </c>
      <c r="X205" s="875">
        <f t="shared" si="20"/>
        <v>13280</v>
      </c>
      <c r="Y205" s="881"/>
      <c r="Z205" s="875">
        <f t="shared" si="19"/>
        <v>0</v>
      </c>
      <c r="AA205" s="875">
        <f t="shared" si="19"/>
        <v>14035</v>
      </c>
      <c r="AB205" s="875">
        <f t="shared" si="19"/>
        <v>0</v>
      </c>
      <c r="AC205" s="879"/>
    </row>
    <row r="206" spans="1:30" ht="45" customHeight="1" x14ac:dyDescent="0.2">
      <c r="A206" s="618" t="s">
        <v>788</v>
      </c>
      <c r="B206" s="619" t="s">
        <v>747</v>
      </c>
      <c r="C206" s="620">
        <v>244</v>
      </c>
      <c r="D206" s="620">
        <v>342</v>
      </c>
      <c r="E206" s="596">
        <f>'Прилож 4 24 (4)'!U199</f>
        <v>2008650</v>
      </c>
      <c r="F206" s="595">
        <f>'Прилож 4 24 (4)'!V199</f>
        <v>0</v>
      </c>
      <c r="G206" s="595">
        <f>'Прилож 4 24 (4)'!W199</f>
        <v>0</v>
      </c>
      <c r="H206" s="595">
        <f>'Прилож 4 24 (4)'!X199</f>
        <v>851020</v>
      </c>
      <c r="I206" s="628"/>
      <c r="J206" s="595">
        <f>'Прилож 4 24 (4)'!Z199</f>
        <v>0</v>
      </c>
      <c r="K206" s="595">
        <f>'Прилож 4 24 (4)'!AA199</f>
        <v>0</v>
      </c>
      <c r="L206" s="595">
        <f>'Прилож 4 24 (4)'!AB199</f>
        <v>1157630</v>
      </c>
      <c r="M206" s="876">
        <f t="shared" si="21"/>
        <v>0</v>
      </c>
      <c r="N206" s="875"/>
      <c r="O206" s="875"/>
      <c r="P206" s="875"/>
      <c r="Q206" s="877"/>
      <c r="R206" s="875"/>
      <c r="S206" s="875"/>
      <c r="T206" s="875"/>
      <c r="U206" s="876">
        <f t="shared" si="22"/>
        <v>2008650</v>
      </c>
      <c r="V206" s="875">
        <f t="shared" si="22"/>
        <v>0</v>
      </c>
      <c r="W206" s="875">
        <f t="shared" si="20"/>
        <v>0</v>
      </c>
      <c r="X206" s="875">
        <f t="shared" si="20"/>
        <v>851020</v>
      </c>
      <c r="Y206" s="883"/>
      <c r="Z206" s="875">
        <f t="shared" si="19"/>
        <v>0</v>
      </c>
      <c r="AA206" s="875">
        <f t="shared" si="19"/>
        <v>0</v>
      </c>
      <c r="AB206" s="875">
        <f t="shared" si="19"/>
        <v>1157630</v>
      </c>
      <c r="AC206" s="878"/>
    </row>
    <row r="207" spans="1:30" s="614" customFormat="1" ht="26.25" customHeight="1" x14ac:dyDescent="0.2">
      <c r="A207" s="630" t="s">
        <v>786</v>
      </c>
      <c r="B207" s="631"/>
      <c r="C207" s="624"/>
      <c r="D207" s="624"/>
      <c r="E207" s="596">
        <f>'Прилож 4 24 (4)'!U200</f>
        <v>2008650</v>
      </c>
      <c r="F207" s="595">
        <f>'Прилож 4 24 (4)'!V200</f>
        <v>0</v>
      </c>
      <c r="G207" s="595">
        <f>'Прилож 4 24 (4)'!W200</f>
        <v>0</v>
      </c>
      <c r="H207" s="595">
        <f>'Прилож 4 24 (4)'!X200</f>
        <v>851020</v>
      </c>
      <c r="I207" s="626">
        <f t="shared" ref="I207" si="25">SUM(I206)</f>
        <v>0</v>
      </c>
      <c r="J207" s="595">
        <f>'Прилож 4 24 (4)'!Z200</f>
        <v>0</v>
      </c>
      <c r="K207" s="595">
        <f>'Прилож 4 24 (4)'!AA200</f>
        <v>0</v>
      </c>
      <c r="L207" s="595">
        <f>'Прилож 4 24 (4)'!AB200</f>
        <v>1157630</v>
      </c>
      <c r="M207" s="876">
        <f t="shared" si="21"/>
        <v>0</v>
      </c>
      <c r="N207" s="876"/>
      <c r="O207" s="876"/>
      <c r="P207" s="876"/>
      <c r="Q207" s="881"/>
      <c r="R207" s="876"/>
      <c r="S207" s="876"/>
      <c r="T207" s="876"/>
      <c r="U207" s="876">
        <f t="shared" si="22"/>
        <v>2008650</v>
      </c>
      <c r="V207" s="875">
        <f t="shared" si="22"/>
        <v>0</v>
      </c>
      <c r="W207" s="875">
        <f t="shared" si="20"/>
        <v>0</v>
      </c>
      <c r="X207" s="875">
        <f t="shared" si="20"/>
        <v>851020</v>
      </c>
      <c r="Y207" s="881">
        <f t="shared" ref="Y207" si="26">SUM(Y206)</f>
        <v>0</v>
      </c>
      <c r="Z207" s="875">
        <f t="shared" si="19"/>
        <v>0</v>
      </c>
      <c r="AA207" s="875">
        <f t="shared" si="19"/>
        <v>0</v>
      </c>
      <c r="AB207" s="875">
        <f t="shared" si="19"/>
        <v>1157630</v>
      </c>
      <c r="AC207" s="879"/>
      <c r="AD207" s="818"/>
    </row>
    <row r="208" spans="1:30" ht="47.25" x14ac:dyDescent="0.2">
      <c r="A208" s="618" t="s">
        <v>793</v>
      </c>
      <c r="B208" s="619" t="s">
        <v>791</v>
      </c>
      <c r="C208" s="620">
        <v>244</v>
      </c>
      <c r="D208" s="620">
        <v>342</v>
      </c>
      <c r="E208" s="596">
        <f>'Прилож 4 24 (4)'!U201</f>
        <v>600000</v>
      </c>
      <c r="F208" s="595">
        <f>'Прилож 4 24 (4)'!V201</f>
        <v>600000</v>
      </c>
      <c r="G208" s="595">
        <f>'Прилож 4 24 (4)'!W201</f>
        <v>0</v>
      </c>
      <c r="H208" s="595">
        <f>'Прилож 4 24 (4)'!X201</f>
        <v>0</v>
      </c>
      <c r="I208" s="628"/>
      <c r="J208" s="595">
        <f>'Прилож 4 24 (4)'!Z201</f>
        <v>0</v>
      </c>
      <c r="K208" s="595">
        <f>'Прилож 4 24 (4)'!AA201</f>
        <v>0</v>
      </c>
      <c r="L208" s="595">
        <f>'Прилож 4 24 (4)'!AB201</f>
        <v>0</v>
      </c>
      <c r="M208" s="876">
        <f t="shared" si="21"/>
        <v>0</v>
      </c>
      <c r="N208" s="875"/>
      <c r="O208" s="875"/>
      <c r="P208" s="875"/>
      <c r="Q208" s="877"/>
      <c r="R208" s="875"/>
      <c r="S208" s="875"/>
      <c r="T208" s="875"/>
      <c r="U208" s="876">
        <f t="shared" si="22"/>
        <v>600000</v>
      </c>
      <c r="V208" s="875">
        <f t="shared" si="22"/>
        <v>600000</v>
      </c>
      <c r="W208" s="875">
        <f t="shared" si="20"/>
        <v>0</v>
      </c>
      <c r="X208" s="875">
        <f t="shared" si="20"/>
        <v>0</v>
      </c>
      <c r="Y208" s="883"/>
      <c r="Z208" s="875">
        <f t="shared" si="19"/>
        <v>0</v>
      </c>
      <c r="AA208" s="875">
        <f t="shared" si="19"/>
        <v>0</v>
      </c>
      <c r="AB208" s="875">
        <f t="shared" si="19"/>
        <v>0</v>
      </c>
      <c r="AC208" s="878"/>
    </row>
    <row r="209" spans="1:31" s="614" customFormat="1" x14ac:dyDescent="0.2">
      <c r="A209" s="630" t="s">
        <v>786</v>
      </c>
      <c r="B209" s="631"/>
      <c r="C209" s="624"/>
      <c r="D209" s="624"/>
      <c r="E209" s="596">
        <f>'Прилож 4 24 (4)'!U202</f>
        <v>600000</v>
      </c>
      <c r="F209" s="595">
        <f>'Прилож 4 24 (4)'!V202</f>
        <v>600000</v>
      </c>
      <c r="G209" s="595">
        <f>'Прилож 4 24 (4)'!W202</f>
        <v>0</v>
      </c>
      <c r="H209" s="595">
        <f>'Прилож 4 24 (4)'!X202</f>
        <v>0</v>
      </c>
      <c r="I209" s="626">
        <f t="shared" ref="I209" si="27">I208</f>
        <v>0</v>
      </c>
      <c r="J209" s="595">
        <f>'Прилож 4 24 (4)'!Z202</f>
        <v>0</v>
      </c>
      <c r="K209" s="595">
        <f>'Прилож 4 24 (4)'!AA202</f>
        <v>0</v>
      </c>
      <c r="L209" s="595">
        <f>'Прилож 4 24 (4)'!AB202</f>
        <v>0</v>
      </c>
      <c r="M209" s="876">
        <f t="shared" si="21"/>
        <v>0</v>
      </c>
      <c r="N209" s="876"/>
      <c r="O209" s="876"/>
      <c r="P209" s="876"/>
      <c r="Q209" s="881"/>
      <c r="R209" s="876"/>
      <c r="S209" s="876"/>
      <c r="T209" s="876"/>
      <c r="U209" s="876">
        <f t="shared" si="22"/>
        <v>600000</v>
      </c>
      <c r="V209" s="875">
        <f t="shared" si="22"/>
        <v>600000</v>
      </c>
      <c r="W209" s="875">
        <f t="shared" si="20"/>
        <v>0</v>
      </c>
      <c r="X209" s="875">
        <f t="shared" si="20"/>
        <v>0</v>
      </c>
      <c r="Y209" s="881">
        <f t="shared" ref="Y209" si="28">Y208</f>
        <v>0</v>
      </c>
      <c r="Z209" s="875">
        <f t="shared" si="19"/>
        <v>0</v>
      </c>
      <c r="AA209" s="875">
        <f t="shared" si="19"/>
        <v>0</v>
      </c>
      <c r="AB209" s="875">
        <f t="shared" si="19"/>
        <v>0</v>
      </c>
      <c r="AC209" s="879"/>
    </row>
    <row r="210" spans="1:31" x14ac:dyDescent="0.2">
      <c r="A210" s="618" t="s">
        <v>621</v>
      </c>
      <c r="B210" s="619" t="s">
        <v>747</v>
      </c>
      <c r="C210" s="620">
        <v>244</v>
      </c>
      <c r="D210" s="620">
        <v>343</v>
      </c>
      <c r="E210" s="596">
        <f>'Прилож 4 24 (4)'!U203</f>
        <v>1000</v>
      </c>
      <c r="F210" s="595">
        <f>'Прилож 4 24 (4)'!V203</f>
        <v>0</v>
      </c>
      <c r="G210" s="595">
        <f>'Прилож 4 24 (4)'!W203</f>
        <v>0</v>
      </c>
      <c r="H210" s="595">
        <f>'Прилож 4 24 (4)'!X203</f>
        <v>1000</v>
      </c>
      <c r="I210" s="628"/>
      <c r="J210" s="595">
        <f>'Прилож 4 24 (4)'!Z203</f>
        <v>0</v>
      </c>
      <c r="K210" s="595">
        <f>'Прилож 4 24 (4)'!AA203</f>
        <v>0</v>
      </c>
      <c r="L210" s="595">
        <f>'Прилож 4 24 (4)'!AB203</f>
        <v>0</v>
      </c>
      <c r="M210" s="876">
        <f t="shared" si="21"/>
        <v>0</v>
      </c>
      <c r="N210" s="875"/>
      <c r="O210" s="875"/>
      <c r="P210" s="875"/>
      <c r="Q210" s="877"/>
      <c r="R210" s="875"/>
      <c r="S210" s="875"/>
      <c r="T210" s="875"/>
      <c r="U210" s="876">
        <f t="shared" si="22"/>
        <v>1000</v>
      </c>
      <c r="V210" s="875">
        <f t="shared" si="22"/>
        <v>0</v>
      </c>
      <c r="W210" s="875">
        <f t="shared" si="20"/>
        <v>0</v>
      </c>
      <c r="X210" s="875">
        <f t="shared" si="20"/>
        <v>1000</v>
      </c>
      <c r="Y210" s="883"/>
      <c r="Z210" s="875">
        <f t="shared" si="19"/>
        <v>0</v>
      </c>
      <c r="AA210" s="875">
        <f t="shared" si="19"/>
        <v>0</v>
      </c>
      <c r="AB210" s="875">
        <f t="shared" si="19"/>
        <v>0</v>
      </c>
      <c r="AC210" s="878"/>
    </row>
    <row r="211" spans="1:31" x14ac:dyDescent="0.2">
      <c r="A211" s="618" t="s">
        <v>1145</v>
      </c>
      <c r="B211" s="619" t="s">
        <v>729</v>
      </c>
      <c r="C211" s="620">
        <v>244</v>
      </c>
      <c r="D211" s="620">
        <v>343</v>
      </c>
      <c r="E211" s="596">
        <f>'Прилож 4 24 (4)'!U204</f>
        <v>210000</v>
      </c>
      <c r="F211" s="595">
        <f>'Прилож 4 24 (4)'!V204</f>
        <v>200000</v>
      </c>
      <c r="G211" s="595">
        <f>'Прилож 4 24 (4)'!W204</f>
        <v>0</v>
      </c>
      <c r="H211" s="595">
        <f>'Прилож 4 24 (4)'!X204</f>
        <v>10000</v>
      </c>
      <c r="I211" s="628"/>
      <c r="J211" s="595">
        <f>'Прилож 4 24 (4)'!Z204</f>
        <v>0</v>
      </c>
      <c r="K211" s="595">
        <f>'Прилож 4 24 (4)'!AA204</f>
        <v>0</v>
      </c>
      <c r="L211" s="595">
        <f>'Прилож 4 24 (4)'!AB204</f>
        <v>0</v>
      </c>
      <c r="M211" s="876">
        <f t="shared" si="21"/>
        <v>0</v>
      </c>
      <c r="N211" s="875"/>
      <c r="O211" s="875"/>
      <c r="P211" s="875"/>
      <c r="Q211" s="877"/>
      <c r="R211" s="875"/>
      <c r="S211" s="875"/>
      <c r="T211" s="875"/>
      <c r="U211" s="876">
        <f t="shared" si="22"/>
        <v>210000</v>
      </c>
      <c r="V211" s="875">
        <f t="shared" si="22"/>
        <v>200000</v>
      </c>
      <c r="W211" s="875">
        <f t="shared" si="20"/>
        <v>0</v>
      </c>
      <c r="X211" s="875">
        <f t="shared" si="20"/>
        <v>10000</v>
      </c>
      <c r="Y211" s="883"/>
      <c r="Z211" s="875">
        <f t="shared" si="19"/>
        <v>0</v>
      </c>
      <c r="AA211" s="875">
        <f t="shared" si="19"/>
        <v>0</v>
      </c>
      <c r="AB211" s="875">
        <f t="shared" si="19"/>
        <v>0</v>
      </c>
      <c r="AC211" s="878"/>
    </row>
    <row r="212" spans="1:31" s="614" customFormat="1" x14ac:dyDescent="0.2">
      <c r="A212" s="630" t="s">
        <v>879</v>
      </c>
      <c r="B212" s="631"/>
      <c r="C212" s="624"/>
      <c r="D212" s="624"/>
      <c r="E212" s="596">
        <f>'Прилож 4 24 (4)'!U205</f>
        <v>211000</v>
      </c>
      <c r="F212" s="595">
        <f>'Прилож 4 24 (4)'!V205</f>
        <v>200000</v>
      </c>
      <c r="G212" s="595">
        <f>'Прилож 4 24 (4)'!W205</f>
        <v>0</v>
      </c>
      <c r="H212" s="595">
        <f>'Прилож 4 24 (4)'!X205</f>
        <v>11000</v>
      </c>
      <c r="I212" s="626">
        <f t="shared" ref="I212" si="29">SUM(I210:I211)</f>
        <v>0</v>
      </c>
      <c r="J212" s="595">
        <f>'Прилож 4 24 (4)'!Z205</f>
        <v>0</v>
      </c>
      <c r="K212" s="595">
        <f>'Прилож 4 24 (4)'!AA205</f>
        <v>0</v>
      </c>
      <c r="L212" s="595">
        <f>'Прилож 4 24 (4)'!AB205</f>
        <v>0</v>
      </c>
      <c r="M212" s="876">
        <f t="shared" si="21"/>
        <v>0</v>
      </c>
      <c r="N212" s="876">
        <f>SUM(N210:N211)</f>
        <v>0</v>
      </c>
      <c r="O212" s="876"/>
      <c r="P212" s="876"/>
      <c r="Q212" s="881"/>
      <c r="R212" s="876"/>
      <c r="S212" s="876"/>
      <c r="T212" s="876"/>
      <c r="U212" s="876">
        <f t="shared" si="22"/>
        <v>211000</v>
      </c>
      <c r="V212" s="875">
        <f t="shared" si="22"/>
        <v>200000</v>
      </c>
      <c r="W212" s="875">
        <f t="shared" si="20"/>
        <v>0</v>
      </c>
      <c r="X212" s="875">
        <f t="shared" si="20"/>
        <v>11000</v>
      </c>
      <c r="Y212" s="881">
        <f t="shared" ref="Y212" si="30">SUM(Y210:Y211)</f>
        <v>0</v>
      </c>
      <c r="Z212" s="875">
        <f t="shared" si="19"/>
        <v>0</v>
      </c>
      <c r="AA212" s="875">
        <f t="shared" si="19"/>
        <v>0</v>
      </c>
      <c r="AB212" s="875">
        <f t="shared" si="19"/>
        <v>0</v>
      </c>
      <c r="AC212" s="879"/>
    </row>
    <row r="213" spans="1:31" s="614" customFormat="1" x14ac:dyDescent="0.2">
      <c r="A213" s="618" t="s">
        <v>941</v>
      </c>
      <c r="B213" s="619" t="s">
        <v>729</v>
      </c>
      <c r="C213" s="620">
        <v>244</v>
      </c>
      <c r="D213" s="620">
        <v>344</v>
      </c>
      <c r="E213" s="596">
        <f>'Прилож 4 24 (4)'!U206</f>
        <v>4892</v>
      </c>
      <c r="F213" s="595">
        <f>'Прилож 4 24 (4)'!V206</f>
        <v>0</v>
      </c>
      <c r="G213" s="595">
        <f>'Прилож 4 24 (4)'!W206</f>
        <v>0</v>
      </c>
      <c r="H213" s="595">
        <f>'Прилож 4 24 (4)'!X206</f>
        <v>4892</v>
      </c>
      <c r="I213" s="628"/>
      <c r="J213" s="595">
        <f>'Прилож 4 24 (4)'!Z206</f>
        <v>0</v>
      </c>
      <c r="K213" s="595">
        <f>'Прилож 4 24 (4)'!AA206</f>
        <v>0</v>
      </c>
      <c r="L213" s="595">
        <f>'Прилож 4 24 (4)'!AB206</f>
        <v>0</v>
      </c>
      <c r="M213" s="876">
        <f t="shared" si="21"/>
        <v>0</v>
      </c>
      <c r="N213" s="876"/>
      <c r="O213" s="876"/>
      <c r="P213" s="875"/>
      <c r="Q213" s="883"/>
      <c r="R213" s="876"/>
      <c r="S213" s="876"/>
      <c r="T213" s="875"/>
      <c r="U213" s="876">
        <f t="shared" si="22"/>
        <v>4892</v>
      </c>
      <c r="V213" s="875">
        <f t="shared" si="22"/>
        <v>0</v>
      </c>
      <c r="W213" s="875">
        <f t="shared" si="20"/>
        <v>0</v>
      </c>
      <c r="X213" s="875">
        <f t="shared" si="20"/>
        <v>4892</v>
      </c>
      <c r="Y213" s="883"/>
      <c r="Z213" s="875">
        <f t="shared" si="19"/>
        <v>0</v>
      </c>
      <c r="AA213" s="875">
        <f t="shared" si="19"/>
        <v>0</v>
      </c>
      <c r="AB213" s="875">
        <f t="shared" si="19"/>
        <v>0</v>
      </c>
      <c r="AC213" s="878"/>
    </row>
    <row r="214" spans="1:31" s="614" customFormat="1" x14ac:dyDescent="0.2">
      <c r="A214" s="630" t="s">
        <v>942</v>
      </c>
      <c r="B214" s="631"/>
      <c r="C214" s="624"/>
      <c r="D214" s="624"/>
      <c r="E214" s="596">
        <f>'Прилож 4 24 (4)'!U207</f>
        <v>4892</v>
      </c>
      <c r="F214" s="595">
        <f>'Прилож 4 24 (4)'!V207</f>
        <v>0</v>
      </c>
      <c r="G214" s="595">
        <f>'Прилож 4 24 (4)'!W207</f>
        <v>0</v>
      </c>
      <c r="H214" s="595">
        <f>'Прилож 4 24 (4)'!X207</f>
        <v>4892</v>
      </c>
      <c r="I214" s="626">
        <f t="shared" ref="I214" si="31">SUM(I213)</f>
        <v>0</v>
      </c>
      <c r="J214" s="595">
        <f>'Прилож 4 24 (4)'!Z207</f>
        <v>0</v>
      </c>
      <c r="K214" s="595">
        <f>'Прилож 4 24 (4)'!AA207</f>
        <v>0</v>
      </c>
      <c r="L214" s="595">
        <f>'Прилож 4 24 (4)'!AB207</f>
        <v>0</v>
      </c>
      <c r="M214" s="876">
        <f t="shared" si="21"/>
        <v>0</v>
      </c>
      <c r="N214" s="876"/>
      <c r="O214" s="876"/>
      <c r="P214" s="876">
        <f>P213</f>
        <v>0</v>
      </c>
      <c r="Q214" s="881"/>
      <c r="R214" s="876"/>
      <c r="S214" s="876"/>
      <c r="T214" s="876"/>
      <c r="U214" s="876">
        <f t="shared" si="22"/>
        <v>4892</v>
      </c>
      <c r="V214" s="875">
        <f t="shared" si="22"/>
        <v>0</v>
      </c>
      <c r="W214" s="875">
        <f t="shared" si="20"/>
        <v>0</v>
      </c>
      <c r="X214" s="875">
        <f t="shared" si="20"/>
        <v>4892</v>
      </c>
      <c r="Y214" s="881">
        <f t="shared" ref="Y214" si="32">SUM(Y213)</f>
        <v>0</v>
      </c>
      <c r="Z214" s="875">
        <f t="shared" ref="Z214:AB238" si="33">R214+J214</f>
        <v>0</v>
      </c>
      <c r="AA214" s="875">
        <f t="shared" si="33"/>
        <v>0</v>
      </c>
      <c r="AB214" s="875">
        <f t="shared" si="33"/>
        <v>0</v>
      </c>
      <c r="AC214" s="895"/>
    </row>
    <row r="215" spans="1:31" x14ac:dyDescent="0.2">
      <c r="A215" s="618" t="s">
        <v>169</v>
      </c>
      <c r="B215" s="619" t="s">
        <v>747</v>
      </c>
      <c r="C215" s="620">
        <v>244</v>
      </c>
      <c r="D215" s="620">
        <v>345</v>
      </c>
      <c r="E215" s="596">
        <f>'Прилож 4 24 (4)'!U208</f>
        <v>20000</v>
      </c>
      <c r="F215" s="595">
        <f>'Прилож 4 24 (4)'!V208</f>
        <v>0</v>
      </c>
      <c r="G215" s="595">
        <f>'Прилож 4 24 (4)'!W208</f>
        <v>0</v>
      </c>
      <c r="H215" s="595">
        <f>'Прилож 4 24 (4)'!X208</f>
        <v>0</v>
      </c>
      <c r="I215" s="628"/>
      <c r="J215" s="595">
        <f>'Прилож 4 24 (4)'!Z208</f>
        <v>0</v>
      </c>
      <c r="K215" s="595">
        <f>'Прилож 4 24 (4)'!AA208</f>
        <v>0</v>
      </c>
      <c r="L215" s="595">
        <f>'Прилож 4 24 (4)'!AB208</f>
        <v>20000</v>
      </c>
      <c r="M215" s="876">
        <f t="shared" si="21"/>
        <v>0</v>
      </c>
      <c r="N215" s="875"/>
      <c r="O215" s="875"/>
      <c r="P215" s="875"/>
      <c r="Q215" s="877"/>
      <c r="R215" s="875"/>
      <c r="S215" s="875"/>
      <c r="T215" s="875"/>
      <c r="U215" s="876">
        <f t="shared" si="22"/>
        <v>20000</v>
      </c>
      <c r="V215" s="875">
        <f t="shared" si="22"/>
        <v>0</v>
      </c>
      <c r="W215" s="875">
        <f t="shared" si="20"/>
        <v>0</v>
      </c>
      <c r="X215" s="875">
        <f t="shared" si="20"/>
        <v>0</v>
      </c>
      <c r="Y215" s="883"/>
      <c r="Z215" s="875">
        <f t="shared" si="33"/>
        <v>0</v>
      </c>
      <c r="AA215" s="875">
        <f t="shared" si="33"/>
        <v>0</v>
      </c>
      <c r="AB215" s="875">
        <f t="shared" si="33"/>
        <v>20000</v>
      </c>
      <c r="AC215" s="878"/>
    </row>
    <row r="216" spans="1:31" s="614" customFormat="1" ht="30" customHeight="1" x14ac:dyDescent="0.2">
      <c r="A216" s="630" t="s">
        <v>743</v>
      </c>
      <c r="B216" s="631"/>
      <c r="C216" s="624"/>
      <c r="D216" s="624"/>
      <c r="E216" s="596">
        <f>'Прилож 4 24 (4)'!U209</f>
        <v>20000</v>
      </c>
      <c r="F216" s="595">
        <f>'Прилож 4 24 (4)'!V209</f>
        <v>0</v>
      </c>
      <c r="G216" s="595">
        <f>'Прилож 4 24 (4)'!W209</f>
        <v>0</v>
      </c>
      <c r="H216" s="595">
        <f>'Прилож 4 24 (4)'!X209</f>
        <v>0</v>
      </c>
      <c r="I216" s="626">
        <f t="shared" ref="I216" si="34">SUM(I215)</f>
        <v>0</v>
      </c>
      <c r="J216" s="595">
        <f>'Прилож 4 24 (4)'!Z209</f>
        <v>0</v>
      </c>
      <c r="K216" s="595">
        <f>'Прилож 4 24 (4)'!AA209</f>
        <v>0</v>
      </c>
      <c r="L216" s="595">
        <f>'Прилож 4 24 (4)'!AB209</f>
        <v>20000</v>
      </c>
      <c r="M216" s="876">
        <f t="shared" si="21"/>
        <v>0</v>
      </c>
      <c r="N216" s="876"/>
      <c r="O216" s="876"/>
      <c r="P216" s="876"/>
      <c r="Q216" s="881"/>
      <c r="R216" s="876"/>
      <c r="S216" s="876"/>
      <c r="T216" s="876"/>
      <c r="U216" s="876">
        <f t="shared" si="22"/>
        <v>20000</v>
      </c>
      <c r="V216" s="875">
        <f t="shared" si="22"/>
        <v>0</v>
      </c>
      <c r="W216" s="875">
        <f t="shared" si="20"/>
        <v>0</v>
      </c>
      <c r="X216" s="875">
        <f t="shared" si="20"/>
        <v>0</v>
      </c>
      <c r="Y216" s="881">
        <f t="shared" ref="Y216" si="35">SUM(Y215)</f>
        <v>0</v>
      </c>
      <c r="Z216" s="875">
        <f t="shared" si="33"/>
        <v>0</v>
      </c>
      <c r="AA216" s="875">
        <f t="shared" si="33"/>
        <v>0</v>
      </c>
      <c r="AB216" s="875">
        <f t="shared" si="33"/>
        <v>20000</v>
      </c>
      <c r="AC216" s="879"/>
    </row>
    <row r="217" spans="1:31" ht="81.75" customHeight="1" x14ac:dyDescent="0.2">
      <c r="A217" s="618" t="s">
        <v>1301</v>
      </c>
      <c r="B217" s="619" t="s">
        <v>747</v>
      </c>
      <c r="C217" s="620">
        <v>244</v>
      </c>
      <c r="D217" s="620">
        <v>346</v>
      </c>
      <c r="E217" s="596">
        <f>'Прилож 4 24 (4)'!U210</f>
        <v>265956.56</v>
      </c>
      <c r="F217" s="595">
        <f>'Прилож 4 24 (4)'!V210</f>
        <v>80000</v>
      </c>
      <c r="G217" s="595">
        <f>'Прилож 4 24 (4)'!W210</f>
        <v>0</v>
      </c>
      <c r="H217" s="595">
        <f>'Прилож 4 24 (4)'!X210</f>
        <v>140808.85</v>
      </c>
      <c r="I217" s="621"/>
      <c r="J217" s="595">
        <f>'Прилож 4 24 (4)'!Z210</f>
        <v>0</v>
      </c>
      <c r="K217" s="595">
        <f>'Прилож 4 24 (4)'!AA210</f>
        <v>0</v>
      </c>
      <c r="L217" s="595">
        <f>'Прилож 4 24 (4)'!AB210</f>
        <v>45147.71</v>
      </c>
      <c r="M217" s="876">
        <f t="shared" si="21"/>
        <v>-13337.8</v>
      </c>
      <c r="N217" s="875"/>
      <c r="O217" s="875"/>
      <c r="P217" s="875">
        <v>-13337.8</v>
      </c>
      <c r="Q217" s="877"/>
      <c r="R217" s="875"/>
      <c r="S217" s="875"/>
      <c r="T217" s="875"/>
      <c r="U217" s="876">
        <f t="shared" si="22"/>
        <v>252618.76</v>
      </c>
      <c r="V217" s="875">
        <f t="shared" si="22"/>
        <v>80000</v>
      </c>
      <c r="W217" s="875">
        <f t="shared" si="20"/>
        <v>0</v>
      </c>
      <c r="X217" s="875">
        <f t="shared" si="20"/>
        <v>127471.05</v>
      </c>
      <c r="Y217" s="877"/>
      <c r="Z217" s="875">
        <f t="shared" si="33"/>
        <v>0</v>
      </c>
      <c r="AA217" s="875">
        <f t="shared" si="33"/>
        <v>0</v>
      </c>
      <c r="AB217" s="875">
        <f t="shared" si="33"/>
        <v>45147.71</v>
      </c>
      <c r="AC217" s="878" t="s">
        <v>1443</v>
      </c>
    </row>
    <row r="218" spans="1:31" ht="96" customHeight="1" x14ac:dyDescent="0.2">
      <c r="A218" s="618" t="s">
        <v>1311</v>
      </c>
      <c r="B218" s="619" t="s">
        <v>747</v>
      </c>
      <c r="C218" s="620">
        <v>244</v>
      </c>
      <c r="D218" s="620">
        <v>346</v>
      </c>
      <c r="E218" s="596">
        <f>'Прилож 4 24 (4)'!U211</f>
        <v>1130430.01</v>
      </c>
      <c r="F218" s="595">
        <f>'Прилож 4 24 (4)'!V211</f>
        <v>1130430.01</v>
      </c>
      <c r="G218" s="595">
        <f>'Прилож 4 24 (4)'!W211</f>
        <v>0</v>
      </c>
      <c r="H218" s="595">
        <f>'Прилож 4 24 (4)'!X211</f>
        <v>0</v>
      </c>
      <c r="I218" s="621"/>
      <c r="J218" s="595">
        <f>'Прилож 4 24 (4)'!Z211</f>
        <v>0</v>
      </c>
      <c r="K218" s="595">
        <f>'Прилож 4 24 (4)'!AA211</f>
        <v>0</v>
      </c>
      <c r="L218" s="595">
        <f>'Прилож 4 24 (4)'!AB211</f>
        <v>0</v>
      </c>
      <c r="M218" s="876">
        <f t="shared" si="21"/>
        <v>0</v>
      </c>
      <c r="N218" s="875"/>
      <c r="O218" s="875"/>
      <c r="P218" s="875"/>
      <c r="Q218" s="877"/>
      <c r="R218" s="875"/>
      <c r="S218" s="875"/>
      <c r="T218" s="875"/>
      <c r="U218" s="876">
        <f t="shared" si="22"/>
        <v>1130430.01</v>
      </c>
      <c r="V218" s="875">
        <f t="shared" si="22"/>
        <v>1130430.01</v>
      </c>
      <c r="W218" s="875">
        <f t="shared" si="20"/>
        <v>0</v>
      </c>
      <c r="X218" s="875">
        <f t="shared" si="20"/>
        <v>0</v>
      </c>
      <c r="Y218" s="877"/>
      <c r="Z218" s="875">
        <f t="shared" si="33"/>
        <v>0</v>
      </c>
      <c r="AA218" s="875">
        <f t="shared" si="33"/>
        <v>0</v>
      </c>
      <c r="AB218" s="875">
        <f t="shared" si="33"/>
        <v>0</v>
      </c>
      <c r="AC218" s="878"/>
      <c r="AD218" s="820"/>
    </row>
    <row r="219" spans="1:31" ht="48" customHeight="1" x14ac:dyDescent="0.2">
      <c r="A219" s="618" t="s">
        <v>1419</v>
      </c>
      <c r="B219" s="619" t="s">
        <v>747</v>
      </c>
      <c r="C219" s="620">
        <v>244</v>
      </c>
      <c r="D219" s="620">
        <v>346</v>
      </c>
      <c r="E219" s="596">
        <f>'Прилож 4 24 (4)'!U212</f>
        <v>30000</v>
      </c>
      <c r="F219" s="595">
        <f>'Прилож 4 24 (4)'!V212</f>
        <v>30000</v>
      </c>
      <c r="G219" s="595">
        <f>'Прилож 4 24 (4)'!W212</f>
        <v>0</v>
      </c>
      <c r="H219" s="595">
        <f>'Прилож 4 24 (4)'!X212</f>
        <v>0</v>
      </c>
      <c r="I219" s="621"/>
      <c r="J219" s="595">
        <f>'Прилож 4 24 (4)'!Z212</f>
        <v>0</v>
      </c>
      <c r="K219" s="595">
        <f>'Прилож 4 24 (4)'!AA212</f>
        <v>0</v>
      </c>
      <c r="L219" s="595">
        <f>'Прилож 4 24 (4)'!AB212</f>
        <v>0</v>
      </c>
      <c r="M219" s="876">
        <f t="shared" si="21"/>
        <v>0</v>
      </c>
      <c r="N219" s="875"/>
      <c r="O219" s="875"/>
      <c r="P219" s="875"/>
      <c r="Q219" s="877"/>
      <c r="R219" s="875"/>
      <c r="S219" s="875"/>
      <c r="T219" s="875"/>
      <c r="U219" s="876">
        <f t="shared" si="22"/>
        <v>30000</v>
      </c>
      <c r="V219" s="875">
        <f t="shared" si="22"/>
        <v>30000</v>
      </c>
      <c r="W219" s="875">
        <f t="shared" si="20"/>
        <v>0</v>
      </c>
      <c r="X219" s="875">
        <f t="shared" si="20"/>
        <v>0</v>
      </c>
      <c r="Y219" s="877"/>
      <c r="Z219" s="875">
        <f t="shared" si="33"/>
        <v>0</v>
      </c>
      <c r="AA219" s="875">
        <f t="shared" si="33"/>
        <v>0</v>
      </c>
      <c r="AB219" s="875">
        <f t="shared" si="33"/>
        <v>0</v>
      </c>
      <c r="AC219" s="878"/>
      <c r="AD219" s="820"/>
    </row>
    <row r="220" spans="1:31" ht="42.75" customHeight="1" x14ac:dyDescent="0.2">
      <c r="A220" s="618" t="s">
        <v>1293</v>
      </c>
      <c r="B220" s="619" t="s">
        <v>747</v>
      </c>
      <c r="C220" s="620">
        <v>244</v>
      </c>
      <c r="D220" s="620">
        <v>346</v>
      </c>
      <c r="E220" s="596">
        <f>'Прилож 4 24 (4)'!U213</f>
        <v>12000</v>
      </c>
      <c r="F220" s="595">
        <f>'Прилож 4 24 (4)'!V213</f>
        <v>0</v>
      </c>
      <c r="G220" s="595">
        <f>'Прилож 4 24 (4)'!W213</f>
        <v>0</v>
      </c>
      <c r="H220" s="595">
        <f>'Прилож 4 24 (4)'!X213</f>
        <v>0</v>
      </c>
      <c r="I220" s="621"/>
      <c r="J220" s="595">
        <f>'Прилож 4 24 (4)'!Z213</f>
        <v>0</v>
      </c>
      <c r="K220" s="595">
        <f>'Прилож 4 24 (4)'!AA213</f>
        <v>0</v>
      </c>
      <c r="L220" s="595">
        <f>'Прилож 4 24 (4)'!AB213</f>
        <v>12000</v>
      </c>
      <c r="M220" s="876">
        <f t="shared" si="21"/>
        <v>0</v>
      </c>
      <c r="N220" s="875"/>
      <c r="O220" s="875"/>
      <c r="P220" s="875"/>
      <c r="Q220" s="877"/>
      <c r="R220" s="875"/>
      <c r="S220" s="875"/>
      <c r="T220" s="875"/>
      <c r="U220" s="876">
        <f t="shared" si="22"/>
        <v>12000</v>
      </c>
      <c r="V220" s="875">
        <f t="shared" si="22"/>
        <v>0</v>
      </c>
      <c r="W220" s="875">
        <f t="shared" si="20"/>
        <v>0</v>
      </c>
      <c r="X220" s="875">
        <f t="shared" si="20"/>
        <v>0</v>
      </c>
      <c r="Y220" s="877"/>
      <c r="Z220" s="875">
        <f t="shared" si="33"/>
        <v>0</v>
      </c>
      <c r="AA220" s="875">
        <f t="shared" si="33"/>
        <v>0</v>
      </c>
      <c r="AB220" s="875">
        <f t="shared" si="33"/>
        <v>12000</v>
      </c>
      <c r="AC220" s="878"/>
      <c r="AD220" s="820"/>
    </row>
    <row r="221" spans="1:31" s="637" customFormat="1" ht="19.5" customHeight="1" x14ac:dyDescent="0.2">
      <c r="A221" s="632" t="s">
        <v>1143</v>
      </c>
      <c r="B221" s="633" t="s">
        <v>747</v>
      </c>
      <c r="C221" s="634">
        <v>244</v>
      </c>
      <c r="D221" s="634">
        <v>346</v>
      </c>
      <c r="E221" s="596">
        <f>'Прилож 4 24 (4)'!U214</f>
        <v>1438386.5699999998</v>
      </c>
      <c r="F221" s="595">
        <f>'Прилож 4 24 (4)'!V214</f>
        <v>1240430.01</v>
      </c>
      <c r="G221" s="595">
        <f>'Прилож 4 24 (4)'!W214</f>
        <v>0</v>
      </c>
      <c r="H221" s="595">
        <f>'Прилож 4 24 (4)'!X214</f>
        <v>140808.85</v>
      </c>
      <c r="I221" s="597">
        <f t="shared" ref="I221" si="36">SUM(I217:I220)</f>
        <v>0</v>
      </c>
      <c r="J221" s="595">
        <f>'Прилож 4 24 (4)'!Z214</f>
        <v>0</v>
      </c>
      <c r="K221" s="595">
        <f>'Прилож 4 24 (4)'!AA214</f>
        <v>0</v>
      </c>
      <c r="L221" s="595">
        <f>'Прилож 4 24 (4)'!AB214</f>
        <v>57147.71</v>
      </c>
      <c r="M221" s="876">
        <f t="shared" si="21"/>
        <v>-13337.8</v>
      </c>
      <c r="N221" s="876">
        <f>SUM(N217:N220)</f>
        <v>0</v>
      </c>
      <c r="O221" s="876"/>
      <c r="P221" s="876">
        <f>SUM(P217:P220)</f>
        <v>-13337.8</v>
      </c>
      <c r="Q221" s="876"/>
      <c r="R221" s="876"/>
      <c r="S221" s="876"/>
      <c r="T221" s="876"/>
      <c r="U221" s="876">
        <f t="shared" si="22"/>
        <v>1425048.7699999998</v>
      </c>
      <c r="V221" s="875">
        <f t="shared" si="22"/>
        <v>1240430.01</v>
      </c>
      <c r="W221" s="875">
        <f t="shared" si="20"/>
        <v>0</v>
      </c>
      <c r="X221" s="875">
        <f t="shared" si="20"/>
        <v>127471.05</v>
      </c>
      <c r="Y221" s="884">
        <f t="shared" ref="Y221" si="37">SUM(Y217:Y220)</f>
        <v>0</v>
      </c>
      <c r="Z221" s="875">
        <f t="shared" si="33"/>
        <v>0</v>
      </c>
      <c r="AA221" s="875">
        <f t="shared" si="33"/>
        <v>0</v>
      </c>
      <c r="AB221" s="875">
        <f t="shared" si="33"/>
        <v>57147.71</v>
      </c>
      <c r="AC221" s="886"/>
      <c r="AD221" s="819"/>
      <c r="AE221" s="819"/>
    </row>
    <row r="222" spans="1:31" ht="51.75" customHeight="1" x14ac:dyDescent="0.2">
      <c r="A222" s="618" t="s">
        <v>1423</v>
      </c>
      <c r="B222" s="619" t="s">
        <v>729</v>
      </c>
      <c r="C222" s="620">
        <v>244</v>
      </c>
      <c r="D222" s="620">
        <v>346</v>
      </c>
      <c r="E222" s="596">
        <f>'Прилож 4 24 (4)'!U215</f>
        <v>102423.97</v>
      </c>
      <c r="F222" s="595">
        <f>'Прилож 4 24 (4)'!V215</f>
        <v>0</v>
      </c>
      <c r="G222" s="595">
        <f>'Прилож 4 24 (4)'!W215</f>
        <v>0</v>
      </c>
      <c r="H222" s="595">
        <f>'Прилож 4 24 (4)'!X215</f>
        <v>87913.900000000009</v>
      </c>
      <c r="I222" s="621"/>
      <c r="J222" s="595">
        <f>'Прилож 4 24 (4)'!Z215</f>
        <v>0</v>
      </c>
      <c r="K222" s="595">
        <f>'Прилож 4 24 (4)'!AA215</f>
        <v>0</v>
      </c>
      <c r="L222" s="595">
        <f>'Прилож 4 24 (4)'!AB215</f>
        <v>14510.07</v>
      </c>
      <c r="M222" s="876">
        <f t="shared" si="21"/>
        <v>0</v>
      </c>
      <c r="N222" s="875"/>
      <c r="O222" s="875"/>
      <c r="P222" s="875"/>
      <c r="Q222" s="877"/>
      <c r="R222" s="875"/>
      <c r="S222" s="875"/>
      <c r="T222" s="875"/>
      <c r="U222" s="876">
        <f t="shared" si="22"/>
        <v>102423.97</v>
      </c>
      <c r="V222" s="875">
        <f t="shared" si="22"/>
        <v>0</v>
      </c>
      <c r="W222" s="875">
        <f t="shared" si="20"/>
        <v>0</v>
      </c>
      <c r="X222" s="875">
        <f t="shared" si="20"/>
        <v>87913.900000000009</v>
      </c>
      <c r="Y222" s="877"/>
      <c r="Z222" s="875">
        <f t="shared" si="33"/>
        <v>0</v>
      </c>
      <c r="AA222" s="875">
        <f t="shared" si="33"/>
        <v>0</v>
      </c>
      <c r="AB222" s="875">
        <f t="shared" si="33"/>
        <v>14510.07</v>
      </c>
      <c r="AC222" s="878"/>
    </row>
    <row r="223" spans="1:31" ht="33" customHeight="1" x14ac:dyDescent="0.2">
      <c r="A223" s="618" t="s">
        <v>617</v>
      </c>
      <c r="B223" s="619" t="s">
        <v>729</v>
      </c>
      <c r="C223" s="620">
        <v>244</v>
      </c>
      <c r="D223" s="620">
        <v>346</v>
      </c>
      <c r="E223" s="596">
        <f>'Прилож 4 24 (4)'!U216</f>
        <v>43015</v>
      </c>
      <c r="F223" s="595">
        <f>'Прилож 4 24 (4)'!V216</f>
        <v>0</v>
      </c>
      <c r="G223" s="595">
        <f>'Прилож 4 24 (4)'!W216</f>
        <v>0</v>
      </c>
      <c r="H223" s="595">
        <f>'Прилож 4 24 (4)'!X216</f>
        <v>43015</v>
      </c>
      <c r="I223" s="621"/>
      <c r="J223" s="595">
        <f>'Прилож 4 24 (4)'!Z216</f>
        <v>0</v>
      </c>
      <c r="K223" s="595">
        <f>'Прилож 4 24 (4)'!AA216</f>
        <v>0</v>
      </c>
      <c r="L223" s="595">
        <f>'Прилож 4 24 (4)'!AB216</f>
        <v>0</v>
      </c>
      <c r="M223" s="876">
        <f t="shared" si="21"/>
        <v>0</v>
      </c>
      <c r="N223" s="875"/>
      <c r="O223" s="875"/>
      <c r="P223" s="875"/>
      <c r="Q223" s="877"/>
      <c r="R223" s="875"/>
      <c r="S223" s="875"/>
      <c r="T223" s="875"/>
      <c r="U223" s="876">
        <f t="shared" si="22"/>
        <v>43015</v>
      </c>
      <c r="V223" s="875">
        <f t="shared" si="22"/>
        <v>0</v>
      </c>
      <c r="W223" s="875">
        <f t="shared" si="20"/>
        <v>0</v>
      </c>
      <c r="X223" s="875">
        <f t="shared" si="20"/>
        <v>43015</v>
      </c>
      <c r="Y223" s="877"/>
      <c r="Z223" s="875">
        <f t="shared" si="33"/>
        <v>0</v>
      </c>
      <c r="AA223" s="875">
        <f t="shared" si="33"/>
        <v>0</v>
      </c>
      <c r="AB223" s="875">
        <f t="shared" si="33"/>
        <v>0</v>
      </c>
      <c r="AC223" s="878"/>
    </row>
    <row r="224" spans="1:31" ht="34.5" customHeight="1" x14ac:dyDescent="0.2">
      <c r="A224" s="618" t="s">
        <v>1427</v>
      </c>
      <c r="B224" s="619" t="s">
        <v>729</v>
      </c>
      <c r="C224" s="620">
        <v>244</v>
      </c>
      <c r="D224" s="620">
        <v>346</v>
      </c>
      <c r="E224" s="596">
        <f>'Прилож 4 24 (4)'!U217</f>
        <v>10000</v>
      </c>
      <c r="F224" s="595">
        <f>'Прилож 4 24 (4)'!V217</f>
        <v>10000</v>
      </c>
      <c r="G224" s="595">
        <f>'Прилож 4 24 (4)'!W217</f>
        <v>0</v>
      </c>
      <c r="H224" s="595">
        <f>'Прилож 4 24 (4)'!X217</f>
        <v>0</v>
      </c>
      <c r="I224" s="621"/>
      <c r="J224" s="595">
        <f>'Прилож 4 24 (4)'!Z217</f>
        <v>0</v>
      </c>
      <c r="K224" s="595">
        <f>'Прилож 4 24 (4)'!AA217</f>
        <v>0</v>
      </c>
      <c r="L224" s="595">
        <f>'Прилож 4 24 (4)'!AB217</f>
        <v>0</v>
      </c>
      <c r="M224" s="876"/>
      <c r="N224" s="875"/>
      <c r="O224" s="875"/>
      <c r="P224" s="875"/>
      <c r="Q224" s="877"/>
      <c r="R224" s="875"/>
      <c r="S224" s="875"/>
      <c r="T224" s="875"/>
      <c r="U224" s="876">
        <f t="shared" si="22"/>
        <v>10000</v>
      </c>
      <c r="V224" s="875">
        <f t="shared" si="22"/>
        <v>10000</v>
      </c>
      <c r="W224" s="875">
        <f t="shared" si="20"/>
        <v>0</v>
      </c>
      <c r="X224" s="875">
        <f t="shared" si="20"/>
        <v>0</v>
      </c>
      <c r="Y224" s="877"/>
      <c r="Z224" s="875">
        <f t="shared" si="33"/>
        <v>0</v>
      </c>
      <c r="AA224" s="875">
        <f t="shared" si="33"/>
        <v>0</v>
      </c>
      <c r="AB224" s="875">
        <f t="shared" si="33"/>
        <v>0</v>
      </c>
      <c r="AC224" s="878"/>
    </row>
    <row r="225" spans="1:31" ht="39" customHeight="1" x14ac:dyDescent="0.2">
      <c r="A225" s="618" t="s">
        <v>1285</v>
      </c>
      <c r="B225" s="619" t="s">
        <v>729</v>
      </c>
      <c r="C225" s="620">
        <v>244</v>
      </c>
      <c r="D225" s="620">
        <v>346</v>
      </c>
      <c r="E225" s="596">
        <f>'Прилож 4 24 (4)'!U218</f>
        <v>50000</v>
      </c>
      <c r="F225" s="595">
        <f>'Прилож 4 24 (4)'!V218</f>
        <v>50000</v>
      </c>
      <c r="G225" s="595">
        <f>'Прилож 4 24 (4)'!W218</f>
        <v>0</v>
      </c>
      <c r="H225" s="595">
        <f>'Прилож 4 24 (4)'!X218</f>
        <v>0</v>
      </c>
      <c r="I225" s="621"/>
      <c r="J225" s="595">
        <f>'Прилож 4 24 (4)'!Z218</f>
        <v>0</v>
      </c>
      <c r="K225" s="595">
        <f>'Прилож 4 24 (4)'!AA218</f>
        <v>0</v>
      </c>
      <c r="L225" s="595">
        <f>'Прилож 4 24 (4)'!AB218</f>
        <v>0</v>
      </c>
      <c r="M225" s="876">
        <f t="shared" si="21"/>
        <v>0</v>
      </c>
      <c r="N225" s="875"/>
      <c r="O225" s="875"/>
      <c r="P225" s="875"/>
      <c r="Q225" s="877"/>
      <c r="R225" s="875"/>
      <c r="S225" s="875"/>
      <c r="T225" s="875"/>
      <c r="U225" s="876">
        <f t="shared" si="22"/>
        <v>50000</v>
      </c>
      <c r="V225" s="875">
        <f t="shared" si="22"/>
        <v>50000</v>
      </c>
      <c r="W225" s="875">
        <f t="shared" si="20"/>
        <v>0</v>
      </c>
      <c r="X225" s="875">
        <f t="shared" si="20"/>
        <v>0</v>
      </c>
      <c r="Y225" s="877"/>
      <c r="Z225" s="875">
        <f t="shared" si="33"/>
        <v>0</v>
      </c>
      <c r="AA225" s="875">
        <f t="shared" si="33"/>
        <v>0</v>
      </c>
      <c r="AB225" s="875">
        <f t="shared" si="33"/>
        <v>0</v>
      </c>
      <c r="AC225" s="878"/>
    </row>
    <row r="226" spans="1:31" ht="50.25" customHeight="1" x14ac:dyDescent="0.2">
      <c r="A226" s="618" t="s">
        <v>1286</v>
      </c>
      <c r="B226" s="619" t="s">
        <v>729</v>
      </c>
      <c r="C226" s="620">
        <v>244</v>
      </c>
      <c r="D226" s="620">
        <v>346</v>
      </c>
      <c r="E226" s="596">
        <f>'Прилож 4 24 (4)'!U219</f>
        <v>90181.760000000009</v>
      </c>
      <c r="F226" s="595">
        <f>'Прилож 4 24 (4)'!V219</f>
        <v>90181.760000000009</v>
      </c>
      <c r="G226" s="595">
        <f>'Прилож 4 24 (4)'!W219</f>
        <v>0</v>
      </c>
      <c r="H226" s="595">
        <f>'Прилож 4 24 (4)'!X219</f>
        <v>0</v>
      </c>
      <c r="I226" s="621"/>
      <c r="J226" s="595">
        <f>'Прилож 4 24 (4)'!Z219</f>
        <v>0</v>
      </c>
      <c r="K226" s="595">
        <f>'Прилож 4 24 (4)'!AA219</f>
        <v>0</v>
      </c>
      <c r="L226" s="595">
        <f>'Прилож 4 24 (4)'!AB219</f>
        <v>0</v>
      </c>
      <c r="M226" s="876">
        <f t="shared" si="21"/>
        <v>0</v>
      </c>
      <c r="N226" s="875"/>
      <c r="O226" s="875"/>
      <c r="P226" s="875"/>
      <c r="Q226" s="877"/>
      <c r="R226" s="875"/>
      <c r="S226" s="875"/>
      <c r="T226" s="875"/>
      <c r="U226" s="876">
        <f t="shared" si="22"/>
        <v>90181.760000000009</v>
      </c>
      <c r="V226" s="875">
        <f t="shared" si="22"/>
        <v>90181.760000000009</v>
      </c>
      <c r="W226" s="875">
        <f t="shared" si="20"/>
        <v>0</v>
      </c>
      <c r="X226" s="875">
        <f t="shared" si="20"/>
        <v>0</v>
      </c>
      <c r="Y226" s="877"/>
      <c r="Z226" s="875">
        <f t="shared" si="33"/>
        <v>0</v>
      </c>
      <c r="AA226" s="875">
        <f t="shared" si="33"/>
        <v>0</v>
      </c>
      <c r="AB226" s="875">
        <f t="shared" si="33"/>
        <v>0</v>
      </c>
      <c r="AC226" s="878"/>
    </row>
    <row r="227" spans="1:31" ht="44.25" customHeight="1" x14ac:dyDescent="0.2">
      <c r="A227" s="618" t="s">
        <v>1421</v>
      </c>
      <c r="B227" s="619" t="s">
        <v>729</v>
      </c>
      <c r="C227" s="620">
        <v>244</v>
      </c>
      <c r="D227" s="620">
        <v>346</v>
      </c>
      <c r="E227" s="596">
        <f>'Прилож 4 24 (4)'!U220</f>
        <v>9550</v>
      </c>
      <c r="F227" s="595">
        <f>'Прилож 4 24 (4)'!V220</f>
        <v>9550</v>
      </c>
      <c r="G227" s="595">
        <f>'Прилож 4 24 (4)'!W220</f>
        <v>0</v>
      </c>
      <c r="H227" s="595">
        <f>'Прилож 4 24 (4)'!X220</f>
        <v>0</v>
      </c>
      <c r="I227" s="621"/>
      <c r="J227" s="595">
        <f>'Прилож 4 24 (4)'!Z220</f>
        <v>0</v>
      </c>
      <c r="K227" s="595">
        <f>'Прилож 4 24 (4)'!AA220</f>
        <v>0</v>
      </c>
      <c r="L227" s="595">
        <f>'Прилож 4 24 (4)'!AB220</f>
        <v>0</v>
      </c>
      <c r="M227" s="876">
        <f t="shared" si="21"/>
        <v>0</v>
      </c>
      <c r="N227" s="875"/>
      <c r="O227" s="875"/>
      <c r="P227" s="875"/>
      <c r="Q227" s="877"/>
      <c r="R227" s="875"/>
      <c r="S227" s="875"/>
      <c r="T227" s="875"/>
      <c r="U227" s="876">
        <f t="shared" si="22"/>
        <v>9550</v>
      </c>
      <c r="V227" s="875">
        <f t="shared" si="22"/>
        <v>9550</v>
      </c>
      <c r="W227" s="875"/>
      <c r="X227" s="875"/>
      <c r="Y227" s="877"/>
      <c r="Z227" s="875"/>
      <c r="AA227" s="875"/>
      <c r="AB227" s="875"/>
      <c r="AC227" s="878"/>
    </row>
    <row r="228" spans="1:31" ht="39.75" customHeight="1" x14ac:dyDescent="0.2">
      <c r="A228" s="618" t="s">
        <v>1422</v>
      </c>
      <c r="B228" s="619" t="s">
        <v>729</v>
      </c>
      <c r="C228" s="620">
        <v>244</v>
      </c>
      <c r="D228" s="620">
        <v>346</v>
      </c>
      <c r="E228" s="596">
        <f>'Прилож 4 24 (4)'!U221</f>
        <v>27035</v>
      </c>
      <c r="F228" s="595">
        <f>'Прилож 4 24 (4)'!V221</f>
        <v>27035</v>
      </c>
      <c r="G228" s="595">
        <f>'Прилож 4 24 (4)'!W221</f>
        <v>0</v>
      </c>
      <c r="H228" s="595">
        <f>'Прилож 4 24 (4)'!X221</f>
        <v>0</v>
      </c>
      <c r="I228" s="621"/>
      <c r="J228" s="595">
        <f>'Прилож 4 24 (4)'!Z221</f>
        <v>0</v>
      </c>
      <c r="K228" s="595">
        <f>'Прилож 4 24 (4)'!AA221</f>
        <v>0</v>
      </c>
      <c r="L228" s="595">
        <f>'Прилож 4 24 (4)'!AB221</f>
        <v>0</v>
      </c>
      <c r="M228" s="876">
        <f t="shared" si="21"/>
        <v>0</v>
      </c>
      <c r="N228" s="875"/>
      <c r="O228" s="875"/>
      <c r="P228" s="875"/>
      <c r="Q228" s="877"/>
      <c r="R228" s="875"/>
      <c r="S228" s="875"/>
      <c r="T228" s="875"/>
      <c r="U228" s="876">
        <f t="shared" si="22"/>
        <v>27035</v>
      </c>
      <c r="V228" s="875">
        <f t="shared" si="22"/>
        <v>27035</v>
      </c>
      <c r="W228" s="875">
        <f t="shared" si="20"/>
        <v>0</v>
      </c>
      <c r="X228" s="875">
        <f t="shared" si="20"/>
        <v>0</v>
      </c>
      <c r="Y228" s="877"/>
      <c r="Z228" s="875">
        <f t="shared" si="33"/>
        <v>0</v>
      </c>
      <c r="AA228" s="875">
        <f t="shared" si="33"/>
        <v>0</v>
      </c>
      <c r="AB228" s="875">
        <f t="shared" si="33"/>
        <v>0</v>
      </c>
      <c r="AC228" s="878"/>
    </row>
    <row r="229" spans="1:31" s="637" customFormat="1" ht="26.25" customHeight="1" x14ac:dyDescent="0.2">
      <c r="A229" s="632" t="s">
        <v>1143</v>
      </c>
      <c r="B229" s="633"/>
      <c r="C229" s="634"/>
      <c r="D229" s="634"/>
      <c r="E229" s="596">
        <f>'Прилож 4 24 (4)'!U222</f>
        <v>332205.73000000004</v>
      </c>
      <c r="F229" s="595">
        <f>'Прилож 4 24 (4)'!V222</f>
        <v>186766.76</v>
      </c>
      <c r="G229" s="595">
        <f>'Прилож 4 24 (4)'!W222</f>
        <v>0</v>
      </c>
      <c r="H229" s="595">
        <f>'Прилож 4 24 (4)'!X222</f>
        <v>130928.90000000001</v>
      </c>
      <c r="I229" s="597">
        <f>SUM(I222:I226)</f>
        <v>0</v>
      </c>
      <c r="J229" s="595">
        <f>'Прилож 4 24 (4)'!Z222</f>
        <v>0</v>
      </c>
      <c r="K229" s="595">
        <f>'Прилож 4 24 (4)'!AA222</f>
        <v>0</v>
      </c>
      <c r="L229" s="595">
        <f>'Прилож 4 24 (4)'!AB222</f>
        <v>14510.07</v>
      </c>
      <c r="M229" s="876">
        <f t="shared" si="21"/>
        <v>0</v>
      </c>
      <c r="N229" s="876">
        <f>SUM(N222:N228)</f>
        <v>0</v>
      </c>
      <c r="O229" s="876"/>
      <c r="P229" s="876">
        <f>SUM(P222:P228)</f>
        <v>0</v>
      </c>
      <c r="Q229" s="876"/>
      <c r="R229" s="876"/>
      <c r="S229" s="876"/>
      <c r="T229" s="876">
        <f>SUM(T222:T228)</f>
        <v>0</v>
      </c>
      <c r="U229" s="876">
        <f t="shared" si="22"/>
        <v>332205.73000000004</v>
      </c>
      <c r="V229" s="875">
        <f t="shared" si="22"/>
        <v>186766.76</v>
      </c>
      <c r="W229" s="875">
        <f t="shared" si="20"/>
        <v>0</v>
      </c>
      <c r="X229" s="875">
        <f t="shared" si="20"/>
        <v>130928.90000000001</v>
      </c>
      <c r="Y229" s="884">
        <f>SUM(Y222:Y226)</f>
        <v>0</v>
      </c>
      <c r="Z229" s="875">
        <f t="shared" si="33"/>
        <v>0</v>
      </c>
      <c r="AA229" s="875">
        <f t="shared" si="33"/>
        <v>0</v>
      </c>
      <c r="AB229" s="875">
        <f t="shared" si="33"/>
        <v>14510.07</v>
      </c>
      <c r="AC229" s="886"/>
      <c r="AD229" s="819"/>
    </row>
    <row r="230" spans="1:31" ht="22.5" customHeight="1" x14ac:dyDescent="0.2">
      <c r="A230" s="618" t="s">
        <v>67</v>
      </c>
      <c r="B230" s="619" t="s">
        <v>64</v>
      </c>
      <c r="C230" s="620">
        <v>244</v>
      </c>
      <c r="D230" s="620">
        <v>346</v>
      </c>
      <c r="E230" s="596">
        <f>'Прилож 4 24 (4)'!U223</f>
        <v>3200</v>
      </c>
      <c r="F230" s="595">
        <f>'Прилож 4 24 (4)'!V223</f>
        <v>0</v>
      </c>
      <c r="G230" s="595">
        <f>'Прилож 4 24 (4)'!W223</f>
        <v>0</v>
      </c>
      <c r="H230" s="595">
        <f>'Прилож 4 24 (4)'!X223</f>
        <v>0</v>
      </c>
      <c r="I230" s="621" t="s">
        <v>1235</v>
      </c>
      <c r="J230" s="595">
        <f>'Прилож 4 24 (4)'!Z223</f>
        <v>0</v>
      </c>
      <c r="K230" s="595">
        <f>'Прилож 4 24 (4)'!AA223</f>
        <v>3200</v>
      </c>
      <c r="L230" s="595">
        <f>'Прилож 4 24 (4)'!AB223</f>
        <v>0</v>
      </c>
      <c r="M230" s="876">
        <f t="shared" si="21"/>
        <v>0</v>
      </c>
      <c r="N230" s="875"/>
      <c r="O230" s="875"/>
      <c r="P230" s="875"/>
      <c r="Q230" s="877"/>
      <c r="R230" s="875"/>
      <c r="S230" s="875"/>
      <c r="T230" s="875"/>
      <c r="U230" s="876">
        <f t="shared" si="22"/>
        <v>3200</v>
      </c>
      <c r="V230" s="875">
        <f t="shared" si="22"/>
        <v>0</v>
      </c>
      <c r="W230" s="875">
        <f t="shared" si="20"/>
        <v>0</v>
      </c>
      <c r="X230" s="875">
        <f t="shared" si="20"/>
        <v>0</v>
      </c>
      <c r="Y230" s="621" t="s">
        <v>1235</v>
      </c>
      <c r="Z230" s="875">
        <f t="shared" si="33"/>
        <v>0</v>
      </c>
      <c r="AA230" s="875">
        <f t="shared" si="33"/>
        <v>3200</v>
      </c>
      <c r="AB230" s="875">
        <f t="shared" si="33"/>
        <v>0</v>
      </c>
      <c r="AC230" s="878"/>
    </row>
    <row r="231" spans="1:31" s="637" customFormat="1" ht="22.5" customHeight="1" x14ac:dyDescent="0.2">
      <c r="A231" s="632" t="s">
        <v>1143</v>
      </c>
      <c r="B231" s="633"/>
      <c r="C231" s="634"/>
      <c r="D231" s="634"/>
      <c r="E231" s="596">
        <f>'Прилож 4 24 (4)'!U224</f>
        <v>3200</v>
      </c>
      <c r="F231" s="595">
        <f>'Прилож 4 24 (4)'!V224</f>
        <v>0</v>
      </c>
      <c r="G231" s="595">
        <f>'Прилож 4 24 (4)'!W224</f>
        <v>0</v>
      </c>
      <c r="H231" s="595">
        <f>'Прилож 4 24 (4)'!X224</f>
        <v>0</v>
      </c>
      <c r="I231" s="597"/>
      <c r="J231" s="595">
        <f>'Прилож 4 24 (4)'!Z224</f>
        <v>0</v>
      </c>
      <c r="K231" s="595">
        <f>'Прилож 4 24 (4)'!AA224</f>
        <v>3200</v>
      </c>
      <c r="L231" s="595">
        <f>'Прилож 4 24 (4)'!AB224</f>
        <v>0</v>
      </c>
      <c r="M231" s="876">
        <f t="shared" si="21"/>
        <v>0</v>
      </c>
      <c r="N231" s="884"/>
      <c r="O231" s="884"/>
      <c r="P231" s="884"/>
      <c r="Q231" s="884"/>
      <c r="R231" s="884"/>
      <c r="S231" s="884"/>
      <c r="T231" s="884"/>
      <c r="U231" s="876">
        <f t="shared" si="22"/>
        <v>3200</v>
      </c>
      <c r="V231" s="875">
        <f t="shared" si="22"/>
        <v>0</v>
      </c>
      <c r="W231" s="875">
        <f t="shared" si="20"/>
        <v>0</v>
      </c>
      <c r="X231" s="875">
        <f t="shared" si="20"/>
        <v>0</v>
      </c>
      <c r="Y231" s="884"/>
      <c r="Z231" s="875">
        <f t="shared" si="33"/>
        <v>0</v>
      </c>
      <c r="AA231" s="875">
        <f t="shared" si="33"/>
        <v>3200</v>
      </c>
      <c r="AB231" s="875">
        <f t="shared" si="33"/>
        <v>0</v>
      </c>
      <c r="AC231" s="886"/>
    </row>
    <row r="232" spans="1:31" ht="44.25" customHeight="1" x14ac:dyDescent="0.2">
      <c r="A232" s="618" t="s">
        <v>710</v>
      </c>
      <c r="B232" s="619" t="s">
        <v>691</v>
      </c>
      <c r="C232" s="620">
        <v>244</v>
      </c>
      <c r="D232" s="620">
        <v>346</v>
      </c>
      <c r="E232" s="596">
        <f>'Прилож 4 24 (4)'!U225</f>
        <v>17057.180000000233</v>
      </c>
      <c r="F232" s="595">
        <f>'Прилож 4 24 (4)'!V225</f>
        <v>0</v>
      </c>
      <c r="G232" s="595">
        <f>'Прилож 4 24 (4)'!W225</f>
        <v>2.3283064365386963E-10</v>
      </c>
      <c r="H232" s="595">
        <f>'Прилож 4 24 (4)'!X225</f>
        <v>15649.169999999998</v>
      </c>
      <c r="I232" s="621"/>
      <c r="J232" s="595">
        <f>'Прилож 4 24 (4)'!Z225</f>
        <v>0</v>
      </c>
      <c r="K232" s="595">
        <f>'Прилож 4 24 (4)'!AA225</f>
        <v>0</v>
      </c>
      <c r="L232" s="595">
        <f>'Прилож 4 24 (4)'!AB225</f>
        <v>1408.01</v>
      </c>
      <c r="M232" s="876">
        <f t="shared" si="21"/>
        <v>0</v>
      </c>
      <c r="N232" s="875"/>
      <c r="O232" s="875"/>
      <c r="P232" s="875"/>
      <c r="Q232" s="877"/>
      <c r="R232" s="875"/>
      <c r="S232" s="875"/>
      <c r="T232" s="875"/>
      <c r="U232" s="876">
        <f t="shared" si="22"/>
        <v>17057.180000000233</v>
      </c>
      <c r="V232" s="875">
        <f t="shared" si="22"/>
        <v>0</v>
      </c>
      <c r="W232" s="875">
        <f t="shared" ref="W232:X241" si="38">O232+G232</f>
        <v>2.3283064365386963E-10</v>
      </c>
      <c r="X232" s="875">
        <f t="shared" si="38"/>
        <v>15649.169999999998</v>
      </c>
      <c r="Y232" s="877"/>
      <c r="Z232" s="875">
        <f t="shared" si="33"/>
        <v>0</v>
      </c>
      <c r="AA232" s="875">
        <f t="shared" si="33"/>
        <v>0</v>
      </c>
      <c r="AB232" s="875">
        <f t="shared" si="33"/>
        <v>1408.01</v>
      </c>
      <c r="AC232" s="878"/>
    </row>
    <row r="233" spans="1:31" ht="62.25" customHeight="1" x14ac:dyDescent="0.2">
      <c r="A233" s="618" t="s">
        <v>709</v>
      </c>
      <c r="B233" s="619" t="s">
        <v>691</v>
      </c>
      <c r="C233" s="620">
        <v>244</v>
      </c>
      <c r="D233" s="620">
        <v>346</v>
      </c>
      <c r="E233" s="596">
        <f>'Прилож 4 24 (4)'!U226</f>
        <v>4410</v>
      </c>
      <c r="F233" s="595">
        <f>'Прилож 4 24 (4)'!V226</f>
        <v>0</v>
      </c>
      <c r="G233" s="595">
        <f>'Прилож 4 24 (4)'!W226</f>
        <v>0</v>
      </c>
      <c r="H233" s="595">
        <f>'Прилож 4 24 (4)'!X226</f>
        <v>3744.05</v>
      </c>
      <c r="I233" s="621"/>
      <c r="J233" s="595">
        <f>'Прилож 4 24 (4)'!Z226</f>
        <v>0</v>
      </c>
      <c r="K233" s="595">
        <f>'Прилож 4 24 (4)'!AA226</f>
        <v>0</v>
      </c>
      <c r="L233" s="595">
        <f>'Прилож 4 24 (4)'!AB226</f>
        <v>665.95</v>
      </c>
      <c r="M233" s="876">
        <f t="shared" ref="M233:M237" si="39">N233+P233+R233+S233+T233+O233</f>
        <v>1426.95</v>
      </c>
      <c r="N233" s="875"/>
      <c r="O233" s="875"/>
      <c r="P233" s="875">
        <v>1426.95</v>
      </c>
      <c r="Q233" s="877"/>
      <c r="R233" s="875"/>
      <c r="S233" s="875"/>
      <c r="T233" s="875"/>
      <c r="U233" s="876">
        <f t="shared" ref="U233:V241" si="40">E233+M233</f>
        <v>5836.95</v>
      </c>
      <c r="V233" s="875">
        <f t="shared" si="40"/>
        <v>0</v>
      </c>
      <c r="W233" s="875">
        <f t="shared" si="38"/>
        <v>0</v>
      </c>
      <c r="X233" s="875">
        <f t="shared" si="38"/>
        <v>5171</v>
      </c>
      <c r="Y233" s="877"/>
      <c r="Z233" s="875">
        <f t="shared" si="33"/>
        <v>0</v>
      </c>
      <c r="AA233" s="875">
        <f t="shared" si="33"/>
        <v>0</v>
      </c>
      <c r="AB233" s="875">
        <f t="shared" si="33"/>
        <v>665.95</v>
      </c>
      <c r="AC233" s="878" t="s">
        <v>1453</v>
      </c>
    </row>
    <row r="234" spans="1:31" s="637" customFormat="1" ht="25.5" customHeight="1" x14ac:dyDescent="0.2">
      <c r="A234" s="632" t="s">
        <v>1143</v>
      </c>
      <c r="B234" s="633" t="s">
        <v>691</v>
      </c>
      <c r="C234" s="634">
        <v>244</v>
      </c>
      <c r="D234" s="634">
        <v>346</v>
      </c>
      <c r="E234" s="596">
        <f>'Прилож 4 24 (4)'!U227</f>
        <v>21467.180000000233</v>
      </c>
      <c r="F234" s="595">
        <f>'Прилож 4 24 (4)'!V227</f>
        <v>0</v>
      </c>
      <c r="G234" s="595">
        <f>'Прилож 4 24 (4)'!W227</f>
        <v>0</v>
      </c>
      <c r="H234" s="595">
        <f>'Прилож 4 24 (4)'!X227</f>
        <v>19393.22</v>
      </c>
      <c r="I234" s="635"/>
      <c r="J234" s="595">
        <f>'Прилож 4 24 (4)'!Z227</f>
        <v>0</v>
      </c>
      <c r="K234" s="595">
        <f>'Прилож 4 24 (4)'!AA227</f>
        <v>0</v>
      </c>
      <c r="L234" s="595">
        <f>'Прилож 4 24 (4)'!AB227</f>
        <v>2073.96</v>
      </c>
      <c r="M234" s="876">
        <f t="shared" si="39"/>
        <v>1426.95</v>
      </c>
      <c r="N234" s="884"/>
      <c r="O234" s="884"/>
      <c r="P234" s="884">
        <f>SUM(P232:P233)</f>
        <v>1426.95</v>
      </c>
      <c r="Q234" s="885"/>
      <c r="R234" s="884"/>
      <c r="S234" s="884"/>
      <c r="T234" s="884">
        <f>SUM(T232:T233)</f>
        <v>0</v>
      </c>
      <c r="U234" s="876">
        <f t="shared" si="40"/>
        <v>22894.130000000234</v>
      </c>
      <c r="V234" s="875">
        <f t="shared" si="40"/>
        <v>0</v>
      </c>
      <c r="W234" s="875">
        <f t="shared" si="38"/>
        <v>0</v>
      </c>
      <c r="X234" s="875">
        <f t="shared" si="38"/>
        <v>20820.170000000002</v>
      </c>
      <c r="Y234" s="885"/>
      <c r="Z234" s="875">
        <f t="shared" si="33"/>
        <v>0</v>
      </c>
      <c r="AA234" s="875">
        <f t="shared" si="33"/>
        <v>0</v>
      </c>
      <c r="AB234" s="875">
        <f t="shared" si="33"/>
        <v>2073.96</v>
      </c>
      <c r="AC234" s="1004"/>
    </row>
    <row r="235" spans="1:31" s="614" customFormat="1" ht="27.75" customHeight="1" x14ac:dyDescent="0.2">
      <c r="A235" s="630" t="s">
        <v>744</v>
      </c>
      <c r="B235" s="631"/>
      <c r="C235" s="624"/>
      <c r="D235" s="624"/>
      <c r="E235" s="596">
        <f>'Прилож 4 24 (4)'!U228</f>
        <v>1795259.48</v>
      </c>
      <c r="F235" s="595">
        <f>'Прилож 4 24 (4)'!V228</f>
        <v>1427196.77</v>
      </c>
      <c r="G235" s="595">
        <f>'Прилож 4 24 (4)'!W228</f>
        <v>0</v>
      </c>
      <c r="H235" s="595">
        <f>'Прилож 4 24 (4)'!X228</f>
        <v>291130.96999999997</v>
      </c>
      <c r="I235" s="596"/>
      <c r="J235" s="595">
        <f>'Прилож 4 24 (4)'!Z228</f>
        <v>0</v>
      </c>
      <c r="K235" s="595">
        <f>'Прилож 4 24 (4)'!AA228</f>
        <v>3200</v>
      </c>
      <c r="L235" s="595">
        <f>'Прилож 4 24 (4)'!AB228</f>
        <v>73731.739999999991</v>
      </c>
      <c r="M235" s="876">
        <f t="shared" si="39"/>
        <v>-11910.849999999999</v>
      </c>
      <c r="N235" s="876">
        <f>N234+N231+N229+N221</f>
        <v>0</v>
      </c>
      <c r="O235" s="876"/>
      <c r="P235" s="876">
        <f>P221+P229+P234</f>
        <v>-11910.849999999999</v>
      </c>
      <c r="Q235" s="876"/>
      <c r="R235" s="876"/>
      <c r="S235" s="876"/>
      <c r="T235" s="876">
        <f>T221+T229+T234</f>
        <v>0</v>
      </c>
      <c r="U235" s="876">
        <f t="shared" si="40"/>
        <v>1783348.63</v>
      </c>
      <c r="V235" s="875">
        <f t="shared" si="40"/>
        <v>1427196.77</v>
      </c>
      <c r="W235" s="875">
        <f t="shared" si="38"/>
        <v>0</v>
      </c>
      <c r="X235" s="875">
        <f t="shared" si="38"/>
        <v>279220.12</v>
      </c>
      <c r="Y235" s="876"/>
      <c r="Z235" s="875">
        <f t="shared" si="33"/>
        <v>0</v>
      </c>
      <c r="AA235" s="875">
        <f t="shared" si="33"/>
        <v>3200</v>
      </c>
      <c r="AB235" s="875">
        <f t="shared" si="33"/>
        <v>73731.739999999991</v>
      </c>
      <c r="AC235" s="879"/>
      <c r="AD235" s="818"/>
    </row>
    <row r="236" spans="1:31" ht="46.5" customHeight="1" x14ac:dyDescent="0.2">
      <c r="A236" s="618" t="s">
        <v>948</v>
      </c>
      <c r="B236" s="619" t="s">
        <v>729</v>
      </c>
      <c r="C236" s="620">
        <v>244</v>
      </c>
      <c r="D236" s="620">
        <v>349</v>
      </c>
      <c r="E236" s="596">
        <f>'Прилож 4 24 (4)'!U229</f>
        <v>6000</v>
      </c>
      <c r="F236" s="595">
        <f>'Прилож 4 24 (4)'!V229</f>
        <v>6000</v>
      </c>
      <c r="G236" s="595">
        <f>'Прилож 4 24 (4)'!W229</f>
        <v>0</v>
      </c>
      <c r="H236" s="595">
        <f>'Прилож 4 24 (4)'!X229</f>
        <v>0</v>
      </c>
      <c r="I236" s="626"/>
      <c r="J236" s="595">
        <f>'Прилож 4 24 (4)'!Z229</f>
        <v>0</v>
      </c>
      <c r="K236" s="595">
        <f>'Прилож 4 24 (4)'!AA229</f>
        <v>0</v>
      </c>
      <c r="L236" s="595">
        <f>'Прилож 4 24 (4)'!AB229</f>
        <v>0</v>
      </c>
      <c r="M236" s="876">
        <f t="shared" si="39"/>
        <v>0</v>
      </c>
      <c r="N236" s="875"/>
      <c r="O236" s="876"/>
      <c r="P236" s="876"/>
      <c r="Q236" s="881"/>
      <c r="R236" s="876"/>
      <c r="S236" s="876"/>
      <c r="T236" s="875"/>
      <c r="U236" s="876">
        <f t="shared" si="40"/>
        <v>6000</v>
      </c>
      <c r="V236" s="875">
        <f t="shared" si="40"/>
        <v>6000</v>
      </c>
      <c r="W236" s="875">
        <f t="shared" si="38"/>
        <v>0</v>
      </c>
      <c r="X236" s="875">
        <f t="shared" si="38"/>
        <v>0</v>
      </c>
      <c r="Y236" s="881"/>
      <c r="Z236" s="875">
        <f t="shared" si="33"/>
        <v>0</v>
      </c>
      <c r="AA236" s="875">
        <f t="shared" si="33"/>
        <v>0</v>
      </c>
      <c r="AB236" s="875">
        <f t="shared" si="33"/>
        <v>0</v>
      </c>
      <c r="AC236" s="878"/>
    </row>
    <row r="237" spans="1:31" s="614" customFormat="1" ht="27.75" customHeight="1" x14ac:dyDescent="0.2">
      <c r="A237" s="630" t="s">
        <v>949</v>
      </c>
      <c r="B237" s="631"/>
      <c r="C237" s="624"/>
      <c r="D237" s="624"/>
      <c r="E237" s="596">
        <f>'Прилож 4 24 (4)'!U230</f>
        <v>6000</v>
      </c>
      <c r="F237" s="595">
        <f>'Прилож 4 24 (4)'!V230</f>
        <v>6000</v>
      </c>
      <c r="G237" s="595">
        <f>'Прилож 4 24 (4)'!W230</f>
        <v>0</v>
      </c>
      <c r="H237" s="595">
        <f>'Прилож 4 24 (4)'!X230</f>
        <v>0</v>
      </c>
      <c r="I237" s="626"/>
      <c r="J237" s="595">
        <f>'Прилож 4 24 (4)'!Z230</f>
        <v>0</v>
      </c>
      <c r="K237" s="595">
        <f>'Прилож 4 24 (4)'!AA230</f>
        <v>0</v>
      </c>
      <c r="L237" s="595">
        <f>'Прилож 4 24 (4)'!AB230</f>
        <v>0</v>
      </c>
      <c r="M237" s="876">
        <f t="shared" si="39"/>
        <v>0</v>
      </c>
      <c r="N237" s="876"/>
      <c r="O237" s="876">
        <f t="shared" ref="O237" si="41">O229+O231+O234</f>
        <v>0</v>
      </c>
      <c r="P237" s="876"/>
      <c r="Q237" s="881"/>
      <c r="R237" s="876">
        <f t="shared" ref="R237:S237" si="42">R229+R231+R234</f>
        <v>0</v>
      </c>
      <c r="S237" s="876">
        <f t="shared" si="42"/>
        <v>0</v>
      </c>
      <c r="T237" s="876"/>
      <c r="U237" s="876">
        <f t="shared" si="40"/>
        <v>6000</v>
      </c>
      <c r="V237" s="875">
        <f t="shared" si="40"/>
        <v>6000</v>
      </c>
      <c r="W237" s="875">
        <f t="shared" si="38"/>
        <v>0</v>
      </c>
      <c r="X237" s="875">
        <f t="shared" si="38"/>
        <v>0</v>
      </c>
      <c r="Y237" s="881"/>
      <c r="Z237" s="875">
        <f t="shared" si="33"/>
        <v>0</v>
      </c>
      <c r="AA237" s="875">
        <f t="shared" si="33"/>
        <v>0</v>
      </c>
      <c r="AB237" s="875">
        <f t="shared" si="33"/>
        <v>0</v>
      </c>
      <c r="AC237" s="879"/>
    </row>
    <row r="238" spans="1:31" s="614" customFormat="1" x14ac:dyDescent="0.2">
      <c r="A238" s="624" t="s">
        <v>745</v>
      </c>
      <c r="B238" s="631"/>
      <c r="C238" s="624"/>
      <c r="D238" s="624"/>
      <c r="E238" s="596">
        <f>'Прилож 4 24 (4)'!U231</f>
        <v>63991421.410000011</v>
      </c>
      <c r="F238" s="595">
        <f>'Прилож 4 24 (4)'!V231</f>
        <v>42188221.810000002</v>
      </c>
      <c r="G238" s="595">
        <f>'Прилож 4 24 (4)'!W231</f>
        <v>1331028.0899999999</v>
      </c>
      <c r="H238" s="595">
        <f>'Прилож 4 24 (3)'!X221</f>
        <v>11317923.020000001</v>
      </c>
      <c r="I238" s="626"/>
      <c r="J238" s="595">
        <f>'Прилож 4 24 (3)'!Z221</f>
        <v>0</v>
      </c>
      <c r="K238" s="595">
        <f>'Прилож 4 24 (4)'!AA231</f>
        <v>6608885.5</v>
      </c>
      <c r="L238" s="875">
        <f>'Прилож 4 24 (4)'!AB231</f>
        <v>2545362.9899999993</v>
      </c>
      <c r="M238" s="876">
        <f>M237+M235+M216+M214+M212+M209+M207+M202++M184+M181+M148+M98+M96+M79+M58+M49+M43+M41+M36+M205+M38</f>
        <v>882887.60000000009</v>
      </c>
      <c r="N238" s="876">
        <f t="shared" ref="N238:T238" si="43">N235+N216+N214+N212+N209+N207+N205+N202+N184+N181+N148+N98+N96+N79+N58+N49+N43+N41+N38+N36</f>
        <v>0</v>
      </c>
      <c r="O238" s="876">
        <f t="shared" si="43"/>
        <v>0</v>
      </c>
      <c r="P238" s="876">
        <f t="shared" si="43"/>
        <v>0</v>
      </c>
      <c r="Q238" s="876">
        <f t="shared" si="43"/>
        <v>0</v>
      </c>
      <c r="R238" s="876">
        <f t="shared" si="43"/>
        <v>0</v>
      </c>
      <c r="S238" s="876">
        <f t="shared" si="43"/>
        <v>882887.60000000009</v>
      </c>
      <c r="T238" s="876">
        <f t="shared" si="43"/>
        <v>0</v>
      </c>
      <c r="U238" s="876">
        <f>U237+U235+U216+U214+U212+U209+U207+U202++U184+U181+U148+U98+U96+U79+U58+U49+U43+U41+U36+U205+U38</f>
        <v>64874309.010000013</v>
      </c>
      <c r="V238" s="875">
        <f t="shared" si="40"/>
        <v>42188221.810000002</v>
      </c>
      <c r="W238" s="875">
        <f t="shared" si="38"/>
        <v>1331028.0899999999</v>
      </c>
      <c r="X238" s="875">
        <f t="shared" si="38"/>
        <v>11317923.020000001</v>
      </c>
      <c r="Y238" s="876">
        <f>Y237+Y235+Y216+Y214+Y212+Y209+Y207+Y202++Y184+Y181+Y148+Y98+Y96+Y79+Y58+Y49+Y43+Y41+Y36+Y205</f>
        <v>0</v>
      </c>
      <c r="Z238" s="875">
        <f t="shared" si="33"/>
        <v>0</v>
      </c>
      <c r="AA238" s="875">
        <f t="shared" si="33"/>
        <v>7491773.0999999996</v>
      </c>
      <c r="AB238" s="875">
        <f t="shared" si="33"/>
        <v>2545362.9899999993</v>
      </c>
      <c r="AC238" s="879"/>
      <c r="AD238" s="818"/>
      <c r="AE238" s="818">
        <f>V238+W238+X238</f>
        <v>54837172.920000009</v>
      </c>
    </row>
    <row r="239" spans="1:31" ht="25.5" customHeight="1" x14ac:dyDescent="0.2">
      <c r="A239" s="618" t="s">
        <v>946</v>
      </c>
      <c r="B239" s="619"/>
      <c r="C239" s="620"/>
      <c r="D239" s="620">
        <v>189</v>
      </c>
      <c r="E239" s="596">
        <f t="shared" ref="E239:E240" si="44">L239+K239+J239+H239+G239+F239</f>
        <v>-12500</v>
      </c>
      <c r="F239" s="595">
        <f>'Прилож 4 24 (2)'!V208</f>
        <v>0</v>
      </c>
      <c r="G239" s="595">
        <f>'Прилож 4 24 (2)'!W218</f>
        <v>0</v>
      </c>
      <c r="H239" s="595">
        <f>'Прилож 4 24 (2)'!X208</f>
        <v>0</v>
      </c>
      <c r="I239" s="621"/>
      <c r="J239" s="595">
        <f>'Прилож 4 24 (2)'!Z208</f>
        <v>0</v>
      </c>
      <c r="K239" s="595">
        <f>'Прилож 4 24 (2)'!AA208</f>
        <v>0</v>
      </c>
      <c r="L239" s="875">
        <f>'Прилож 4 24 (2)'!AB208</f>
        <v>-12500</v>
      </c>
      <c r="M239" s="876">
        <f t="shared" ref="M239:M241" si="45">N239+P239+R239+S239+T239+O239</f>
        <v>0</v>
      </c>
      <c r="N239" s="875"/>
      <c r="O239" s="875"/>
      <c r="P239" s="875"/>
      <c r="Q239" s="877"/>
      <c r="R239" s="875"/>
      <c r="S239" s="875"/>
      <c r="T239" s="875"/>
      <c r="U239" s="876">
        <f>V239+X239+Z239+AA239+AB239+W239</f>
        <v>-12500</v>
      </c>
      <c r="V239" s="875">
        <f t="shared" si="40"/>
        <v>0</v>
      </c>
      <c r="W239" s="875">
        <f t="shared" si="38"/>
        <v>0</v>
      </c>
      <c r="X239" s="875">
        <f t="shared" si="38"/>
        <v>0</v>
      </c>
      <c r="Y239" s="877"/>
      <c r="Z239" s="875">
        <f t="shared" ref="Z239:AB247" si="46">R239+J239</f>
        <v>0</v>
      </c>
      <c r="AA239" s="875">
        <f t="shared" si="46"/>
        <v>0</v>
      </c>
      <c r="AB239" s="875">
        <f t="shared" si="46"/>
        <v>-12500</v>
      </c>
      <c r="AC239" s="878"/>
    </row>
    <row r="240" spans="1:31" s="614" customFormat="1" ht="31.5" x14ac:dyDescent="0.2">
      <c r="A240" s="630" t="s">
        <v>746</v>
      </c>
      <c r="B240" s="624"/>
      <c r="C240" s="624"/>
      <c r="D240" s="624"/>
      <c r="E240" s="596">
        <f t="shared" si="44"/>
        <v>-12500</v>
      </c>
      <c r="F240" s="595">
        <f>'Прилож 4 24 (2)'!V209</f>
        <v>0</v>
      </c>
      <c r="G240" s="595">
        <f>'Прилож 4 24 (2)'!W219</f>
        <v>0</v>
      </c>
      <c r="H240" s="595">
        <f>'Прилож 4 24 (2)'!X209</f>
        <v>0</v>
      </c>
      <c r="I240" s="626"/>
      <c r="J240" s="595">
        <f>'Прилож 4 24 (2)'!Z209</f>
        <v>0</v>
      </c>
      <c r="K240" s="595">
        <f>'Прилож 4 24 (2)'!AA209</f>
        <v>0</v>
      </c>
      <c r="L240" s="875">
        <f>'Прилож 4 24 (2)'!AB209</f>
        <v>-12500</v>
      </c>
      <c r="M240" s="876">
        <f t="shared" si="45"/>
        <v>0</v>
      </c>
      <c r="N240" s="876">
        <f t="shared" ref="N240:Y241" si="47">N239</f>
        <v>0</v>
      </c>
      <c r="O240" s="876">
        <f t="shared" si="47"/>
        <v>0</v>
      </c>
      <c r="P240" s="876">
        <f t="shared" si="47"/>
        <v>0</v>
      </c>
      <c r="Q240" s="881"/>
      <c r="R240" s="876">
        <f t="shared" si="47"/>
        <v>0</v>
      </c>
      <c r="S240" s="876"/>
      <c r="T240" s="876">
        <f t="shared" si="47"/>
        <v>0</v>
      </c>
      <c r="U240" s="876">
        <f t="shared" ref="U240:U241" si="48">V240+X240+Z240+AA240+AB240+W240</f>
        <v>-12500</v>
      </c>
      <c r="V240" s="875">
        <f t="shared" si="40"/>
        <v>0</v>
      </c>
      <c r="W240" s="875">
        <f t="shared" si="38"/>
        <v>0</v>
      </c>
      <c r="X240" s="875">
        <f t="shared" si="38"/>
        <v>0</v>
      </c>
      <c r="Y240" s="881">
        <f t="shared" si="47"/>
        <v>0</v>
      </c>
      <c r="Z240" s="875">
        <f t="shared" si="46"/>
        <v>0</v>
      </c>
      <c r="AA240" s="875">
        <f t="shared" si="46"/>
        <v>0</v>
      </c>
      <c r="AB240" s="875">
        <f t="shared" si="46"/>
        <v>-12500</v>
      </c>
      <c r="AC240" s="878"/>
    </row>
    <row r="241" spans="1:29" s="614" customFormat="1" x14ac:dyDescent="0.2">
      <c r="A241" s="630" t="s">
        <v>950</v>
      </c>
      <c r="B241" s="631" t="s">
        <v>747</v>
      </c>
      <c r="C241" s="624"/>
      <c r="D241" s="624">
        <v>610</v>
      </c>
      <c r="E241" s="596">
        <f>L241+K241+J241+H241+G241+F241</f>
        <v>142385.88</v>
      </c>
      <c r="F241" s="595">
        <f>'Прилож 4 24 (2)'!V210</f>
        <v>0</v>
      </c>
      <c r="G241" s="595">
        <f>'Прилож 4 24 (2)'!W220</f>
        <v>0</v>
      </c>
      <c r="H241" s="595">
        <f>'Прилож 4 24 (2)'!X210</f>
        <v>142385.88</v>
      </c>
      <c r="I241" s="626"/>
      <c r="J241" s="595">
        <f>'Прилож 4 24 (2)'!Z210</f>
        <v>0</v>
      </c>
      <c r="K241" s="595">
        <f>'Прилож 4 24 (2)'!AA210</f>
        <v>0</v>
      </c>
      <c r="L241" s="875">
        <f>'Прилож 4 24 (2)'!AB210</f>
        <v>0</v>
      </c>
      <c r="M241" s="876">
        <f t="shared" si="45"/>
        <v>0</v>
      </c>
      <c r="N241" s="876">
        <f t="shared" si="47"/>
        <v>0</v>
      </c>
      <c r="O241" s="876">
        <f t="shared" si="47"/>
        <v>0</v>
      </c>
      <c r="P241" s="876"/>
      <c r="Q241" s="881"/>
      <c r="R241" s="876">
        <f t="shared" si="47"/>
        <v>0</v>
      </c>
      <c r="S241" s="876">
        <f t="shared" si="47"/>
        <v>0</v>
      </c>
      <c r="T241" s="876"/>
      <c r="U241" s="876">
        <f t="shared" si="48"/>
        <v>142385.88</v>
      </c>
      <c r="V241" s="875">
        <f t="shared" si="40"/>
        <v>0</v>
      </c>
      <c r="W241" s="875">
        <f t="shared" si="38"/>
        <v>0</v>
      </c>
      <c r="X241" s="875">
        <v>142385.88</v>
      </c>
      <c r="Y241" s="881">
        <f t="shared" si="47"/>
        <v>0</v>
      </c>
      <c r="Z241" s="875">
        <f t="shared" si="46"/>
        <v>0</v>
      </c>
      <c r="AA241" s="875">
        <f t="shared" si="46"/>
        <v>0</v>
      </c>
      <c r="AB241" s="875">
        <f t="shared" si="46"/>
        <v>0</v>
      </c>
      <c r="AC241" s="878"/>
    </row>
    <row r="242" spans="1:29" ht="33" customHeight="1" x14ac:dyDescent="0.2">
      <c r="A242" s="822" t="s">
        <v>1330</v>
      </c>
      <c r="E242" s="644">
        <f t="shared" ref="E242:U242" si="49">E11+E30-E238+E240-E241</f>
        <v>-1.2223608791828156E-8</v>
      </c>
      <c r="F242" s="644">
        <f t="shared" si="49"/>
        <v>0</v>
      </c>
      <c r="G242" s="644">
        <f t="shared" si="49"/>
        <v>2.3283064365386963E-10</v>
      </c>
      <c r="H242" s="644">
        <f t="shared" si="49"/>
        <v>-1.0477378964424133E-9</v>
      </c>
      <c r="I242" s="641">
        <f t="shared" si="49"/>
        <v>0</v>
      </c>
      <c r="J242" s="644">
        <f t="shared" si="49"/>
        <v>0</v>
      </c>
      <c r="K242" s="644">
        <f t="shared" si="49"/>
        <v>0</v>
      </c>
      <c r="L242" s="644">
        <f t="shared" si="49"/>
        <v>9.3132257461547852E-10</v>
      </c>
      <c r="M242" s="644">
        <f t="shared" si="49"/>
        <v>-2.3283064365386963E-10</v>
      </c>
      <c r="N242" s="644">
        <f t="shared" si="49"/>
        <v>0</v>
      </c>
      <c r="O242" s="644">
        <f t="shared" si="49"/>
        <v>0</v>
      </c>
      <c r="P242" s="644">
        <f t="shared" si="49"/>
        <v>0</v>
      </c>
      <c r="Q242" s="644">
        <f t="shared" si="49"/>
        <v>0</v>
      </c>
      <c r="R242" s="644">
        <f t="shared" si="49"/>
        <v>0</v>
      </c>
      <c r="S242" s="644">
        <f t="shared" si="49"/>
        <v>-2.3283064365386963E-10</v>
      </c>
      <c r="T242" s="644">
        <f t="shared" si="49"/>
        <v>0</v>
      </c>
      <c r="U242" s="644">
        <f t="shared" si="49"/>
        <v>-1.2223608791828156E-8</v>
      </c>
      <c r="V242" s="595">
        <f>F242+N242</f>
        <v>0</v>
      </c>
      <c r="W242" s="644">
        <f>W11+W30-W238+W240-W241</f>
        <v>2.3283064365386963E-10</v>
      </c>
      <c r="X242" s="644">
        <f>X11+X30-X238+X240-X241</f>
        <v>-1.0477378964424133E-9</v>
      </c>
      <c r="Y242" s="644">
        <f>Y11+Y30-Y238+Y240-Y241</f>
        <v>0</v>
      </c>
      <c r="Z242" s="595">
        <f t="shared" si="46"/>
        <v>0</v>
      </c>
      <c r="AA242" s="644">
        <f>AA11+AA30-AA238+AA240-AA241</f>
        <v>0</v>
      </c>
      <c r="AB242" s="595">
        <f t="shared" si="46"/>
        <v>9.3132257461547852E-10</v>
      </c>
      <c r="AC242" s="1005"/>
    </row>
    <row r="243" spans="1:29" x14ac:dyDescent="0.2">
      <c r="A243" s="624" t="s">
        <v>1266</v>
      </c>
      <c r="B243" s="620"/>
      <c r="C243" s="620"/>
      <c r="D243" s="620"/>
      <c r="E243" s="596"/>
      <c r="F243" s="595"/>
      <c r="G243" s="595"/>
      <c r="H243" s="595"/>
      <c r="W243" s="645">
        <f>SUM(W192:W201)</f>
        <v>0</v>
      </c>
      <c r="X243" s="645">
        <f>SUM(X192:X201)</f>
        <v>0</v>
      </c>
      <c r="AB243" s="595">
        <f t="shared" si="46"/>
        <v>0</v>
      </c>
      <c r="AC243" s="1002"/>
    </row>
    <row r="244" spans="1:29" x14ac:dyDescent="0.2">
      <c r="A244" s="624" t="s">
        <v>1268</v>
      </c>
      <c r="B244" s="620"/>
      <c r="C244" s="620"/>
      <c r="D244" s="620"/>
      <c r="E244" s="596"/>
      <c r="F244" s="595"/>
      <c r="G244" s="595"/>
      <c r="H244" s="595"/>
      <c r="AB244" s="595">
        <f t="shared" si="46"/>
        <v>0</v>
      </c>
      <c r="AC244" s="1002"/>
    </row>
    <row r="245" spans="1:29" x14ac:dyDescent="0.2">
      <c r="A245" s="620" t="s">
        <v>1265</v>
      </c>
      <c r="B245" s="619" t="s">
        <v>747</v>
      </c>
      <c r="C245" s="620">
        <v>247</v>
      </c>
      <c r="D245" s="620">
        <v>223</v>
      </c>
      <c r="E245" s="596"/>
      <c r="F245" s="595"/>
      <c r="G245" s="595"/>
      <c r="H245" s="595">
        <v>97172.91</v>
      </c>
      <c r="AB245" s="595">
        <f t="shared" si="46"/>
        <v>0</v>
      </c>
      <c r="AC245" s="1002"/>
    </row>
    <row r="246" spans="1:29" x14ac:dyDescent="0.2">
      <c r="A246" s="620" t="s">
        <v>1265</v>
      </c>
      <c r="B246" s="619" t="s">
        <v>729</v>
      </c>
      <c r="C246" s="620">
        <v>247</v>
      </c>
      <c r="D246" s="620">
        <v>223</v>
      </c>
      <c r="E246" s="596"/>
      <c r="F246" s="595"/>
      <c r="G246" s="595"/>
      <c r="H246" s="595">
        <v>149284.57</v>
      </c>
      <c r="AB246" s="595">
        <f t="shared" si="46"/>
        <v>0</v>
      </c>
      <c r="AC246" s="1002"/>
    </row>
    <row r="247" spans="1:29" x14ac:dyDescent="0.2">
      <c r="A247" s="620"/>
      <c r="B247" s="620"/>
      <c r="C247" s="620"/>
      <c r="D247" s="620"/>
      <c r="E247" s="596"/>
      <c r="F247" s="595"/>
      <c r="G247" s="595"/>
      <c r="H247" s="595">
        <f>SUM(H245:H246)</f>
        <v>246457.48</v>
      </c>
      <c r="AB247" s="595">
        <f t="shared" si="46"/>
        <v>0</v>
      </c>
    </row>
    <row r="248" spans="1:29" x14ac:dyDescent="0.2">
      <c r="A248" s="624" t="s">
        <v>1269</v>
      </c>
      <c r="B248" s="620"/>
      <c r="C248" s="620"/>
      <c r="D248" s="620"/>
      <c r="E248" s="596"/>
      <c r="F248" s="595"/>
      <c r="G248" s="595"/>
      <c r="H248" s="595"/>
    </row>
    <row r="249" spans="1:29" x14ac:dyDescent="0.2">
      <c r="A249" s="620" t="s">
        <v>735</v>
      </c>
      <c r="B249" s="619" t="s">
        <v>747</v>
      </c>
      <c r="C249" s="620">
        <v>244</v>
      </c>
      <c r="D249" s="620">
        <v>223</v>
      </c>
      <c r="E249" s="596"/>
      <c r="F249" s="595"/>
      <c r="G249" s="595"/>
      <c r="H249" s="595">
        <v>28336.69</v>
      </c>
    </row>
    <row r="250" spans="1:29" x14ac:dyDescent="0.2">
      <c r="A250" s="620" t="s">
        <v>1267</v>
      </c>
      <c r="B250" s="619" t="s">
        <v>747</v>
      </c>
      <c r="C250" s="620">
        <v>247</v>
      </c>
      <c r="D250" s="620">
        <v>223</v>
      </c>
      <c r="E250" s="596"/>
      <c r="F250" s="595"/>
      <c r="G250" s="595"/>
      <c r="H250" s="595">
        <v>19716.62</v>
      </c>
    </row>
    <row r="251" spans="1:29" x14ac:dyDescent="0.2">
      <c r="A251" s="620" t="s">
        <v>1267</v>
      </c>
      <c r="B251" s="619" t="s">
        <v>729</v>
      </c>
      <c r="C251" s="620">
        <v>247</v>
      </c>
      <c r="D251" s="620">
        <v>223</v>
      </c>
      <c r="E251" s="596"/>
      <c r="F251" s="595"/>
      <c r="G251" s="595"/>
      <c r="H251" s="595">
        <v>105588.85</v>
      </c>
    </row>
    <row r="252" spans="1:29" x14ac:dyDescent="0.2">
      <c r="A252" s="620"/>
      <c r="B252" s="620"/>
      <c r="C252" s="620"/>
      <c r="D252" s="620"/>
      <c r="E252" s="596"/>
      <c r="F252" s="595"/>
      <c r="G252" s="595"/>
      <c r="H252" s="595">
        <f>SUM(H249:H251)</f>
        <v>153642.16</v>
      </c>
    </row>
  </sheetData>
  <mergeCells count="28">
    <mergeCell ref="A7:A10"/>
    <mergeCell ref="B7:B10"/>
    <mergeCell ref="C7:C10"/>
    <mergeCell ref="D7:D10"/>
    <mergeCell ref="E7:L7"/>
    <mergeCell ref="E8:E10"/>
    <mergeCell ref="F8:L8"/>
    <mergeCell ref="F9:H9"/>
    <mergeCell ref="I9:K9"/>
    <mergeCell ref="L9:L10"/>
    <mergeCell ref="Z1:AB1"/>
    <mergeCell ref="Z2:AB2"/>
    <mergeCell ref="A3:X3"/>
    <mergeCell ref="A4:X4"/>
    <mergeCell ref="D5:P5"/>
    <mergeCell ref="AC7:AC10"/>
    <mergeCell ref="V8:AB8"/>
    <mergeCell ref="Y9:AA9"/>
    <mergeCell ref="AB9:AB10"/>
    <mergeCell ref="M8:M10"/>
    <mergeCell ref="N8:T8"/>
    <mergeCell ref="U8:U10"/>
    <mergeCell ref="T9:T10"/>
    <mergeCell ref="N9:P9"/>
    <mergeCell ref="Q9:S9"/>
    <mergeCell ref="V9:X9"/>
    <mergeCell ref="M7:T7"/>
    <mergeCell ref="U7:AB7"/>
  </mergeCells>
  <pageMargins left="0.25" right="0.25" top="0.75" bottom="0.75" header="0.3" footer="0.3"/>
  <pageSetup paperSize="9" scale="27" fitToHeight="0" orientation="landscape" r:id="rId1"/>
  <rowBreaks count="5" manualBreakCount="5">
    <brk id="30" max="28" man="1"/>
    <brk id="87" max="28" man="1"/>
    <brk id="144" max="28" man="1"/>
    <brk id="191" max="28" man="1"/>
    <brk id="229" max="2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F255"/>
  <sheetViews>
    <sheetView view="pageBreakPreview" zoomScale="60" zoomScaleNormal="56" workbookViewId="0">
      <pane xSplit="1" ySplit="10" topLeftCell="B234" activePane="bottomRight" state="frozen"/>
      <selection pane="topRight" activeCell="B1" sqref="B1"/>
      <selection pane="bottomLeft" activeCell="A11" sqref="A11"/>
      <selection pane="bottomRight" activeCell="AE12" sqref="AE12"/>
    </sheetView>
  </sheetViews>
  <sheetFormatPr defaultColWidth="9.140625" defaultRowHeight="15.75" x14ac:dyDescent="0.2"/>
  <cols>
    <col min="1" max="1" width="40.28515625" style="610" customWidth="1"/>
    <col min="2" max="2" width="11.5703125" style="610" customWidth="1"/>
    <col min="3" max="3" width="9.42578125" style="610" customWidth="1"/>
    <col min="4" max="4" width="11.7109375" style="610" customWidth="1"/>
    <col min="5" max="5" width="20.85546875" style="644" customWidth="1"/>
    <col min="6" max="6" width="19.7109375" style="645" customWidth="1"/>
    <col min="7" max="7" width="20.28515625" style="645" customWidth="1"/>
    <col min="8" max="8" width="21.42578125" style="645" customWidth="1"/>
    <col min="9" max="9" width="14.42578125" style="611" customWidth="1"/>
    <col min="10" max="10" width="14.7109375" style="645" customWidth="1"/>
    <col min="11" max="11" width="20.140625" style="645" customWidth="1"/>
    <col min="12" max="12" width="19.85546875" style="645" customWidth="1"/>
    <col min="13" max="13" width="22.85546875" style="644" customWidth="1"/>
    <col min="14" max="14" width="18.42578125" style="645" customWidth="1"/>
    <col min="15" max="15" width="19.42578125" style="645" customWidth="1"/>
    <col min="16" max="16" width="18.5703125" style="645" customWidth="1"/>
    <col min="17" max="17" width="16.28515625" style="611" customWidth="1"/>
    <col min="18" max="18" width="11.5703125" style="645" customWidth="1"/>
    <col min="19" max="19" width="19" style="645" customWidth="1"/>
    <col min="20" max="20" width="20.140625" style="645" customWidth="1"/>
    <col min="21" max="21" width="22.140625" style="644" customWidth="1"/>
    <col min="22" max="22" width="20" style="645" customWidth="1"/>
    <col min="23" max="23" width="18.140625" style="645" customWidth="1"/>
    <col min="24" max="24" width="22.7109375" style="645" customWidth="1"/>
    <col min="25" max="25" width="14.140625" style="611" customWidth="1"/>
    <col min="26" max="26" width="12.28515625" style="645" customWidth="1"/>
    <col min="27" max="27" width="19" style="645" customWidth="1"/>
    <col min="28" max="28" width="22.42578125" style="645" customWidth="1"/>
    <col min="29" max="29" width="20" style="612" customWidth="1"/>
    <col min="30" max="30" width="19.28515625" style="610" customWidth="1"/>
    <col min="31" max="31" width="18" style="610" customWidth="1"/>
    <col min="32" max="32" width="17.5703125" style="610" bestFit="1" customWidth="1"/>
    <col min="33" max="16384" width="9.140625" style="610"/>
  </cols>
  <sheetData>
    <row r="1" spans="1:29" ht="51.75" customHeight="1" x14ac:dyDescent="0.2">
      <c r="Z1" s="1572" t="s">
        <v>721</v>
      </c>
      <c r="AA1" s="1573"/>
      <c r="AB1" s="1573"/>
    </row>
    <row r="2" spans="1:29" ht="31.9" customHeight="1" x14ac:dyDescent="0.2">
      <c r="Z2" s="1573" t="s">
        <v>722</v>
      </c>
      <c r="AA2" s="1573"/>
      <c r="AB2" s="1573"/>
    </row>
    <row r="3" spans="1:29" s="614" customFormat="1" ht="24.75" customHeight="1" x14ac:dyDescent="0.2">
      <c r="A3" s="1574" t="s">
        <v>1249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613"/>
      <c r="Z3" s="644"/>
      <c r="AA3" s="644"/>
      <c r="AB3" s="644"/>
      <c r="AC3" s="612"/>
    </row>
    <row r="4" spans="1:29" s="614" customFormat="1" ht="25.5" customHeight="1" x14ac:dyDescent="0.2">
      <c r="A4" s="1574" t="s">
        <v>1473</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613"/>
      <c r="Z4" s="644"/>
      <c r="AA4" s="644"/>
      <c r="AB4" s="644"/>
      <c r="AC4" s="612"/>
    </row>
    <row r="5" spans="1:29" x14ac:dyDescent="0.2">
      <c r="A5" s="610" t="s">
        <v>723</v>
      </c>
      <c r="D5" s="1575" t="s">
        <v>204</v>
      </c>
      <c r="E5" s="1576"/>
      <c r="F5" s="1576"/>
      <c r="G5" s="1576"/>
      <c r="H5" s="1576"/>
      <c r="I5" s="1576"/>
      <c r="J5" s="1576"/>
      <c r="K5" s="1576"/>
      <c r="L5" s="1576"/>
      <c r="M5" s="1576"/>
      <c r="N5" s="1576"/>
      <c r="O5" s="1576"/>
      <c r="P5" s="1576"/>
    </row>
    <row r="6" spans="1:29" x14ac:dyDescent="0.2">
      <c r="AC6" s="1002"/>
    </row>
    <row r="7" spans="1:29" s="614" customFormat="1" ht="37.5" customHeight="1" x14ac:dyDescent="0.2">
      <c r="A7" s="1565" t="s">
        <v>724</v>
      </c>
      <c r="B7" s="1566" t="s">
        <v>577</v>
      </c>
      <c r="C7" s="1566" t="s">
        <v>578</v>
      </c>
      <c r="D7" s="1566" t="s">
        <v>579</v>
      </c>
      <c r="E7" s="1567" t="s">
        <v>725</v>
      </c>
      <c r="F7" s="1567"/>
      <c r="G7" s="1567"/>
      <c r="H7" s="1567"/>
      <c r="I7" s="1567"/>
      <c r="J7" s="1567"/>
      <c r="K7" s="1567"/>
      <c r="L7" s="1567"/>
      <c r="M7" s="1567" t="s">
        <v>726</v>
      </c>
      <c r="N7" s="1567"/>
      <c r="O7" s="1567"/>
      <c r="P7" s="1567"/>
      <c r="Q7" s="1567"/>
      <c r="R7" s="1567"/>
      <c r="S7" s="1567"/>
      <c r="T7" s="1567"/>
      <c r="U7" s="1567" t="s">
        <v>727</v>
      </c>
      <c r="V7" s="1567"/>
      <c r="W7" s="1567"/>
      <c r="X7" s="1567"/>
      <c r="Y7" s="1567"/>
      <c r="Z7" s="1567"/>
      <c r="AA7" s="1567"/>
      <c r="AB7" s="1567"/>
      <c r="AC7" s="1577" t="s">
        <v>1178</v>
      </c>
    </row>
    <row r="8" spans="1:29" s="616" customFormat="1" ht="39.75" customHeight="1" x14ac:dyDescent="0.2">
      <c r="A8" s="1565"/>
      <c r="B8" s="1566"/>
      <c r="C8" s="1566"/>
      <c r="D8" s="1566"/>
      <c r="E8" s="1568" t="s">
        <v>6</v>
      </c>
      <c r="F8" s="1569" t="s">
        <v>52</v>
      </c>
      <c r="G8" s="1569"/>
      <c r="H8" s="1569"/>
      <c r="I8" s="1569"/>
      <c r="J8" s="1569"/>
      <c r="K8" s="1569"/>
      <c r="L8" s="1569"/>
      <c r="M8" s="1578" t="s">
        <v>6</v>
      </c>
      <c r="N8" s="1569" t="s">
        <v>52</v>
      </c>
      <c r="O8" s="1569"/>
      <c r="P8" s="1569"/>
      <c r="Q8" s="1569"/>
      <c r="R8" s="1569"/>
      <c r="S8" s="1569"/>
      <c r="T8" s="1569"/>
      <c r="U8" s="1578" t="s">
        <v>6</v>
      </c>
      <c r="V8" s="1569" t="s">
        <v>52</v>
      </c>
      <c r="W8" s="1569"/>
      <c r="X8" s="1569"/>
      <c r="Y8" s="1569"/>
      <c r="Z8" s="1569"/>
      <c r="AA8" s="1569"/>
      <c r="AB8" s="1569"/>
      <c r="AC8" s="1577"/>
    </row>
    <row r="9" spans="1:29" s="616" customFormat="1" ht="39.75" customHeight="1" x14ac:dyDescent="0.2">
      <c r="A9" s="1565"/>
      <c r="B9" s="1566"/>
      <c r="C9" s="1566"/>
      <c r="D9" s="1566"/>
      <c r="E9" s="1568"/>
      <c r="F9" s="1570" t="s">
        <v>35</v>
      </c>
      <c r="G9" s="1570"/>
      <c r="H9" s="1570"/>
      <c r="I9" s="1570" t="s">
        <v>45</v>
      </c>
      <c r="J9" s="1570"/>
      <c r="K9" s="1570"/>
      <c r="L9" s="1571" t="s">
        <v>46</v>
      </c>
      <c r="M9" s="1578"/>
      <c r="N9" s="1570" t="s">
        <v>35</v>
      </c>
      <c r="O9" s="1570"/>
      <c r="P9" s="1570"/>
      <c r="Q9" s="1570" t="s">
        <v>45</v>
      </c>
      <c r="R9" s="1570"/>
      <c r="S9" s="1570"/>
      <c r="T9" s="1571" t="s">
        <v>46</v>
      </c>
      <c r="U9" s="1578"/>
      <c r="V9" s="1570" t="s">
        <v>35</v>
      </c>
      <c r="W9" s="1570"/>
      <c r="X9" s="1570"/>
      <c r="Y9" s="1570" t="s">
        <v>45</v>
      </c>
      <c r="Z9" s="1570"/>
      <c r="AA9" s="1570"/>
      <c r="AB9" s="1571" t="s">
        <v>46</v>
      </c>
      <c r="AC9" s="1577"/>
    </row>
    <row r="10" spans="1:29" s="616" customFormat="1" ht="69" customHeight="1" x14ac:dyDescent="0.2">
      <c r="A10" s="1565"/>
      <c r="B10" s="1566"/>
      <c r="C10" s="1566"/>
      <c r="D10" s="1566"/>
      <c r="E10" s="1568"/>
      <c r="F10" s="642" t="s">
        <v>43</v>
      </c>
      <c r="G10" s="642" t="s">
        <v>592</v>
      </c>
      <c r="H10" s="642" t="s">
        <v>44</v>
      </c>
      <c r="I10" s="617" t="s">
        <v>55</v>
      </c>
      <c r="J10" s="642" t="s">
        <v>43</v>
      </c>
      <c r="K10" s="642" t="s">
        <v>44</v>
      </c>
      <c r="L10" s="1571"/>
      <c r="M10" s="1578"/>
      <c r="N10" s="642" t="s">
        <v>43</v>
      </c>
      <c r="O10" s="642" t="s">
        <v>592</v>
      </c>
      <c r="P10" s="642" t="s">
        <v>44</v>
      </c>
      <c r="Q10" s="617" t="s">
        <v>55</v>
      </c>
      <c r="R10" s="642" t="s">
        <v>43</v>
      </c>
      <c r="S10" s="642" t="s">
        <v>44</v>
      </c>
      <c r="T10" s="1571"/>
      <c r="U10" s="1578"/>
      <c r="V10" s="642" t="s">
        <v>43</v>
      </c>
      <c r="W10" s="642" t="s">
        <v>592</v>
      </c>
      <c r="X10" s="642" t="s">
        <v>44</v>
      </c>
      <c r="Y10" s="617" t="s">
        <v>55</v>
      </c>
      <c r="Z10" s="642" t="s">
        <v>43</v>
      </c>
      <c r="AA10" s="642" t="s">
        <v>44</v>
      </c>
      <c r="AB10" s="1571"/>
      <c r="AC10" s="1577"/>
    </row>
    <row r="11" spans="1:29" ht="31.5" x14ac:dyDescent="0.2">
      <c r="A11" s="618" t="s">
        <v>909</v>
      </c>
      <c r="B11" s="619" t="s">
        <v>747</v>
      </c>
      <c r="C11" s="620"/>
      <c r="D11" s="620">
        <v>510</v>
      </c>
      <c r="E11" s="596">
        <f>L11+K11+J11+H11+G11+F11</f>
        <v>332433.68</v>
      </c>
      <c r="F11" s="595">
        <f>'Прилож 4 24 (5)'!V11</f>
        <v>0</v>
      </c>
      <c r="G11" s="595">
        <f>'Прилож 4 24 (5)'!W11</f>
        <v>0</v>
      </c>
      <c r="H11" s="595">
        <f>'Прилож 4 24 (5)'!X11</f>
        <v>255285.97</v>
      </c>
      <c r="I11" s="621"/>
      <c r="J11" s="595">
        <f>'Прилож 4 24 (5)'!Z11</f>
        <v>0</v>
      </c>
      <c r="K11" s="595">
        <f>'Прилож 4 24 (5)'!AA11</f>
        <v>0</v>
      </c>
      <c r="L11" s="595">
        <f>'Прилож 4 24 (5)'!AB11</f>
        <v>77147.710000000006</v>
      </c>
      <c r="M11" s="596">
        <f>N11+P11+R11+S11+T11+O11</f>
        <v>0</v>
      </c>
      <c r="N11" s="595"/>
      <c r="O11" s="595"/>
      <c r="P11" s="595"/>
      <c r="Q11" s="621"/>
      <c r="R11" s="595"/>
      <c r="S11" s="595"/>
      <c r="T11" s="595"/>
      <c r="U11" s="999">
        <f>X11+AB11</f>
        <v>332433.68</v>
      </c>
      <c r="V11" s="835">
        <f>F11+N11</f>
        <v>0</v>
      </c>
      <c r="W11" s="835">
        <f>O11+G11</f>
        <v>0</v>
      </c>
      <c r="X11" s="835">
        <f>P11+H11</f>
        <v>255285.97</v>
      </c>
      <c r="Y11" s="1000"/>
      <c r="Z11" s="835">
        <f>R11+J11</f>
        <v>0</v>
      </c>
      <c r="AA11" s="835">
        <f>S11+K11</f>
        <v>0</v>
      </c>
      <c r="AB11" s="835">
        <f>T11+L11</f>
        <v>77147.710000000006</v>
      </c>
      <c r="AC11" s="1003"/>
    </row>
    <row r="12" spans="1:29" ht="109.5" customHeight="1" x14ac:dyDescent="0.2">
      <c r="A12" s="618" t="s">
        <v>728</v>
      </c>
      <c r="B12" s="619" t="s">
        <v>747</v>
      </c>
      <c r="C12" s="620">
        <v>130</v>
      </c>
      <c r="D12" s="620">
        <v>131</v>
      </c>
      <c r="E12" s="596">
        <f t="shared" ref="E12:E76" si="0">L12+K12+J12+H12+G12+F12</f>
        <v>23228700</v>
      </c>
      <c r="F12" s="595">
        <f>'Прилож 4 24 (5)'!V12</f>
        <v>16891100</v>
      </c>
      <c r="G12" s="595">
        <f>'Прилож 4 24 (5)'!W12</f>
        <v>0</v>
      </c>
      <c r="H12" s="595">
        <f>'Прилож 4 24 (5)'!X12</f>
        <v>6337600</v>
      </c>
      <c r="I12" s="621"/>
      <c r="J12" s="595">
        <f>'Прилож 4 24 (5)'!Z12</f>
        <v>0</v>
      </c>
      <c r="K12" s="595">
        <f>'Прилож 4 24 (5)'!AA12</f>
        <v>0</v>
      </c>
      <c r="L12" s="595">
        <f>'Прилож 4 24 (5)'!AB12</f>
        <v>0</v>
      </c>
      <c r="M12" s="596">
        <f t="shared" ref="M12:M27" si="1">N12+P12+R12+S12+T12+O12</f>
        <v>0</v>
      </c>
      <c r="N12" s="595"/>
      <c r="O12" s="595"/>
      <c r="P12" s="595"/>
      <c r="Q12" s="621"/>
      <c r="R12" s="595"/>
      <c r="S12" s="595"/>
      <c r="T12" s="595"/>
      <c r="U12" s="999">
        <f>V12+X12+Z12+AA12+AB12+W12</f>
        <v>23228700</v>
      </c>
      <c r="V12" s="835">
        <f t="shared" ref="V12:V29" si="2">F12+N12</f>
        <v>16891100</v>
      </c>
      <c r="W12" s="835">
        <f t="shared" ref="W12:X29" si="3">O12+G12</f>
        <v>0</v>
      </c>
      <c r="X12" s="835">
        <f t="shared" si="3"/>
        <v>6337600</v>
      </c>
      <c r="Y12" s="1000"/>
      <c r="Z12" s="835">
        <f t="shared" ref="Z12:AB79" si="4">R12+J12</f>
        <v>0</v>
      </c>
      <c r="AA12" s="835">
        <f t="shared" si="4"/>
        <v>0</v>
      </c>
      <c r="AB12" s="835">
        <f t="shared" si="4"/>
        <v>0</v>
      </c>
      <c r="AC12" s="1003"/>
    </row>
    <row r="13" spans="1:29" ht="58.5" customHeight="1" x14ac:dyDescent="0.2">
      <c r="A13" s="618" t="s">
        <v>580</v>
      </c>
      <c r="B13" s="619" t="s">
        <v>729</v>
      </c>
      <c r="C13" s="620">
        <v>130</v>
      </c>
      <c r="D13" s="620">
        <v>131</v>
      </c>
      <c r="E13" s="596">
        <f t="shared" si="0"/>
        <v>926500</v>
      </c>
      <c r="F13" s="595">
        <f>'Прилож 4 24 (5)'!V13</f>
        <v>0</v>
      </c>
      <c r="G13" s="595">
        <f>'Прилож 4 24 (5)'!W13</f>
        <v>0</v>
      </c>
      <c r="H13" s="595">
        <f>'Прилож 4 24 (5)'!X13</f>
        <v>926500</v>
      </c>
      <c r="I13" s="621"/>
      <c r="J13" s="595">
        <f>'Прилож 4 24 (5)'!Z13</f>
        <v>0</v>
      </c>
      <c r="K13" s="595">
        <f>'Прилож 4 24 (5)'!AA13</f>
        <v>0</v>
      </c>
      <c r="L13" s="595">
        <f>'Прилож 4 24 (5)'!AB13</f>
        <v>0</v>
      </c>
      <c r="M13" s="596">
        <f t="shared" si="1"/>
        <v>0</v>
      </c>
      <c r="N13" s="595"/>
      <c r="O13" s="595"/>
      <c r="P13" s="595"/>
      <c r="Q13" s="621"/>
      <c r="R13" s="595"/>
      <c r="S13" s="595"/>
      <c r="T13" s="595"/>
      <c r="U13" s="999">
        <f t="shared" ref="U13:U29" si="5">V13+X13+Z13+AA13+AB13+W13</f>
        <v>926500</v>
      </c>
      <c r="V13" s="835">
        <f t="shared" si="2"/>
        <v>0</v>
      </c>
      <c r="W13" s="835">
        <f t="shared" si="3"/>
        <v>0</v>
      </c>
      <c r="X13" s="835">
        <f t="shared" si="3"/>
        <v>926500</v>
      </c>
      <c r="Y13" s="1000"/>
      <c r="Z13" s="835">
        <f t="shared" si="4"/>
        <v>0</v>
      </c>
      <c r="AA13" s="835">
        <f t="shared" si="4"/>
        <v>0</v>
      </c>
      <c r="AB13" s="835">
        <f t="shared" si="4"/>
        <v>0</v>
      </c>
      <c r="AC13" s="1003"/>
    </row>
    <row r="14" spans="1:29" ht="106.5" customHeight="1" x14ac:dyDescent="0.2">
      <c r="A14" s="618" t="s">
        <v>728</v>
      </c>
      <c r="B14" s="619" t="s">
        <v>729</v>
      </c>
      <c r="C14" s="620">
        <v>130</v>
      </c>
      <c r="D14" s="620">
        <v>131</v>
      </c>
      <c r="E14" s="596">
        <f t="shared" si="0"/>
        <v>29262476</v>
      </c>
      <c r="F14" s="595">
        <f>'Прилож 4 24 (5)'!V14</f>
        <v>24547930</v>
      </c>
      <c r="G14" s="595">
        <f>'Прилож 4 24 (5)'!W14</f>
        <v>1093680</v>
      </c>
      <c r="H14" s="595">
        <f>'Прилож 4 24 (5)'!X14</f>
        <v>3620866</v>
      </c>
      <c r="I14" s="621"/>
      <c r="J14" s="595">
        <f>'Прилож 4 24 (5)'!Z14</f>
        <v>0</v>
      </c>
      <c r="K14" s="595">
        <f>'Прилож 4 24 (5)'!AA14</f>
        <v>0</v>
      </c>
      <c r="L14" s="595">
        <f>'Прилож 4 24 (5)'!AB14</f>
        <v>0</v>
      </c>
      <c r="M14" s="596">
        <f t="shared" si="1"/>
        <v>210500</v>
      </c>
      <c r="N14" s="835"/>
      <c r="O14" s="595">
        <v>210500</v>
      </c>
      <c r="P14" s="595"/>
      <c r="Q14" s="621"/>
      <c r="R14" s="595"/>
      <c r="S14" s="595"/>
      <c r="T14" s="595"/>
      <c r="U14" s="999">
        <f t="shared" si="5"/>
        <v>29472976</v>
      </c>
      <c r="V14" s="835">
        <f t="shared" si="2"/>
        <v>24547930</v>
      </c>
      <c r="W14" s="835">
        <f t="shared" si="3"/>
        <v>1304180</v>
      </c>
      <c r="X14" s="835">
        <f t="shared" si="3"/>
        <v>3620866</v>
      </c>
      <c r="Y14" s="1000"/>
      <c r="Z14" s="835">
        <f t="shared" si="4"/>
        <v>0</v>
      </c>
      <c r="AA14" s="835">
        <f t="shared" si="4"/>
        <v>0</v>
      </c>
      <c r="AB14" s="835">
        <f t="shared" si="4"/>
        <v>0</v>
      </c>
      <c r="AC14" s="1003" t="s">
        <v>1461</v>
      </c>
    </row>
    <row r="15" spans="1:29" ht="118.5" customHeight="1" x14ac:dyDescent="0.2">
      <c r="A15" s="618" t="s">
        <v>945</v>
      </c>
      <c r="B15" s="619" t="s">
        <v>729</v>
      </c>
      <c r="C15" s="620">
        <v>130</v>
      </c>
      <c r="D15" s="620">
        <v>131</v>
      </c>
      <c r="E15" s="596">
        <f t="shared" si="0"/>
        <v>354251.13</v>
      </c>
      <c r="F15" s="595">
        <f>'Прилож 4 24 (5)'!V15</f>
        <v>116903.03999999999</v>
      </c>
      <c r="G15" s="595">
        <f>'Прилож 4 24 (5)'!W15</f>
        <v>237348.09</v>
      </c>
      <c r="H15" s="595">
        <f>'Прилож 4 24 (5)'!X15</f>
        <v>0</v>
      </c>
      <c r="I15" s="621"/>
      <c r="J15" s="595">
        <f>'Прилож 4 24 (5)'!Z15</f>
        <v>0</v>
      </c>
      <c r="K15" s="595">
        <f>'Прилож 4 24 (5)'!AA15</f>
        <v>0</v>
      </c>
      <c r="L15" s="595">
        <f>'Прилож 4 24 (5)'!AB15</f>
        <v>0</v>
      </c>
      <c r="M15" s="596">
        <f t="shared" si="1"/>
        <v>0</v>
      </c>
      <c r="N15" s="595"/>
      <c r="O15" s="595"/>
      <c r="P15" s="595"/>
      <c r="Q15" s="621"/>
      <c r="R15" s="595"/>
      <c r="S15" s="595"/>
      <c r="T15" s="595"/>
      <c r="U15" s="999">
        <f t="shared" si="5"/>
        <v>354251.13</v>
      </c>
      <c r="V15" s="835">
        <f t="shared" si="2"/>
        <v>116903.03999999999</v>
      </c>
      <c r="W15" s="835">
        <f t="shared" si="3"/>
        <v>237348.09</v>
      </c>
      <c r="X15" s="835">
        <f t="shared" si="3"/>
        <v>0</v>
      </c>
      <c r="Y15" s="1000"/>
      <c r="Z15" s="835">
        <f t="shared" si="4"/>
        <v>0</v>
      </c>
      <c r="AA15" s="835">
        <f t="shared" si="4"/>
        <v>0</v>
      </c>
      <c r="AB15" s="835">
        <f t="shared" si="4"/>
        <v>0</v>
      </c>
      <c r="AC15" s="1003"/>
    </row>
    <row r="16" spans="1:29" ht="57" customHeight="1" x14ac:dyDescent="0.2">
      <c r="A16" s="994" t="s">
        <v>582</v>
      </c>
      <c r="B16" s="995" t="s">
        <v>691</v>
      </c>
      <c r="C16" s="996">
        <v>130</v>
      </c>
      <c r="D16" s="996">
        <v>131</v>
      </c>
      <c r="E16" s="596">
        <f t="shared" si="0"/>
        <v>352345.7</v>
      </c>
      <c r="F16" s="595">
        <f>'Прилож 4 24 (5)'!V16</f>
        <v>32288.77</v>
      </c>
      <c r="G16" s="595">
        <f>'Прилож 4 24 (5)'!W16</f>
        <v>0</v>
      </c>
      <c r="H16" s="595">
        <f>'Прилож 4 24 (5)'!X16</f>
        <v>320056.93</v>
      </c>
      <c r="I16" s="993"/>
      <c r="J16" s="595">
        <f>'Прилож 4 24 (5)'!Z16</f>
        <v>0</v>
      </c>
      <c r="K16" s="595">
        <f>'Прилож 4 24 (5)'!AA16</f>
        <v>0</v>
      </c>
      <c r="L16" s="595">
        <f>'Прилож 4 24 (5)'!AB16</f>
        <v>0</v>
      </c>
      <c r="M16" s="991">
        <f t="shared" si="1"/>
        <v>0</v>
      </c>
      <c r="N16" s="992"/>
      <c r="O16" s="992"/>
      <c r="P16" s="992"/>
      <c r="R16" s="992"/>
      <c r="S16" s="992"/>
      <c r="T16" s="595"/>
      <c r="U16" s="999">
        <f t="shared" si="5"/>
        <v>352345.7</v>
      </c>
      <c r="V16" s="835">
        <f t="shared" si="2"/>
        <v>32288.77</v>
      </c>
      <c r="W16" s="835">
        <f t="shared" si="3"/>
        <v>0</v>
      </c>
      <c r="X16" s="835">
        <f t="shared" si="3"/>
        <v>320056.93</v>
      </c>
      <c r="Y16" s="1000"/>
      <c r="Z16" s="835">
        <f t="shared" si="4"/>
        <v>0</v>
      </c>
      <c r="AA16" s="835">
        <f t="shared" si="4"/>
        <v>0</v>
      </c>
      <c r="AB16" s="835">
        <f t="shared" si="4"/>
        <v>0</v>
      </c>
      <c r="AC16" s="1002"/>
    </row>
    <row r="17" spans="1:32" ht="62.25" customHeight="1" x14ac:dyDescent="0.2">
      <c r="A17" s="618" t="s">
        <v>283</v>
      </c>
      <c r="B17" s="619" t="s">
        <v>729</v>
      </c>
      <c r="C17" s="620">
        <v>130</v>
      </c>
      <c r="D17" s="620">
        <v>131</v>
      </c>
      <c r="E17" s="596">
        <f t="shared" si="0"/>
        <v>80080</v>
      </c>
      <c r="F17" s="595">
        <f>'Прилож 4 24 (5)'!V17</f>
        <v>0</v>
      </c>
      <c r="G17" s="595">
        <f>'Прилож 4 24 (5)'!W17</f>
        <v>0</v>
      </c>
      <c r="H17" s="595">
        <f>'Прилож 4 24 (5)'!X17</f>
        <v>0</v>
      </c>
      <c r="I17" s="621"/>
      <c r="J17" s="595">
        <f>'Прилож 4 24 (5)'!Z17</f>
        <v>0</v>
      </c>
      <c r="K17" s="595">
        <f>'Прилож 4 24 (5)'!AA17</f>
        <v>0</v>
      </c>
      <c r="L17" s="595">
        <f>'Прилож 4 24 (5)'!AB17</f>
        <v>80080</v>
      </c>
      <c r="M17" s="596">
        <f t="shared" si="1"/>
        <v>0</v>
      </c>
      <c r="N17" s="595"/>
      <c r="O17" s="595"/>
      <c r="P17" s="595"/>
      <c r="Q17" s="621"/>
      <c r="R17" s="595"/>
      <c r="S17" s="595"/>
      <c r="T17" s="595"/>
      <c r="U17" s="999">
        <f t="shared" si="5"/>
        <v>80080</v>
      </c>
      <c r="V17" s="835">
        <f t="shared" si="2"/>
        <v>0</v>
      </c>
      <c r="W17" s="835">
        <f t="shared" si="3"/>
        <v>0</v>
      </c>
      <c r="X17" s="835">
        <f t="shared" si="3"/>
        <v>0</v>
      </c>
      <c r="Y17" s="1000"/>
      <c r="Z17" s="835">
        <f t="shared" si="4"/>
        <v>0</v>
      </c>
      <c r="AA17" s="835">
        <f t="shared" si="4"/>
        <v>0</v>
      </c>
      <c r="AB17" s="835">
        <f t="shared" si="4"/>
        <v>80080</v>
      </c>
      <c r="AC17" s="1003"/>
    </row>
    <row r="18" spans="1:32" ht="63.75" customHeight="1" x14ac:dyDescent="0.2">
      <c r="A18" s="618" t="s">
        <v>282</v>
      </c>
      <c r="B18" s="619" t="s">
        <v>729</v>
      </c>
      <c r="C18" s="620">
        <v>130</v>
      </c>
      <c r="D18" s="620">
        <v>134</v>
      </c>
      <c r="E18" s="596">
        <f t="shared" si="0"/>
        <v>1214568.26</v>
      </c>
      <c r="F18" s="595">
        <f>'Прилож 4 24 (5)'!V18</f>
        <v>0</v>
      </c>
      <c r="G18" s="595">
        <f>'Прилож 4 24 (5)'!W18</f>
        <v>0</v>
      </c>
      <c r="H18" s="595">
        <f>'Прилож 4 24 (5)'!X18</f>
        <v>0</v>
      </c>
      <c r="I18" s="621"/>
      <c r="J18" s="595">
        <f>'Прилож 4 24 (5)'!Z18</f>
        <v>0</v>
      </c>
      <c r="K18" s="595">
        <f>'Прилож 4 24 (5)'!AA18</f>
        <v>0</v>
      </c>
      <c r="L18" s="595">
        <f>'Прилож 4 24 (5)'!AB18</f>
        <v>1214568.26</v>
      </c>
      <c r="M18" s="596"/>
      <c r="N18" s="595"/>
      <c r="O18" s="595"/>
      <c r="P18" s="595"/>
      <c r="Q18" s="621"/>
      <c r="R18" s="595"/>
      <c r="S18" s="595"/>
      <c r="T18" s="595"/>
      <c r="U18" s="999">
        <f t="shared" si="5"/>
        <v>1214568.26</v>
      </c>
      <c r="V18" s="835">
        <f t="shared" si="2"/>
        <v>0</v>
      </c>
      <c r="W18" s="835">
        <f t="shared" si="3"/>
        <v>0</v>
      </c>
      <c r="X18" s="835">
        <f t="shared" si="3"/>
        <v>0</v>
      </c>
      <c r="Y18" s="1000"/>
      <c r="Z18" s="835">
        <f t="shared" si="4"/>
        <v>0</v>
      </c>
      <c r="AA18" s="835">
        <f t="shared" si="4"/>
        <v>0</v>
      </c>
      <c r="AB18" s="835">
        <f t="shared" si="4"/>
        <v>1214568.26</v>
      </c>
      <c r="AC18" s="1003"/>
    </row>
    <row r="19" spans="1:32" ht="52.5" customHeight="1" x14ac:dyDescent="0.2">
      <c r="A19" s="1018" t="s">
        <v>273</v>
      </c>
      <c r="B19" s="1019" t="s">
        <v>729</v>
      </c>
      <c r="C19" s="1017">
        <v>130</v>
      </c>
      <c r="D19" s="620">
        <v>121</v>
      </c>
      <c r="E19" s="596">
        <f t="shared" si="0"/>
        <v>14510.07</v>
      </c>
      <c r="F19" s="595">
        <f>'Прилож 4 24 (5)'!V19</f>
        <v>0</v>
      </c>
      <c r="G19" s="595">
        <f>'Прилож 4 24 (5)'!W19</f>
        <v>0</v>
      </c>
      <c r="H19" s="595">
        <f>'Прилож 4 24 (5)'!X19</f>
        <v>0</v>
      </c>
      <c r="I19" s="621"/>
      <c r="J19" s="595">
        <f>'Прилож 4 24 (5)'!Z19</f>
        <v>0</v>
      </c>
      <c r="K19" s="595">
        <f>'Прилож 4 24 (5)'!AA19</f>
        <v>0</v>
      </c>
      <c r="L19" s="595">
        <f>'Прилож 4 24 (5)'!AB19</f>
        <v>14510.07</v>
      </c>
      <c r="M19" s="596"/>
      <c r="N19" s="595"/>
      <c r="O19" s="595"/>
      <c r="P19" s="595"/>
      <c r="Q19" s="621"/>
      <c r="R19" s="595"/>
      <c r="S19" s="595"/>
      <c r="T19" s="595"/>
      <c r="U19" s="999">
        <f t="shared" si="5"/>
        <v>14510.07</v>
      </c>
      <c r="V19" s="835">
        <f t="shared" si="2"/>
        <v>0</v>
      </c>
      <c r="W19" s="835">
        <f t="shared" si="3"/>
        <v>0</v>
      </c>
      <c r="X19" s="835">
        <f t="shared" si="3"/>
        <v>0</v>
      </c>
      <c r="Y19" s="1000"/>
      <c r="Z19" s="835">
        <f t="shared" si="4"/>
        <v>0</v>
      </c>
      <c r="AA19" s="835">
        <f t="shared" si="4"/>
        <v>0</v>
      </c>
      <c r="AB19" s="835">
        <f t="shared" si="4"/>
        <v>14510.07</v>
      </c>
      <c r="AC19" s="1003"/>
    </row>
    <row r="20" spans="1:32" ht="31.5" x14ac:dyDescent="0.2">
      <c r="A20" s="618" t="s">
        <v>789</v>
      </c>
      <c r="B20" s="619" t="s">
        <v>747</v>
      </c>
      <c r="C20" s="620">
        <v>130</v>
      </c>
      <c r="D20" s="620">
        <v>131</v>
      </c>
      <c r="E20" s="596">
        <f t="shared" si="0"/>
        <v>1170130</v>
      </c>
      <c r="F20" s="595">
        <f>'Прилож 4 24 (5)'!V20</f>
        <v>0</v>
      </c>
      <c r="G20" s="595">
        <f>'Прилож 4 24 (5)'!W20</f>
        <v>0</v>
      </c>
      <c r="H20" s="595">
        <f>'Прилож 4 24 (5)'!X20</f>
        <v>0</v>
      </c>
      <c r="I20" s="621"/>
      <c r="J20" s="595">
        <f>'Прилож 4 24 (5)'!Z20</f>
        <v>0</v>
      </c>
      <c r="K20" s="595">
        <f>'Прилож 4 24 (5)'!AA20</f>
        <v>0</v>
      </c>
      <c r="L20" s="595">
        <f>'Прилож 4 24 (5)'!AB20</f>
        <v>1170130</v>
      </c>
      <c r="M20" s="596">
        <f t="shared" si="1"/>
        <v>0</v>
      </c>
      <c r="N20" s="595"/>
      <c r="O20" s="595"/>
      <c r="P20" s="595"/>
      <c r="Q20" s="621"/>
      <c r="R20" s="595"/>
      <c r="S20" s="595"/>
      <c r="T20" s="595"/>
      <c r="U20" s="999">
        <f t="shared" si="5"/>
        <v>1170130</v>
      </c>
      <c r="V20" s="835">
        <f t="shared" si="2"/>
        <v>0</v>
      </c>
      <c r="W20" s="835">
        <f t="shared" si="3"/>
        <v>0</v>
      </c>
      <c r="X20" s="835">
        <f t="shared" si="3"/>
        <v>0</v>
      </c>
      <c r="Y20" s="1000"/>
      <c r="Z20" s="835">
        <f t="shared" si="4"/>
        <v>0</v>
      </c>
      <c r="AA20" s="835">
        <f t="shared" si="4"/>
        <v>0</v>
      </c>
      <c r="AB20" s="835">
        <f t="shared" si="4"/>
        <v>1170130</v>
      </c>
      <c r="AC20" s="1003"/>
    </row>
    <row r="21" spans="1:32" ht="111.75" customHeight="1" x14ac:dyDescent="0.2">
      <c r="A21" s="618" t="s">
        <v>1237</v>
      </c>
      <c r="B21" s="619" t="s">
        <v>747</v>
      </c>
      <c r="C21" s="620">
        <v>150</v>
      </c>
      <c r="D21" s="620">
        <v>152</v>
      </c>
      <c r="E21" s="596">
        <f t="shared" si="0"/>
        <v>0</v>
      </c>
      <c r="F21" s="595">
        <f>'Прилож 4 24 (5)'!V21</f>
        <v>0</v>
      </c>
      <c r="G21" s="595">
        <f>'Прилож 4 24 (5)'!W21</f>
        <v>0</v>
      </c>
      <c r="H21" s="595">
        <f>'Прилож 4 24 (5)'!X21</f>
        <v>0</v>
      </c>
      <c r="I21" s="621"/>
      <c r="J21" s="595">
        <f>'Прилож 4 24 (5)'!Z21</f>
        <v>0</v>
      </c>
      <c r="K21" s="595">
        <f>'Прилож 4 24 (5)'!AA21</f>
        <v>0</v>
      </c>
      <c r="L21" s="595">
        <f>'Прилож 4 24 (5)'!AB21</f>
        <v>0</v>
      </c>
      <c r="M21" s="596">
        <f t="shared" si="1"/>
        <v>0</v>
      </c>
      <c r="N21" s="595"/>
      <c r="O21" s="595"/>
      <c r="P21" s="595"/>
      <c r="Q21" s="621"/>
      <c r="R21" s="595"/>
      <c r="S21" s="595"/>
      <c r="T21" s="595"/>
      <c r="U21" s="999">
        <f t="shared" si="5"/>
        <v>0</v>
      </c>
      <c r="V21" s="835">
        <f t="shared" si="2"/>
        <v>0</v>
      </c>
      <c r="W21" s="835">
        <f t="shared" si="3"/>
        <v>0</v>
      </c>
      <c r="X21" s="835">
        <f t="shared" si="3"/>
        <v>0</v>
      </c>
      <c r="Y21" s="1000"/>
      <c r="Z21" s="835">
        <f t="shared" si="4"/>
        <v>0</v>
      </c>
      <c r="AA21" s="835">
        <f t="shared" si="4"/>
        <v>0</v>
      </c>
      <c r="AB21" s="835">
        <f t="shared" si="4"/>
        <v>0</v>
      </c>
      <c r="AC21" s="1003"/>
    </row>
    <row r="22" spans="1:32" ht="111.75" customHeight="1" x14ac:dyDescent="0.2">
      <c r="A22" s="618" t="s">
        <v>1321</v>
      </c>
      <c r="B22" s="619" t="s">
        <v>729</v>
      </c>
      <c r="C22" s="620">
        <v>150</v>
      </c>
      <c r="D22" s="620">
        <v>152</v>
      </c>
      <c r="E22" s="596">
        <f t="shared" si="0"/>
        <v>216466</v>
      </c>
      <c r="F22" s="595">
        <f>'Прилож 4 24 (5)'!V22</f>
        <v>0</v>
      </c>
      <c r="G22" s="595">
        <f>'Прилож 4 24 (5)'!W22</f>
        <v>0</v>
      </c>
      <c r="H22" s="595">
        <f>'Прилож 4 24 (5)'!X22</f>
        <v>0</v>
      </c>
      <c r="I22" s="621" t="s">
        <v>1226</v>
      </c>
      <c r="J22" s="595">
        <f>'Прилож 4 24 (5)'!Z22</f>
        <v>0</v>
      </c>
      <c r="K22" s="595">
        <f>'Прилож 4 24 (5)'!AA22</f>
        <v>216466</v>
      </c>
      <c r="L22" s="595">
        <f>'Прилож 4 24 (5)'!AB22</f>
        <v>0</v>
      </c>
      <c r="M22" s="596">
        <f t="shared" si="1"/>
        <v>0</v>
      </c>
      <c r="N22" s="595"/>
      <c r="O22" s="595"/>
      <c r="P22" s="595"/>
      <c r="Q22" s="621"/>
      <c r="R22" s="595"/>
      <c r="S22" s="595"/>
      <c r="T22" s="595"/>
      <c r="U22" s="999">
        <f t="shared" si="5"/>
        <v>216466</v>
      </c>
      <c r="V22" s="835">
        <f t="shared" si="2"/>
        <v>0</v>
      </c>
      <c r="W22" s="835">
        <f t="shared" si="3"/>
        <v>0</v>
      </c>
      <c r="X22" s="835">
        <f t="shared" si="3"/>
        <v>0</v>
      </c>
      <c r="Y22" s="1000" t="s">
        <v>1226</v>
      </c>
      <c r="Z22" s="835">
        <f t="shared" si="4"/>
        <v>0</v>
      </c>
      <c r="AA22" s="835">
        <f t="shared" si="4"/>
        <v>216466</v>
      </c>
      <c r="AB22" s="835">
        <f t="shared" si="4"/>
        <v>0</v>
      </c>
      <c r="AC22" s="1003"/>
    </row>
    <row r="23" spans="1:32" ht="111.75" customHeight="1" x14ac:dyDescent="0.2">
      <c r="A23" s="618" t="s">
        <v>297</v>
      </c>
      <c r="B23" s="619" t="s">
        <v>729</v>
      </c>
      <c r="C23" s="620">
        <v>150</v>
      </c>
      <c r="D23" s="620">
        <v>152</v>
      </c>
      <c r="E23" s="596">
        <f t="shared" si="0"/>
        <v>6089767.1999999993</v>
      </c>
      <c r="F23" s="595">
        <f>'Прилож 4 24 (5)'!V23</f>
        <v>0</v>
      </c>
      <c r="G23" s="595">
        <f>'Прилож 4 24 (5)'!W23</f>
        <v>0</v>
      </c>
      <c r="H23" s="595">
        <f>'Прилож 4 24 (5)'!X23</f>
        <v>0</v>
      </c>
      <c r="I23" s="621" t="s">
        <v>1314</v>
      </c>
      <c r="J23" s="595">
        <f>'Прилож 4 24 (5)'!Z23</f>
        <v>0</v>
      </c>
      <c r="K23" s="595">
        <f>'Прилож 4 24 (5)'!AA23</f>
        <v>6089767.1999999993</v>
      </c>
      <c r="L23" s="595">
        <f>'Прилож 4 24 (5)'!AB23</f>
        <v>0</v>
      </c>
      <c r="M23" s="596">
        <f t="shared" si="1"/>
        <v>0</v>
      </c>
      <c r="N23" s="595"/>
      <c r="O23" s="595"/>
      <c r="P23" s="595"/>
      <c r="Q23" s="621"/>
      <c r="R23" s="595"/>
      <c r="S23" s="595"/>
      <c r="T23" s="595"/>
      <c r="U23" s="999">
        <f t="shared" si="5"/>
        <v>6089767.1999999993</v>
      </c>
      <c r="V23" s="835">
        <f t="shared" si="2"/>
        <v>0</v>
      </c>
      <c r="W23" s="835">
        <f t="shared" si="3"/>
        <v>0</v>
      </c>
      <c r="X23" s="835">
        <f t="shared" si="3"/>
        <v>0</v>
      </c>
      <c r="Y23" s="1000" t="s">
        <v>1314</v>
      </c>
      <c r="Z23" s="835">
        <f t="shared" si="4"/>
        <v>0</v>
      </c>
      <c r="AA23" s="835">
        <f t="shared" si="4"/>
        <v>6089767.1999999993</v>
      </c>
      <c r="AB23" s="835">
        <f t="shared" si="4"/>
        <v>0</v>
      </c>
      <c r="AC23" s="1003"/>
    </row>
    <row r="24" spans="1:32" ht="111.75" customHeight="1" x14ac:dyDescent="0.2">
      <c r="A24" s="618" t="s">
        <v>1253</v>
      </c>
      <c r="B24" s="619" t="s">
        <v>747</v>
      </c>
      <c r="C24" s="620">
        <v>150</v>
      </c>
      <c r="D24" s="620">
        <v>152</v>
      </c>
      <c r="E24" s="596">
        <f t="shared" si="0"/>
        <v>1066891.6000000001</v>
      </c>
      <c r="F24" s="595">
        <f>'Прилож 4 24 (5)'!V24</f>
        <v>0</v>
      </c>
      <c r="G24" s="595">
        <f>'Прилож 4 24 (5)'!W24</f>
        <v>0</v>
      </c>
      <c r="H24" s="595">
        <f>'Прилож 4 24 (5)'!X24</f>
        <v>0</v>
      </c>
      <c r="I24" s="621" t="s">
        <v>1322</v>
      </c>
      <c r="J24" s="595">
        <f>'Прилож 4 24 (5)'!Z24</f>
        <v>0</v>
      </c>
      <c r="K24" s="595">
        <f>'Прилож 4 24 (5)'!AA24</f>
        <v>1066891.6000000001</v>
      </c>
      <c r="L24" s="595">
        <f>'Прилож 4 24 (5)'!AB24</f>
        <v>0</v>
      </c>
      <c r="M24" s="596">
        <f t="shared" si="1"/>
        <v>0</v>
      </c>
      <c r="N24" s="595"/>
      <c r="O24" s="595"/>
      <c r="P24" s="595"/>
      <c r="Q24" s="621"/>
      <c r="R24" s="595"/>
      <c r="S24" s="595"/>
      <c r="T24" s="595"/>
      <c r="U24" s="999">
        <f t="shared" si="5"/>
        <v>1066891.6000000001</v>
      </c>
      <c r="V24" s="835">
        <f t="shared" si="2"/>
        <v>0</v>
      </c>
      <c r="W24" s="835">
        <f t="shared" si="3"/>
        <v>0</v>
      </c>
      <c r="X24" s="835">
        <f t="shared" si="3"/>
        <v>0</v>
      </c>
      <c r="Y24" s="1000" t="s">
        <v>1322</v>
      </c>
      <c r="Z24" s="835">
        <f t="shared" si="4"/>
        <v>0</v>
      </c>
      <c r="AA24" s="835">
        <f t="shared" si="4"/>
        <v>1066891.6000000001</v>
      </c>
      <c r="AB24" s="835">
        <f t="shared" si="4"/>
        <v>0</v>
      </c>
      <c r="AC24" s="1003"/>
    </row>
    <row r="25" spans="1:32" ht="32.25" customHeight="1" x14ac:dyDescent="0.2">
      <c r="A25" s="618" t="s">
        <v>581</v>
      </c>
      <c r="B25" s="619" t="s">
        <v>64</v>
      </c>
      <c r="C25" s="620">
        <v>150</v>
      </c>
      <c r="D25" s="620">
        <v>152</v>
      </c>
      <c r="E25" s="596">
        <f t="shared" si="0"/>
        <v>87037.3</v>
      </c>
      <c r="F25" s="595">
        <f>'Прилож 4 24 (5)'!V25</f>
        <v>0</v>
      </c>
      <c r="G25" s="595">
        <f>'Прилож 4 24 (5)'!W25</f>
        <v>0</v>
      </c>
      <c r="H25" s="595">
        <f>'Прилож 4 24 (5)'!X25</f>
        <v>0</v>
      </c>
      <c r="I25" s="621" t="s">
        <v>1235</v>
      </c>
      <c r="J25" s="595">
        <f>'Прилож 4 24 (5)'!Z25</f>
        <v>0</v>
      </c>
      <c r="K25" s="595">
        <f>'Прилож 4 24 (5)'!AA25</f>
        <v>87037.3</v>
      </c>
      <c r="L25" s="595">
        <f>'Прилож 4 24 (5)'!AB25</f>
        <v>0</v>
      </c>
      <c r="M25" s="596">
        <f t="shared" si="1"/>
        <v>0</v>
      </c>
      <c r="N25" s="595"/>
      <c r="O25" s="595"/>
      <c r="P25" s="595"/>
      <c r="Q25" s="621"/>
      <c r="R25" s="595"/>
      <c r="S25" s="595"/>
      <c r="T25" s="595"/>
      <c r="U25" s="999">
        <f t="shared" si="5"/>
        <v>87037.3</v>
      </c>
      <c r="V25" s="835">
        <f t="shared" si="2"/>
        <v>0</v>
      </c>
      <c r="W25" s="835">
        <f t="shared" si="3"/>
        <v>0</v>
      </c>
      <c r="X25" s="835">
        <f t="shared" si="3"/>
        <v>0</v>
      </c>
      <c r="Y25" s="1000" t="s">
        <v>1235</v>
      </c>
      <c r="Z25" s="835">
        <f t="shared" si="4"/>
        <v>0</v>
      </c>
      <c r="AA25" s="835">
        <f t="shared" si="4"/>
        <v>87037.3</v>
      </c>
      <c r="AB25" s="835">
        <f t="shared" si="4"/>
        <v>0</v>
      </c>
      <c r="AC25" s="1003"/>
    </row>
    <row r="26" spans="1:32" ht="84" customHeight="1" x14ac:dyDescent="0.2">
      <c r="A26" s="618" t="s">
        <v>790</v>
      </c>
      <c r="B26" s="619" t="s">
        <v>791</v>
      </c>
      <c r="C26" s="620">
        <v>130</v>
      </c>
      <c r="D26" s="620">
        <v>131</v>
      </c>
      <c r="E26" s="596">
        <f t="shared" si="0"/>
        <v>600000</v>
      </c>
      <c r="F26" s="595">
        <f>'Прилож 4 24 (5)'!V26</f>
        <v>600000</v>
      </c>
      <c r="G26" s="595">
        <f>'Прилож 4 24 (5)'!W26</f>
        <v>0</v>
      </c>
      <c r="H26" s="595">
        <f>'Прилож 4 24 (5)'!X26</f>
        <v>0</v>
      </c>
      <c r="I26" s="621"/>
      <c r="J26" s="595">
        <f>'Прилож 4 24 (5)'!Z26</f>
        <v>0</v>
      </c>
      <c r="K26" s="595">
        <f>'Прилож 4 24 (5)'!AA26</f>
        <v>0</v>
      </c>
      <c r="L26" s="595">
        <f>'Прилож 4 24 (5)'!AB26</f>
        <v>0</v>
      </c>
      <c r="M26" s="596">
        <f t="shared" si="1"/>
        <v>0</v>
      </c>
      <c r="N26" s="595"/>
      <c r="O26" s="595"/>
      <c r="P26" s="595"/>
      <c r="Q26" s="621"/>
      <c r="R26" s="595"/>
      <c r="S26" s="595"/>
      <c r="T26" s="595"/>
      <c r="U26" s="999">
        <f t="shared" si="5"/>
        <v>600000</v>
      </c>
      <c r="V26" s="835">
        <f t="shared" si="2"/>
        <v>600000</v>
      </c>
      <c r="W26" s="835">
        <f t="shared" si="3"/>
        <v>0</v>
      </c>
      <c r="X26" s="835">
        <f t="shared" si="3"/>
        <v>0</v>
      </c>
      <c r="Y26" s="1000"/>
      <c r="Z26" s="835">
        <f t="shared" si="4"/>
        <v>0</v>
      </c>
      <c r="AA26" s="835">
        <f t="shared" si="4"/>
        <v>0</v>
      </c>
      <c r="AB26" s="835">
        <f t="shared" si="4"/>
        <v>0</v>
      </c>
      <c r="AC26" s="1003"/>
    </row>
    <row r="27" spans="1:32" ht="69" customHeight="1" x14ac:dyDescent="0.2">
      <c r="A27" s="618" t="s">
        <v>1236</v>
      </c>
      <c r="B27" s="619" t="s">
        <v>729</v>
      </c>
      <c r="C27" s="620">
        <v>150</v>
      </c>
      <c r="D27" s="620">
        <v>152</v>
      </c>
      <c r="E27" s="596">
        <f t="shared" si="0"/>
        <v>0</v>
      </c>
      <c r="F27" s="595">
        <f>'Прилож 4 24 (5)'!V27</f>
        <v>0</v>
      </c>
      <c r="G27" s="595">
        <f>'Прилож 4 24 (5)'!W27</f>
        <v>0</v>
      </c>
      <c r="H27" s="595">
        <f>'Прилож 4 24 (5)'!X27</f>
        <v>0</v>
      </c>
      <c r="I27" s="621"/>
      <c r="J27" s="595">
        <f>'Прилож 4 24 (5)'!Z27</f>
        <v>0</v>
      </c>
      <c r="K27" s="595">
        <f>'Прилож 4 24 (5)'!AA27</f>
        <v>0</v>
      </c>
      <c r="L27" s="595">
        <f>'Прилож 4 24 (5)'!AB27</f>
        <v>0</v>
      </c>
      <c r="M27" s="596">
        <f t="shared" si="1"/>
        <v>0</v>
      </c>
      <c r="N27" s="595"/>
      <c r="O27" s="595"/>
      <c r="P27" s="595"/>
      <c r="Q27" s="623"/>
      <c r="R27" s="595"/>
      <c r="S27" s="595"/>
      <c r="T27" s="595"/>
      <c r="U27" s="999">
        <f t="shared" si="5"/>
        <v>0</v>
      </c>
      <c r="V27" s="835">
        <f t="shared" si="2"/>
        <v>0</v>
      </c>
      <c r="W27" s="835">
        <f t="shared" si="3"/>
        <v>0</v>
      </c>
      <c r="X27" s="835">
        <f t="shared" si="3"/>
        <v>0</v>
      </c>
      <c r="Y27" s="1000"/>
      <c r="Z27" s="835">
        <f t="shared" si="4"/>
        <v>0</v>
      </c>
      <c r="AA27" s="835">
        <f t="shared" si="4"/>
        <v>0</v>
      </c>
      <c r="AB27" s="835">
        <f t="shared" si="4"/>
        <v>0</v>
      </c>
      <c r="AC27" s="1003"/>
    </row>
    <row r="28" spans="1:32" ht="93" customHeight="1" x14ac:dyDescent="0.2">
      <c r="A28" s="618" t="s">
        <v>1437</v>
      </c>
      <c r="B28" s="619" t="s">
        <v>691</v>
      </c>
      <c r="C28" s="620">
        <v>150</v>
      </c>
      <c r="D28" s="620">
        <v>152</v>
      </c>
      <c r="E28" s="596">
        <f t="shared" si="0"/>
        <v>31611</v>
      </c>
      <c r="F28" s="595">
        <f>'Прилож 4 24 (5)'!V28</f>
        <v>0</v>
      </c>
      <c r="G28" s="595">
        <f>'Прилож 4 24 (5)'!W28</f>
        <v>0</v>
      </c>
      <c r="H28" s="595">
        <f>'Прилож 4 24 (5)'!X28</f>
        <v>0</v>
      </c>
      <c r="I28" s="1020" t="s">
        <v>1440</v>
      </c>
      <c r="J28" s="595">
        <f>'Прилож 4 24 (5)'!Z28</f>
        <v>0</v>
      </c>
      <c r="K28" s="595">
        <f>'Прилож 4 24 (5)'!AA28</f>
        <v>31611</v>
      </c>
      <c r="L28" s="595">
        <f>'Прилож 4 24 (5)'!AB28</f>
        <v>0</v>
      </c>
      <c r="M28" s="596">
        <f>N28+O28+P28+R28+S28+T28</f>
        <v>0</v>
      </c>
      <c r="N28" s="595"/>
      <c r="O28" s="595"/>
      <c r="P28" s="595"/>
      <c r="Q28" s="993"/>
      <c r="R28" s="595"/>
      <c r="S28" s="595"/>
      <c r="T28" s="595"/>
      <c r="U28" s="876">
        <f t="shared" si="5"/>
        <v>31611</v>
      </c>
      <c r="V28" s="835"/>
      <c r="W28" s="835"/>
      <c r="X28" s="835"/>
      <c r="Y28" s="877" t="s">
        <v>1440</v>
      </c>
      <c r="Z28" s="835"/>
      <c r="AA28" s="835">
        <v>31611</v>
      </c>
      <c r="AB28" s="835"/>
      <c r="AC28" s="1003"/>
    </row>
    <row r="29" spans="1:32" ht="60" customHeight="1" x14ac:dyDescent="0.2">
      <c r="A29" s="618" t="s">
        <v>284</v>
      </c>
      <c r="B29" s="619" t="s">
        <v>691</v>
      </c>
      <c r="C29" s="620">
        <v>130</v>
      </c>
      <c r="D29" s="620">
        <v>134</v>
      </c>
      <c r="E29" s="596">
        <f t="shared" si="0"/>
        <v>1426.95</v>
      </c>
      <c r="F29" s="595">
        <f>'Прилож 4 24 (5)'!V29</f>
        <v>0</v>
      </c>
      <c r="G29" s="595">
        <f>'Прилож 4 24 (5)'!W29</f>
        <v>0</v>
      </c>
      <c r="H29" s="595">
        <f>'Прилож 4 24 (5)'!X29</f>
        <v>0</v>
      </c>
      <c r="I29" s="621"/>
      <c r="J29" s="595">
        <f>'Прилож 4 24 (5)'!Z29</f>
        <v>0</v>
      </c>
      <c r="K29" s="595">
        <f>'Прилож 4 24 (5)'!AA29</f>
        <v>0</v>
      </c>
      <c r="L29" s="595">
        <f>'Прилож 4 24 (5)'!AB29</f>
        <v>1426.95</v>
      </c>
      <c r="M29" s="876"/>
      <c r="N29" s="875"/>
      <c r="O29" s="875"/>
      <c r="P29" s="875"/>
      <c r="Q29" s="877"/>
      <c r="R29" s="875"/>
      <c r="S29" s="875"/>
      <c r="T29" s="875"/>
      <c r="U29" s="876">
        <f t="shared" si="5"/>
        <v>1426.95</v>
      </c>
      <c r="V29" s="875">
        <f t="shared" si="2"/>
        <v>0</v>
      </c>
      <c r="W29" s="875">
        <f t="shared" si="3"/>
        <v>0</v>
      </c>
      <c r="X29" s="875">
        <f t="shared" si="3"/>
        <v>0</v>
      </c>
      <c r="Y29" s="877"/>
      <c r="Z29" s="875">
        <f t="shared" si="4"/>
        <v>0</v>
      </c>
      <c r="AA29" s="875">
        <f t="shared" si="4"/>
        <v>0</v>
      </c>
      <c r="AB29" s="875">
        <f t="shared" si="4"/>
        <v>1426.95</v>
      </c>
      <c r="AC29" s="878"/>
    </row>
    <row r="30" spans="1:32" s="614" customFormat="1" ht="28.5" customHeight="1" x14ac:dyDescent="0.2">
      <c r="A30" s="624" t="s">
        <v>730</v>
      </c>
      <c r="B30" s="596">
        <f>SUM(B12:B29)</f>
        <v>0</v>
      </c>
      <c r="C30" s="596"/>
      <c r="D30" s="596"/>
      <c r="E30" s="596">
        <f t="shared" si="0"/>
        <v>64696761.210000001</v>
      </c>
      <c r="F30" s="595">
        <f>'Прилож 4 24 (5)'!V30</f>
        <v>42188221.810000002</v>
      </c>
      <c r="G30" s="595">
        <f>'Прилож 4 24 (5)'!W30</f>
        <v>1331028.0900000001</v>
      </c>
      <c r="H30" s="595">
        <f>'Прилож 4 24 (5)'!X30</f>
        <v>11205022.93</v>
      </c>
      <c r="I30" s="596">
        <f t="shared" ref="I30" si="6">SUM(I12:I29)</f>
        <v>0</v>
      </c>
      <c r="J30" s="595">
        <f>'Прилож 4 24 (5)'!Z30</f>
        <v>0</v>
      </c>
      <c r="K30" s="595">
        <f>'Прилож 4 24 (5)'!AA30</f>
        <v>7491773.0999999996</v>
      </c>
      <c r="L30" s="595">
        <f>'Прилож 4 24 (5)'!AB30</f>
        <v>2480715.2800000003</v>
      </c>
      <c r="M30" s="876">
        <f>SUM(M12:M29)</f>
        <v>210500</v>
      </c>
      <c r="N30" s="876">
        <f>SUM(N12:N29)</f>
        <v>0</v>
      </c>
      <c r="O30" s="876">
        <f t="shared" ref="O30:P30" si="7">SUM(O12:O29)</f>
        <v>210500</v>
      </c>
      <c r="P30" s="876">
        <f t="shared" si="7"/>
        <v>0</v>
      </c>
      <c r="Q30" s="876"/>
      <c r="R30" s="876">
        <f t="shared" ref="R30" si="8">SUM(R12:R29)</f>
        <v>0</v>
      </c>
      <c r="S30" s="876">
        <f>SUM(S12:S29)</f>
        <v>0</v>
      </c>
      <c r="T30" s="876">
        <f>SUM(T12:T29)</f>
        <v>0</v>
      </c>
      <c r="U30" s="876">
        <f>E30+M30</f>
        <v>64907261.210000001</v>
      </c>
      <c r="V30" s="875">
        <f>F30+N30</f>
        <v>42188221.810000002</v>
      </c>
      <c r="W30" s="875">
        <f>O30+G30</f>
        <v>1541528.09</v>
      </c>
      <c r="X30" s="875">
        <f>P30+H30</f>
        <v>11205022.93</v>
      </c>
      <c r="Y30" s="876">
        <f t="shared" ref="Y30" si="9">SUM(Y12:Y29)</f>
        <v>0</v>
      </c>
      <c r="Z30" s="875">
        <f t="shared" si="4"/>
        <v>0</v>
      </c>
      <c r="AA30" s="875">
        <f>S30+K30</f>
        <v>7491773.0999999996</v>
      </c>
      <c r="AB30" s="875">
        <f t="shared" si="4"/>
        <v>2480715.2800000003</v>
      </c>
      <c r="AC30" s="879"/>
      <c r="AD30" s="818">
        <f>V30+W30+X30</f>
        <v>54934772.830000006</v>
      </c>
    </row>
    <row r="31" spans="1:32" x14ac:dyDescent="0.2">
      <c r="A31" s="620" t="s">
        <v>731</v>
      </c>
      <c r="B31" s="619" t="s">
        <v>747</v>
      </c>
      <c r="C31" s="620">
        <v>111</v>
      </c>
      <c r="D31" s="620">
        <v>211</v>
      </c>
      <c r="E31" s="596">
        <f t="shared" si="0"/>
        <v>13902087.85</v>
      </c>
      <c r="F31" s="595">
        <f>'Прилож 4 24 (5)'!V31</f>
        <v>11657879.389999999</v>
      </c>
      <c r="G31" s="595">
        <f>'Прилож 4 24 (5)'!W31</f>
        <v>0</v>
      </c>
      <c r="H31" s="595">
        <f>'Прилож 4 24 (5)'!X31</f>
        <v>2244208.4600000004</v>
      </c>
      <c r="I31" s="621"/>
      <c r="J31" s="595">
        <f>'Прилож 4 24 (5)'!Z31</f>
        <v>0</v>
      </c>
      <c r="K31" s="595">
        <f>'Прилож 4 24 (5)'!AA31</f>
        <v>0</v>
      </c>
      <c r="L31" s="595">
        <f>'Прилож 4 24 (5)'!AB31</f>
        <v>0</v>
      </c>
      <c r="M31" s="876">
        <f>N31+P31+R31+S31+T31+O31</f>
        <v>0</v>
      </c>
      <c r="N31" s="875"/>
      <c r="O31" s="875"/>
      <c r="P31" s="875"/>
      <c r="Q31" s="877"/>
      <c r="R31" s="875"/>
      <c r="S31" s="875"/>
      <c r="T31" s="875"/>
      <c r="U31" s="876">
        <f>E31+M31</f>
        <v>13902087.85</v>
      </c>
      <c r="V31" s="875">
        <f t="shared" ref="V31:V95" si="10">F31+N31</f>
        <v>11657879.389999999</v>
      </c>
      <c r="W31" s="875">
        <f t="shared" ref="W31:X95" si="11">O31+G31</f>
        <v>0</v>
      </c>
      <c r="X31" s="875">
        <f t="shared" si="11"/>
        <v>2244208.4600000004</v>
      </c>
      <c r="Y31" s="877"/>
      <c r="Z31" s="875">
        <f t="shared" si="4"/>
        <v>0</v>
      </c>
      <c r="AA31" s="875">
        <f t="shared" si="4"/>
        <v>0</v>
      </c>
      <c r="AB31" s="875">
        <f t="shared" si="4"/>
        <v>0</v>
      </c>
      <c r="AC31" s="878"/>
      <c r="AD31" s="820"/>
      <c r="AF31" s="820">
        <f>X31+X32+X35</f>
        <v>3003367.0600000005</v>
      </c>
    </row>
    <row r="32" spans="1:32" ht="52.5" customHeight="1" x14ac:dyDescent="0.2">
      <c r="A32" s="620" t="s">
        <v>731</v>
      </c>
      <c r="B32" s="619" t="s">
        <v>729</v>
      </c>
      <c r="C32" s="620">
        <v>111</v>
      </c>
      <c r="D32" s="620">
        <v>211</v>
      </c>
      <c r="E32" s="596">
        <f t="shared" si="0"/>
        <v>19359621.800000001</v>
      </c>
      <c r="F32" s="595">
        <f>'Прилож 4 24 (5)'!V32</f>
        <v>17808021.800000001</v>
      </c>
      <c r="G32" s="595">
        <f>'Прилож 4 24 (5)'!W32</f>
        <v>840000</v>
      </c>
      <c r="H32" s="595">
        <f>'Прилож 4 24 (5)'!X32</f>
        <v>711600</v>
      </c>
      <c r="I32" s="621"/>
      <c r="J32" s="595">
        <f>'Прилож 4 24 (5)'!Z32</f>
        <v>0</v>
      </c>
      <c r="K32" s="595">
        <f>'Прилож 4 24 (5)'!AA32</f>
        <v>0</v>
      </c>
      <c r="L32" s="595">
        <f>'Прилож 4 24 (5)'!AB32</f>
        <v>0</v>
      </c>
      <c r="M32" s="876">
        <f>N32+P32+R32+S32+T32+O32</f>
        <v>161674.35</v>
      </c>
      <c r="N32" s="875"/>
      <c r="O32" s="875">
        <v>161674.35</v>
      </c>
      <c r="P32" s="875"/>
      <c r="Q32" s="877"/>
      <c r="R32" s="875"/>
      <c r="S32" s="875"/>
      <c r="T32" s="875"/>
      <c r="U32" s="876">
        <f t="shared" ref="U32:V96" si="12">E32+M32</f>
        <v>19521296.150000002</v>
      </c>
      <c r="V32" s="875">
        <f t="shared" si="10"/>
        <v>17808021.800000001</v>
      </c>
      <c r="W32" s="875">
        <f t="shared" si="11"/>
        <v>1001674.35</v>
      </c>
      <c r="X32" s="875">
        <f t="shared" si="11"/>
        <v>711600</v>
      </c>
      <c r="Y32" s="877"/>
      <c r="Z32" s="875">
        <f t="shared" si="4"/>
        <v>0</v>
      </c>
      <c r="AA32" s="875">
        <f t="shared" si="4"/>
        <v>0</v>
      </c>
      <c r="AB32" s="875">
        <f t="shared" si="4"/>
        <v>0</v>
      </c>
      <c r="AC32" s="1003" t="s">
        <v>1461</v>
      </c>
      <c r="AD32" s="820"/>
    </row>
    <row r="33" spans="1:30" x14ac:dyDescent="0.2">
      <c r="A33" s="620" t="s">
        <v>943</v>
      </c>
      <c r="B33" s="619" t="s">
        <v>729</v>
      </c>
      <c r="C33" s="620">
        <v>111</v>
      </c>
      <c r="D33" s="620">
        <v>211</v>
      </c>
      <c r="E33" s="596">
        <f t="shared" si="0"/>
        <v>272082.28000000003</v>
      </c>
      <c r="F33" s="595">
        <f>'Прилож 4 24 (5)'!V33</f>
        <v>89787.28</v>
      </c>
      <c r="G33" s="595">
        <f>'Прилож 4 24 (5)'!W33</f>
        <v>182295</v>
      </c>
      <c r="H33" s="595">
        <f>'Прилож 4 24 (5)'!X33</f>
        <v>0</v>
      </c>
      <c r="I33" s="621"/>
      <c r="J33" s="595">
        <f>'Прилож 4 24 (5)'!Z33</f>
        <v>0</v>
      </c>
      <c r="K33" s="595">
        <f>'Прилож 4 24 (5)'!AA33</f>
        <v>0</v>
      </c>
      <c r="L33" s="595">
        <f>'Прилож 4 24 (5)'!AB33</f>
        <v>0</v>
      </c>
      <c r="M33" s="876">
        <f t="shared" ref="M33:M97" si="13">N33+P33+R33+S33+T33+O33</f>
        <v>0</v>
      </c>
      <c r="N33" s="875"/>
      <c r="O33" s="875"/>
      <c r="P33" s="875"/>
      <c r="Q33" s="877"/>
      <c r="R33" s="875"/>
      <c r="S33" s="875"/>
      <c r="T33" s="875"/>
      <c r="U33" s="876">
        <f t="shared" si="12"/>
        <v>272082.28000000003</v>
      </c>
      <c r="V33" s="875">
        <f t="shared" si="10"/>
        <v>89787.28</v>
      </c>
      <c r="W33" s="875">
        <f t="shared" si="11"/>
        <v>182295</v>
      </c>
      <c r="X33" s="875">
        <f t="shared" si="11"/>
        <v>0</v>
      </c>
      <c r="Y33" s="877"/>
      <c r="Z33" s="875">
        <f t="shared" si="4"/>
        <v>0</v>
      </c>
      <c r="AA33" s="875">
        <f t="shared" si="4"/>
        <v>0</v>
      </c>
      <c r="AB33" s="875">
        <f t="shared" si="4"/>
        <v>0</v>
      </c>
      <c r="AC33" s="878"/>
      <c r="AD33" s="820"/>
    </row>
    <row r="34" spans="1:30" x14ac:dyDescent="0.2">
      <c r="A34" s="620" t="s">
        <v>731</v>
      </c>
      <c r="B34" s="619" t="s">
        <v>64</v>
      </c>
      <c r="C34" s="620">
        <v>111</v>
      </c>
      <c r="D34" s="620">
        <v>211</v>
      </c>
      <c r="E34" s="596">
        <f t="shared" si="0"/>
        <v>64391.3</v>
      </c>
      <c r="F34" s="595">
        <f>'Прилож 4 24 (5)'!V34</f>
        <v>0</v>
      </c>
      <c r="G34" s="595">
        <f>'Прилож 4 24 (5)'!W34</f>
        <v>0</v>
      </c>
      <c r="H34" s="595">
        <f>'Прилож 4 24 (5)'!X34</f>
        <v>0</v>
      </c>
      <c r="I34" s="621" t="s">
        <v>1235</v>
      </c>
      <c r="J34" s="595">
        <f>'Прилож 4 24 (5)'!Z34</f>
        <v>0</v>
      </c>
      <c r="K34" s="595">
        <f>'Прилож 4 24 (5)'!AA34</f>
        <v>64391.3</v>
      </c>
      <c r="L34" s="595">
        <f>'Прилож 4 24 (5)'!AB34</f>
        <v>0</v>
      </c>
      <c r="M34" s="876">
        <f t="shared" si="13"/>
        <v>0</v>
      </c>
      <c r="N34" s="875"/>
      <c r="O34" s="875"/>
      <c r="P34" s="875"/>
      <c r="Q34" s="877"/>
      <c r="R34" s="875"/>
      <c r="S34" s="875"/>
      <c r="T34" s="875"/>
      <c r="U34" s="876">
        <f t="shared" si="12"/>
        <v>64391.3</v>
      </c>
      <c r="V34" s="875">
        <f t="shared" si="10"/>
        <v>0</v>
      </c>
      <c r="W34" s="875">
        <f t="shared" si="11"/>
        <v>0</v>
      </c>
      <c r="X34" s="875">
        <f t="shared" si="11"/>
        <v>0</v>
      </c>
      <c r="Y34" s="621" t="s">
        <v>1235</v>
      </c>
      <c r="Z34" s="875">
        <f t="shared" si="4"/>
        <v>0</v>
      </c>
      <c r="AA34" s="875">
        <f t="shared" si="4"/>
        <v>64391.3</v>
      </c>
      <c r="AB34" s="875">
        <f t="shared" si="4"/>
        <v>0</v>
      </c>
      <c r="AC34" s="878"/>
      <c r="AD34" s="820"/>
    </row>
    <row r="35" spans="1:30" x14ac:dyDescent="0.2">
      <c r="A35" s="620" t="s">
        <v>731</v>
      </c>
      <c r="B35" s="619" t="s">
        <v>691</v>
      </c>
      <c r="C35" s="620">
        <v>111</v>
      </c>
      <c r="D35" s="620">
        <v>211</v>
      </c>
      <c r="E35" s="596">
        <f t="shared" si="0"/>
        <v>56017.74</v>
      </c>
      <c r="F35" s="595">
        <f>'Прилож 4 24 (5)'!V35</f>
        <v>0</v>
      </c>
      <c r="G35" s="595">
        <f>'Прилож 4 24 (5)'!W35</f>
        <v>0</v>
      </c>
      <c r="H35" s="595">
        <f>'Прилож 4 24 (5)'!X35</f>
        <v>47558.6</v>
      </c>
      <c r="I35" s="621"/>
      <c r="J35" s="595">
        <f>'Прилож 4 24 (5)'!Z35</f>
        <v>0</v>
      </c>
      <c r="K35" s="595">
        <f>'Прилож 4 24 (5)'!AA35</f>
        <v>0</v>
      </c>
      <c r="L35" s="595">
        <f>'Прилож 4 24 (5)'!AB35</f>
        <v>8459.14</v>
      </c>
      <c r="M35" s="876">
        <f t="shared" si="13"/>
        <v>0</v>
      </c>
      <c r="N35" s="875"/>
      <c r="O35" s="875"/>
      <c r="P35" s="875"/>
      <c r="Q35" s="877"/>
      <c r="R35" s="875"/>
      <c r="S35" s="875"/>
      <c r="T35" s="875"/>
      <c r="U35" s="876">
        <f t="shared" si="12"/>
        <v>56017.74</v>
      </c>
      <c r="V35" s="875">
        <f t="shared" si="10"/>
        <v>0</v>
      </c>
      <c r="W35" s="875">
        <f t="shared" si="11"/>
        <v>0</v>
      </c>
      <c r="X35" s="875">
        <f t="shared" si="11"/>
        <v>47558.6</v>
      </c>
      <c r="Y35" s="877"/>
      <c r="Z35" s="875">
        <f t="shared" si="4"/>
        <v>0</v>
      </c>
      <c r="AA35" s="875">
        <f t="shared" si="4"/>
        <v>0</v>
      </c>
      <c r="AB35" s="875">
        <f t="shared" si="4"/>
        <v>8459.14</v>
      </c>
      <c r="AC35" s="878"/>
      <c r="AD35" s="820"/>
    </row>
    <row r="36" spans="1:30" s="614" customFormat="1" x14ac:dyDescent="0.2">
      <c r="A36" s="624" t="s">
        <v>732</v>
      </c>
      <c r="B36" s="624"/>
      <c r="C36" s="624"/>
      <c r="D36" s="624"/>
      <c r="E36" s="596">
        <f t="shared" si="0"/>
        <v>33654200.970000006</v>
      </c>
      <c r="F36" s="595">
        <f>'Прилож 4 24 (5)'!V36</f>
        <v>29555688.470000003</v>
      </c>
      <c r="G36" s="595">
        <f>'Прилож 4 24 (5)'!W36</f>
        <v>1022295</v>
      </c>
      <c r="H36" s="595">
        <f>'Прилож 4 24 (5)'!X36</f>
        <v>3003367.0600000005</v>
      </c>
      <c r="I36" s="626"/>
      <c r="J36" s="595">
        <f>'Прилож 4 24 (5)'!Z36</f>
        <v>0</v>
      </c>
      <c r="K36" s="595">
        <f>'Прилож 4 24 (5)'!AA36</f>
        <v>64391.3</v>
      </c>
      <c r="L36" s="595">
        <f>'Прилож 4 24 (5)'!AB36</f>
        <v>8459.14</v>
      </c>
      <c r="M36" s="876">
        <f t="shared" si="13"/>
        <v>161674.35</v>
      </c>
      <c r="N36" s="876">
        <f>SUM(N31:N35)</f>
        <v>0</v>
      </c>
      <c r="O36" s="876">
        <f>SUM(O31:O35)</f>
        <v>161674.35</v>
      </c>
      <c r="P36" s="876">
        <f>SUM(P31:P35)</f>
        <v>0</v>
      </c>
      <c r="Q36" s="881"/>
      <c r="R36" s="876"/>
      <c r="S36" s="876"/>
      <c r="T36" s="876"/>
      <c r="U36" s="876">
        <f t="shared" si="12"/>
        <v>33815875.320000008</v>
      </c>
      <c r="V36" s="875">
        <f t="shared" si="10"/>
        <v>29555688.470000003</v>
      </c>
      <c r="W36" s="875">
        <f t="shared" si="11"/>
        <v>1183969.3500000001</v>
      </c>
      <c r="X36" s="875">
        <f t="shared" si="11"/>
        <v>3003367.0600000005</v>
      </c>
      <c r="Y36" s="881"/>
      <c r="Z36" s="875">
        <f t="shared" si="4"/>
        <v>0</v>
      </c>
      <c r="AA36" s="875">
        <f t="shared" si="4"/>
        <v>64391.3</v>
      </c>
      <c r="AB36" s="875">
        <f t="shared" si="4"/>
        <v>8459.14</v>
      </c>
      <c r="AC36" s="879"/>
      <c r="AD36" s="820"/>
    </row>
    <row r="37" spans="1:30" s="614" customFormat="1" ht="57.75" customHeight="1" x14ac:dyDescent="0.2">
      <c r="A37" s="618" t="s">
        <v>1339</v>
      </c>
      <c r="B37" s="620">
        <v>701</v>
      </c>
      <c r="C37" s="620">
        <v>321</v>
      </c>
      <c r="D37" s="620">
        <v>264</v>
      </c>
      <c r="E37" s="596">
        <f t="shared" si="0"/>
        <v>88171.02</v>
      </c>
      <c r="F37" s="595">
        <f>'Прилож 4 24 (5)'!V37</f>
        <v>88171.02</v>
      </c>
      <c r="G37" s="595">
        <f>'Прилож 4 24 (5)'!W37</f>
        <v>0</v>
      </c>
      <c r="H37" s="595">
        <f>'Прилож 4 24 (5)'!X37</f>
        <v>0</v>
      </c>
      <c r="I37" s="625"/>
      <c r="J37" s="595">
        <f>'Прилож 4 24 (5)'!Z37</f>
        <v>0</v>
      </c>
      <c r="K37" s="595">
        <f>'Прилож 4 24 (5)'!AA37</f>
        <v>0</v>
      </c>
      <c r="L37" s="595">
        <f>'Прилож 4 24 (5)'!AB37</f>
        <v>0</v>
      </c>
      <c r="M37" s="876">
        <f t="shared" si="13"/>
        <v>0</v>
      </c>
      <c r="N37" s="875"/>
      <c r="O37" s="875"/>
      <c r="P37" s="875"/>
      <c r="Q37" s="882"/>
      <c r="R37" s="875"/>
      <c r="S37" s="875"/>
      <c r="T37" s="875"/>
      <c r="U37" s="876">
        <f t="shared" si="12"/>
        <v>88171.02</v>
      </c>
      <c r="V37" s="875">
        <f t="shared" si="10"/>
        <v>88171.02</v>
      </c>
      <c r="W37" s="875">
        <f t="shared" si="11"/>
        <v>0</v>
      </c>
      <c r="X37" s="875">
        <f t="shared" si="11"/>
        <v>0</v>
      </c>
      <c r="Y37" s="882"/>
      <c r="Z37" s="875">
        <f t="shared" si="4"/>
        <v>0</v>
      </c>
      <c r="AA37" s="875">
        <f t="shared" si="4"/>
        <v>0</v>
      </c>
      <c r="AB37" s="875">
        <f t="shared" si="4"/>
        <v>0</v>
      </c>
      <c r="AC37" s="878"/>
      <c r="AD37" s="820"/>
    </row>
    <row r="38" spans="1:30" s="614" customFormat="1" x14ac:dyDescent="0.2">
      <c r="A38" s="624" t="s">
        <v>1342</v>
      </c>
      <c r="B38" s="624"/>
      <c r="C38" s="624"/>
      <c r="D38" s="624"/>
      <c r="E38" s="596">
        <f t="shared" si="0"/>
        <v>88171.02</v>
      </c>
      <c r="F38" s="595">
        <f>'Прилож 4 24 (5)'!V38</f>
        <v>88171.02</v>
      </c>
      <c r="G38" s="595">
        <f>'Прилож 4 24 (5)'!W38</f>
        <v>0</v>
      </c>
      <c r="H38" s="595">
        <f>'Прилож 4 24 (5)'!X38</f>
        <v>0</v>
      </c>
      <c r="I38" s="626"/>
      <c r="J38" s="595">
        <f>'Прилож 4 24 (5)'!Z38</f>
        <v>0</v>
      </c>
      <c r="K38" s="595">
        <f>'Прилож 4 24 (5)'!AA38</f>
        <v>0</v>
      </c>
      <c r="L38" s="595">
        <f>'Прилож 4 24 (5)'!AB38</f>
        <v>0</v>
      </c>
      <c r="M38" s="876">
        <f t="shared" si="13"/>
        <v>0</v>
      </c>
      <c r="N38" s="876"/>
      <c r="O38" s="876"/>
      <c r="P38" s="876"/>
      <c r="Q38" s="881"/>
      <c r="R38" s="876"/>
      <c r="S38" s="876"/>
      <c r="T38" s="876"/>
      <c r="U38" s="876">
        <f t="shared" si="12"/>
        <v>88171.02</v>
      </c>
      <c r="V38" s="875">
        <f t="shared" si="10"/>
        <v>88171.02</v>
      </c>
      <c r="W38" s="875">
        <f t="shared" si="11"/>
        <v>0</v>
      </c>
      <c r="X38" s="875">
        <f t="shared" si="11"/>
        <v>0</v>
      </c>
      <c r="Y38" s="881"/>
      <c r="Z38" s="875">
        <f t="shared" si="4"/>
        <v>0</v>
      </c>
      <c r="AA38" s="875">
        <f t="shared" si="4"/>
        <v>0</v>
      </c>
      <c r="AB38" s="875">
        <f t="shared" si="4"/>
        <v>0</v>
      </c>
      <c r="AC38" s="879"/>
      <c r="AD38" s="820"/>
    </row>
    <row r="39" spans="1:30" ht="74.45" customHeight="1" x14ac:dyDescent="0.2">
      <c r="A39" s="618" t="s">
        <v>845</v>
      </c>
      <c r="B39" s="619" t="s">
        <v>747</v>
      </c>
      <c r="C39" s="620">
        <v>111</v>
      </c>
      <c r="D39" s="620">
        <v>266</v>
      </c>
      <c r="E39" s="596">
        <f t="shared" si="0"/>
        <v>100000</v>
      </c>
      <c r="F39" s="595">
        <f>'Прилож 4 24 (5)'!V39</f>
        <v>100000</v>
      </c>
      <c r="G39" s="595">
        <f>'Прилож 4 24 (5)'!W39</f>
        <v>0</v>
      </c>
      <c r="H39" s="595">
        <f>'Прилож 4 24 (5)'!X39</f>
        <v>0</v>
      </c>
      <c r="I39" s="621"/>
      <c r="J39" s="595">
        <f>'Прилож 4 24 (5)'!Z39</f>
        <v>0</v>
      </c>
      <c r="K39" s="595">
        <f>'Прилож 4 24 (5)'!AA39</f>
        <v>0</v>
      </c>
      <c r="L39" s="595">
        <f>'Прилож 4 24 (5)'!AB39</f>
        <v>0</v>
      </c>
      <c r="M39" s="876">
        <f t="shared" si="13"/>
        <v>0</v>
      </c>
      <c r="N39" s="875"/>
      <c r="O39" s="875"/>
      <c r="P39" s="875"/>
      <c r="Q39" s="877"/>
      <c r="R39" s="875"/>
      <c r="S39" s="875"/>
      <c r="T39" s="875"/>
      <c r="U39" s="876">
        <f t="shared" si="12"/>
        <v>100000</v>
      </c>
      <c r="V39" s="875">
        <f t="shared" si="10"/>
        <v>100000</v>
      </c>
      <c r="W39" s="875">
        <f t="shared" si="11"/>
        <v>0</v>
      </c>
      <c r="X39" s="875">
        <f t="shared" si="11"/>
        <v>0</v>
      </c>
      <c r="Y39" s="877"/>
      <c r="Z39" s="875">
        <f t="shared" si="4"/>
        <v>0</v>
      </c>
      <c r="AA39" s="875">
        <f t="shared" si="4"/>
        <v>0</v>
      </c>
      <c r="AB39" s="875">
        <f t="shared" si="4"/>
        <v>0</v>
      </c>
      <c r="AC39" s="878"/>
    </row>
    <row r="40" spans="1:30" ht="51.75" customHeight="1" x14ac:dyDescent="0.2">
      <c r="A40" s="618" t="s">
        <v>845</v>
      </c>
      <c r="B40" s="619" t="s">
        <v>729</v>
      </c>
      <c r="C40" s="620">
        <v>111</v>
      </c>
      <c r="D40" s="620">
        <v>266</v>
      </c>
      <c r="E40" s="596">
        <f t="shared" si="0"/>
        <v>80000</v>
      </c>
      <c r="F40" s="595">
        <f>'Прилож 4 24 (5)'!V40</f>
        <v>80000</v>
      </c>
      <c r="G40" s="595">
        <f>'Прилож 4 24 (5)'!W40</f>
        <v>0</v>
      </c>
      <c r="H40" s="595">
        <f>'Прилож 4 24 (5)'!X40</f>
        <v>0</v>
      </c>
      <c r="I40" s="621"/>
      <c r="J40" s="595">
        <f>'Прилож 4 24 (5)'!Z40</f>
        <v>0</v>
      </c>
      <c r="K40" s="595">
        <f>'Прилож 4 24 (5)'!AA40</f>
        <v>0</v>
      </c>
      <c r="L40" s="595">
        <f>'Прилож 4 24 (5)'!AB40</f>
        <v>0</v>
      </c>
      <c r="M40" s="876">
        <f t="shared" si="13"/>
        <v>0</v>
      </c>
      <c r="N40" s="875"/>
      <c r="O40" s="875"/>
      <c r="P40" s="875"/>
      <c r="Q40" s="877"/>
      <c r="R40" s="875"/>
      <c r="S40" s="875"/>
      <c r="T40" s="875"/>
      <c r="U40" s="876">
        <f t="shared" si="12"/>
        <v>80000</v>
      </c>
      <c r="V40" s="875">
        <f t="shared" si="10"/>
        <v>80000</v>
      </c>
      <c r="W40" s="875">
        <f t="shared" si="11"/>
        <v>0</v>
      </c>
      <c r="X40" s="875">
        <f t="shared" si="11"/>
        <v>0</v>
      </c>
      <c r="Y40" s="877"/>
      <c r="Z40" s="875">
        <f t="shared" si="4"/>
        <v>0</v>
      </c>
      <c r="AA40" s="875">
        <f t="shared" si="4"/>
        <v>0</v>
      </c>
      <c r="AB40" s="875">
        <f t="shared" si="4"/>
        <v>0</v>
      </c>
      <c r="AC40" s="878"/>
    </row>
    <row r="41" spans="1:30" s="614" customFormat="1" x14ac:dyDescent="0.2">
      <c r="A41" s="624" t="s">
        <v>847</v>
      </c>
      <c r="B41" s="624"/>
      <c r="C41" s="624"/>
      <c r="D41" s="624"/>
      <c r="E41" s="596">
        <f t="shared" si="0"/>
        <v>180000</v>
      </c>
      <c r="F41" s="595">
        <f>'Прилож 4 24 (5)'!V41</f>
        <v>180000</v>
      </c>
      <c r="G41" s="595">
        <f>'Прилож 4 24 (5)'!W41</f>
        <v>0</v>
      </c>
      <c r="H41" s="595">
        <f>'Прилож 4 24 (5)'!X41</f>
        <v>0</v>
      </c>
      <c r="I41" s="626">
        <f t="shared" ref="I41:I43" si="14">SUM(I39:I40)</f>
        <v>0</v>
      </c>
      <c r="J41" s="595">
        <f>'Прилож 4 24 (5)'!Z41</f>
        <v>0</v>
      </c>
      <c r="K41" s="595">
        <f>'Прилож 4 24 (5)'!AA41</f>
        <v>0</v>
      </c>
      <c r="L41" s="595">
        <f>'Прилож 4 24 (5)'!AB41</f>
        <v>0</v>
      </c>
      <c r="M41" s="876">
        <f t="shared" si="13"/>
        <v>0</v>
      </c>
      <c r="N41" s="876"/>
      <c r="O41" s="876"/>
      <c r="P41" s="876"/>
      <c r="Q41" s="881"/>
      <c r="R41" s="876"/>
      <c r="S41" s="876"/>
      <c r="T41" s="876"/>
      <c r="U41" s="876">
        <f t="shared" si="12"/>
        <v>180000</v>
      </c>
      <c r="V41" s="875">
        <f t="shared" si="10"/>
        <v>180000</v>
      </c>
      <c r="W41" s="875">
        <f t="shared" si="11"/>
        <v>0</v>
      </c>
      <c r="X41" s="875">
        <f t="shared" si="11"/>
        <v>0</v>
      </c>
      <c r="Y41" s="881">
        <f t="shared" ref="Y41:Y43" si="15">SUM(Y39:Y40)</f>
        <v>0</v>
      </c>
      <c r="Z41" s="875">
        <f t="shared" si="4"/>
        <v>0</v>
      </c>
      <c r="AA41" s="875">
        <f t="shared" si="4"/>
        <v>0</v>
      </c>
      <c r="AB41" s="875">
        <f t="shared" si="4"/>
        <v>0</v>
      </c>
      <c r="AC41" s="879"/>
    </row>
    <row r="42" spans="1:30" ht="66.75" customHeight="1" x14ac:dyDescent="0.2">
      <c r="A42" s="618" t="s">
        <v>1270</v>
      </c>
      <c r="B42" s="619" t="s">
        <v>691</v>
      </c>
      <c r="C42" s="620">
        <v>112</v>
      </c>
      <c r="D42" s="620">
        <v>222</v>
      </c>
      <c r="E42" s="596">
        <f t="shared" si="0"/>
        <v>0</v>
      </c>
      <c r="F42" s="595">
        <f>'Прилож 4 24 (5)'!V42</f>
        <v>0</v>
      </c>
      <c r="G42" s="595">
        <f>'Прилож 4 24 (5)'!W42</f>
        <v>0</v>
      </c>
      <c r="H42" s="595">
        <f>'Прилож 4 24 (5)'!X42</f>
        <v>0</v>
      </c>
      <c r="I42" s="621"/>
      <c r="J42" s="595">
        <f>'Прилож 4 24 (5)'!Z42</f>
        <v>0</v>
      </c>
      <c r="K42" s="595">
        <f>'Прилож 4 24 (5)'!AA42</f>
        <v>0</v>
      </c>
      <c r="L42" s="595">
        <f>'Прилож 4 24 (5)'!AB42</f>
        <v>0</v>
      </c>
      <c r="M42" s="876"/>
      <c r="N42" s="875"/>
      <c r="O42" s="875"/>
      <c r="P42" s="875"/>
      <c r="Q42" s="877"/>
      <c r="R42" s="875"/>
      <c r="S42" s="875"/>
      <c r="T42" s="875"/>
      <c r="U42" s="876">
        <f t="shared" si="12"/>
        <v>0</v>
      </c>
      <c r="V42" s="875">
        <f t="shared" si="10"/>
        <v>0</v>
      </c>
      <c r="W42" s="875">
        <f t="shared" si="11"/>
        <v>0</v>
      </c>
      <c r="X42" s="875">
        <f t="shared" si="11"/>
        <v>0</v>
      </c>
      <c r="Y42" s="877"/>
      <c r="Z42" s="875">
        <f t="shared" si="4"/>
        <v>0</v>
      </c>
      <c r="AA42" s="875">
        <f t="shared" si="4"/>
        <v>0</v>
      </c>
      <c r="AB42" s="875">
        <f t="shared" si="4"/>
        <v>0</v>
      </c>
      <c r="AC42" s="878"/>
    </row>
    <row r="43" spans="1:30" s="614" customFormat="1" x14ac:dyDescent="0.2">
      <c r="A43" s="624" t="s">
        <v>1264</v>
      </c>
      <c r="B43" s="624"/>
      <c r="C43" s="624"/>
      <c r="D43" s="624"/>
      <c r="E43" s="596">
        <f t="shared" si="0"/>
        <v>0</v>
      </c>
      <c r="F43" s="595">
        <f>'Прилож 4 24 (5)'!V43</f>
        <v>0</v>
      </c>
      <c r="G43" s="595">
        <f>'Прилож 4 24 (5)'!W43</f>
        <v>0</v>
      </c>
      <c r="H43" s="595">
        <f>'Прилож 4 24 (5)'!X43</f>
        <v>0</v>
      </c>
      <c r="I43" s="626">
        <f t="shared" si="14"/>
        <v>0</v>
      </c>
      <c r="J43" s="595">
        <f>'Прилож 4 24 (5)'!Z43</f>
        <v>0</v>
      </c>
      <c r="K43" s="595">
        <f>'Прилож 4 24 (5)'!AA43</f>
        <v>0</v>
      </c>
      <c r="L43" s="595">
        <f>'Прилож 4 24 (5)'!AB43</f>
        <v>0</v>
      </c>
      <c r="M43" s="876">
        <f t="shared" si="13"/>
        <v>0</v>
      </c>
      <c r="N43" s="876"/>
      <c r="O43" s="876"/>
      <c r="P43" s="876">
        <f>SUM(P42)</f>
        <v>0</v>
      </c>
      <c r="Q43" s="881"/>
      <c r="R43" s="876"/>
      <c r="S43" s="876">
        <f>SUM(S42)</f>
        <v>0</v>
      </c>
      <c r="T43" s="876">
        <f>SUM(T42)</f>
        <v>0</v>
      </c>
      <c r="U43" s="876">
        <f t="shared" si="12"/>
        <v>0</v>
      </c>
      <c r="V43" s="875">
        <f t="shared" si="10"/>
        <v>0</v>
      </c>
      <c r="W43" s="875">
        <f t="shared" si="11"/>
        <v>0</v>
      </c>
      <c r="X43" s="875">
        <f t="shared" si="11"/>
        <v>0</v>
      </c>
      <c r="Y43" s="881">
        <f t="shared" si="15"/>
        <v>0</v>
      </c>
      <c r="Z43" s="875">
        <f t="shared" si="4"/>
        <v>0</v>
      </c>
      <c r="AA43" s="875">
        <f t="shared" si="4"/>
        <v>0</v>
      </c>
      <c r="AB43" s="875">
        <f t="shared" si="4"/>
        <v>0</v>
      </c>
      <c r="AC43" s="879"/>
    </row>
    <row r="44" spans="1:30" s="614" customFormat="1" ht="78.75" x14ac:dyDescent="0.2">
      <c r="A44" s="618" t="s">
        <v>748</v>
      </c>
      <c r="B44" s="619" t="s">
        <v>747</v>
      </c>
      <c r="C44" s="620">
        <v>119</v>
      </c>
      <c r="D44" s="620">
        <v>213</v>
      </c>
      <c r="E44" s="596">
        <f t="shared" si="0"/>
        <v>4198430.53</v>
      </c>
      <c r="F44" s="595">
        <f>'Прилож 4 24 (5)'!V44</f>
        <v>3520679.58</v>
      </c>
      <c r="G44" s="595">
        <f>'Прилож 4 24 (5)'!W44</f>
        <v>0</v>
      </c>
      <c r="H44" s="595">
        <f>'Прилож 4 24 (5)'!X44</f>
        <v>677750.95</v>
      </c>
      <c r="I44" s="628"/>
      <c r="J44" s="595">
        <f>'Прилож 4 24 (5)'!Z44</f>
        <v>0</v>
      </c>
      <c r="K44" s="595">
        <f>'Прилож 4 24 (5)'!AA44</f>
        <v>0</v>
      </c>
      <c r="L44" s="595">
        <f>'Прилож 4 24 (5)'!AB44</f>
        <v>0</v>
      </c>
      <c r="M44" s="876">
        <f t="shared" si="13"/>
        <v>0</v>
      </c>
      <c r="N44" s="875"/>
      <c r="O44" s="875"/>
      <c r="P44" s="875"/>
      <c r="Q44" s="883"/>
      <c r="R44" s="875"/>
      <c r="S44" s="875"/>
      <c r="T44" s="875"/>
      <c r="U44" s="876">
        <f t="shared" si="12"/>
        <v>4198430.53</v>
      </c>
      <c r="V44" s="875">
        <f t="shared" si="10"/>
        <v>3520679.58</v>
      </c>
      <c r="W44" s="875">
        <f t="shared" si="11"/>
        <v>0</v>
      </c>
      <c r="X44" s="875">
        <f t="shared" si="11"/>
        <v>677750.95</v>
      </c>
      <c r="Y44" s="883"/>
      <c r="Z44" s="875">
        <f t="shared" si="4"/>
        <v>0</v>
      </c>
      <c r="AA44" s="875">
        <f t="shared" si="4"/>
        <v>0</v>
      </c>
      <c r="AB44" s="875">
        <f t="shared" si="4"/>
        <v>0</v>
      </c>
      <c r="AC44" s="878"/>
    </row>
    <row r="45" spans="1:30" s="614" customFormat="1" ht="78.75" x14ac:dyDescent="0.2">
      <c r="A45" s="618" t="s">
        <v>748</v>
      </c>
      <c r="B45" s="619" t="s">
        <v>729</v>
      </c>
      <c r="C45" s="620">
        <v>119</v>
      </c>
      <c r="D45" s="620">
        <v>213</v>
      </c>
      <c r="E45" s="596">
        <f t="shared" si="0"/>
        <v>5846602.5800000001</v>
      </c>
      <c r="F45" s="595">
        <f>'Прилож 4 24 (5)'!V45</f>
        <v>5378022.5800000001</v>
      </c>
      <c r="G45" s="595">
        <f>'Прилож 4 24 (5)'!W45</f>
        <v>253680</v>
      </c>
      <c r="H45" s="595">
        <f>'Прилож 4 24 (5)'!X45</f>
        <v>214900</v>
      </c>
      <c r="I45" s="628"/>
      <c r="J45" s="595">
        <f>'Прилож 4 24 (5)'!Z45</f>
        <v>0</v>
      </c>
      <c r="K45" s="595">
        <f>'Прилож 4 24 (5)'!AA45</f>
        <v>0</v>
      </c>
      <c r="L45" s="595">
        <f>'Прилож 4 24 (5)'!AB45</f>
        <v>0</v>
      </c>
      <c r="M45" s="876">
        <f t="shared" si="13"/>
        <v>48825.65</v>
      </c>
      <c r="N45" s="875"/>
      <c r="O45" s="875">
        <v>48825.65</v>
      </c>
      <c r="P45" s="875"/>
      <c r="Q45" s="883"/>
      <c r="R45" s="875"/>
      <c r="S45" s="875"/>
      <c r="T45" s="875"/>
      <c r="U45" s="876">
        <f t="shared" si="12"/>
        <v>5895428.2300000004</v>
      </c>
      <c r="V45" s="875">
        <f t="shared" si="10"/>
        <v>5378022.5800000001</v>
      </c>
      <c r="W45" s="875">
        <f t="shared" si="11"/>
        <v>302505.65000000002</v>
      </c>
      <c r="X45" s="875">
        <f t="shared" si="11"/>
        <v>214900</v>
      </c>
      <c r="Y45" s="883"/>
      <c r="Z45" s="875">
        <f t="shared" si="4"/>
        <v>0</v>
      </c>
      <c r="AA45" s="875">
        <f t="shared" si="4"/>
        <v>0</v>
      </c>
      <c r="AB45" s="875">
        <f t="shared" si="4"/>
        <v>0</v>
      </c>
      <c r="AC45" s="1003" t="s">
        <v>1461</v>
      </c>
    </row>
    <row r="46" spans="1:30" s="614" customFormat="1" ht="78.75" x14ac:dyDescent="0.2">
      <c r="A46" s="618" t="s">
        <v>944</v>
      </c>
      <c r="B46" s="619" t="s">
        <v>729</v>
      </c>
      <c r="C46" s="620">
        <v>119</v>
      </c>
      <c r="D46" s="620">
        <v>213</v>
      </c>
      <c r="E46" s="596">
        <f t="shared" si="0"/>
        <v>82168.849999999991</v>
      </c>
      <c r="F46" s="595">
        <f>'Прилож 4 24 (5)'!V46</f>
        <v>27115.759999999998</v>
      </c>
      <c r="G46" s="595">
        <f>'Прилож 4 24 (5)'!W46</f>
        <v>55053.09</v>
      </c>
      <c r="H46" s="595">
        <f>'Прилож 4 24 (5)'!X46</f>
        <v>0</v>
      </c>
      <c r="I46" s="628"/>
      <c r="J46" s="595">
        <f>'Прилож 4 24 (5)'!Z46</f>
        <v>0</v>
      </c>
      <c r="K46" s="595">
        <f>'Прилож 4 24 (5)'!AA46</f>
        <v>0</v>
      </c>
      <c r="L46" s="595">
        <f>'Прилож 4 24 (5)'!AB46</f>
        <v>0</v>
      </c>
      <c r="M46" s="876">
        <f t="shared" si="13"/>
        <v>0</v>
      </c>
      <c r="N46" s="875"/>
      <c r="O46" s="875"/>
      <c r="P46" s="875"/>
      <c r="Q46" s="883"/>
      <c r="R46" s="875"/>
      <c r="S46" s="875"/>
      <c r="T46" s="875"/>
      <c r="U46" s="876">
        <f t="shared" si="12"/>
        <v>82168.849999999991</v>
      </c>
      <c r="V46" s="875">
        <f t="shared" si="10"/>
        <v>27115.759999999998</v>
      </c>
      <c r="W46" s="875">
        <f t="shared" si="11"/>
        <v>55053.09</v>
      </c>
      <c r="X46" s="875">
        <f t="shared" si="11"/>
        <v>0</v>
      </c>
      <c r="Y46" s="883"/>
      <c r="Z46" s="875">
        <f t="shared" si="4"/>
        <v>0</v>
      </c>
      <c r="AA46" s="875">
        <f t="shared" si="4"/>
        <v>0</v>
      </c>
      <c r="AB46" s="875">
        <f t="shared" si="4"/>
        <v>0</v>
      </c>
      <c r="AC46" s="878"/>
    </row>
    <row r="47" spans="1:30" s="614" customFormat="1" ht="78.75" x14ac:dyDescent="0.2">
      <c r="A47" s="618" t="s">
        <v>748</v>
      </c>
      <c r="B47" s="619" t="s">
        <v>64</v>
      </c>
      <c r="C47" s="620">
        <v>119</v>
      </c>
      <c r="D47" s="620">
        <v>213</v>
      </c>
      <c r="E47" s="596">
        <f t="shared" si="0"/>
        <v>19446</v>
      </c>
      <c r="F47" s="595">
        <f>'Прилож 4 24 (5)'!V47</f>
        <v>0</v>
      </c>
      <c r="G47" s="595">
        <f>'Прилож 4 24 (5)'!W47</f>
        <v>0</v>
      </c>
      <c r="H47" s="595">
        <f>'Прилож 4 24 (5)'!X47</f>
        <v>0</v>
      </c>
      <c r="I47" s="621" t="s">
        <v>1235</v>
      </c>
      <c r="J47" s="595">
        <f>'Прилож 4 24 (5)'!Z47</f>
        <v>0</v>
      </c>
      <c r="K47" s="595">
        <f>'Прилож 4 24 (5)'!AA47</f>
        <v>19446</v>
      </c>
      <c r="L47" s="595">
        <f>'Прилож 4 24 (5)'!AB47</f>
        <v>0</v>
      </c>
      <c r="M47" s="876">
        <f t="shared" si="13"/>
        <v>0</v>
      </c>
      <c r="N47" s="875"/>
      <c r="O47" s="875"/>
      <c r="P47" s="875"/>
      <c r="Q47" s="883"/>
      <c r="R47" s="875"/>
      <c r="S47" s="875"/>
      <c r="T47" s="875"/>
      <c r="U47" s="876">
        <f t="shared" si="12"/>
        <v>19446</v>
      </c>
      <c r="V47" s="875">
        <f t="shared" si="10"/>
        <v>0</v>
      </c>
      <c r="W47" s="875">
        <f t="shared" si="11"/>
        <v>0</v>
      </c>
      <c r="X47" s="875">
        <f t="shared" si="11"/>
        <v>0</v>
      </c>
      <c r="Y47" s="877" t="s">
        <v>1235</v>
      </c>
      <c r="Z47" s="875">
        <f t="shared" si="4"/>
        <v>0</v>
      </c>
      <c r="AA47" s="875">
        <f t="shared" si="4"/>
        <v>19446</v>
      </c>
      <c r="AB47" s="875">
        <f t="shared" si="4"/>
        <v>0</v>
      </c>
      <c r="AC47" s="878"/>
    </row>
    <row r="48" spans="1:30" s="614" customFormat="1" ht="78.75" x14ac:dyDescent="0.2">
      <c r="A48" s="618" t="s">
        <v>748</v>
      </c>
      <c r="B48" s="619" t="s">
        <v>691</v>
      </c>
      <c r="C48" s="620">
        <v>119</v>
      </c>
      <c r="D48" s="620">
        <v>213</v>
      </c>
      <c r="E48" s="596">
        <f t="shared" si="0"/>
        <v>16917.36</v>
      </c>
      <c r="F48" s="595">
        <f>'Прилож 4 24 (5)'!V48</f>
        <v>0</v>
      </c>
      <c r="G48" s="595">
        <f>'Прилож 4 24 (5)'!W48</f>
        <v>0</v>
      </c>
      <c r="H48" s="595">
        <f>'Прилож 4 24 (5)'!X48</f>
        <v>14362.7</v>
      </c>
      <c r="I48" s="628"/>
      <c r="J48" s="595">
        <f>'Прилож 4 24 (5)'!Z48</f>
        <v>0</v>
      </c>
      <c r="K48" s="595">
        <f>'Прилож 4 24 (5)'!AA48</f>
        <v>0</v>
      </c>
      <c r="L48" s="595">
        <f>'Прилож 4 24 (5)'!AB48</f>
        <v>2554.66</v>
      </c>
      <c r="M48" s="876">
        <f t="shared" si="13"/>
        <v>0</v>
      </c>
      <c r="N48" s="875"/>
      <c r="O48" s="875"/>
      <c r="P48" s="875"/>
      <c r="Q48" s="883"/>
      <c r="R48" s="875"/>
      <c r="S48" s="875"/>
      <c r="T48" s="875"/>
      <c r="U48" s="876">
        <f t="shared" si="12"/>
        <v>16917.36</v>
      </c>
      <c r="V48" s="875">
        <f t="shared" si="10"/>
        <v>0</v>
      </c>
      <c r="W48" s="875">
        <f t="shared" si="11"/>
        <v>0</v>
      </c>
      <c r="X48" s="875">
        <f t="shared" si="11"/>
        <v>14362.7</v>
      </c>
      <c r="Y48" s="883"/>
      <c r="Z48" s="875">
        <f t="shared" si="4"/>
        <v>0</v>
      </c>
      <c r="AA48" s="875">
        <f t="shared" si="4"/>
        <v>0</v>
      </c>
      <c r="AB48" s="875">
        <f t="shared" si="4"/>
        <v>2554.66</v>
      </c>
      <c r="AC48" s="878"/>
    </row>
    <row r="49" spans="1:30" s="614" customFormat="1" ht="110.25" x14ac:dyDescent="0.2">
      <c r="A49" s="618" t="s">
        <v>1468</v>
      </c>
      <c r="B49" s="619" t="s">
        <v>729</v>
      </c>
      <c r="C49" s="620">
        <v>119</v>
      </c>
      <c r="D49" s="620">
        <v>265</v>
      </c>
      <c r="E49" s="596"/>
      <c r="F49" s="595"/>
      <c r="G49" s="595"/>
      <c r="H49" s="595"/>
      <c r="I49" s="628"/>
      <c r="J49" s="595"/>
      <c r="K49" s="595"/>
      <c r="L49" s="595"/>
      <c r="M49" s="876">
        <f t="shared" si="13"/>
        <v>8370.2000000000007</v>
      </c>
      <c r="N49" s="875">
        <v>8370.2000000000007</v>
      </c>
      <c r="O49" s="875"/>
      <c r="P49" s="875"/>
      <c r="Q49" s="883"/>
      <c r="R49" s="875"/>
      <c r="S49" s="875"/>
      <c r="T49" s="875"/>
      <c r="U49" s="876">
        <f t="shared" si="12"/>
        <v>8370.2000000000007</v>
      </c>
      <c r="V49" s="875">
        <f t="shared" si="10"/>
        <v>8370.2000000000007</v>
      </c>
      <c r="W49" s="875">
        <f t="shared" si="11"/>
        <v>0</v>
      </c>
      <c r="X49" s="875">
        <f t="shared" si="11"/>
        <v>0</v>
      </c>
      <c r="Y49" s="883"/>
      <c r="Z49" s="875">
        <f t="shared" si="4"/>
        <v>0</v>
      </c>
      <c r="AA49" s="875">
        <f t="shared" si="4"/>
        <v>0</v>
      </c>
      <c r="AB49" s="875">
        <f t="shared" si="4"/>
        <v>0</v>
      </c>
      <c r="AC49" s="878" t="s">
        <v>1469</v>
      </c>
    </row>
    <row r="50" spans="1:30" s="614" customFormat="1" x14ac:dyDescent="0.2">
      <c r="A50" s="630" t="s">
        <v>733</v>
      </c>
      <c r="B50" s="631"/>
      <c r="C50" s="624"/>
      <c r="D50" s="624"/>
      <c r="E50" s="596">
        <f t="shared" si="0"/>
        <v>10163565.32</v>
      </c>
      <c r="F50" s="595">
        <f>'Прилож 4 24 (5)'!V49</f>
        <v>8925817.9199999999</v>
      </c>
      <c r="G50" s="595">
        <f>'Прилож 4 24 (5)'!W49</f>
        <v>308733.08999999997</v>
      </c>
      <c r="H50" s="595">
        <f>'Прилож 4 24 (5)'!X49</f>
        <v>907013.64999999991</v>
      </c>
      <c r="I50" s="626"/>
      <c r="J50" s="595">
        <f>'Прилож 4 24 (5)'!Z49</f>
        <v>0</v>
      </c>
      <c r="K50" s="595">
        <f>'Прилож 4 24 (5)'!AA49</f>
        <v>19446</v>
      </c>
      <c r="L50" s="595">
        <f>'Прилож 4 24 (5)'!AB49</f>
        <v>2554.66</v>
      </c>
      <c r="M50" s="876">
        <f>N50+P50+R50+S50+T50+O50</f>
        <v>57195.850000000006</v>
      </c>
      <c r="N50" s="876">
        <f>SUM(N44:N49)</f>
        <v>8370.2000000000007</v>
      </c>
      <c r="O50" s="876">
        <f>SUM(O44:O48)</f>
        <v>48825.65</v>
      </c>
      <c r="P50" s="876">
        <f>SUM(P44:P48)</f>
        <v>0</v>
      </c>
      <c r="Q50" s="881"/>
      <c r="R50" s="876"/>
      <c r="S50" s="876"/>
      <c r="T50" s="876"/>
      <c r="U50" s="876">
        <f>E50+M50</f>
        <v>10220761.17</v>
      </c>
      <c r="V50" s="875">
        <f>F50+N50</f>
        <v>8934188.1199999992</v>
      </c>
      <c r="W50" s="875">
        <f t="shared" si="11"/>
        <v>357558.74</v>
      </c>
      <c r="X50" s="875">
        <f t="shared" si="11"/>
        <v>907013.64999999991</v>
      </c>
      <c r="Y50" s="881"/>
      <c r="Z50" s="875">
        <f t="shared" si="4"/>
        <v>0</v>
      </c>
      <c r="AA50" s="875">
        <f t="shared" si="4"/>
        <v>19446</v>
      </c>
      <c r="AB50" s="875">
        <f t="shared" si="4"/>
        <v>2554.66</v>
      </c>
      <c r="AC50" s="879"/>
      <c r="AD50" s="818"/>
    </row>
    <row r="51" spans="1:30" ht="31.5" x14ac:dyDescent="0.2">
      <c r="A51" s="618" t="s">
        <v>1183</v>
      </c>
      <c r="B51" s="619" t="s">
        <v>747</v>
      </c>
      <c r="C51" s="620">
        <v>244</v>
      </c>
      <c r="D51" s="620">
        <v>221</v>
      </c>
      <c r="E51" s="596">
        <f t="shared" si="0"/>
        <v>14452.3</v>
      </c>
      <c r="F51" s="595">
        <f>'Прилож 4 24 (5)'!V50</f>
        <v>0</v>
      </c>
      <c r="G51" s="595">
        <f>'Прилож 4 24 (5)'!W50</f>
        <v>0</v>
      </c>
      <c r="H51" s="595">
        <f>'Прилож 4 24 (5)'!X50</f>
        <v>14452.3</v>
      </c>
      <c r="I51" s="628"/>
      <c r="J51" s="595">
        <f>'Прилож 4 24 (5)'!Z50</f>
        <v>0</v>
      </c>
      <c r="K51" s="595">
        <f>'Прилож 4 24 (5)'!AA50</f>
        <v>0</v>
      </c>
      <c r="L51" s="595">
        <f>'Прилож 4 24 (5)'!AB50</f>
        <v>0</v>
      </c>
      <c r="M51" s="876">
        <f t="shared" si="13"/>
        <v>0</v>
      </c>
      <c r="N51" s="875"/>
      <c r="O51" s="875"/>
      <c r="P51" s="875"/>
      <c r="Q51" s="877"/>
      <c r="R51" s="875"/>
      <c r="S51" s="875"/>
      <c r="T51" s="875"/>
      <c r="U51" s="876">
        <f t="shared" si="12"/>
        <v>14452.3</v>
      </c>
      <c r="V51" s="875">
        <f t="shared" si="10"/>
        <v>0</v>
      </c>
      <c r="W51" s="875">
        <f t="shared" si="11"/>
        <v>0</v>
      </c>
      <c r="X51" s="875">
        <f t="shared" si="11"/>
        <v>14452.3</v>
      </c>
      <c r="Y51" s="883"/>
      <c r="Z51" s="875">
        <f t="shared" si="4"/>
        <v>0</v>
      </c>
      <c r="AA51" s="875">
        <f t="shared" si="4"/>
        <v>0</v>
      </c>
      <c r="AB51" s="875">
        <f t="shared" si="4"/>
        <v>0</v>
      </c>
      <c r="AC51" s="878"/>
    </row>
    <row r="52" spans="1:30" x14ac:dyDescent="0.2">
      <c r="A52" s="618" t="s">
        <v>1184</v>
      </c>
      <c r="B52" s="619" t="s">
        <v>747</v>
      </c>
      <c r="C52" s="620">
        <v>244</v>
      </c>
      <c r="D52" s="620">
        <v>221</v>
      </c>
      <c r="E52" s="596">
        <f t="shared" si="0"/>
        <v>36000</v>
      </c>
      <c r="F52" s="595">
        <f>'Прилож 4 24 (5)'!V51</f>
        <v>0</v>
      </c>
      <c r="G52" s="595">
        <f>'Прилож 4 24 (5)'!W51</f>
        <v>0</v>
      </c>
      <c r="H52" s="595">
        <f>'Прилож 4 24 (5)'!X51</f>
        <v>36000</v>
      </c>
      <c r="I52" s="628"/>
      <c r="J52" s="595">
        <f>'Прилож 4 24 (5)'!Z51</f>
        <v>0</v>
      </c>
      <c r="K52" s="595">
        <f>'Прилож 4 24 (5)'!AA51</f>
        <v>0</v>
      </c>
      <c r="L52" s="595">
        <f>'Прилож 4 24 (5)'!AB51</f>
        <v>0</v>
      </c>
      <c r="M52" s="876">
        <f t="shared" si="13"/>
        <v>0</v>
      </c>
      <c r="N52" s="875"/>
      <c r="O52" s="875"/>
      <c r="P52" s="875"/>
      <c r="Q52" s="877"/>
      <c r="R52" s="875"/>
      <c r="S52" s="875"/>
      <c r="T52" s="875"/>
      <c r="U52" s="876">
        <f t="shared" si="12"/>
        <v>36000</v>
      </c>
      <c r="V52" s="875">
        <f t="shared" si="10"/>
        <v>0</v>
      </c>
      <c r="W52" s="875">
        <f t="shared" si="11"/>
        <v>0</v>
      </c>
      <c r="X52" s="875">
        <f t="shared" si="11"/>
        <v>36000</v>
      </c>
      <c r="Y52" s="883"/>
      <c r="Z52" s="875">
        <f t="shared" si="4"/>
        <v>0</v>
      </c>
      <c r="AA52" s="875">
        <f t="shared" si="4"/>
        <v>0</v>
      </c>
      <c r="AB52" s="875">
        <f t="shared" si="4"/>
        <v>0</v>
      </c>
      <c r="AC52" s="878"/>
    </row>
    <row r="53" spans="1:30" x14ac:dyDescent="0.2">
      <c r="A53" s="618" t="s">
        <v>158</v>
      </c>
      <c r="B53" s="619" t="s">
        <v>747</v>
      </c>
      <c r="C53" s="620">
        <v>244</v>
      </c>
      <c r="D53" s="620">
        <v>221</v>
      </c>
      <c r="E53" s="596">
        <f t="shared" si="0"/>
        <v>6600</v>
      </c>
      <c r="F53" s="595">
        <f>'Прилож 4 24 (5)'!V52</f>
        <v>0</v>
      </c>
      <c r="G53" s="595">
        <f>'Прилож 4 24 (5)'!W52</f>
        <v>0</v>
      </c>
      <c r="H53" s="595">
        <f>'Прилож 4 24 (5)'!X52</f>
        <v>6600</v>
      </c>
      <c r="I53" s="628"/>
      <c r="J53" s="595">
        <f>'Прилож 4 24 (5)'!Z52</f>
        <v>0</v>
      </c>
      <c r="K53" s="595">
        <f>'Прилож 4 24 (5)'!AA52</f>
        <v>0</v>
      </c>
      <c r="L53" s="595">
        <f>'Прилож 4 24 (5)'!AB52</f>
        <v>0</v>
      </c>
      <c r="M53" s="876">
        <f t="shared" si="13"/>
        <v>0</v>
      </c>
      <c r="N53" s="875"/>
      <c r="O53" s="875"/>
      <c r="P53" s="875"/>
      <c r="Q53" s="877"/>
      <c r="R53" s="875"/>
      <c r="S53" s="875"/>
      <c r="T53" s="875"/>
      <c r="U53" s="876">
        <f t="shared" si="12"/>
        <v>6600</v>
      </c>
      <c r="V53" s="875">
        <f t="shared" si="10"/>
        <v>0</v>
      </c>
      <c r="W53" s="875">
        <f t="shared" si="11"/>
        <v>0</v>
      </c>
      <c r="X53" s="875">
        <f t="shared" si="11"/>
        <v>6600</v>
      </c>
      <c r="Y53" s="883"/>
      <c r="Z53" s="875">
        <f t="shared" si="4"/>
        <v>0</v>
      </c>
      <c r="AA53" s="875">
        <f t="shared" si="4"/>
        <v>0</v>
      </c>
      <c r="AB53" s="875">
        <f t="shared" si="4"/>
        <v>0</v>
      </c>
      <c r="AC53" s="878"/>
    </row>
    <row r="54" spans="1:30" s="637" customFormat="1" x14ac:dyDescent="0.2">
      <c r="A54" s="632" t="s">
        <v>1143</v>
      </c>
      <c r="B54" s="633" t="s">
        <v>747</v>
      </c>
      <c r="C54" s="634">
        <v>244</v>
      </c>
      <c r="D54" s="634">
        <v>221</v>
      </c>
      <c r="E54" s="596">
        <f t="shared" si="0"/>
        <v>57052.3</v>
      </c>
      <c r="F54" s="595">
        <f>'Прилож 4 24 (5)'!V53</f>
        <v>0</v>
      </c>
      <c r="G54" s="595">
        <f>'Прилож 4 24 (5)'!W53</f>
        <v>0</v>
      </c>
      <c r="H54" s="595">
        <f>'Прилож 4 24 (5)'!X53</f>
        <v>57052.3</v>
      </c>
      <c r="I54" s="635"/>
      <c r="J54" s="595">
        <f>'Прилож 4 24 (5)'!Z53</f>
        <v>0</v>
      </c>
      <c r="K54" s="595">
        <f>'Прилож 4 24 (5)'!AA53</f>
        <v>0</v>
      </c>
      <c r="L54" s="595">
        <f>'Прилож 4 24 (5)'!AB53</f>
        <v>0</v>
      </c>
      <c r="M54" s="876">
        <f t="shared" si="13"/>
        <v>0</v>
      </c>
      <c r="N54" s="884"/>
      <c r="O54" s="884"/>
      <c r="P54" s="884"/>
      <c r="Q54" s="885"/>
      <c r="R54" s="884"/>
      <c r="S54" s="884"/>
      <c r="T54" s="884"/>
      <c r="U54" s="876">
        <f t="shared" si="12"/>
        <v>57052.3</v>
      </c>
      <c r="V54" s="875">
        <f t="shared" si="10"/>
        <v>0</v>
      </c>
      <c r="W54" s="875">
        <f t="shared" si="11"/>
        <v>0</v>
      </c>
      <c r="X54" s="875">
        <f t="shared" si="11"/>
        <v>57052.3</v>
      </c>
      <c r="Y54" s="885"/>
      <c r="Z54" s="875">
        <f t="shared" si="4"/>
        <v>0</v>
      </c>
      <c r="AA54" s="875">
        <f t="shared" si="4"/>
        <v>0</v>
      </c>
      <c r="AB54" s="875">
        <f t="shared" si="4"/>
        <v>0</v>
      </c>
      <c r="AC54" s="886"/>
    </row>
    <row r="55" spans="1:30" ht="31.5" x14ac:dyDescent="0.2">
      <c r="A55" s="618" t="s">
        <v>1183</v>
      </c>
      <c r="B55" s="619" t="s">
        <v>729</v>
      </c>
      <c r="C55" s="620">
        <v>244</v>
      </c>
      <c r="D55" s="620">
        <v>221</v>
      </c>
      <c r="E55" s="596">
        <f t="shared" si="0"/>
        <v>44560.93</v>
      </c>
      <c r="F55" s="595">
        <f>'Прилож 4 24 (5)'!V54</f>
        <v>0</v>
      </c>
      <c r="G55" s="595">
        <f>'Прилож 4 24 (5)'!W54</f>
        <v>0</v>
      </c>
      <c r="H55" s="595">
        <f>'Прилож 4 24 (5)'!X54</f>
        <v>44560.93</v>
      </c>
      <c r="I55" s="628"/>
      <c r="J55" s="595">
        <f>'Прилож 4 24 (5)'!Z54</f>
        <v>0</v>
      </c>
      <c r="K55" s="595">
        <f>'Прилож 4 24 (5)'!AA54</f>
        <v>0</v>
      </c>
      <c r="L55" s="595">
        <f>'Прилож 4 24 (5)'!AB54</f>
        <v>0</v>
      </c>
      <c r="M55" s="876">
        <f t="shared" si="13"/>
        <v>0</v>
      </c>
      <c r="N55" s="875"/>
      <c r="O55" s="875"/>
      <c r="P55" s="875"/>
      <c r="Q55" s="877"/>
      <c r="R55" s="875"/>
      <c r="S55" s="875"/>
      <c r="T55" s="875"/>
      <c r="U55" s="876">
        <f t="shared" si="12"/>
        <v>44560.93</v>
      </c>
      <c r="V55" s="875">
        <f t="shared" si="10"/>
        <v>0</v>
      </c>
      <c r="W55" s="875">
        <f t="shared" si="11"/>
        <v>0</v>
      </c>
      <c r="X55" s="875">
        <f t="shared" si="11"/>
        <v>44560.93</v>
      </c>
      <c r="Y55" s="883"/>
      <c r="Z55" s="875">
        <f t="shared" si="4"/>
        <v>0</v>
      </c>
      <c r="AA55" s="875">
        <f t="shared" si="4"/>
        <v>0</v>
      </c>
      <c r="AB55" s="875">
        <f t="shared" si="4"/>
        <v>0</v>
      </c>
      <c r="AC55" s="878"/>
    </row>
    <row r="56" spans="1:30" ht="53.25" customHeight="1" x14ac:dyDescent="0.2">
      <c r="A56" s="618" t="s">
        <v>597</v>
      </c>
      <c r="B56" s="619" t="s">
        <v>729</v>
      </c>
      <c r="C56" s="620">
        <v>244</v>
      </c>
      <c r="D56" s="620">
        <v>221</v>
      </c>
      <c r="E56" s="596">
        <f t="shared" si="0"/>
        <v>11360</v>
      </c>
      <c r="F56" s="595">
        <f>'Прилож 4 24 (5)'!V55</f>
        <v>0</v>
      </c>
      <c r="G56" s="595">
        <f>'Прилож 4 24 (5)'!W55</f>
        <v>0</v>
      </c>
      <c r="H56" s="595">
        <f>'Прилож 4 24 (5)'!X55</f>
        <v>11360</v>
      </c>
      <c r="I56" s="628"/>
      <c r="J56" s="595">
        <f>'Прилож 4 24 (5)'!Z55</f>
        <v>0</v>
      </c>
      <c r="K56" s="595">
        <f>'Прилож 4 24 (5)'!AA55</f>
        <v>0</v>
      </c>
      <c r="L56" s="595">
        <f>'Прилож 4 24 (5)'!AB55</f>
        <v>0</v>
      </c>
      <c r="M56" s="876">
        <f t="shared" si="13"/>
        <v>0</v>
      </c>
      <c r="N56" s="875"/>
      <c r="O56" s="875"/>
      <c r="P56" s="875"/>
      <c r="Q56" s="877"/>
      <c r="R56" s="875"/>
      <c r="S56" s="875"/>
      <c r="T56" s="875"/>
      <c r="U56" s="876">
        <f t="shared" si="12"/>
        <v>11360</v>
      </c>
      <c r="V56" s="875">
        <f t="shared" si="10"/>
        <v>0</v>
      </c>
      <c r="W56" s="875">
        <f t="shared" si="11"/>
        <v>0</v>
      </c>
      <c r="X56" s="875">
        <f t="shared" si="11"/>
        <v>11360</v>
      </c>
      <c r="Y56" s="883"/>
      <c r="Z56" s="875">
        <f t="shared" si="4"/>
        <v>0</v>
      </c>
      <c r="AA56" s="875">
        <f t="shared" si="4"/>
        <v>0</v>
      </c>
      <c r="AB56" s="875">
        <f t="shared" si="4"/>
        <v>0</v>
      </c>
      <c r="AC56" s="878"/>
    </row>
    <row r="57" spans="1:30" x14ac:dyDescent="0.2">
      <c r="A57" s="618" t="s">
        <v>158</v>
      </c>
      <c r="B57" s="619" t="s">
        <v>729</v>
      </c>
      <c r="C57" s="620">
        <v>244</v>
      </c>
      <c r="D57" s="620">
        <v>221</v>
      </c>
      <c r="E57" s="596">
        <f t="shared" si="0"/>
        <v>6600</v>
      </c>
      <c r="F57" s="595">
        <f>'Прилож 4 24 (5)'!V56</f>
        <v>0</v>
      </c>
      <c r="G57" s="595">
        <f>'Прилож 4 24 (5)'!W56</f>
        <v>0</v>
      </c>
      <c r="H57" s="595">
        <f>'Прилож 4 24 (5)'!X56</f>
        <v>6600</v>
      </c>
      <c r="I57" s="628"/>
      <c r="J57" s="595">
        <f>'Прилож 4 24 (5)'!Z56</f>
        <v>0</v>
      </c>
      <c r="K57" s="595">
        <f>'Прилож 4 24 (5)'!AA56</f>
        <v>0</v>
      </c>
      <c r="L57" s="595">
        <f>'Прилож 4 24 (5)'!AB56</f>
        <v>0</v>
      </c>
      <c r="M57" s="876">
        <f t="shared" si="13"/>
        <v>0</v>
      </c>
      <c r="N57" s="875"/>
      <c r="O57" s="875"/>
      <c r="P57" s="875"/>
      <c r="Q57" s="877"/>
      <c r="R57" s="875"/>
      <c r="S57" s="875"/>
      <c r="T57" s="875"/>
      <c r="U57" s="876">
        <f t="shared" si="12"/>
        <v>6600</v>
      </c>
      <c r="V57" s="875">
        <f t="shared" si="10"/>
        <v>0</v>
      </c>
      <c r="W57" s="875">
        <f t="shared" si="11"/>
        <v>0</v>
      </c>
      <c r="X57" s="875">
        <f t="shared" si="11"/>
        <v>6600</v>
      </c>
      <c r="Y57" s="883"/>
      <c r="Z57" s="875">
        <f t="shared" si="4"/>
        <v>0</v>
      </c>
      <c r="AA57" s="875">
        <f t="shared" si="4"/>
        <v>0</v>
      </c>
      <c r="AB57" s="875">
        <f t="shared" si="4"/>
        <v>0</v>
      </c>
      <c r="AC57" s="878"/>
    </row>
    <row r="58" spans="1:30" s="637" customFormat="1" x14ac:dyDescent="0.2">
      <c r="A58" s="632" t="s">
        <v>1143</v>
      </c>
      <c r="B58" s="633" t="s">
        <v>729</v>
      </c>
      <c r="C58" s="634">
        <v>244</v>
      </c>
      <c r="D58" s="634">
        <v>221</v>
      </c>
      <c r="E58" s="596">
        <f t="shared" si="0"/>
        <v>62520.929999999993</v>
      </c>
      <c r="F58" s="595">
        <f>'Прилож 4 24 (5)'!V57</f>
        <v>0</v>
      </c>
      <c r="G58" s="595">
        <f>'Прилож 4 24 (5)'!W57</f>
        <v>0</v>
      </c>
      <c r="H58" s="595">
        <f>'Прилож 4 24 (5)'!X57</f>
        <v>62520.929999999993</v>
      </c>
      <c r="I58" s="635"/>
      <c r="J58" s="595">
        <f>'Прилож 4 24 (5)'!Z57</f>
        <v>0</v>
      </c>
      <c r="K58" s="595">
        <f>'Прилож 4 24 (5)'!AA57</f>
        <v>0</v>
      </c>
      <c r="L58" s="595">
        <f>'Прилож 4 24 (5)'!AB57</f>
        <v>0</v>
      </c>
      <c r="M58" s="876">
        <f t="shared" si="13"/>
        <v>0</v>
      </c>
      <c r="N58" s="884"/>
      <c r="O58" s="884"/>
      <c r="P58" s="884">
        <f>SUM(P55:P57)</f>
        <v>0</v>
      </c>
      <c r="Q58" s="885"/>
      <c r="R58" s="884"/>
      <c r="S58" s="884"/>
      <c r="T58" s="884"/>
      <c r="U58" s="876">
        <f t="shared" si="12"/>
        <v>62520.929999999993</v>
      </c>
      <c r="V58" s="875">
        <f t="shared" si="10"/>
        <v>0</v>
      </c>
      <c r="W58" s="875">
        <f t="shared" si="11"/>
        <v>0</v>
      </c>
      <c r="X58" s="875">
        <f t="shared" si="11"/>
        <v>62520.929999999993</v>
      </c>
      <c r="Y58" s="885"/>
      <c r="Z58" s="875">
        <f t="shared" si="4"/>
        <v>0</v>
      </c>
      <c r="AA58" s="875">
        <f t="shared" si="4"/>
        <v>0</v>
      </c>
      <c r="AB58" s="875">
        <f t="shared" si="4"/>
        <v>0</v>
      </c>
      <c r="AC58" s="886"/>
    </row>
    <row r="59" spans="1:30" s="614" customFormat="1" x14ac:dyDescent="0.2">
      <c r="A59" s="630" t="s">
        <v>734</v>
      </c>
      <c r="B59" s="631"/>
      <c r="C59" s="624"/>
      <c r="D59" s="624"/>
      <c r="E59" s="596">
        <f t="shared" si="0"/>
        <v>119573.22999999998</v>
      </c>
      <c r="F59" s="595">
        <f>'Прилож 4 24 (5)'!V58</f>
        <v>0</v>
      </c>
      <c r="G59" s="595">
        <f>'Прилож 4 24 (5)'!W58</f>
        <v>0</v>
      </c>
      <c r="H59" s="595">
        <f>'Прилож 4 24 (5)'!X58</f>
        <v>119573.22999999998</v>
      </c>
      <c r="I59" s="626"/>
      <c r="J59" s="595">
        <f>'Прилож 4 24 (5)'!Z58</f>
        <v>0</v>
      </c>
      <c r="K59" s="595">
        <f>'Прилож 4 24 (5)'!AA58</f>
        <v>0</v>
      </c>
      <c r="L59" s="595">
        <f>'Прилож 4 24 (5)'!AB58</f>
        <v>0</v>
      </c>
      <c r="M59" s="876">
        <f t="shared" si="13"/>
        <v>0</v>
      </c>
      <c r="N59" s="876"/>
      <c r="O59" s="876"/>
      <c r="P59" s="876">
        <f>P58+P54</f>
        <v>0</v>
      </c>
      <c r="Q59" s="881"/>
      <c r="R59" s="876"/>
      <c r="S59" s="876"/>
      <c r="T59" s="876"/>
      <c r="U59" s="876">
        <f t="shared" si="12"/>
        <v>119573.22999999998</v>
      </c>
      <c r="V59" s="875">
        <f t="shared" si="10"/>
        <v>0</v>
      </c>
      <c r="W59" s="875">
        <f t="shared" si="11"/>
        <v>0</v>
      </c>
      <c r="X59" s="875">
        <f t="shared" si="11"/>
        <v>119573.22999999998</v>
      </c>
      <c r="Y59" s="881"/>
      <c r="Z59" s="875">
        <f t="shared" si="4"/>
        <v>0</v>
      </c>
      <c r="AA59" s="875">
        <f t="shared" si="4"/>
        <v>0</v>
      </c>
      <c r="AB59" s="875">
        <f t="shared" si="4"/>
        <v>0</v>
      </c>
      <c r="AC59" s="879"/>
    </row>
    <row r="60" spans="1:30" x14ac:dyDescent="0.2">
      <c r="A60" s="618" t="s">
        <v>126</v>
      </c>
      <c r="B60" s="619" t="s">
        <v>747</v>
      </c>
      <c r="C60" s="620">
        <v>244</v>
      </c>
      <c r="D60" s="620">
        <v>223</v>
      </c>
      <c r="E60" s="596">
        <f t="shared" si="0"/>
        <v>30113.4</v>
      </c>
      <c r="F60" s="595">
        <f>'Прилож 4 24 (5)'!V59</f>
        <v>0</v>
      </c>
      <c r="G60" s="595">
        <f>'Прилож 4 24 (5)'!W59</f>
        <v>0</v>
      </c>
      <c r="H60" s="595">
        <f>'Прилож 4 24 (5)'!X59</f>
        <v>30113.4</v>
      </c>
      <c r="I60" s="628"/>
      <c r="J60" s="595">
        <f>'Прилож 4 24 (5)'!Z59</f>
        <v>0</v>
      </c>
      <c r="K60" s="595">
        <f>'Прилож 4 24 (5)'!AA59</f>
        <v>0</v>
      </c>
      <c r="L60" s="595">
        <f>'Прилож 4 24 (5)'!AB59</f>
        <v>0</v>
      </c>
      <c r="M60" s="876">
        <f t="shared" si="13"/>
        <v>0</v>
      </c>
      <c r="N60" s="875"/>
      <c r="O60" s="875"/>
      <c r="P60" s="875"/>
      <c r="Q60" s="877"/>
      <c r="R60" s="875"/>
      <c r="S60" s="875"/>
      <c r="T60" s="875"/>
      <c r="U60" s="876">
        <f t="shared" si="12"/>
        <v>30113.4</v>
      </c>
      <c r="V60" s="875">
        <f t="shared" si="10"/>
        <v>0</v>
      </c>
      <c r="W60" s="875">
        <f t="shared" si="11"/>
        <v>0</v>
      </c>
      <c r="X60" s="875">
        <f t="shared" si="11"/>
        <v>30113.4</v>
      </c>
      <c r="Y60" s="883"/>
      <c r="Z60" s="875">
        <f t="shared" si="4"/>
        <v>0</v>
      </c>
      <c r="AA60" s="875">
        <f t="shared" si="4"/>
        <v>0</v>
      </c>
      <c r="AB60" s="875">
        <f t="shared" si="4"/>
        <v>0</v>
      </c>
      <c r="AC60" s="878"/>
    </row>
    <row r="61" spans="1:30" x14ac:dyDescent="0.2">
      <c r="A61" s="618" t="s">
        <v>1261</v>
      </c>
      <c r="B61" s="619" t="s">
        <v>747</v>
      </c>
      <c r="C61" s="620">
        <v>244</v>
      </c>
      <c r="D61" s="620">
        <v>223</v>
      </c>
      <c r="E61" s="596">
        <f t="shared" si="0"/>
        <v>40636.9</v>
      </c>
      <c r="F61" s="595">
        <f>'Прилож 4 24 (5)'!V60</f>
        <v>0</v>
      </c>
      <c r="G61" s="595">
        <f>'Прилож 4 24 (5)'!W60</f>
        <v>0</v>
      </c>
      <c r="H61" s="595">
        <f>'Прилож 4 24 (5)'!X60</f>
        <v>40636.9</v>
      </c>
      <c r="I61" s="628"/>
      <c r="J61" s="595">
        <f>'Прилож 4 24 (5)'!Z60</f>
        <v>0</v>
      </c>
      <c r="K61" s="595">
        <f>'Прилож 4 24 (5)'!AA60</f>
        <v>0</v>
      </c>
      <c r="L61" s="595">
        <f>'Прилож 4 24 (5)'!AB60</f>
        <v>0</v>
      </c>
      <c r="M61" s="876">
        <f t="shared" si="13"/>
        <v>0</v>
      </c>
      <c r="N61" s="875"/>
      <c r="O61" s="875"/>
      <c r="P61" s="875"/>
      <c r="Q61" s="877"/>
      <c r="R61" s="875"/>
      <c r="S61" s="875"/>
      <c r="T61" s="875"/>
      <c r="U61" s="876">
        <f t="shared" si="12"/>
        <v>40636.9</v>
      </c>
      <c r="V61" s="875">
        <f t="shared" si="10"/>
        <v>0</v>
      </c>
      <c r="W61" s="875">
        <f t="shared" si="11"/>
        <v>0</v>
      </c>
      <c r="X61" s="875">
        <f t="shared" si="11"/>
        <v>40636.9</v>
      </c>
      <c r="Y61" s="883"/>
      <c r="Z61" s="875">
        <f t="shared" si="4"/>
        <v>0</v>
      </c>
      <c r="AA61" s="875">
        <f t="shared" si="4"/>
        <v>0</v>
      </c>
      <c r="AB61" s="875">
        <f t="shared" si="4"/>
        <v>0</v>
      </c>
      <c r="AC61" s="878"/>
    </row>
    <row r="62" spans="1:30" x14ac:dyDescent="0.2">
      <c r="A62" s="618" t="s">
        <v>128</v>
      </c>
      <c r="B62" s="619" t="s">
        <v>747</v>
      </c>
      <c r="C62" s="620">
        <v>244</v>
      </c>
      <c r="D62" s="620">
        <v>223</v>
      </c>
      <c r="E62" s="596">
        <f t="shared" si="0"/>
        <v>75941.84</v>
      </c>
      <c r="F62" s="595">
        <f>'Прилож 4 24 (5)'!V61</f>
        <v>0</v>
      </c>
      <c r="G62" s="595">
        <f>'Прилож 4 24 (5)'!W61</f>
        <v>0</v>
      </c>
      <c r="H62" s="595">
        <f>'Прилож 4 24 (5)'!X61</f>
        <v>75941.84</v>
      </c>
      <c r="I62" s="628"/>
      <c r="J62" s="595">
        <f>'Прилож 4 24 (5)'!Z61</f>
        <v>0</v>
      </c>
      <c r="K62" s="595">
        <f>'Прилож 4 24 (5)'!AA61</f>
        <v>0</v>
      </c>
      <c r="L62" s="595">
        <f>'Прилож 4 24 (5)'!AB61</f>
        <v>0</v>
      </c>
      <c r="M62" s="876">
        <f t="shared" si="13"/>
        <v>0</v>
      </c>
      <c r="N62" s="875"/>
      <c r="O62" s="875"/>
      <c r="P62" s="875"/>
      <c r="Q62" s="877"/>
      <c r="R62" s="875"/>
      <c r="S62" s="875"/>
      <c r="T62" s="875"/>
      <c r="U62" s="876">
        <f t="shared" si="12"/>
        <v>75941.84</v>
      </c>
      <c r="V62" s="875">
        <f t="shared" si="10"/>
        <v>0</v>
      </c>
      <c r="W62" s="875">
        <f t="shared" si="11"/>
        <v>0</v>
      </c>
      <c r="X62" s="875">
        <f t="shared" si="11"/>
        <v>75941.84</v>
      </c>
      <c r="Y62" s="883"/>
      <c r="Z62" s="875">
        <f t="shared" si="4"/>
        <v>0</v>
      </c>
      <c r="AA62" s="875">
        <f t="shared" si="4"/>
        <v>0</v>
      </c>
      <c r="AB62" s="875">
        <f t="shared" si="4"/>
        <v>0</v>
      </c>
      <c r="AC62" s="878"/>
    </row>
    <row r="63" spans="1:30" x14ac:dyDescent="0.2">
      <c r="A63" s="618" t="s">
        <v>1259</v>
      </c>
      <c r="B63" s="619" t="s">
        <v>747</v>
      </c>
      <c r="C63" s="620">
        <v>244</v>
      </c>
      <c r="D63" s="620">
        <v>223</v>
      </c>
      <c r="E63" s="596">
        <f t="shared" si="0"/>
        <v>78343.55</v>
      </c>
      <c r="F63" s="595">
        <f>'Прилож 4 24 (5)'!V62</f>
        <v>0</v>
      </c>
      <c r="G63" s="595">
        <f>'Прилож 4 24 (5)'!W62</f>
        <v>0</v>
      </c>
      <c r="H63" s="595">
        <f>'Прилож 4 24 (5)'!X62</f>
        <v>78343.55</v>
      </c>
      <c r="I63" s="628"/>
      <c r="J63" s="595">
        <f>'Прилож 4 24 (5)'!Z62</f>
        <v>0</v>
      </c>
      <c r="K63" s="595">
        <f>'Прилож 4 24 (5)'!AA62</f>
        <v>0</v>
      </c>
      <c r="L63" s="595">
        <f>'Прилож 4 24 (5)'!AB62</f>
        <v>0</v>
      </c>
      <c r="M63" s="876">
        <f t="shared" si="13"/>
        <v>0</v>
      </c>
      <c r="N63" s="875"/>
      <c r="O63" s="875"/>
      <c r="P63" s="875"/>
      <c r="Q63" s="877"/>
      <c r="R63" s="875"/>
      <c r="S63" s="875"/>
      <c r="T63" s="875"/>
      <c r="U63" s="876">
        <f t="shared" si="12"/>
        <v>78343.55</v>
      </c>
      <c r="V63" s="875">
        <f t="shared" si="10"/>
        <v>0</v>
      </c>
      <c r="W63" s="875">
        <f t="shared" si="11"/>
        <v>0</v>
      </c>
      <c r="X63" s="875">
        <f t="shared" si="11"/>
        <v>78343.55</v>
      </c>
      <c r="Y63" s="883"/>
      <c r="Z63" s="875">
        <f t="shared" si="4"/>
        <v>0</v>
      </c>
      <c r="AA63" s="875">
        <f t="shared" si="4"/>
        <v>0</v>
      </c>
      <c r="AB63" s="875">
        <f t="shared" si="4"/>
        <v>0</v>
      </c>
      <c r="AC63" s="878"/>
    </row>
    <row r="64" spans="1:30" ht="31.5" x14ac:dyDescent="0.2">
      <c r="A64" s="618" t="s">
        <v>1238</v>
      </c>
      <c r="B64" s="619" t="s">
        <v>747</v>
      </c>
      <c r="C64" s="620">
        <v>244</v>
      </c>
      <c r="D64" s="620">
        <v>223</v>
      </c>
      <c r="E64" s="596">
        <f t="shared" si="0"/>
        <v>37970.92</v>
      </c>
      <c r="F64" s="595">
        <f>'Прилож 4 24 (5)'!V63</f>
        <v>0</v>
      </c>
      <c r="G64" s="595">
        <f>'Прилож 4 24 (5)'!W63</f>
        <v>0</v>
      </c>
      <c r="H64" s="595">
        <f>'Прилож 4 24 (5)'!X63</f>
        <v>37970.92</v>
      </c>
      <c r="I64" s="628"/>
      <c r="J64" s="595">
        <f>'Прилож 4 24 (5)'!Z63</f>
        <v>0</v>
      </c>
      <c r="K64" s="595">
        <f>'Прилож 4 24 (5)'!AA63</f>
        <v>0</v>
      </c>
      <c r="L64" s="595">
        <f>'Прилож 4 24 (5)'!AB63</f>
        <v>0</v>
      </c>
      <c r="M64" s="876">
        <f t="shared" si="13"/>
        <v>0</v>
      </c>
      <c r="N64" s="875"/>
      <c r="O64" s="875"/>
      <c r="P64" s="875"/>
      <c r="Q64" s="877"/>
      <c r="R64" s="875"/>
      <c r="S64" s="875"/>
      <c r="T64" s="875"/>
      <c r="U64" s="876">
        <f t="shared" si="12"/>
        <v>37970.92</v>
      </c>
      <c r="V64" s="875">
        <f t="shared" si="10"/>
        <v>0</v>
      </c>
      <c r="W64" s="875">
        <f t="shared" si="11"/>
        <v>0</v>
      </c>
      <c r="X64" s="875">
        <f t="shared" si="11"/>
        <v>37970.92</v>
      </c>
      <c r="Y64" s="883"/>
      <c r="Z64" s="875">
        <f t="shared" si="4"/>
        <v>0</v>
      </c>
      <c r="AA64" s="875">
        <f t="shared" si="4"/>
        <v>0</v>
      </c>
      <c r="AB64" s="875">
        <f t="shared" si="4"/>
        <v>0</v>
      </c>
      <c r="AC64" s="878"/>
    </row>
    <row r="65" spans="1:29" ht="31.5" x14ac:dyDescent="0.2">
      <c r="A65" s="618" t="s">
        <v>1262</v>
      </c>
      <c r="B65" s="619" t="s">
        <v>747</v>
      </c>
      <c r="C65" s="620">
        <v>244</v>
      </c>
      <c r="D65" s="620">
        <v>223</v>
      </c>
      <c r="E65" s="596">
        <f t="shared" si="0"/>
        <v>39171.78</v>
      </c>
      <c r="F65" s="595">
        <f>'Прилож 4 24 (5)'!V64</f>
        <v>0</v>
      </c>
      <c r="G65" s="595">
        <f>'Прилож 4 24 (5)'!W64</f>
        <v>0</v>
      </c>
      <c r="H65" s="595">
        <f>'Прилож 4 24 (5)'!X64</f>
        <v>39171.78</v>
      </c>
      <c r="I65" s="628"/>
      <c r="J65" s="595">
        <f>'Прилож 4 24 (5)'!Z64</f>
        <v>0</v>
      </c>
      <c r="K65" s="595">
        <f>'Прилож 4 24 (5)'!AA64</f>
        <v>0</v>
      </c>
      <c r="L65" s="595">
        <f>'Прилож 4 24 (5)'!AB64</f>
        <v>0</v>
      </c>
      <c r="M65" s="876">
        <f t="shared" si="13"/>
        <v>0</v>
      </c>
      <c r="N65" s="875"/>
      <c r="O65" s="875"/>
      <c r="P65" s="875"/>
      <c r="Q65" s="877"/>
      <c r="R65" s="875"/>
      <c r="S65" s="875"/>
      <c r="T65" s="875"/>
      <c r="U65" s="876">
        <f t="shared" si="12"/>
        <v>39171.78</v>
      </c>
      <c r="V65" s="875">
        <f t="shared" si="10"/>
        <v>0</v>
      </c>
      <c r="W65" s="875">
        <f t="shared" si="11"/>
        <v>0</v>
      </c>
      <c r="X65" s="875">
        <f t="shared" si="11"/>
        <v>39171.78</v>
      </c>
      <c r="Y65" s="883"/>
      <c r="Z65" s="875">
        <f t="shared" si="4"/>
        <v>0</v>
      </c>
      <c r="AA65" s="875">
        <f t="shared" si="4"/>
        <v>0</v>
      </c>
      <c r="AB65" s="875">
        <f t="shared" si="4"/>
        <v>0</v>
      </c>
      <c r="AC65" s="878"/>
    </row>
    <row r="66" spans="1:29" ht="31.5" x14ac:dyDescent="0.2">
      <c r="A66" s="618" t="s">
        <v>1140</v>
      </c>
      <c r="B66" s="619" t="s">
        <v>747</v>
      </c>
      <c r="C66" s="620">
        <v>244</v>
      </c>
      <c r="D66" s="620">
        <v>223</v>
      </c>
      <c r="E66" s="596">
        <f t="shared" si="0"/>
        <v>9612.2000000000007</v>
      </c>
      <c r="F66" s="595">
        <f>'Прилож 4 24 (5)'!V65</f>
        <v>0</v>
      </c>
      <c r="G66" s="595">
        <f>'Прилож 4 24 (5)'!W65</f>
        <v>0</v>
      </c>
      <c r="H66" s="595">
        <f>'Прилож 4 24 (5)'!X65</f>
        <v>9612.2000000000007</v>
      </c>
      <c r="I66" s="628"/>
      <c r="J66" s="595">
        <f>'Прилож 4 24 (5)'!Z65</f>
        <v>0</v>
      </c>
      <c r="K66" s="595">
        <f>'Прилож 4 24 (5)'!AA65</f>
        <v>0</v>
      </c>
      <c r="L66" s="595">
        <f>'Прилож 4 24 (5)'!AB65</f>
        <v>0</v>
      </c>
      <c r="M66" s="876">
        <f t="shared" si="13"/>
        <v>0</v>
      </c>
      <c r="N66" s="875"/>
      <c r="O66" s="875"/>
      <c r="P66" s="875"/>
      <c r="Q66" s="877"/>
      <c r="R66" s="875"/>
      <c r="S66" s="875"/>
      <c r="T66" s="875"/>
      <c r="U66" s="876">
        <f t="shared" si="12"/>
        <v>9612.2000000000007</v>
      </c>
      <c r="V66" s="875">
        <f t="shared" si="10"/>
        <v>0</v>
      </c>
      <c r="W66" s="875">
        <f t="shared" si="11"/>
        <v>0</v>
      </c>
      <c r="X66" s="875">
        <f t="shared" si="11"/>
        <v>9612.2000000000007</v>
      </c>
      <c r="Y66" s="883"/>
      <c r="Z66" s="875">
        <f t="shared" si="4"/>
        <v>0</v>
      </c>
      <c r="AA66" s="875">
        <f t="shared" si="4"/>
        <v>0</v>
      </c>
      <c r="AB66" s="875">
        <f t="shared" si="4"/>
        <v>0</v>
      </c>
      <c r="AC66" s="878"/>
    </row>
    <row r="67" spans="1:29" ht="48.75" customHeight="1" x14ac:dyDescent="0.2">
      <c r="A67" s="618" t="s">
        <v>1141</v>
      </c>
      <c r="B67" s="619" t="s">
        <v>747</v>
      </c>
      <c r="C67" s="620">
        <v>244</v>
      </c>
      <c r="D67" s="620">
        <v>223</v>
      </c>
      <c r="E67" s="596">
        <f t="shared" si="0"/>
        <v>9008.24</v>
      </c>
      <c r="F67" s="595">
        <f>'Прилож 4 24 (5)'!V66</f>
        <v>0</v>
      </c>
      <c r="G67" s="595">
        <f>'Прилож 4 24 (5)'!W66</f>
        <v>0</v>
      </c>
      <c r="H67" s="595">
        <f>'Прилож 4 24 (5)'!X66</f>
        <v>9008.24</v>
      </c>
      <c r="I67" s="628"/>
      <c r="J67" s="595">
        <f>'Прилож 4 24 (5)'!Z66</f>
        <v>0</v>
      </c>
      <c r="K67" s="595">
        <f>'Прилож 4 24 (5)'!AA66</f>
        <v>0</v>
      </c>
      <c r="L67" s="595">
        <f>'Прилож 4 24 (5)'!AB66</f>
        <v>0</v>
      </c>
      <c r="M67" s="876">
        <f t="shared" si="13"/>
        <v>0</v>
      </c>
      <c r="N67" s="875"/>
      <c r="O67" s="875"/>
      <c r="P67" s="875"/>
      <c r="Q67" s="877"/>
      <c r="R67" s="875"/>
      <c r="S67" s="875"/>
      <c r="T67" s="875"/>
      <c r="U67" s="876">
        <f t="shared" si="12"/>
        <v>9008.24</v>
      </c>
      <c r="V67" s="875">
        <f t="shared" si="10"/>
        <v>0</v>
      </c>
      <c r="W67" s="875">
        <f t="shared" si="11"/>
        <v>0</v>
      </c>
      <c r="X67" s="875">
        <f t="shared" si="11"/>
        <v>9008.24</v>
      </c>
      <c r="Y67" s="883"/>
      <c r="Z67" s="875">
        <f t="shared" si="4"/>
        <v>0</v>
      </c>
      <c r="AA67" s="875">
        <f t="shared" si="4"/>
        <v>0</v>
      </c>
      <c r="AB67" s="875">
        <f t="shared" si="4"/>
        <v>0</v>
      </c>
      <c r="AC67" s="878"/>
    </row>
    <row r="68" spans="1:29" ht="48.75" customHeight="1" x14ac:dyDescent="0.2">
      <c r="A68" s="618" t="s">
        <v>130</v>
      </c>
      <c r="B68" s="619" t="s">
        <v>747</v>
      </c>
      <c r="C68" s="620">
        <v>244</v>
      </c>
      <c r="D68" s="620">
        <v>223</v>
      </c>
      <c r="E68" s="596">
        <f t="shared" si="0"/>
        <v>50838.7</v>
      </c>
      <c r="F68" s="595">
        <f>'Прилож 4 24 (5)'!V67</f>
        <v>0</v>
      </c>
      <c r="G68" s="595">
        <f>'Прилож 4 24 (5)'!W67</f>
        <v>0</v>
      </c>
      <c r="H68" s="595">
        <f>'Прилож 4 24 (5)'!X67</f>
        <v>50838.7</v>
      </c>
      <c r="I68" s="628"/>
      <c r="J68" s="595">
        <f>'Прилож 4 24 (5)'!Z67</f>
        <v>0</v>
      </c>
      <c r="K68" s="595">
        <f>'Прилож 4 24 (5)'!AA67</f>
        <v>0</v>
      </c>
      <c r="L68" s="595">
        <f>'Прилож 4 24 (5)'!AB67</f>
        <v>0</v>
      </c>
      <c r="M68" s="876">
        <f t="shared" si="13"/>
        <v>0</v>
      </c>
      <c r="N68" s="875"/>
      <c r="O68" s="875"/>
      <c r="P68" s="875"/>
      <c r="Q68" s="877"/>
      <c r="R68" s="875"/>
      <c r="S68" s="875"/>
      <c r="T68" s="875"/>
      <c r="U68" s="876">
        <f t="shared" si="12"/>
        <v>50838.7</v>
      </c>
      <c r="V68" s="875">
        <f t="shared" si="10"/>
        <v>0</v>
      </c>
      <c r="W68" s="875">
        <f t="shared" si="11"/>
        <v>0</v>
      </c>
      <c r="X68" s="875">
        <f t="shared" si="11"/>
        <v>50838.7</v>
      </c>
      <c r="Y68" s="883"/>
      <c r="Z68" s="875">
        <f t="shared" si="4"/>
        <v>0</v>
      </c>
      <c r="AA68" s="875">
        <f t="shared" si="4"/>
        <v>0</v>
      </c>
      <c r="AB68" s="875">
        <f t="shared" si="4"/>
        <v>0</v>
      </c>
      <c r="AC68" s="878"/>
    </row>
    <row r="69" spans="1:29" s="637" customFormat="1" ht="16.5" customHeight="1" x14ac:dyDescent="0.2">
      <c r="A69" s="632" t="s">
        <v>1143</v>
      </c>
      <c r="B69" s="633" t="s">
        <v>747</v>
      </c>
      <c r="C69" s="634">
        <v>244</v>
      </c>
      <c r="D69" s="634">
        <v>223</v>
      </c>
      <c r="E69" s="596">
        <f t="shared" si="0"/>
        <v>371637.53</v>
      </c>
      <c r="F69" s="595">
        <f>'Прилож 4 24 (5)'!V68</f>
        <v>0</v>
      </c>
      <c r="G69" s="595">
        <f>'Прилож 4 24 (5)'!W68</f>
        <v>0</v>
      </c>
      <c r="H69" s="595">
        <f>'Прилож 4 24 (5)'!X68</f>
        <v>371637.53</v>
      </c>
      <c r="I69" s="639"/>
      <c r="J69" s="595">
        <f>'Прилож 4 24 (5)'!Z68</f>
        <v>0</v>
      </c>
      <c r="K69" s="595">
        <f>'Прилож 4 24 (5)'!AA68</f>
        <v>0</v>
      </c>
      <c r="L69" s="595">
        <f>'Прилож 4 24 (5)'!AB68</f>
        <v>0</v>
      </c>
      <c r="M69" s="876">
        <f t="shared" si="13"/>
        <v>0</v>
      </c>
      <c r="N69" s="887"/>
      <c r="O69" s="887"/>
      <c r="P69" s="887"/>
      <c r="Q69" s="888"/>
      <c r="R69" s="887"/>
      <c r="S69" s="887"/>
      <c r="T69" s="887"/>
      <c r="U69" s="876">
        <f t="shared" si="12"/>
        <v>371637.53</v>
      </c>
      <c r="V69" s="875">
        <f t="shared" si="10"/>
        <v>0</v>
      </c>
      <c r="W69" s="875">
        <f t="shared" si="11"/>
        <v>0</v>
      </c>
      <c r="X69" s="875">
        <f t="shared" si="11"/>
        <v>371637.53</v>
      </c>
      <c r="Y69" s="889"/>
      <c r="Z69" s="875">
        <f t="shared" si="4"/>
        <v>0</v>
      </c>
      <c r="AA69" s="875">
        <f t="shared" si="4"/>
        <v>0</v>
      </c>
      <c r="AB69" s="875">
        <f t="shared" si="4"/>
        <v>0</v>
      </c>
      <c r="AC69" s="886"/>
    </row>
    <row r="70" spans="1:29" x14ac:dyDescent="0.2">
      <c r="A70" s="618" t="s">
        <v>126</v>
      </c>
      <c r="B70" s="619" t="s">
        <v>729</v>
      </c>
      <c r="C70" s="620">
        <v>244</v>
      </c>
      <c r="D70" s="620">
        <v>223</v>
      </c>
      <c r="E70" s="596">
        <f t="shared" si="0"/>
        <v>17818.059999999998</v>
      </c>
      <c r="F70" s="595">
        <f>'Прилож 4 24 (5)'!V69</f>
        <v>0</v>
      </c>
      <c r="G70" s="595">
        <f>'Прилож 4 24 (5)'!W69</f>
        <v>0</v>
      </c>
      <c r="H70" s="595">
        <f>'Прилож 4 24 (5)'!X69</f>
        <v>9511.2999999999993</v>
      </c>
      <c r="I70" s="628"/>
      <c r="J70" s="595">
        <f>'Прилож 4 24 (5)'!Z69</f>
        <v>0</v>
      </c>
      <c r="K70" s="595">
        <f>'Прилож 4 24 (5)'!AA69</f>
        <v>0</v>
      </c>
      <c r="L70" s="595">
        <f>'Прилож 4 24 (5)'!AB69</f>
        <v>8306.76</v>
      </c>
      <c r="M70" s="876">
        <f t="shared" si="13"/>
        <v>0</v>
      </c>
      <c r="N70" s="875"/>
      <c r="O70" s="875"/>
      <c r="P70" s="875"/>
      <c r="Q70" s="877"/>
      <c r="R70" s="875"/>
      <c r="S70" s="875"/>
      <c r="T70" s="875"/>
      <c r="U70" s="876">
        <f t="shared" si="12"/>
        <v>17818.059999999998</v>
      </c>
      <c r="V70" s="875">
        <f t="shared" si="10"/>
        <v>0</v>
      </c>
      <c r="W70" s="875">
        <f t="shared" si="11"/>
        <v>0</v>
      </c>
      <c r="X70" s="875">
        <f t="shared" si="11"/>
        <v>9511.2999999999993</v>
      </c>
      <c r="Y70" s="883"/>
      <c r="Z70" s="875">
        <f t="shared" si="4"/>
        <v>0</v>
      </c>
      <c r="AA70" s="875">
        <f t="shared" si="4"/>
        <v>0</v>
      </c>
      <c r="AB70" s="875">
        <f t="shared" si="4"/>
        <v>8306.76</v>
      </c>
      <c r="AC70" s="878"/>
    </row>
    <row r="71" spans="1:29" x14ac:dyDescent="0.2">
      <c r="A71" s="618" t="s">
        <v>127</v>
      </c>
      <c r="B71" s="619" t="s">
        <v>729</v>
      </c>
      <c r="C71" s="620">
        <v>244</v>
      </c>
      <c r="D71" s="620">
        <v>223</v>
      </c>
      <c r="E71" s="596">
        <f t="shared" si="0"/>
        <v>10576.599999999999</v>
      </c>
      <c r="F71" s="595">
        <f>'Прилож 4 24 (5)'!V70</f>
        <v>0</v>
      </c>
      <c r="G71" s="595">
        <f>'Прилож 4 24 (5)'!W70</f>
        <v>0</v>
      </c>
      <c r="H71" s="595">
        <f>'Прилож 4 24 (5)'!X70</f>
        <v>4191.91</v>
      </c>
      <c r="I71" s="628"/>
      <c r="J71" s="595">
        <f>'Прилож 4 24 (5)'!Z70</f>
        <v>0</v>
      </c>
      <c r="K71" s="595">
        <f>'Прилож 4 24 (5)'!AA70</f>
        <v>0</v>
      </c>
      <c r="L71" s="595">
        <f>'Прилож 4 24 (5)'!AB70</f>
        <v>6384.69</v>
      </c>
      <c r="M71" s="876">
        <f t="shared" si="13"/>
        <v>0</v>
      </c>
      <c r="N71" s="875"/>
      <c r="O71" s="875"/>
      <c r="P71" s="875"/>
      <c r="Q71" s="877"/>
      <c r="R71" s="875"/>
      <c r="S71" s="875"/>
      <c r="T71" s="875"/>
      <c r="U71" s="876">
        <f t="shared" si="12"/>
        <v>10576.599999999999</v>
      </c>
      <c r="V71" s="875">
        <f t="shared" si="10"/>
        <v>0</v>
      </c>
      <c r="W71" s="875">
        <f t="shared" si="11"/>
        <v>0</v>
      </c>
      <c r="X71" s="875">
        <f t="shared" si="11"/>
        <v>4191.91</v>
      </c>
      <c r="Y71" s="883"/>
      <c r="Z71" s="875">
        <f t="shared" si="4"/>
        <v>0</v>
      </c>
      <c r="AA71" s="875">
        <f t="shared" si="4"/>
        <v>0</v>
      </c>
      <c r="AB71" s="875">
        <f t="shared" si="4"/>
        <v>6384.69</v>
      </c>
      <c r="AC71" s="878"/>
    </row>
    <row r="72" spans="1:29" x14ac:dyDescent="0.2">
      <c r="A72" s="618" t="s">
        <v>128</v>
      </c>
      <c r="B72" s="619" t="s">
        <v>729</v>
      </c>
      <c r="C72" s="620">
        <v>244</v>
      </c>
      <c r="D72" s="620">
        <v>223</v>
      </c>
      <c r="E72" s="596">
        <f t="shared" si="0"/>
        <v>36541.259999999995</v>
      </c>
      <c r="F72" s="595">
        <f>'Прилож 4 24 (5)'!V71</f>
        <v>0</v>
      </c>
      <c r="G72" s="595">
        <f>'Прилож 4 24 (5)'!W71</f>
        <v>0</v>
      </c>
      <c r="H72" s="595">
        <f>'Прилож 4 24 (5)'!X71</f>
        <v>19267.8</v>
      </c>
      <c r="I72" s="628"/>
      <c r="J72" s="595">
        <f>'Прилож 4 24 (5)'!Z71</f>
        <v>0</v>
      </c>
      <c r="K72" s="595">
        <f>'Прилож 4 24 (5)'!AA71</f>
        <v>0</v>
      </c>
      <c r="L72" s="595">
        <f>'Прилож 4 24 (5)'!AB71</f>
        <v>17273.46</v>
      </c>
      <c r="M72" s="876">
        <f t="shared" si="13"/>
        <v>0</v>
      </c>
      <c r="N72" s="875"/>
      <c r="O72" s="875"/>
      <c r="P72" s="875"/>
      <c r="Q72" s="877"/>
      <c r="R72" s="875"/>
      <c r="S72" s="875"/>
      <c r="T72" s="875"/>
      <c r="U72" s="876">
        <f t="shared" si="12"/>
        <v>36541.259999999995</v>
      </c>
      <c r="V72" s="875">
        <f t="shared" si="10"/>
        <v>0</v>
      </c>
      <c r="W72" s="875">
        <f t="shared" si="11"/>
        <v>0</v>
      </c>
      <c r="X72" s="875">
        <f t="shared" si="11"/>
        <v>19267.8</v>
      </c>
      <c r="Y72" s="883"/>
      <c r="Z72" s="875">
        <f t="shared" si="4"/>
        <v>0</v>
      </c>
      <c r="AA72" s="875">
        <f t="shared" si="4"/>
        <v>0</v>
      </c>
      <c r="AB72" s="875">
        <f t="shared" si="4"/>
        <v>17273.46</v>
      </c>
      <c r="AC72" s="878"/>
    </row>
    <row r="73" spans="1:29" x14ac:dyDescent="0.2">
      <c r="A73" s="618" t="s">
        <v>129</v>
      </c>
      <c r="B73" s="619" t="s">
        <v>729</v>
      </c>
      <c r="C73" s="620">
        <v>244</v>
      </c>
      <c r="D73" s="620">
        <v>223</v>
      </c>
      <c r="E73" s="596">
        <f t="shared" si="0"/>
        <v>26001.4</v>
      </c>
      <c r="F73" s="595">
        <f>'Прилож 4 24 (5)'!V72</f>
        <v>0</v>
      </c>
      <c r="G73" s="595">
        <f>'Прилож 4 24 (5)'!W72</f>
        <v>0</v>
      </c>
      <c r="H73" s="595">
        <f>'Прилож 4 24 (5)'!X72</f>
        <v>12829.48</v>
      </c>
      <c r="I73" s="628"/>
      <c r="J73" s="595">
        <f>'Прилож 4 24 (5)'!Z72</f>
        <v>0</v>
      </c>
      <c r="K73" s="595">
        <f>'Прилож 4 24 (5)'!AA72</f>
        <v>0</v>
      </c>
      <c r="L73" s="595">
        <f>'Прилож 4 24 (5)'!AB72</f>
        <v>13171.92</v>
      </c>
      <c r="M73" s="876">
        <f t="shared" si="13"/>
        <v>0</v>
      </c>
      <c r="N73" s="875"/>
      <c r="O73" s="875"/>
      <c r="P73" s="875"/>
      <c r="Q73" s="877"/>
      <c r="R73" s="875"/>
      <c r="S73" s="875"/>
      <c r="T73" s="875"/>
      <c r="U73" s="876">
        <f t="shared" si="12"/>
        <v>26001.4</v>
      </c>
      <c r="V73" s="875">
        <f t="shared" si="10"/>
        <v>0</v>
      </c>
      <c r="W73" s="875">
        <f t="shared" si="11"/>
        <v>0</v>
      </c>
      <c r="X73" s="875">
        <f t="shared" si="11"/>
        <v>12829.48</v>
      </c>
      <c r="Y73" s="883"/>
      <c r="Z73" s="875">
        <f t="shared" si="4"/>
        <v>0</v>
      </c>
      <c r="AA73" s="875">
        <f t="shared" si="4"/>
        <v>0</v>
      </c>
      <c r="AB73" s="875">
        <f t="shared" si="4"/>
        <v>13171.92</v>
      </c>
      <c r="AC73" s="878"/>
    </row>
    <row r="74" spans="1:29" ht="31.5" x14ac:dyDescent="0.2">
      <c r="A74" s="618" t="s">
        <v>1238</v>
      </c>
      <c r="B74" s="619" t="s">
        <v>729</v>
      </c>
      <c r="C74" s="620">
        <v>244</v>
      </c>
      <c r="D74" s="620">
        <v>223</v>
      </c>
      <c r="E74" s="596">
        <f t="shared" si="0"/>
        <v>18270.629999999997</v>
      </c>
      <c r="F74" s="595">
        <f>'Прилож 4 24 (5)'!V73</f>
        <v>0</v>
      </c>
      <c r="G74" s="595">
        <f>'Прилож 4 24 (5)'!W73</f>
        <v>0</v>
      </c>
      <c r="H74" s="595">
        <f>'Прилож 4 24 (5)'!X73</f>
        <v>9633.9</v>
      </c>
      <c r="I74" s="628"/>
      <c r="J74" s="595">
        <f>'Прилож 4 24 (5)'!Z73</f>
        <v>0</v>
      </c>
      <c r="K74" s="595">
        <f>'Прилож 4 24 (5)'!AA73</f>
        <v>0</v>
      </c>
      <c r="L74" s="595">
        <f>'Прилож 4 24 (5)'!AB73</f>
        <v>8636.73</v>
      </c>
      <c r="M74" s="876">
        <f t="shared" si="13"/>
        <v>0</v>
      </c>
      <c r="N74" s="875"/>
      <c r="O74" s="875"/>
      <c r="P74" s="875"/>
      <c r="Q74" s="877"/>
      <c r="R74" s="875"/>
      <c r="S74" s="875"/>
      <c r="T74" s="875"/>
      <c r="U74" s="876">
        <f t="shared" si="12"/>
        <v>18270.629999999997</v>
      </c>
      <c r="V74" s="875">
        <f t="shared" si="10"/>
        <v>0</v>
      </c>
      <c r="W74" s="875">
        <f t="shared" si="11"/>
        <v>0</v>
      </c>
      <c r="X74" s="875">
        <f t="shared" si="11"/>
        <v>9633.9</v>
      </c>
      <c r="Y74" s="883"/>
      <c r="Z74" s="875">
        <f t="shared" si="4"/>
        <v>0</v>
      </c>
      <c r="AA74" s="875">
        <f t="shared" si="4"/>
        <v>0</v>
      </c>
      <c r="AB74" s="875">
        <f t="shared" si="4"/>
        <v>8636.73</v>
      </c>
      <c r="AC74" s="878"/>
    </row>
    <row r="75" spans="1:29" ht="31.5" x14ac:dyDescent="0.2">
      <c r="A75" s="618" t="s">
        <v>1239</v>
      </c>
      <c r="B75" s="619" t="s">
        <v>729</v>
      </c>
      <c r="C75" s="620">
        <v>244</v>
      </c>
      <c r="D75" s="620">
        <v>223</v>
      </c>
      <c r="E75" s="596">
        <f t="shared" si="0"/>
        <v>13000.7</v>
      </c>
      <c r="F75" s="595">
        <f>'Прилож 4 24 (5)'!V74</f>
        <v>0</v>
      </c>
      <c r="G75" s="595">
        <f>'Прилож 4 24 (5)'!W74</f>
        <v>0</v>
      </c>
      <c r="H75" s="595">
        <f>'Прилож 4 24 (5)'!X74</f>
        <v>6414.74</v>
      </c>
      <c r="I75" s="628"/>
      <c r="J75" s="595">
        <f>'Прилож 4 24 (5)'!Z74</f>
        <v>0</v>
      </c>
      <c r="K75" s="595">
        <f>'Прилож 4 24 (5)'!AA74</f>
        <v>0</v>
      </c>
      <c r="L75" s="595">
        <f>'Прилож 4 24 (5)'!AB74</f>
        <v>6585.96</v>
      </c>
      <c r="M75" s="876">
        <f t="shared" si="13"/>
        <v>0</v>
      </c>
      <c r="N75" s="875"/>
      <c r="O75" s="875"/>
      <c r="P75" s="875"/>
      <c r="Q75" s="877"/>
      <c r="R75" s="875"/>
      <c r="S75" s="875"/>
      <c r="T75" s="875"/>
      <c r="U75" s="876">
        <f t="shared" si="12"/>
        <v>13000.7</v>
      </c>
      <c r="V75" s="875">
        <f t="shared" si="10"/>
        <v>0</v>
      </c>
      <c r="W75" s="875">
        <f t="shared" si="11"/>
        <v>0</v>
      </c>
      <c r="X75" s="875">
        <f t="shared" si="11"/>
        <v>6414.74</v>
      </c>
      <c r="Y75" s="883"/>
      <c r="Z75" s="875">
        <f t="shared" si="4"/>
        <v>0</v>
      </c>
      <c r="AA75" s="875">
        <f t="shared" si="4"/>
        <v>0</v>
      </c>
      <c r="AB75" s="875">
        <f t="shared" si="4"/>
        <v>6585.96</v>
      </c>
      <c r="AC75" s="878"/>
    </row>
    <row r="76" spans="1:29" ht="31.5" x14ac:dyDescent="0.2">
      <c r="A76" s="618" t="s">
        <v>1140</v>
      </c>
      <c r="B76" s="619" t="s">
        <v>729</v>
      </c>
      <c r="C76" s="620">
        <v>244</v>
      </c>
      <c r="D76" s="620">
        <v>223</v>
      </c>
      <c r="E76" s="596">
        <f t="shared" si="0"/>
        <v>30788.12</v>
      </c>
      <c r="F76" s="595">
        <f>'Прилож 4 24 (5)'!V75</f>
        <v>0</v>
      </c>
      <c r="G76" s="595">
        <f>'Прилож 4 24 (5)'!W75</f>
        <v>0</v>
      </c>
      <c r="H76" s="595">
        <f>'Прилож 4 24 (5)'!X75</f>
        <v>30788.12</v>
      </c>
      <c r="I76" s="628"/>
      <c r="J76" s="595">
        <f>'Прилож 4 24 (5)'!Z75</f>
        <v>0</v>
      </c>
      <c r="K76" s="595">
        <f>'Прилож 4 24 (5)'!AA75</f>
        <v>0</v>
      </c>
      <c r="L76" s="595">
        <f>'Прилож 4 24 (5)'!AB75</f>
        <v>0</v>
      </c>
      <c r="M76" s="876">
        <f t="shared" si="13"/>
        <v>0</v>
      </c>
      <c r="N76" s="875"/>
      <c r="O76" s="875"/>
      <c r="P76" s="875"/>
      <c r="Q76" s="877"/>
      <c r="R76" s="875"/>
      <c r="S76" s="875"/>
      <c r="T76" s="875"/>
      <c r="U76" s="876">
        <f t="shared" si="12"/>
        <v>30788.12</v>
      </c>
      <c r="V76" s="875">
        <f t="shared" si="10"/>
        <v>0</v>
      </c>
      <c r="W76" s="875">
        <f t="shared" si="11"/>
        <v>0</v>
      </c>
      <c r="X76" s="875">
        <f t="shared" si="11"/>
        <v>30788.12</v>
      </c>
      <c r="Y76" s="883"/>
      <c r="Z76" s="875">
        <f t="shared" si="4"/>
        <v>0</v>
      </c>
      <c r="AA76" s="875">
        <f t="shared" si="4"/>
        <v>0</v>
      </c>
      <c r="AB76" s="875">
        <f t="shared" si="4"/>
        <v>0</v>
      </c>
      <c r="AC76" s="878"/>
    </row>
    <row r="77" spans="1:29" ht="31.5" x14ac:dyDescent="0.2">
      <c r="A77" s="618" t="s">
        <v>1141</v>
      </c>
      <c r="B77" s="619" t="s">
        <v>729</v>
      </c>
      <c r="C77" s="620">
        <v>244</v>
      </c>
      <c r="D77" s="620">
        <v>223</v>
      </c>
      <c r="E77" s="596">
        <f t="shared" ref="E77:E140" si="16">L77+K77+J77+H77+G77+F77</f>
        <v>28826.37</v>
      </c>
      <c r="F77" s="595">
        <f>'Прилож 4 24 (5)'!V76</f>
        <v>0</v>
      </c>
      <c r="G77" s="595">
        <f>'Прилож 4 24 (5)'!W76</f>
        <v>0</v>
      </c>
      <c r="H77" s="595">
        <f>'Прилож 4 24 (5)'!X76</f>
        <v>28826.37</v>
      </c>
      <c r="I77" s="628"/>
      <c r="J77" s="595">
        <f>'Прилож 4 24 (5)'!Z76</f>
        <v>0</v>
      </c>
      <c r="K77" s="595">
        <f>'Прилож 4 24 (5)'!AA76</f>
        <v>0</v>
      </c>
      <c r="L77" s="595">
        <f>'Прилож 4 24 (5)'!AB76</f>
        <v>0</v>
      </c>
      <c r="M77" s="876">
        <f t="shared" si="13"/>
        <v>0</v>
      </c>
      <c r="N77" s="875"/>
      <c r="O77" s="875"/>
      <c r="P77" s="875"/>
      <c r="Q77" s="877"/>
      <c r="R77" s="875"/>
      <c r="S77" s="875"/>
      <c r="T77" s="875"/>
      <c r="U77" s="876">
        <f t="shared" si="12"/>
        <v>28826.37</v>
      </c>
      <c r="V77" s="875">
        <f t="shared" si="10"/>
        <v>0</v>
      </c>
      <c r="W77" s="875">
        <f t="shared" si="11"/>
        <v>0</v>
      </c>
      <c r="X77" s="875">
        <f t="shared" si="11"/>
        <v>28826.37</v>
      </c>
      <c r="Y77" s="883"/>
      <c r="Z77" s="875">
        <f t="shared" si="4"/>
        <v>0</v>
      </c>
      <c r="AA77" s="875">
        <f t="shared" si="4"/>
        <v>0</v>
      </c>
      <c r="AB77" s="875">
        <f t="shared" si="4"/>
        <v>0</v>
      </c>
      <c r="AC77" s="878"/>
    </row>
    <row r="78" spans="1:29" ht="44.25" customHeight="1" x14ac:dyDescent="0.2">
      <c r="A78" s="618" t="s">
        <v>130</v>
      </c>
      <c r="B78" s="619" t="s">
        <v>729</v>
      </c>
      <c r="C78" s="620">
        <v>244</v>
      </c>
      <c r="D78" s="620">
        <v>223</v>
      </c>
      <c r="E78" s="596">
        <f t="shared" si="16"/>
        <v>51300</v>
      </c>
      <c r="F78" s="595">
        <f>'Прилож 4 24 (5)'!V77</f>
        <v>0</v>
      </c>
      <c r="G78" s="595">
        <f>'Прилож 4 24 (5)'!W77</f>
        <v>0</v>
      </c>
      <c r="H78" s="595">
        <f>'Прилож 4 24 (5)'!X77</f>
        <v>51300</v>
      </c>
      <c r="I78" s="628"/>
      <c r="J78" s="595">
        <f>'Прилож 4 24 (5)'!Z77</f>
        <v>0</v>
      </c>
      <c r="K78" s="595">
        <f>'Прилож 4 24 (5)'!AA77</f>
        <v>0</v>
      </c>
      <c r="L78" s="595">
        <f>'Прилож 4 24 (5)'!AB77</f>
        <v>0</v>
      </c>
      <c r="M78" s="876">
        <f t="shared" si="13"/>
        <v>0</v>
      </c>
      <c r="N78" s="875"/>
      <c r="O78" s="875"/>
      <c r="P78" s="875"/>
      <c r="Q78" s="877"/>
      <c r="R78" s="875"/>
      <c r="S78" s="875"/>
      <c r="T78" s="875"/>
      <c r="U78" s="876">
        <f t="shared" si="12"/>
        <v>51300</v>
      </c>
      <c r="V78" s="875">
        <f t="shared" si="10"/>
        <v>0</v>
      </c>
      <c r="W78" s="875">
        <f t="shared" si="11"/>
        <v>0</v>
      </c>
      <c r="X78" s="875">
        <f t="shared" si="11"/>
        <v>51300</v>
      </c>
      <c r="Y78" s="883"/>
      <c r="Z78" s="875">
        <f t="shared" si="4"/>
        <v>0</v>
      </c>
      <c r="AA78" s="875">
        <f t="shared" si="4"/>
        <v>0</v>
      </c>
      <c r="AB78" s="875">
        <f t="shared" si="4"/>
        <v>0</v>
      </c>
      <c r="AC78" s="878"/>
    </row>
    <row r="79" spans="1:29" s="637" customFormat="1" ht="35.25" customHeight="1" x14ac:dyDescent="0.2">
      <c r="A79" s="632" t="s">
        <v>1143</v>
      </c>
      <c r="B79" s="633" t="s">
        <v>729</v>
      </c>
      <c r="C79" s="634">
        <v>244</v>
      </c>
      <c r="D79" s="634">
        <v>223</v>
      </c>
      <c r="E79" s="596">
        <f t="shared" si="16"/>
        <v>233123.13999999998</v>
      </c>
      <c r="F79" s="595">
        <f>'Прилож 4 24 (5)'!V78</f>
        <v>0</v>
      </c>
      <c r="G79" s="595">
        <f>'Прилож 4 24 (5)'!W78</f>
        <v>0</v>
      </c>
      <c r="H79" s="595">
        <f>'Прилож 4 24 (5)'!X78</f>
        <v>172763.62</v>
      </c>
      <c r="I79" s="635"/>
      <c r="J79" s="595">
        <f>'Прилож 4 24 (5)'!Z78</f>
        <v>0</v>
      </c>
      <c r="K79" s="595">
        <f>'Прилож 4 24 (5)'!AA78</f>
        <v>0</v>
      </c>
      <c r="L79" s="595">
        <f>'Прилож 4 24 (5)'!AB78</f>
        <v>60359.519999999997</v>
      </c>
      <c r="M79" s="876">
        <f t="shared" si="13"/>
        <v>0</v>
      </c>
      <c r="N79" s="884"/>
      <c r="O79" s="884"/>
      <c r="P79" s="884">
        <f>SUM(P70:P78)</f>
        <v>0</v>
      </c>
      <c r="Q79" s="885"/>
      <c r="R79" s="884"/>
      <c r="S79" s="884"/>
      <c r="T79" s="884">
        <f>SUM(T70:T78)</f>
        <v>0</v>
      </c>
      <c r="U79" s="876">
        <f t="shared" si="12"/>
        <v>233123.13999999998</v>
      </c>
      <c r="V79" s="875">
        <f t="shared" si="10"/>
        <v>0</v>
      </c>
      <c r="W79" s="875">
        <f t="shared" si="11"/>
        <v>0</v>
      </c>
      <c r="X79" s="875">
        <f t="shared" si="11"/>
        <v>172763.62</v>
      </c>
      <c r="Y79" s="885"/>
      <c r="Z79" s="875">
        <f t="shared" si="4"/>
        <v>0</v>
      </c>
      <c r="AA79" s="875">
        <f t="shared" si="4"/>
        <v>0</v>
      </c>
      <c r="AB79" s="875">
        <f t="shared" si="4"/>
        <v>60359.519999999997</v>
      </c>
      <c r="AC79" s="878"/>
    </row>
    <row r="80" spans="1:29" s="614" customFormat="1" x14ac:dyDescent="0.2">
      <c r="A80" s="630" t="s">
        <v>736</v>
      </c>
      <c r="B80" s="631"/>
      <c r="C80" s="624"/>
      <c r="D80" s="624"/>
      <c r="E80" s="596">
        <f t="shared" si="16"/>
        <v>604760.67000000004</v>
      </c>
      <c r="F80" s="595">
        <f>'Прилож 4 24 (5)'!V79</f>
        <v>0</v>
      </c>
      <c r="G80" s="595">
        <f>'Прилож 4 24 (5)'!W79</f>
        <v>0</v>
      </c>
      <c r="H80" s="595">
        <f>'Прилож 4 24 (5)'!X79</f>
        <v>544401.15</v>
      </c>
      <c r="I80" s="626"/>
      <c r="J80" s="595">
        <f>'Прилож 4 24 (5)'!Z79</f>
        <v>0</v>
      </c>
      <c r="K80" s="595">
        <f>'Прилож 4 24 (5)'!AA79</f>
        <v>0</v>
      </c>
      <c r="L80" s="595">
        <f>'Прилож 4 24 (5)'!AB79</f>
        <v>60359.519999999997</v>
      </c>
      <c r="M80" s="876">
        <f t="shared" si="13"/>
        <v>0</v>
      </c>
      <c r="N80" s="876"/>
      <c r="O80" s="876"/>
      <c r="P80" s="876">
        <f>P79+P69</f>
        <v>0</v>
      </c>
      <c r="Q80" s="881"/>
      <c r="R80" s="876"/>
      <c r="S80" s="876"/>
      <c r="T80" s="876">
        <f>T69+T79</f>
        <v>0</v>
      </c>
      <c r="U80" s="876">
        <f t="shared" si="12"/>
        <v>604760.67000000004</v>
      </c>
      <c r="V80" s="875">
        <f t="shared" si="10"/>
        <v>0</v>
      </c>
      <c r="W80" s="875">
        <f t="shared" si="11"/>
        <v>0</v>
      </c>
      <c r="X80" s="875">
        <f t="shared" si="11"/>
        <v>544401.15</v>
      </c>
      <c r="Y80" s="881"/>
      <c r="Z80" s="875">
        <f t="shared" ref="Z80:AB146" si="17">R80+J80</f>
        <v>0</v>
      </c>
      <c r="AA80" s="875">
        <f t="shared" si="17"/>
        <v>0</v>
      </c>
      <c r="AB80" s="875">
        <f t="shared" si="17"/>
        <v>60359.519999999997</v>
      </c>
      <c r="AC80" s="878"/>
    </row>
    <row r="81" spans="1:29" x14ac:dyDescent="0.2">
      <c r="A81" s="618" t="s">
        <v>131</v>
      </c>
      <c r="B81" s="619" t="s">
        <v>747</v>
      </c>
      <c r="C81" s="620">
        <v>247</v>
      </c>
      <c r="D81" s="620">
        <v>223</v>
      </c>
      <c r="E81" s="596">
        <f t="shared" si="16"/>
        <v>546600</v>
      </c>
      <c r="F81" s="595">
        <f>'Прилож 4 24 (5)'!V80</f>
        <v>0</v>
      </c>
      <c r="G81" s="595">
        <f>'Прилож 4 24 (5)'!W80</f>
        <v>0</v>
      </c>
      <c r="H81" s="595">
        <f>'Прилож 4 24 (5)'!X80</f>
        <v>546600</v>
      </c>
      <c r="I81" s="621"/>
      <c r="J81" s="595">
        <f>'Прилож 4 24 (5)'!Z80</f>
        <v>0</v>
      </c>
      <c r="K81" s="595">
        <f>'Прилож 4 24 (5)'!AA80</f>
        <v>0</v>
      </c>
      <c r="L81" s="595">
        <f>'Прилож 4 24 (5)'!AB80</f>
        <v>0</v>
      </c>
      <c r="M81" s="876">
        <f t="shared" si="13"/>
        <v>0</v>
      </c>
      <c r="N81" s="875"/>
      <c r="O81" s="875"/>
      <c r="P81" s="875"/>
      <c r="Q81" s="877"/>
      <c r="R81" s="875"/>
      <c r="S81" s="875"/>
      <c r="T81" s="875"/>
      <c r="U81" s="876">
        <f t="shared" si="12"/>
        <v>546600</v>
      </c>
      <c r="V81" s="875">
        <f t="shared" si="10"/>
        <v>0</v>
      </c>
      <c r="W81" s="875">
        <f t="shared" si="11"/>
        <v>0</v>
      </c>
      <c r="X81" s="875">
        <f t="shared" si="11"/>
        <v>546600</v>
      </c>
      <c r="Y81" s="877"/>
      <c r="Z81" s="875">
        <f t="shared" si="17"/>
        <v>0</v>
      </c>
      <c r="AA81" s="875">
        <f t="shared" si="17"/>
        <v>0</v>
      </c>
      <c r="AB81" s="875">
        <f t="shared" si="17"/>
        <v>0</v>
      </c>
      <c r="AC81" s="878"/>
    </row>
    <row r="82" spans="1:29" ht="16.5" customHeight="1" x14ac:dyDescent="0.2">
      <c r="A82" s="618" t="s">
        <v>133</v>
      </c>
      <c r="B82" s="619" t="s">
        <v>747</v>
      </c>
      <c r="C82" s="620">
        <v>247</v>
      </c>
      <c r="D82" s="620">
        <v>223</v>
      </c>
      <c r="E82" s="596">
        <f t="shared" si="16"/>
        <v>465510.83</v>
      </c>
      <c r="F82" s="595">
        <f>'Прилож 4 24 (5)'!V81</f>
        <v>0</v>
      </c>
      <c r="G82" s="595">
        <f>'Прилож 4 24 (5)'!W81</f>
        <v>0</v>
      </c>
      <c r="H82" s="595">
        <f>'Прилож 4 24 (5)'!X81</f>
        <v>465510.83</v>
      </c>
      <c r="I82" s="621"/>
      <c r="J82" s="595">
        <f>'Прилож 4 24 (5)'!Z81</f>
        <v>0</v>
      </c>
      <c r="K82" s="595">
        <f>'Прилож 4 24 (5)'!AA81</f>
        <v>0</v>
      </c>
      <c r="L82" s="595">
        <f>'Прилож 4 24 (5)'!AB81</f>
        <v>0</v>
      </c>
      <c r="M82" s="876">
        <f t="shared" si="13"/>
        <v>0</v>
      </c>
      <c r="N82" s="875"/>
      <c r="O82" s="875"/>
      <c r="P82" s="875"/>
      <c r="Q82" s="877"/>
      <c r="R82" s="875"/>
      <c r="S82" s="875"/>
      <c r="T82" s="875"/>
      <c r="U82" s="876">
        <f t="shared" si="12"/>
        <v>465510.83</v>
      </c>
      <c r="V82" s="875">
        <f t="shared" si="10"/>
        <v>0</v>
      </c>
      <c r="W82" s="875">
        <f t="shared" si="11"/>
        <v>0</v>
      </c>
      <c r="X82" s="875">
        <f t="shared" si="11"/>
        <v>465510.83</v>
      </c>
      <c r="Y82" s="877"/>
      <c r="Z82" s="875">
        <f t="shared" si="17"/>
        <v>0</v>
      </c>
      <c r="AA82" s="875">
        <f t="shared" si="17"/>
        <v>0</v>
      </c>
      <c r="AB82" s="875">
        <f t="shared" si="17"/>
        <v>0</v>
      </c>
      <c r="AC82" s="878"/>
    </row>
    <row r="83" spans="1:29" ht="16.5" customHeight="1" x14ac:dyDescent="0.2">
      <c r="A83" s="618" t="s">
        <v>1260</v>
      </c>
      <c r="B83" s="619" t="s">
        <v>747</v>
      </c>
      <c r="C83" s="620">
        <v>247</v>
      </c>
      <c r="D83" s="620">
        <v>223</v>
      </c>
      <c r="E83" s="596">
        <f t="shared" si="16"/>
        <v>318968.24</v>
      </c>
      <c r="F83" s="595">
        <f>'Прилож 4 24 (5)'!V82</f>
        <v>0</v>
      </c>
      <c r="G83" s="595">
        <f>'Прилож 4 24 (5)'!W82</f>
        <v>0</v>
      </c>
      <c r="H83" s="595">
        <f>'Прилож 4 24 (5)'!X82</f>
        <v>318968.24</v>
      </c>
      <c r="I83" s="621"/>
      <c r="J83" s="595">
        <f>'Прилож 4 24 (5)'!Z82</f>
        <v>0</v>
      </c>
      <c r="K83" s="595">
        <f>'Прилож 4 24 (5)'!AA82</f>
        <v>0</v>
      </c>
      <c r="L83" s="595">
        <f>'Прилож 4 24 (5)'!AB82</f>
        <v>0</v>
      </c>
      <c r="M83" s="876">
        <f t="shared" si="13"/>
        <v>0</v>
      </c>
      <c r="N83" s="875"/>
      <c r="O83" s="875"/>
      <c r="P83" s="875"/>
      <c r="Q83" s="877"/>
      <c r="R83" s="875"/>
      <c r="S83" s="875"/>
      <c r="T83" s="875"/>
      <c r="U83" s="876">
        <f t="shared" si="12"/>
        <v>318968.24</v>
      </c>
      <c r="V83" s="875">
        <f t="shared" si="10"/>
        <v>0</v>
      </c>
      <c r="W83" s="875">
        <f t="shared" si="11"/>
        <v>0</v>
      </c>
      <c r="X83" s="875">
        <f t="shared" si="11"/>
        <v>318968.24</v>
      </c>
      <c r="Y83" s="877"/>
      <c r="Z83" s="875">
        <f t="shared" si="17"/>
        <v>0</v>
      </c>
      <c r="AA83" s="875">
        <f t="shared" si="17"/>
        <v>0</v>
      </c>
      <c r="AB83" s="875">
        <f t="shared" si="17"/>
        <v>0</v>
      </c>
      <c r="AC83" s="878"/>
    </row>
    <row r="84" spans="1:29" ht="31.5" x14ac:dyDescent="0.2">
      <c r="A84" s="618" t="s">
        <v>1240</v>
      </c>
      <c r="B84" s="619" t="s">
        <v>747</v>
      </c>
      <c r="C84" s="620">
        <v>247</v>
      </c>
      <c r="D84" s="620">
        <v>223</v>
      </c>
      <c r="E84" s="596">
        <f t="shared" si="16"/>
        <v>63447.51</v>
      </c>
      <c r="F84" s="595">
        <f>'Прилож 4 24 (5)'!V83</f>
        <v>0</v>
      </c>
      <c r="G84" s="595">
        <f>'Прилож 4 24 (5)'!W83</f>
        <v>0</v>
      </c>
      <c r="H84" s="595">
        <f>'Прилож 4 24 (5)'!X83</f>
        <v>63447.51</v>
      </c>
      <c r="I84" s="621"/>
      <c r="J84" s="595">
        <f>'Прилож 4 24 (5)'!Z83</f>
        <v>0</v>
      </c>
      <c r="K84" s="595">
        <f>'Прилож 4 24 (5)'!AA83</f>
        <v>0</v>
      </c>
      <c r="L84" s="595">
        <f>'Прилож 4 24 (5)'!AB83</f>
        <v>0</v>
      </c>
      <c r="M84" s="876">
        <f t="shared" si="13"/>
        <v>0</v>
      </c>
      <c r="N84" s="875"/>
      <c r="O84" s="875"/>
      <c r="P84" s="875"/>
      <c r="Q84" s="877"/>
      <c r="R84" s="875"/>
      <c r="S84" s="875"/>
      <c r="T84" s="875"/>
      <c r="U84" s="876">
        <f t="shared" si="12"/>
        <v>63447.51</v>
      </c>
      <c r="V84" s="875">
        <f t="shared" si="10"/>
        <v>0</v>
      </c>
      <c r="W84" s="875">
        <f t="shared" si="11"/>
        <v>0</v>
      </c>
      <c r="X84" s="875">
        <f t="shared" si="11"/>
        <v>63447.51</v>
      </c>
      <c r="Y84" s="877"/>
      <c r="Z84" s="875">
        <f t="shared" si="17"/>
        <v>0</v>
      </c>
      <c r="AA84" s="875">
        <f t="shared" si="17"/>
        <v>0</v>
      </c>
      <c r="AB84" s="875">
        <f t="shared" si="17"/>
        <v>0</v>
      </c>
      <c r="AC84" s="878"/>
    </row>
    <row r="85" spans="1:29" ht="31.5" x14ac:dyDescent="0.2">
      <c r="A85" s="618" t="s">
        <v>1241</v>
      </c>
      <c r="B85" s="619" t="s">
        <v>747</v>
      </c>
      <c r="C85" s="620">
        <v>247</v>
      </c>
      <c r="D85" s="620">
        <v>223</v>
      </c>
      <c r="E85" s="596">
        <f t="shared" si="16"/>
        <v>52047.07</v>
      </c>
      <c r="F85" s="595">
        <f>'Прилож 4 24 (5)'!V84</f>
        <v>0</v>
      </c>
      <c r="G85" s="595">
        <f>'Прилож 4 24 (5)'!W84</f>
        <v>0</v>
      </c>
      <c r="H85" s="595">
        <f>'Прилож 4 24 (5)'!X84</f>
        <v>52047.07</v>
      </c>
      <c r="I85" s="621"/>
      <c r="J85" s="595">
        <f>'Прилож 4 24 (5)'!Z84</f>
        <v>0</v>
      </c>
      <c r="K85" s="595">
        <f>'Прилож 4 24 (5)'!AA84</f>
        <v>0</v>
      </c>
      <c r="L85" s="595">
        <f>'Прилож 4 24 (5)'!AB84</f>
        <v>0</v>
      </c>
      <c r="M85" s="876">
        <f t="shared" si="13"/>
        <v>0</v>
      </c>
      <c r="N85" s="875"/>
      <c r="O85" s="875"/>
      <c r="P85" s="875"/>
      <c r="Q85" s="877"/>
      <c r="R85" s="875"/>
      <c r="S85" s="875"/>
      <c r="T85" s="875"/>
      <c r="U85" s="876">
        <f t="shared" si="12"/>
        <v>52047.07</v>
      </c>
      <c r="V85" s="875">
        <f t="shared" si="10"/>
        <v>0</v>
      </c>
      <c r="W85" s="875">
        <f t="shared" si="11"/>
        <v>0</v>
      </c>
      <c r="X85" s="875">
        <f t="shared" si="11"/>
        <v>52047.07</v>
      </c>
      <c r="Y85" s="877"/>
      <c r="Z85" s="875">
        <f t="shared" si="17"/>
        <v>0</v>
      </c>
      <c r="AA85" s="875">
        <f t="shared" si="17"/>
        <v>0</v>
      </c>
      <c r="AB85" s="875">
        <f t="shared" si="17"/>
        <v>0</v>
      </c>
      <c r="AC85" s="878"/>
    </row>
    <row r="86" spans="1:29" ht="31.5" x14ac:dyDescent="0.2">
      <c r="A86" s="618" t="s">
        <v>1242</v>
      </c>
      <c r="B86" s="619" t="s">
        <v>747</v>
      </c>
      <c r="C86" s="620">
        <v>247</v>
      </c>
      <c r="D86" s="620">
        <v>223</v>
      </c>
      <c r="E86" s="596">
        <f t="shared" si="16"/>
        <v>40719.379999999997</v>
      </c>
      <c r="F86" s="595">
        <f>'Прилож 4 24 (5)'!V85</f>
        <v>0</v>
      </c>
      <c r="G86" s="595">
        <f>'Прилож 4 24 (5)'!W85</f>
        <v>0</v>
      </c>
      <c r="H86" s="595">
        <f>'Прилож 4 24 (5)'!X85</f>
        <v>40719.379999999997</v>
      </c>
      <c r="I86" s="621"/>
      <c r="J86" s="595">
        <f>'Прилож 4 24 (5)'!Z85</f>
        <v>0</v>
      </c>
      <c r="K86" s="595">
        <f>'Прилож 4 24 (5)'!AA85</f>
        <v>0</v>
      </c>
      <c r="L86" s="595">
        <f>'Прилож 4 24 (5)'!AB85</f>
        <v>0</v>
      </c>
      <c r="M86" s="876">
        <f t="shared" si="13"/>
        <v>0</v>
      </c>
      <c r="N86" s="875"/>
      <c r="O86" s="875"/>
      <c r="P86" s="875"/>
      <c r="Q86" s="877"/>
      <c r="R86" s="875"/>
      <c r="S86" s="875"/>
      <c r="T86" s="875"/>
      <c r="U86" s="876">
        <f t="shared" si="12"/>
        <v>40719.379999999997</v>
      </c>
      <c r="V86" s="875">
        <f t="shared" si="10"/>
        <v>0</v>
      </c>
      <c r="W86" s="875">
        <f t="shared" si="11"/>
        <v>0</v>
      </c>
      <c r="X86" s="875">
        <f t="shared" si="11"/>
        <v>40719.379999999997</v>
      </c>
      <c r="Y86" s="877"/>
      <c r="Z86" s="875">
        <f t="shared" si="17"/>
        <v>0</v>
      </c>
      <c r="AA86" s="875">
        <f t="shared" si="17"/>
        <v>0</v>
      </c>
      <c r="AB86" s="875">
        <f t="shared" si="17"/>
        <v>0</v>
      </c>
      <c r="AC86" s="878"/>
    </row>
    <row r="87" spans="1:29" ht="31.5" x14ac:dyDescent="0.2">
      <c r="A87" s="618" t="s">
        <v>1242</v>
      </c>
      <c r="B87" s="619" t="s">
        <v>747</v>
      </c>
      <c r="C87" s="620">
        <v>247</v>
      </c>
      <c r="D87" s="620">
        <v>223</v>
      </c>
      <c r="E87" s="596">
        <f t="shared" si="16"/>
        <v>52360.07</v>
      </c>
      <c r="F87" s="595">
        <f>'Прилож 4 24 (5)'!V86</f>
        <v>0</v>
      </c>
      <c r="G87" s="595">
        <f>'Прилож 4 24 (5)'!W86</f>
        <v>0</v>
      </c>
      <c r="H87" s="595">
        <f>'Прилож 4 24 (5)'!X86</f>
        <v>52360.07</v>
      </c>
      <c r="I87" s="621"/>
      <c r="J87" s="595">
        <f>'Прилож 4 24 (5)'!Z86</f>
        <v>0</v>
      </c>
      <c r="K87" s="595">
        <f>'Прилож 4 24 (5)'!AA86</f>
        <v>0</v>
      </c>
      <c r="L87" s="595">
        <f>'Прилож 4 24 (5)'!AB86</f>
        <v>0</v>
      </c>
      <c r="M87" s="876">
        <f t="shared" si="13"/>
        <v>0</v>
      </c>
      <c r="N87" s="875"/>
      <c r="O87" s="875"/>
      <c r="P87" s="875"/>
      <c r="Q87" s="877"/>
      <c r="R87" s="875"/>
      <c r="S87" s="875"/>
      <c r="T87" s="875"/>
      <c r="U87" s="876">
        <f t="shared" si="12"/>
        <v>52360.07</v>
      </c>
      <c r="V87" s="875">
        <f t="shared" si="10"/>
        <v>0</v>
      </c>
      <c r="W87" s="875">
        <f t="shared" si="11"/>
        <v>0</v>
      </c>
      <c r="X87" s="875">
        <f t="shared" si="11"/>
        <v>52360.07</v>
      </c>
      <c r="Y87" s="877"/>
      <c r="Z87" s="875">
        <f t="shared" si="17"/>
        <v>0</v>
      </c>
      <c r="AA87" s="875">
        <f t="shared" si="17"/>
        <v>0</v>
      </c>
      <c r="AB87" s="875">
        <f t="shared" si="17"/>
        <v>0</v>
      </c>
      <c r="AC87" s="878"/>
    </row>
    <row r="88" spans="1:29" s="637" customFormat="1" x14ac:dyDescent="0.2">
      <c r="A88" s="632" t="s">
        <v>1143</v>
      </c>
      <c r="B88" s="633" t="s">
        <v>747</v>
      </c>
      <c r="C88" s="634">
        <v>247</v>
      </c>
      <c r="D88" s="634">
        <v>223</v>
      </c>
      <c r="E88" s="596">
        <f t="shared" si="16"/>
        <v>1539653.1</v>
      </c>
      <c r="F88" s="595">
        <f>'Прилож 4 24 (5)'!V87</f>
        <v>0</v>
      </c>
      <c r="G88" s="595">
        <f>'Прилож 4 24 (5)'!W87</f>
        <v>0</v>
      </c>
      <c r="H88" s="595">
        <f>'Прилож 4 24 (5)'!X87</f>
        <v>1539653.1</v>
      </c>
      <c r="I88" s="635"/>
      <c r="J88" s="595">
        <f>'Прилож 4 24 (5)'!Z87</f>
        <v>0</v>
      </c>
      <c r="K88" s="595">
        <f>'Прилож 4 24 (5)'!AA87</f>
        <v>0</v>
      </c>
      <c r="L88" s="595">
        <f>'Прилож 4 24 (5)'!AB87</f>
        <v>0</v>
      </c>
      <c r="M88" s="876">
        <f t="shared" si="13"/>
        <v>0</v>
      </c>
      <c r="N88" s="884"/>
      <c r="O88" s="884"/>
      <c r="P88" s="884"/>
      <c r="Q88" s="885"/>
      <c r="R88" s="884"/>
      <c r="S88" s="884"/>
      <c r="T88" s="884"/>
      <c r="U88" s="876">
        <f t="shared" si="12"/>
        <v>1539653.1</v>
      </c>
      <c r="V88" s="875">
        <f t="shared" si="10"/>
        <v>0</v>
      </c>
      <c r="W88" s="875">
        <f t="shared" si="11"/>
        <v>0</v>
      </c>
      <c r="X88" s="875">
        <f t="shared" si="11"/>
        <v>1539653.1</v>
      </c>
      <c r="Y88" s="885"/>
      <c r="Z88" s="875">
        <f t="shared" si="17"/>
        <v>0</v>
      </c>
      <c r="AA88" s="875">
        <f t="shared" si="17"/>
        <v>0</v>
      </c>
      <c r="AB88" s="875">
        <f t="shared" si="17"/>
        <v>0</v>
      </c>
      <c r="AC88" s="886"/>
    </row>
    <row r="89" spans="1:29" x14ac:dyDescent="0.2">
      <c r="A89" s="618" t="s">
        <v>131</v>
      </c>
      <c r="B89" s="619" t="s">
        <v>729</v>
      </c>
      <c r="C89" s="620">
        <v>247</v>
      </c>
      <c r="D89" s="620">
        <v>223</v>
      </c>
      <c r="E89" s="596">
        <f t="shared" si="16"/>
        <v>939599.21</v>
      </c>
      <c r="F89" s="595">
        <f>'Прилож 4 24 (5)'!V88</f>
        <v>0</v>
      </c>
      <c r="G89" s="595">
        <f>'Прилож 4 24 (5)'!W88</f>
        <v>0</v>
      </c>
      <c r="H89" s="595">
        <f>'Прилож 4 24 (5)'!X88</f>
        <v>446000</v>
      </c>
      <c r="I89" s="621"/>
      <c r="J89" s="595">
        <f>'Прилож 4 24 (5)'!Z88</f>
        <v>0</v>
      </c>
      <c r="K89" s="595">
        <f>'Прилож 4 24 (5)'!AA88</f>
        <v>0</v>
      </c>
      <c r="L89" s="595">
        <f>'Прилож 4 24 (5)'!AB88</f>
        <v>493599.21</v>
      </c>
      <c r="M89" s="876">
        <f t="shared" si="13"/>
        <v>0</v>
      </c>
      <c r="N89" s="875"/>
      <c r="O89" s="875"/>
      <c r="P89" s="875"/>
      <c r="Q89" s="877"/>
      <c r="R89" s="875"/>
      <c r="S89" s="875"/>
      <c r="T89" s="875"/>
      <c r="U89" s="876">
        <f t="shared" si="12"/>
        <v>939599.21</v>
      </c>
      <c r="V89" s="875">
        <f t="shared" si="10"/>
        <v>0</v>
      </c>
      <c r="W89" s="875">
        <f t="shared" si="11"/>
        <v>0</v>
      </c>
      <c r="X89" s="875">
        <f t="shared" si="11"/>
        <v>446000</v>
      </c>
      <c r="Y89" s="877"/>
      <c r="Z89" s="875">
        <f t="shared" si="17"/>
        <v>0</v>
      </c>
      <c r="AA89" s="875">
        <f t="shared" si="17"/>
        <v>0</v>
      </c>
      <c r="AB89" s="875">
        <f t="shared" si="17"/>
        <v>493599.21</v>
      </c>
      <c r="AC89" s="878"/>
    </row>
    <row r="90" spans="1:29" ht="30" customHeight="1" x14ac:dyDescent="0.2">
      <c r="A90" s="618" t="s">
        <v>133</v>
      </c>
      <c r="B90" s="619" t="s">
        <v>729</v>
      </c>
      <c r="C90" s="620">
        <v>247</v>
      </c>
      <c r="D90" s="620">
        <v>223</v>
      </c>
      <c r="E90" s="596">
        <f t="shared" si="16"/>
        <v>1433105.62</v>
      </c>
      <c r="F90" s="595">
        <f>'Прилож 4 24 (5)'!V89</f>
        <v>0</v>
      </c>
      <c r="G90" s="595">
        <f>'Прилож 4 24 (5)'!W89</f>
        <v>0</v>
      </c>
      <c r="H90" s="595">
        <f>'Прилож 4 24 (5)'!X89</f>
        <v>1088533.3600000001</v>
      </c>
      <c r="I90" s="621"/>
      <c r="J90" s="595">
        <f>'Прилож 4 24 (5)'!Z89</f>
        <v>0</v>
      </c>
      <c r="K90" s="595">
        <f>'Прилож 4 24 (5)'!AA89</f>
        <v>0</v>
      </c>
      <c r="L90" s="595">
        <f>'Прилож 4 24 (5)'!AB89</f>
        <v>344572.26</v>
      </c>
      <c r="M90" s="876">
        <f t="shared" si="13"/>
        <v>0</v>
      </c>
      <c r="N90" s="875"/>
      <c r="O90" s="875"/>
      <c r="P90" s="875"/>
      <c r="Q90" s="877"/>
      <c r="R90" s="875"/>
      <c r="S90" s="875"/>
      <c r="T90" s="875"/>
      <c r="U90" s="876">
        <f t="shared" si="12"/>
        <v>1433105.62</v>
      </c>
      <c r="V90" s="875">
        <f t="shared" si="10"/>
        <v>0</v>
      </c>
      <c r="W90" s="875">
        <f t="shared" si="11"/>
        <v>0</v>
      </c>
      <c r="X90" s="875">
        <f t="shared" si="11"/>
        <v>1088533.3600000001</v>
      </c>
      <c r="Y90" s="877"/>
      <c r="Z90" s="875">
        <f t="shared" si="17"/>
        <v>0</v>
      </c>
      <c r="AA90" s="875">
        <f t="shared" si="17"/>
        <v>0</v>
      </c>
      <c r="AB90" s="875">
        <f t="shared" si="17"/>
        <v>344572.26</v>
      </c>
      <c r="AC90" s="878"/>
    </row>
    <row r="91" spans="1:29" ht="34.5" customHeight="1" x14ac:dyDescent="0.2">
      <c r="A91" s="618" t="s">
        <v>1260</v>
      </c>
      <c r="B91" s="619" t="s">
        <v>729</v>
      </c>
      <c r="C91" s="620">
        <v>247</v>
      </c>
      <c r="D91" s="620">
        <v>223</v>
      </c>
      <c r="E91" s="596">
        <f t="shared" si="16"/>
        <v>899813.5</v>
      </c>
      <c r="F91" s="595">
        <f>'Прилож 4 24 (5)'!V90</f>
        <v>0</v>
      </c>
      <c r="G91" s="595">
        <f>'Прилож 4 24 (5)'!W90</f>
        <v>0</v>
      </c>
      <c r="H91" s="595">
        <f>'Прилож 4 24 (5)'!X90</f>
        <v>618609.81999999995</v>
      </c>
      <c r="I91" s="621"/>
      <c r="J91" s="595">
        <f>'Прилож 4 24 (5)'!Z90</f>
        <v>0</v>
      </c>
      <c r="K91" s="595">
        <f>'Прилож 4 24 (5)'!AA90</f>
        <v>0</v>
      </c>
      <c r="L91" s="595">
        <f>'Прилож 4 24 (5)'!AB90</f>
        <v>281203.68</v>
      </c>
      <c r="M91" s="876">
        <f t="shared" si="13"/>
        <v>0</v>
      </c>
      <c r="N91" s="875"/>
      <c r="O91" s="875"/>
      <c r="P91" s="875"/>
      <c r="Q91" s="877"/>
      <c r="R91" s="875"/>
      <c r="S91" s="875"/>
      <c r="T91" s="875"/>
      <c r="U91" s="876">
        <f t="shared" si="12"/>
        <v>899813.5</v>
      </c>
      <c r="V91" s="875">
        <f t="shared" si="10"/>
        <v>0</v>
      </c>
      <c r="W91" s="875">
        <f t="shared" si="11"/>
        <v>0</v>
      </c>
      <c r="X91" s="875">
        <f t="shared" si="11"/>
        <v>618609.81999999995</v>
      </c>
      <c r="Y91" s="877"/>
      <c r="Z91" s="875">
        <f t="shared" si="17"/>
        <v>0</v>
      </c>
      <c r="AA91" s="875">
        <f t="shared" si="17"/>
        <v>0</v>
      </c>
      <c r="AB91" s="875">
        <f t="shared" si="17"/>
        <v>281203.68</v>
      </c>
      <c r="AC91" s="878"/>
    </row>
    <row r="92" spans="1:29" ht="31.5" x14ac:dyDescent="0.2">
      <c r="A92" s="618" t="s">
        <v>1240</v>
      </c>
      <c r="B92" s="619" t="s">
        <v>729</v>
      </c>
      <c r="C92" s="620">
        <v>247</v>
      </c>
      <c r="D92" s="620">
        <v>223</v>
      </c>
      <c r="E92" s="596">
        <f t="shared" si="16"/>
        <v>26226.5</v>
      </c>
      <c r="F92" s="595">
        <f>'Прилож 4 24 (5)'!V91</f>
        <v>0</v>
      </c>
      <c r="G92" s="595">
        <f>'Прилож 4 24 (5)'!W91</f>
        <v>0</v>
      </c>
      <c r="H92" s="595">
        <f>'Прилож 4 24 (5)'!X91</f>
        <v>15346.51</v>
      </c>
      <c r="I92" s="621"/>
      <c r="J92" s="595">
        <f>'Прилож 4 24 (5)'!Z91</f>
        <v>0</v>
      </c>
      <c r="K92" s="595">
        <f>'Прилож 4 24 (5)'!AA91</f>
        <v>0</v>
      </c>
      <c r="L92" s="595">
        <f>'Прилож 4 24 (5)'!AB91</f>
        <v>10879.99</v>
      </c>
      <c r="M92" s="876">
        <f t="shared" si="13"/>
        <v>0</v>
      </c>
      <c r="N92" s="875"/>
      <c r="O92" s="875"/>
      <c r="P92" s="875"/>
      <c r="Q92" s="877"/>
      <c r="R92" s="875"/>
      <c r="S92" s="875"/>
      <c r="T92" s="875"/>
      <c r="U92" s="876">
        <f t="shared" si="12"/>
        <v>26226.5</v>
      </c>
      <c r="V92" s="875">
        <f t="shared" si="10"/>
        <v>0</v>
      </c>
      <c r="W92" s="875">
        <f t="shared" si="11"/>
        <v>0</v>
      </c>
      <c r="X92" s="875">
        <f t="shared" si="11"/>
        <v>15346.51</v>
      </c>
      <c r="Y92" s="877"/>
      <c r="Z92" s="875">
        <f t="shared" si="17"/>
        <v>0</v>
      </c>
      <c r="AA92" s="875">
        <f t="shared" si="17"/>
        <v>0</v>
      </c>
      <c r="AB92" s="875">
        <f t="shared" si="17"/>
        <v>10879.99</v>
      </c>
      <c r="AC92" s="878"/>
    </row>
    <row r="93" spans="1:29" ht="31.5" x14ac:dyDescent="0.2">
      <c r="A93" s="618" t="s">
        <v>1241</v>
      </c>
      <c r="B93" s="619" t="s">
        <v>729</v>
      </c>
      <c r="C93" s="620">
        <v>247</v>
      </c>
      <c r="D93" s="620">
        <v>223</v>
      </c>
      <c r="E93" s="596">
        <f t="shared" si="16"/>
        <v>22442.33</v>
      </c>
      <c r="F93" s="595">
        <f>'Прилож 4 24 (5)'!V92</f>
        <v>0</v>
      </c>
      <c r="G93" s="595">
        <f>'Прилож 4 24 (5)'!W92</f>
        <v>0</v>
      </c>
      <c r="H93" s="595">
        <f>'Прилож 4 24 (5)'!X92</f>
        <v>13515.22</v>
      </c>
      <c r="I93" s="621"/>
      <c r="J93" s="595">
        <f>'Прилож 4 24 (5)'!Z92</f>
        <v>0</v>
      </c>
      <c r="K93" s="595">
        <f>'Прилож 4 24 (5)'!AA92</f>
        <v>0</v>
      </c>
      <c r="L93" s="595">
        <f>'Прилож 4 24 (5)'!AB92</f>
        <v>8927.11</v>
      </c>
      <c r="M93" s="876">
        <f t="shared" si="13"/>
        <v>0</v>
      </c>
      <c r="N93" s="875"/>
      <c r="O93" s="875"/>
      <c r="P93" s="875"/>
      <c r="Q93" s="877"/>
      <c r="R93" s="875"/>
      <c r="S93" s="875"/>
      <c r="T93" s="875"/>
      <c r="U93" s="876">
        <f t="shared" si="12"/>
        <v>22442.33</v>
      </c>
      <c r="V93" s="875">
        <f t="shared" si="10"/>
        <v>0</v>
      </c>
      <c r="W93" s="875">
        <f t="shared" si="11"/>
        <v>0</v>
      </c>
      <c r="X93" s="875">
        <f t="shared" si="11"/>
        <v>13515.22</v>
      </c>
      <c r="Y93" s="877"/>
      <c r="Z93" s="875">
        <f t="shared" si="17"/>
        <v>0</v>
      </c>
      <c r="AA93" s="875">
        <f t="shared" si="17"/>
        <v>0</v>
      </c>
      <c r="AB93" s="875">
        <f t="shared" si="17"/>
        <v>8927.11</v>
      </c>
      <c r="AC93" s="878"/>
    </row>
    <row r="94" spans="1:29" ht="31.5" x14ac:dyDescent="0.2">
      <c r="A94" s="618" t="s">
        <v>1242</v>
      </c>
      <c r="B94" s="619" t="s">
        <v>729</v>
      </c>
      <c r="C94" s="620">
        <v>247</v>
      </c>
      <c r="D94" s="620">
        <v>223</v>
      </c>
      <c r="E94" s="596">
        <f t="shared" si="16"/>
        <v>17091.29</v>
      </c>
      <c r="F94" s="595">
        <f>'Прилож 4 24 (5)'!V93</f>
        <v>0</v>
      </c>
      <c r="G94" s="595">
        <f>'Прилож 4 24 (5)'!W93</f>
        <v>0</v>
      </c>
      <c r="H94" s="595">
        <f>'Прилож 4 24 (5)'!X93</f>
        <v>9599.83</v>
      </c>
      <c r="I94" s="621"/>
      <c r="J94" s="595">
        <f>'Прилож 4 24 (5)'!Z93</f>
        <v>0</v>
      </c>
      <c r="K94" s="595">
        <f>'Прилож 4 24 (5)'!AA93</f>
        <v>0</v>
      </c>
      <c r="L94" s="595">
        <f>'Прилож 4 24 (5)'!AB93</f>
        <v>7491.46</v>
      </c>
      <c r="M94" s="876">
        <f t="shared" si="13"/>
        <v>0</v>
      </c>
      <c r="N94" s="875"/>
      <c r="O94" s="875"/>
      <c r="P94" s="875"/>
      <c r="Q94" s="877"/>
      <c r="R94" s="875"/>
      <c r="S94" s="875"/>
      <c r="T94" s="875"/>
      <c r="U94" s="876">
        <f t="shared" si="12"/>
        <v>17091.29</v>
      </c>
      <c r="V94" s="875">
        <f t="shared" si="10"/>
        <v>0</v>
      </c>
      <c r="W94" s="875">
        <f t="shared" si="11"/>
        <v>0</v>
      </c>
      <c r="X94" s="875">
        <f t="shared" si="11"/>
        <v>9599.83</v>
      </c>
      <c r="Y94" s="877"/>
      <c r="Z94" s="875">
        <f t="shared" si="17"/>
        <v>0</v>
      </c>
      <c r="AA94" s="875">
        <f t="shared" si="17"/>
        <v>0</v>
      </c>
      <c r="AB94" s="875">
        <f t="shared" si="17"/>
        <v>7491.46</v>
      </c>
      <c r="AC94" s="878"/>
    </row>
    <row r="95" spans="1:29" ht="31.5" x14ac:dyDescent="0.2">
      <c r="A95" s="618" t="s">
        <v>1242</v>
      </c>
      <c r="B95" s="619" t="s">
        <v>729</v>
      </c>
      <c r="C95" s="620">
        <v>247</v>
      </c>
      <c r="D95" s="620">
        <v>223</v>
      </c>
      <c r="E95" s="596">
        <f t="shared" si="16"/>
        <v>18156.04</v>
      </c>
      <c r="F95" s="595">
        <f>'Прилож 4 24 (5)'!V94</f>
        <v>0</v>
      </c>
      <c r="G95" s="595">
        <f>'Прилож 4 24 (5)'!W94</f>
        <v>0</v>
      </c>
      <c r="H95" s="595">
        <f>'Прилож 4 24 (5)'!X94</f>
        <v>10621.01</v>
      </c>
      <c r="I95" s="621"/>
      <c r="J95" s="595">
        <f>'Прилож 4 24 (5)'!Z94</f>
        <v>0</v>
      </c>
      <c r="K95" s="595">
        <f>'Прилож 4 24 (5)'!AA94</f>
        <v>0</v>
      </c>
      <c r="L95" s="595">
        <f>'Прилож 4 24 (5)'!AB94</f>
        <v>7535.03</v>
      </c>
      <c r="M95" s="876">
        <f t="shared" si="13"/>
        <v>0</v>
      </c>
      <c r="N95" s="875"/>
      <c r="O95" s="875"/>
      <c r="P95" s="875"/>
      <c r="Q95" s="877"/>
      <c r="R95" s="875"/>
      <c r="S95" s="875"/>
      <c r="T95" s="875"/>
      <c r="U95" s="876">
        <f t="shared" si="12"/>
        <v>18156.04</v>
      </c>
      <c r="V95" s="875">
        <f t="shared" si="10"/>
        <v>0</v>
      </c>
      <c r="W95" s="875">
        <f t="shared" si="11"/>
        <v>0</v>
      </c>
      <c r="X95" s="875">
        <f t="shared" si="11"/>
        <v>10621.01</v>
      </c>
      <c r="Y95" s="877"/>
      <c r="Z95" s="875">
        <f t="shared" si="17"/>
        <v>0</v>
      </c>
      <c r="AA95" s="875">
        <f t="shared" si="17"/>
        <v>0</v>
      </c>
      <c r="AB95" s="875">
        <f t="shared" si="17"/>
        <v>7535.03</v>
      </c>
      <c r="AC95" s="878"/>
    </row>
    <row r="96" spans="1:29" s="637" customFormat="1" x14ac:dyDescent="0.2">
      <c r="A96" s="632" t="s">
        <v>1143</v>
      </c>
      <c r="B96" s="633" t="s">
        <v>729</v>
      </c>
      <c r="C96" s="634">
        <v>247</v>
      </c>
      <c r="D96" s="634">
        <v>223</v>
      </c>
      <c r="E96" s="596">
        <f t="shared" si="16"/>
        <v>3356434.49</v>
      </c>
      <c r="F96" s="595">
        <f>'Прилож 4 24 (5)'!V95</f>
        <v>0</v>
      </c>
      <c r="G96" s="595">
        <f>'Прилож 4 24 (5)'!W95</f>
        <v>0</v>
      </c>
      <c r="H96" s="595">
        <f>'Прилож 4 24 (5)'!X95</f>
        <v>2202225.75</v>
      </c>
      <c r="I96" s="635"/>
      <c r="J96" s="595">
        <f>'Прилож 4 24 (5)'!Z95</f>
        <v>0</v>
      </c>
      <c r="K96" s="595">
        <f>'Прилож 4 24 (5)'!AA95</f>
        <v>0</v>
      </c>
      <c r="L96" s="595">
        <f>'Прилож 4 24 (5)'!AB95</f>
        <v>1154208.74</v>
      </c>
      <c r="M96" s="876">
        <f t="shared" si="13"/>
        <v>0</v>
      </c>
      <c r="N96" s="884"/>
      <c r="O96" s="884"/>
      <c r="P96" s="884"/>
      <c r="Q96" s="885"/>
      <c r="R96" s="884"/>
      <c r="S96" s="884"/>
      <c r="T96" s="884">
        <f>SUM(T89:T95)</f>
        <v>0</v>
      </c>
      <c r="U96" s="876">
        <f t="shared" si="12"/>
        <v>3356434.49</v>
      </c>
      <c r="V96" s="875">
        <f t="shared" si="12"/>
        <v>0</v>
      </c>
      <c r="W96" s="875">
        <f t="shared" ref="W96:X165" si="18">O96+G96</f>
        <v>0</v>
      </c>
      <c r="X96" s="875">
        <f t="shared" si="18"/>
        <v>2202225.75</v>
      </c>
      <c r="Y96" s="885"/>
      <c r="Z96" s="875">
        <f t="shared" si="17"/>
        <v>0</v>
      </c>
      <c r="AA96" s="875">
        <f t="shared" si="17"/>
        <v>0</v>
      </c>
      <c r="AB96" s="875">
        <f t="shared" si="17"/>
        <v>1154208.74</v>
      </c>
      <c r="AC96" s="878"/>
    </row>
    <row r="97" spans="1:29" s="614" customFormat="1" x14ac:dyDescent="0.2">
      <c r="A97" s="630" t="s">
        <v>737</v>
      </c>
      <c r="B97" s="631"/>
      <c r="C97" s="624"/>
      <c r="D97" s="624"/>
      <c r="E97" s="596">
        <f t="shared" si="16"/>
        <v>4896087.59</v>
      </c>
      <c r="F97" s="595">
        <f>'Прилож 4 24 (5)'!V96</f>
        <v>0</v>
      </c>
      <c r="G97" s="595">
        <f>'Прилож 4 24 (5)'!W96</f>
        <v>0</v>
      </c>
      <c r="H97" s="595">
        <f>'Прилож 4 24 (5)'!X96</f>
        <v>3741878.85</v>
      </c>
      <c r="I97" s="626"/>
      <c r="J97" s="595">
        <f>'Прилож 4 24 (5)'!Z96</f>
        <v>0</v>
      </c>
      <c r="K97" s="595">
        <f>'Прилож 4 24 (5)'!AA96</f>
        <v>0</v>
      </c>
      <c r="L97" s="595">
        <f>'Прилож 4 24 (5)'!AB96</f>
        <v>1154208.74</v>
      </c>
      <c r="M97" s="876">
        <f t="shared" si="13"/>
        <v>0</v>
      </c>
      <c r="N97" s="876"/>
      <c r="O97" s="876"/>
      <c r="P97" s="876"/>
      <c r="Q97" s="881"/>
      <c r="R97" s="876"/>
      <c r="S97" s="876"/>
      <c r="T97" s="876">
        <f>T88+T96</f>
        <v>0</v>
      </c>
      <c r="U97" s="876">
        <f t="shared" ref="U97:V166" si="19">E97+M97</f>
        <v>4896087.59</v>
      </c>
      <c r="V97" s="875">
        <f t="shared" si="19"/>
        <v>0</v>
      </c>
      <c r="W97" s="875">
        <f t="shared" si="18"/>
        <v>0</v>
      </c>
      <c r="X97" s="875">
        <f t="shared" si="18"/>
        <v>3741878.85</v>
      </c>
      <c r="Y97" s="881"/>
      <c r="Z97" s="875">
        <f t="shared" si="17"/>
        <v>0</v>
      </c>
      <c r="AA97" s="875">
        <f t="shared" si="17"/>
        <v>0</v>
      </c>
      <c r="AB97" s="875">
        <f t="shared" si="17"/>
        <v>1154208.74</v>
      </c>
      <c r="AC97" s="879"/>
    </row>
    <row r="98" spans="1:29" ht="31.5" x14ac:dyDescent="0.2">
      <c r="A98" s="618" t="s">
        <v>1230</v>
      </c>
      <c r="B98" s="619" t="s">
        <v>729</v>
      </c>
      <c r="C98" s="620">
        <v>243</v>
      </c>
      <c r="D98" s="620">
        <v>225</v>
      </c>
      <c r="E98" s="596">
        <f t="shared" si="16"/>
        <v>0</v>
      </c>
      <c r="F98" s="595">
        <f>'Прилож 4 24 (5)'!V97</f>
        <v>0</v>
      </c>
      <c r="G98" s="595">
        <f>'Прилож 4 24 (5)'!W97</f>
        <v>0</v>
      </c>
      <c r="H98" s="595">
        <f>'Прилож 4 24 (5)'!X97</f>
        <v>0</v>
      </c>
      <c r="I98" s="621"/>
      <c r="J98" s="595">
        <f>'Прилож 4 24 (5)'!Z97</f>
        <v>0</v>
      </c>
      <c r="K98" s="595">
        <f>'Прилож 4 24 (5)'!AA97</f>
        <v>0</v>
      </c>
      <c r="L98" s="595">
        <f>'Прилож 4 24 (5)'!AB97</f>
        <v>0</v>
      </c>
      <c r="M98" s="876">
        <f t="shared" ref="M98:M167" si="20">N98+P98+R98+S98+T98+O98</f>
        <v>0</v>
      </c>
      <c r="N98" s="875"/>
      <c r="O98" s="875"/>
      <c r="P98" s="875"/>
      <c r="Q98" s="890"/>
      <c r="R98" s="875"/>
      <c r="S98" s="875"/>
      <c r="T98" s="875"/>
      <c r="U98" s="876">
        <f t="shared" si="19"/>
        <v>0</v>
      </c>
      <c r="V98" s="875">
        <f t="shared" si="19"/>
        <v>0</v>
      </c>
      <c r="W98" s="875">
        <f t="shared" si="18"/>
        <v>0</v>
      </c>
      <c r="X98" s="875">
        <f t="shared" si="18"/>
        <v>0</v>
      </c>
      <c r="Y98" s="877"/>
      <c r="Z98" s="875">
        <f t="shared" si="17"/>
        <v>0</v>
      </c>
      <c r="AA98" s="875">
        <f t="shared" si="17"/>
        <v>0</v>
      </c>
      <c r="AB98" s="875">
        <f t="shared" si="17"/>
        <v>0</v>
      </c>
      <c r="AC98" s="878"/>
    </row>
    <row r="99" spans="1:29" s="614" customFormat="1" ht="28.5" customHeight="1" x14ac:dyDescent="0.2">
      <c r="A99" s="630" t="s">
        <v>1312</v>
      </c>
      <c r="B99" s="631" t="s">
        <v>729</v>
      </c>
      <c r="C99" s="624">
        <v>243</v>
      </c>
      <c r="D99" s="624">
        <v>225</v>
      </c>
      <c r="E99" s="596">
        <f t="shared" si="16"/>
        <v>0</v>
      </c>
      <c r="F99" s="595">
        <f>'Прилож 4 24 (5)'!V98</f>
        <v>0</v>
      </c>
      <c r="G99" s="595">
        <f>'Прилож 4 24 (5)'!W98</f>
        <v>0</v>
      </c>
      <c r="H99" s="595">
        <f>'Прилож 4 24 (5)'!X98</f>
        <v>0</v>
      </c>
      <c r="I99" s="626"/>
      <c r="J99" s="595">
        <f>'Прилож 4 24 (5)'!Z98</f>
        <v>0</v>
      </c>
      <c r="K99" s="595">
        <f>'Прилож 4 24 (5)'!AA98</f>
        <v>0</v>
      </c>
      <c r="L99" s="595">
        <f>'Прилож 4 24 (5)'!AB98</f>
        <v>0</v>
      </c>
      <c r="M99" s="876">
        <f t="shared" si="20"/>
        <v>0</v>
      </c>
      <c r="N99" s="876"/>
      <c r="O99" s="876"/>
      <c r="P99" s="876"/>
      <c r="Q99" s="881"/>
      <c r="R99" s="876"/>
      <c r="S99" s="876"/>
      <c r="T99" s="876"/>
      <c r="U99" s="876">
        <f t="shared" si="19"/>
        <v>0</v>
      </c>
      <c r="V99" s="875">
        <f t="shared" si="19"/>
        <v>0</v>
      </c>
      <c r="W99" s="875">
        <f t="shared" si="18"/>
        <v>0</v>
      </c>
      <c r="X99" s="875">
        <f t="shared" si="18"/>
        <v>0</v>
      </c>
      <c r="Y99" s="881"/>
      <c r="Z99" s="875">
        <f t="shared" si="17"/>
        <v>0</v>
      </c>
      <c r="AA99" s="875">
        <f t="shared" si="17"/>
        <v>0</v>
      </c>
      <c r="AB99" s="875">
        <f t="shared" si="17"/>
        <v>0</v>
      </c>
      <c r="AC99" s="879"/>
    </row>
    <row r="100" spans="1:29" ht="77.45" customHeight="1" x14ac:dyDescent="0.2">
      <c r="A100" s="618" t="s">
        <v>1188</v>
      </c>
      <c r="B100" s="619" t="s">
        <v>747</v>
      </c>
      <c r="C100" s="620">
        <v>244</v>
      </c>
      <c r="D100" s="620">
        <v>225</v>
      </c>
      <c r="E100" s="596">
        <f t="shared" si="16"/>
        <v>50400</v>
      </c>
      <c r="F100" s="595">
        <f>'Прилож 4 24 (5)'!V99</f>
        <v>0</v>
      </c>
      <c r="G100" s="595">
        <f>'Прилож 4 24 (5)'!W99</f>
        <v>0</v>
      </c>
      <c r="H100" s="595">
        <f>'Прилож 4 24 (5)'!X99</f>
        <v>50400</v>
      </c>
      <c r="I100" s="628"/>
      <c r="J100" s="595">
        <f>'Прилож 4 24 (5)'!Z99</f>
        <v>0</v>
      </c>
      <c r="K100" s="595">
        <f>'Прилож 4 24 (5)'!AA99</f>
        <v>0</v>
      </c>
      <c r="L100" s="595">
        <f>'Прилож 4 24 (5)'!AB99</f>
        <v>0</v>
      </c>
      <c r="M100" s="876">
        <f t="shared" si="20"/>
        <v>0</v>
      </c>
      <c r="N100" s="875"/>
      <c r="O100" s="875"/>
      <c r="P100" s="875"/>
      <c r="Q100" s="877"/>
      <c r="R100" s="875"/>
      <c r="S100" s="875"/>
      <c r="T100" s="875"/>
      <c r="U100" s="876">
        <f t="shared" si="19"/>
        <v>50400</v>
      </c>
      <c r="V100" s="875">
        <f t="shared" si="19"/>
        <v>0</v>
      </c>
      <c r="W100" s="875">
        <f t="shared" si="18"/>
        <v>0</v>
      </c>
      <c r="X100" s="875">
        <f t="shared" si="18"/>
        <v>50400</v>
      </c>
      <c r="Y100" s="883"/>
      <c r="Z100" s="875">
        <f t="shared" si="17"/>
        <v>0</v>
      </c>
      <c r="AA100" s="875">
        <f t="shared" si="17"/>
        <v>0</v>
      </c>
      <c r="AB100" s="875">
        <f t="shared" si="17"/>
        <v>0</v>
      </c>
      <c r="AC100" s="878"/>
    </row>
    <row r="101" spans="1:29" x14ac:dyDescent="0.2">
      <c r="A101" s="618" t="s">
        <v>1193</v>
      </c>
      <c r="B101" s="619" t="s">
        <v>747</v>
      </c>
      <c r="C101" s="620">
        <v>244</v>
      </c>
      <c r="D101" s="620">
        <v>225</v>
      </c>
      <c r="E101" s="596">
        <f t="shared" si="16"/>
        <v>49836</v>
      </c>
      <c r="F101" s="595">
        <f>'Прилож 4 24 (5)'!V100</f>
        <v>0</v>
      </c>
      <c r="G101" s="595">
        <f>'Прилож 4 24 (5)'!W100</f>
        <v>0</v>
      </c>
      <c r="H101" s="595">
        <f>'Прилож 4 24 (5)'!X100</f>
        <v>49836</v>
      </c>
      <c r="I101" s="628"/>
      <c r="J101" s="595">
        <f>'Прилож 4 24 (5)'!Z100</f>
        <v>0</v>
      </c>
      <c r="K101" s="595">
        <f>'Прилож 4 24 (5)'!AA100</f>
        <v>0</v>
      </c>
      <c r="L101" s="595">
        <f>'Прилож 4 24 (5)'!AB100</f>
        <v>0</v>
      </c>
      <c r="M101" s="876">
        <f t="shared" si="20"/>
        <v>0</v>
      </c>
      <c r="N101" s="875"/>
      <c r="O101" s="875"/>
      <c r="P101" s="875"/>
      <c r="Q101" s="877"/>
      <c r="R101" s="875"/>
      <c r="S101" s="875"/>
      <c r="T101" s="875"/>
      <c r="U101" s="876">
        <f t="shared" si="19"/>
        <v>49836</v>
      </c>
      <c r="V101" s="875">
        <f t="shared" si="19"/>
        <v>0</v>
      </c>
      <c r="W101" s="875">
        <f t="shared" si="18"/>
        <v>0</v>
      </c>
      <c r="X101" s="875">
        <f t="shared" si="18"/>
        <v>49836</v>
      </c>
      <c r="Y101" s="883"/>
      <c r="Z101" s="875">
        <f t="shared" si="17"/>
        <v>0</v>
      </c>
      <c r="AA101" s="875">
        <f t="shared" si="17"/>
        <v>0</v>
      </c>
      <c r="AB101" s="875">
        <f t="shared" si="17"/>
        <v>0</v>
      </c>
      <c r="AC101" s="878"/>
    </row>
    <row r="102" spans="1:29" ht="54" customHeight="1" x14ac:dyDescent="0.2">
      <c r="A102" s="618" t="s">
        <v>1192</v>
      </c>
      <c r="B102" s="619" t="s">
        <v>747</v>
      </c>
      <c r="C102" s="620">
        <v>244</v>
      </c>
      <c r="D102" s="620">
        <v>225</v>
      </c>
      <c r="E102" s="596">
        <f t="shared" si="16"/>
        <v>3859</v>
      </c>
      <c r="F102" s="595">
        <f>'Прилож 4 24 (5)'!V101</f>
        <v>0</v>
      </c>
      <c r="G102" s="595">
        <f>'Прилож 4 24 (5)'!W101</f>
        <v>0</v>
      </c>
      <c r="H102" s="595">
        <f>'Прилож 4 24 (5)'!X101</f>
        <v>3859</v>
      </c>
      <c r="I102" s="628"/>
      <c r="J102" s="595">
        <f>'Прилож 4 24 (5)'!Z101</f>
        <v>0</v>
      </c>
      <c r="K102" s="595">
        <f>'Прилож 4 24 (5)'!AA101</f>
        <v>0</v>
      </c>
      <c r="L102" s="595">
        <f>'Прилож 4 24 (5)'!AB101</f>
        <v>0</v>
      </c>
      <c r="M102" s="876">
        <f t="shared" si="20"/>
        <v>0</v>
      </c>
      <c r="N102" s="875"/>
      <c r="O102" s="875"/>
      <c r="P102" s="875"/>
      <c r="Q102" s="877"/>
      <c r="R102" s="875"/>
      <c r="S102" s="875"/>
      <c r="T102" s="875"/>
      <c r="U102" s="876">
        <f t="shared" si="19"/>
        <v>3859</v>
      </c>
      <c r="V102" s="875">
        <f t="shared" si="19"/>
        <v>0</v>
      </c>
      <c r="W102" s="875">
        <f t="shared" si="18"/>
        <v>0</v>
      </c>
      <c r="X102" s="875">
        <f t="shared" si="18"/>
        <v>3859</v>
      </c>
      <c r="Y102" s="883"/>
      <c r="Z102" s="875">
        <f t="shared" si="17"/>
        <v>0</v>
      </c>
      <c r="AA102" s="875">
        <f t="shared" si="17"/>
        <v>0</v>
      </c>
      <c r="AB102" s="875">
        <f t="shared" si="17"/>
        <v>0</v>
      </c>
      <c r="AC102" s="878"/>
    </row>
    <row r="103" spans="1:29" ht="31.5" x14ac:dyDescent="0.2">
      <c r="A103" s="618" t="s">
        <v>1187</v>
      </c>
      <c r="B103" s="619" t="s">
        <v>747</v>
      </c>
      <c r="C103" s="620">
        <v>244</v>
      </c>
      <c r="D103" s="620">
        <v>225</v>
      </c>
      <c r="E103" s="596">
        <f t="shared" si="16"/>
        <v>21600</v>
      </c>
      <c r="F103" s="595">
        <f>'Прилож 4 24 (5)'!V102</f>
        <v>0</v>
      </c>
      <c r="G103" s="595">
        <f>'Прилож 4 24 (5)'!W102</f>
        <v>0</v>
      </c>
      <c r="H103" s="595">
        <f>'Прилож 4 24 (5)'!X102</f>
        <v>21600</v>
      </c>
      <c r="I103" s="628"/>
      <c r="J103" s="595">
        <f>'Прилож 4 24 (5)'!Z102</f>
        <v>0</v>
      </c>
      <c r="K103" s="595">
        <f>'Прилож 4 24 (5)'!AA102</f>
        <v>0</v>
      </c>
      <c r="L103" s="595">
        <f>'Прилож 4 24 (5)'!AB102</f>
        <v>0</v>
      </c>
      <c r="M103" s="876">
        <f t="shared" si="20"/>
        <v>0</v>
      </c>
      <c r="N103" s="875"/>
      <c r="O103" s="875"/>
      <c r="P103" s="875"/>
      <c r="Q103" s="877"/>
      <c r="R103" s="875"/>
      <c r="S103" s="875"/>
      <c r="T103" s="875"/>
      <c r="U103" s="876">
        <f t="shared" si="19"/>
        <v>21600</v>
      </c>
      <c r="V103" s="875">
        <f t="shared" si="19"/>
        <v>0</v>
      </c>
      <c r="W103" s="875">
        <f t="shared" si="18"/>
        <v>0</v>
      </c>
      <c r="X103" s="875">
        <f t="shared" si="18"/>
        <v>21600</v>
      </c>
      <c r="Y103" s="883"/>
      <c r="Z103" s="875">
        <f t="shared" si="17"/>
        <v>0</v>
      </c>
      <c r="AA103" s="875">
        <f t="shared" si="17"/>
        <v>0</v>
      </c>
      <c r="AB103" s="875">
        <f t="shared" si="17"/>
        <v>0</v>
      </c>
      <c r="AC103" s="878"/>
    </row>
    <row r="104" spans="1:29" s="612" customFormat="1" ht="31.5" x14ac:dyDescent="0.2">
      <c r="A104" s="618" t="s">
        <v>1203</v>
      </c>
      <c r="B104" s="619" t="s">
        <v>747</v>
      </c>
      <c r="C104" s="620">
        <v>244</v>
      </c>
      <c r="D104" s="620">
        <v>225</v>
      </c>
      <c r="E104" s="596">
        <f t="shared" si="16"/>
        <v>16551.099999999999</v>
      </c>
      <c r="F104" s="595">
        <f>'Прилож 4 24 (5)'!V103</f>
        <v>0</v>
      </c>
      <c r="G104" s="595">
        <f>'Прилож 4 24 (5)'!W103</f>
        <v>0</v>
      </c>
      <c r="H104" s="595">
        <f>'Прилож 4 24 (5)'!X103</f>
        <v>16551.099999999999</v>
      </c>
      <c r="I104" s="628"/>
      <c r="J104" s="595">
        <f>'Прилож 4 24 (5)'!Z103</f>
        <v>0</v>
      </c>
      <c r="K104" s="595">
        <f>'Прилож 4 24 (5)'!AA103</f>
        <v>0</v>
      </c>
      <c r="L104" s="595">
        <f>'Прилож 4 24 (5)'!AB103</f>
        <v>0</v>
      </c>
      <c r="M104" s="876">
        <f t="shared" si="20"/>
        <v>0</v>
      </c>
      <c r="N104" s="875"/>
      <c r="O104" s="875"/>
      <c r="P104" s="875"/>
      <c r="Q104" s="877"/>
      <c r="R104" s="875"/>
      <c r="S104" s="875"/>
      <c r="T104" s="875"/>
      <c r="U104" s="876">
        <f t="shared" si="19"/>
        <v>16551.099999999999</v>
      </c>
      <c r="V104" s="875">
        <f t="shared" si="19"/>
        <v>0</v>
      </c>
      <c r="W104" s="875">
        <f t="shared" si="18"/>
        <v>0</v>
      </c>
      <c r="X104" s="875">
        <f t="shared" si="18"/>
        <v>16551.099999999999</v>
      </c>
      <c r="Y104" s="883"/>
      <c r="Z104" s="875">
        <f t="shared" si="17"/>
        <v>0</v>
      </c>
      <c r="AA104" s="875">
        <f t="shared" si="17"/>
        <v>0</v>
      </c>
      <c r="AB104" s="875">
        <f t="shared" si="17"/>
        <v>0</v>
      </c>
      <c r="AC104" s="878"/>
    </row>
    <row r="105" spans="1:29" s="612" customFormat="1" ht="32.25" customHeight="1" x14ac:dyDescent="0.2">
      <c r="A105" s="618" t="s">
        <v>583</v>
      </c>
      <c r="B105" s="619" t="s">
        <v>747</v>
      </c>
      <c r="C105" s="620">
        <v>244</v>
      </c>
      <c r="D105" s="620">
        <v>225</v>
      </c>
      <c r="E105" s="596">
        <f t="shared" si="16"/>
        <v>8330</v>
      </c>
      <c r="F105" s="595">
        <f>'Прилож 4 24 (5)'!V104</f>
        <v>0</v>
      </c>
      <c r="G105" s="595">
        <f>'Прилож 4 24 (5)'!W104</f>
        <v>0</v>
      </c>
      <c r="H105" s="595">
        <f>'Прилож 4 24 (5)'!X104</f>
        <v>8330</v>
      </c>
      <c r="I105" s="628"/>
      <c r="J105" s="595">
        <f>'Прилож 4 24 (5)'!Z104</f>
        <v>0</v>
      </c>
      <c r="K105" s="595">
        <f>'Прилож 4 24 (5)'!AA104</f>
        <v>0</v>
      </c>
      <c r="L105" s="595">
        <f>'Прилож 4 24 (5)'!AB104</f>
        <v>0</v>
      </c>
      <c r="M105" s="876">
        <f t="shared" si="20"/>
        <v>0</v>
      </c>
      <c r="N105" s="875"/>
      <c r="O105" s="875"/>
      <c r="P105" s="875"/>
      <c r="Q105" s="877"/>
      <c r="R105" s="875"/>
      <c r="S105" s="875"/>
      <c r="T105" s="875"/>
      <c r="U105" s="876">
        <f t="shared" si="19"/>
        <v>8330</v>
      </c>
      <c r="V105" s="875">
        <f t="shared" si="19"/>
        <v>0</v>
      </c>
      <c r="W105" s="875">
        <f t="shared" si="18"/>
        <v>0</v>
      </c>
      <c r="X105" s="875">
        <f t="shared" si="18"/>
        <v>8330</v>
      </c>
      <c r="Y105" s="883"/>
      <c r="Z105" s="875">
        <f t="shared" si="17"/>
        <v>0</v>
      </c>
      <c r="AA105" s="875">
        <f t="shared" si="17"/>
        <v>0</v>
      </c>
      <c r="AB105" s="875">
        <f t="shared" si="17"/>
        <v>0</v>
      </c>
      <c r="AC105" s="878"/>
    </row>
    <row r="106" spans="1:29" s="612" customFormat="1" x14ac:dyDescent="0.2">
      <c r="A106" s="618" t="s">
        <v>1297</v>
      </c>
      <c r="B106" s="619" t="s">
        <v>747</v>
      </c>
      <c r="C106" s="620">
        <v>244</v>
      </c>
      <c r="D106" s="620">
        <v>225</v>
      </c>
      <c r="E106" s="596">
        <f t="shared" si="16"/>
        <v>4000</v>
      </c>
      <c r="F106" s="595">
        <f>'Прилож 4 24 (5)'!V105</f>
        <v>0</v>
      </c>
      <c r="G106" s="595">
        <f>'Прилож 4 24 (5)'!W105</f>
        <v>0</v>
      </c>
      <c r="H106" s="595">
        <f>'Прилож 4 24 (5)'!X105</f>
        <v>4000</v>
      </c>
      <c r="I106" s="628"/>
      <c r="J106" s="595">
        <f>'Прилож 4 24 (5)'!Z105</f>
        <v>0</v>
      </c>
      <c r="K106" s="595">
        <f>'Прилож 4 24 (5)'!AA105</f>
        <v>0</v>
      </c>
      <c r="L106" s="595">
        <f>'Прилож 4 24 (5)'!AB105</f>
        <v>0</v>
      </c>
      <c r="M106" s="876">
        <f t="shared" si="20"/>
        <v>0</v>
      </c>
      <c r="N106" s="875"/>
      <c r="O106" s="875"/>
      <c r="P106" s="875"/>
      <c r="Q106" s="877"/>
      <c r="R106" s="875"/>
      <c r="S106" s="875"/>
      <c r="T106" s="875"/>
      <c r="U106" s="876">
        <f t="shared" si="19"/>
        <v>4000</v>
      </c>
      <c r="V106" s="875">
        <f t="shared" si="19"/>
        <v>0</v>
      </c>
      <c r="W106" s="875">
        <f t="shared" si="18"/>
        <v>0</v>
      </c>
      <c r="X106" s="875">
        <f t="shared" si="18"/>
        <v>4000</v>
      </c>
      <c r="Y106" s="883"/>
      <c r="Z106" s="875">
        <f t="shared" si="17"/>
        <v>0</v>
      </c>
      <c r="AA106" s="875">
        <f t="shared" si="17"/>
        <v>0</v>
      </c>
      <c r="AB106" s="875">
        <f t="shared" si="17"/>
        <v>0</v>
      </c>
      <c r="AC106" s="878"/>
    </row>
    <row r="107" spans="1:29" s="612" customFormat="1" x14ac:dyDescent="0.2">
      <c r="A107" s="618" t="s">
        <v>1204</v>
      </c>
      <c r="B107" s="619" t="s">
        <v>747</v>
      </c>
      <c r="C107" s="620">
        <v>244</v>
      </c>
      <c r="D107" s="620">
        <v>225</v>
      </c>
      <c r="E107" s="596">
        <f t="shared" si="16"/>
        <v>20000</v>
      </c>
      <c r="F107" s="595">
        <f>'Прилож 4 24 (5)'!V106</f>
        <v>0</v>
      </c>
      <c r="G107" s="595">
        <f>'Прилож 4 24 (5)'!W106</f>
        <v>0</v>
      </c>
      <c r="H107" s="595">
        <f>'Прилож 4 24 (5)'!X106</f>
        <v>20000</v>
      </c>
      <c r="I107" s="628"/>
      <c r="J107" s="595">
        <f>'Прилож 4 24 (5)'!Z106</f>
        <v>0</v>
      </c>
      <c r="K107" s="595">
        <f>'Прилож 4 24 (5)'!AA106</f>
        <v>0</v>
      </c>
      <c r="L107" s="595">
        <f>'Прилож 4 24 (5)'!AB106</f>
        <v>0</v>
      </c>
      <c r="M107" s="876">
        <f t="shared" si="20"/>
        <v>0</v>
      </c>
      <c r="N107" s="875"/>
      <c r="O107" s="875"/>
      <c r="P107" s="875"/>
      <c r="Q107" s="877"/>
      <c r="R107" s="875"/>
      <c r="S107" s="875"/>
      <c r="T107" s="875"/>
      <c r="U107" s="876">
        <f t="shared" si="19"/>
        <v>20000</v>
      </c>
      <c r="V107" s="875">
        <f t="shared" si="19"/>
        <v>0</v>
      </c>
      <c r="W107" s="875">
        <f t="shared" si="18"/>
        <v>0</v>
      </c>
      <c r="X107" s="875">
        <f t="shared" si="18"/>
        <v>20000</v>
      </c>
      <c r="Y107" s="883"/>
      <c r="Z107" s="875">
        <f t="shared" si="17"/>
        <v>0</v>
      </c>
      <c r="AA107" s="875">
        <f t="shared" si="17"/>
        <v>0</v>
      </c>
      <c r="AB107" s="875">
        <f t="shared" si="17"/>
        <v>0</v>
      </c>
      <c r="AC107" s="878"/>
    </row>
    <row r="108" spans="1:29" s="612" customFormat="1" ht="31.5" customHeight="1" x14ac:dyDescent="0.2">
      <c r="A108" s="618" t="s">
        <v>143</v>
      </c>
      <c r="B108" s="619" t="s">
        <v>747</v>
      </c>
      <c r="C108" s="620">
        <v>244</v>
      </c>
      <c r="D108" s="620">
        <v>225</v>
      </c>
      <c r="E108" s="596">
        <f t="shared" si="16"/>
        <v>12104.58</v>
      </c>
      <c r="F108" s="595">
        <f>'Прилож 4 24 (5)'!V107</f>
        <v>0</v>
      </c>
      <c r="G108" s="595">
        <f>'Прилож 4 24 (5)'!W107</f>
        <v>0</v>
      </c>
      <c r="H108" s="595">
        <f>'Прилож 4 24 (5)'!X107</f>
        <v>12104.58</v>
      </c>
      <c r="I108" s="628"/>
      <c r="J108" s="595">
        <f>'Прилож 4 24 (5)'!Z107</f>
        <v>0</v>
      </c>
      <c r="K108" s="595">
        <f>'Прилож 4 24 (5)'!AA107</f>
        <v>0</v>
      </c>
      <c r="L108" s="595">
        <f>'Прилож 4 24 (5)'!AB107</f>
        <v>0</v>
      </c>
      <c r="M108" s="876">
        <f t="shared" si="20"/>
        <v>0</v>
      </c>
      <c r="N108" s="875"/>
      <c r="O108" s="875"/>
      <c r="P108" s="875"/>
      <c r="Q108" s="877"/>
      <c r="R108" s="875"/>
      <c r="S108" s="875"/>
      <c r="T108" s="875"/>
      <c r="U108" s="876">
        <f t="shared" si="19"/>
        <v>12104.58</v>
      </c>
      <c r="V108" s="875">
        <f t="shared" si="19"/>
        <v>0</v>
      </c>
      <c r="W108" s="875">
        <f t="shared" si="18"/>
        <v>0</v>
      </c>
      <c r="X108" s="875">
        <f t="shared" si="18"/>
        <v>12104.58</v>
      </c>
      <c r="Y108" s="883"/>
      <c r="Z108" s="875">
        <f t="shared" si="17"/>
        <v>0</v>
      </c>
      <c r="AA108" s="875">
        <f t="shared" si="17"/>
        <v>0</v>
      </c>
      <c r="AB108" s="875">
        <f t="shared" si="17"/>
        <v>0</v>
      </c>
      <c r="AC108" s="878"/>
    </row>
    <row r="109" spans="1:29" s="612" customFormat="1" ht="31.5" x14ac:dyDescent="0.2">
      <c r="A109" s="618" t="s">
        <v>645</v>
      </c>
      <c r="B109" s="619" t="s">
        <v>747</v>
      </c>
      <c r="C109" s="620">
        <v>244</v>
      </c>
      <c r="D109" s="620">
        <v>225</v>
      </c>
      <c r="E109" s="596">
        <f t="shared" si="16"/>
        <v>0</v>
      </c>
      <c r="F109" s="595">
        <f>'Прилож 4 24 (5)'!V108</f>
        <v>0</v>
      </c>
      <c r="G109" s="595">
        <f>'Прилож 4 24 (5)'!W108</f>
        <v>0</v>
      </c>
      <c r="H109" s="595">
        <f>'Прилож 4 24 (5)'!X108</f>
        <v>0</v>
      </c>
      <c r="I109" s="628"/>
      <c r="J109" s="595">
        <f>'Прилож 4 24 (5)'!Z108</f>
        <v>0</v>
      </c>
      <c r="K109" s="595">
        <f>'Прилож 4 24 (5)'!AA108</f>
        <v>0</v>
      </c>
      <c r="L109" s="595">
        <f>'Прилож 4 24 (5)'!AB108</f>
        <v>0</v>
      </c>
      <c r="M109" s="876">
        <f t="shared" si="20"/>
        <v>0</v>
      </c>
      <c r="N109" s="875"/>
      <c r="O109" s="875"/>
      <c r="P109" s="875"/>
      <c r="Q109" s="877"/>
      <c r="R109" s="875"/>
      <c r="S109" s="875"/>
      <c r="T109" s="875"/>
      <c r="U109" s="876">
        <f t="shared" si="19"/>
        <v>0</v>
      </c>
      <c r="V109" s="875">
        <f t="shared" si="19"/>
        <v>0</v>
      </c>
      <c r="W109" s="875">
        <f t="shared" si="18"/>
        <v>0</v>
      </c>
      <c r="X109" s="875">
        <f t="shared" si="18"/>
        <v>0</v>
      </c>
      <c r="Y109" s="883"/>
      <c r="Z109" s="875">
        <f t="shared" si="17"/>
        <v>0</v>
      </c>
      <c r="AA109" s="875">
        <f t="shared" si="17"/>
        <v>0</v>
      </c>
      <c r="AB109" s="875">
        <f t="shared" si="17"/>
        <v>0</v>
      </c>
      <c r="AC109" s="878"/>
    </row>
    <row r="110" spans="1:29" s="612" customFormat="1" ht="31.5" x14ac:dyDescent="0.2">
      <c r="A110" s="618" t="s">
        <v>646</v>
      </c>
      <c r="B110" s="619" t="s">
        <v>747</v>
      </c>
      <c r="C110" s="620">
        <v>244</v>
      </c>
      <c r="D110" s="620">
        <v>225</v>
      </c>
      <c r="E110" s="596">
        <f t="shared" si="16"/>
        <v>44200</v>
      </c>
      <c r="F110" s="595">
        <f>'Прилож 4 24 (5)'!V109</f>
        <v>0</v>
      </c>
      <c r="G110" s="595">
        <f>'Прилож 4 24 (5)'!W109</f>
        <v>0</v>
      </c>
      <c r="H110" s="595">
        <f>'Прилож 4 24 (5)'!X109</f>
        <v>44200</v>
      </c>
      <c r="I110" s="628"/>
      <c r="J110" s="595">
        <f>'Прилож 4 24 (5)'!Z109</f>
        <v>0</v>
      </c>
      <c r="K110" s="595">
        <f>'Прилож 4 24 (5)'!AA109</f>
        <v>0</v>
      </c>
      <c r="L110" s="595">
        <f>'Прилож 4 24 (5)'!AB109</f>
        <v>0</v>
      </c>
      <c r="M110" s="876">
        <f t="shared" si="20"/>
        <v>0</v>
      </c>
      <c r="N110" s="875"/>
      <c r="O110" s="875"/>
      <c r="P110" s="875"/>
      <c r="Q110" s="877"/>
      <c r="R110" s="875"/>
      <c r="S110" s="875"/>
      <c r="T110" s="875"/>
      <c r="U110" s="876">
        <f t="shared" si="19"/>
        <v>44200</v>
      </c>
      <c r="V110" s="875">
        <f t="shared" si="19"/>
        <v>0</v>
      </c>
      <c r="W110" s="875">
        <f t="shared" si="18"/>
        <v>0</v>
      </c>
      <c r="X110" s="875">
        <f t="shared" si="18"/>
        <v>44200</v>
      </c>
      <c r="Y110" s="883"/>
      <c r="Z110" s="875">
        <f t="shared" si="17"/>
        <v>0</v>
      </c>
      <c r="AA110" s="875">
        <f t="shared" si="17"/>
        <v>0</v>
      </c>
      <c r="AB110" s="875">
        <f t="shared" si="17"/>
        <v>0</v>
      </c>
      <c r="AC110" s="878"/>
    </row>
    <row r="111" spans="1:29" s="612" customFormat="1" ht="38.25" customHeight="1" x14ac:dyDescent="0.2">
      <c r="A111" s="618" t="s">
        <v>146</v>
      </c>
      <c r="B111" s="619" t="s">
        <v>747</v>
      </c>
      <c r="C111" s="620">
        <v>244</v>
      </c>
      <c r="D111" s="620">
        <v>225</v>
      </c>
      <c r="E111" s="596">
        <f t="shared" si="16"/>
        <v>20000</v>
      </c>
      <c r="F111" s="595">
        <f>'Прилож 4 24 (5)'!V110</f>
        <v>0</v>
      </c>
      <c r="G111" s="595">
        <f>'Прилож 4 24 (5)'!W110</f>
        <v>0</v>
      </c>
      <c r="H111" s="595">
        <f>'Прилож 4 24 (5)'!X110</f>
        <v>20000</v>
      </c>
      <c r="I111" s="628"/>
      <c r="J111" s="595">
        <f>'Прилож 4 24 (5)'!Z110</f>
        <v>0</v>
      </c>
      <c r="K111" s="595">
        <f>'Прилож 4 24 (5)'!AA110</f>
        <v>0</v>
      </c>
      <c r="L111" s="595">
        <f>'Прилож 4 24 (5)'!AB110</f>
        <v>0</v>
      </c>
      <c r="M111" s="876">
        <f t="shared" si="20"/>
        <v>0</v>
      </c>
      <c r="N111" s="875"/>
      <c r="O111" s="875"/>
      <c r="P111" s="875"/>
      <c r="Q111" s="877"/>
      <c r="R111" s="875"/>
      <c r="S111" s="875"/>
      <c r="T111" s="875"/>
      <c r="U111" s="876">
        <f t="shared" si="19"/>
        <v>20000</v>
      </c>
      <c r="V111" s="875">
        <f t="shared" si="19"/>
        <v>0</v>
      </c>
      <c r="W111" s="875">
        <f t="shared" si="18"/>
        <v>0</v>
      </c>
      <c r="X111" s="875">
        <f t="shared" si="18"/>
        <v>20000</v>
      </c>
      <c r="Y111" s="883"/>
      <c r="Z111" s="875">
        <f t="shared" si="17"/>
        <v>0</v>
      </c>
      <c r="AA111" s="875">
        <f t="shared" si="17"/>
        <v>0</v>
      </c>
      <c r="AB111" s="875">
        <f t="shared" si="17"/>
        <v>0</v>
      </c>
      <c r="AC111" s="878"/>
    </row>
    <row r="112" spans="1:29" s="612" customFormat="1" ht="47.25" x14ac:dyDescent="0.2">
      <c r="A112" s="618" t="s">
        <v>148</v>
      </c>
      <c r="B112" s="619" t="s">
        <v>747</v>
      </c>
      <c r="C112" s="620">
        <v>244</v>
      </c>
      <c r="D112" s="620">
        <v>225</v>
      </c>
      <c r="E112" s="596">
        <f t="shared" si="16"/>
        <v>12000</v>
      </c>
      <c r="F112" s="595">
        <f>'Прилож 4 24 (5)'!V111</f>
        <v>0</v>
      </c>
      <c r="G112" s="595">
        <f>'Прилож 4 24 (5)'!W111</f>
        <v>0</v>
      </c>
      <c r="H112" s="595">
        <f>'Прилож 4 24 (5)'!X111</f>
        <v>12000</v>
      </c>
      <c r="I112" s="628"/>
      <c r="J112" s="595">
        <f>'Прилож 4 24 (5)'!Z111</f>
        <v>0</v>
      </c>
      <c r="K112" s="595">
        <f>'Прилож 4 24 (5)'!AA111</f>
        <v>0</v>
      </c>
      <c r="L112" s="595">
        <f>'Прилож 4 24 (5)'!AB111</f>
        <v>0</v>
      </c>
      <c r="M112" s="876">
        <f t="shared" si="20"/>
        <v>0</v>
      </c>
      <c r="N112" s="875"/>
      <c r="O112" s="875"/>
      <c r="P112" s="875"/>
      <c r="Q112" s="877"/>
      <c r="R112" s="875"/>
      <c r="S112" s="875"/>
      <c r="T112" s="875"/>
      <c r="U112" s="876">
        <f t="shared" si="19"/>
        <v>12000</v>
      </c>
      <c r="V112" s="875">
        <f t="shared" si="19"/>
        <v>0</v>
      </c>
      <c r="W112" s="875">
        <f t="shared" si="18"/>
        <v>0</v>
      </c>
      <c r="X112" s="875">
        <f t="shared" si="18"/>
        <v>12000</v>
      </c>
      <c r="Y112" s="883"/>
      <c r="Z112" s="875">
        <f t="shared" si="17"/>
        <v>0</v>
      </c>
      <c r="AA112" s="875">
        <f t="shared" si="17"/>
        <v>0</v>
      </c>
      <c r="AB112" s="875">
        <f t="shared" si="17"/>
        <v>0</v>
      </c>
      <c r="AC112" s="878"/>
    </row>
    <row r="113" spans="1:29" s="612" customFormat="1" ht="42" customHeight="1" x14ac:dyDescent="0.2">
      <c r="A113" s="618" t="s">
        <v>149</v>
      </c>
      <c r="B113" s="619" t="s">
        <v>747</v>
      </c>
      <c r="C113" s="620">
        <v>244</v>
      </c>
      <c r="D113" s="620">
        <v>225</v>
      </c>
      <c r="E113" s="596">
        <f t="shared" si="16"/>
        <v>3033.2200000000003</v>
      </c>
      <c r="F113" s="595">
        <f>'Прилож 4 24 (5)'!V112</f>
        <v>0</v>
      </c>
      <c r="G113" s="595">
        <f>'Прилож 4 24 (5)'!W112</f>
        <v>0</v>
      </c>
      <c r="H113" s="595">
        <f>'Прилож 4 24 (5)'!X112</f>
        <v>3033.2200000000003</v>
      </c>
      <c r="I113" s="628"/>
      <c r="J113" s="595">
        <f>'Прилож 4 24 (5)'!Z112</f>
        <v>0</v>
      </c>
      <c r="K113" s="595">
        <f>'Прилож 4 24 (5)'!AA112</f>
        <v>0</v>
      </c>
      <c r="L113" s="595">
        <f>'Прилож 4 24 (5)'!AB112</f>
        <v>0</v>
      </c>
      <c r="M113" s="876">
        <f t="shared" si="20"/>
        <v>0</v>
      </c>
      <c r="N113" s="875"/>
      <c r="O113" s="875"/>
      <c r="P113" s="875"/>
      <c r="Q113" s="877"/>
      <c r="R113" s="875"/>
      <c r="S113" s="875"/>
      <c r="T113" s="875"/>
      <c r="U113" s="876">
        <f t="shared" si="19"/>
        <v>3033.2200000000003</v>
      </c>
      <c r="V113" s="875">
        <f t="shared" si="19"/>
        <v>0</v>
      </c>
      <c r="W113" s="875">
        <f t="shared" si="18"/>
        <v>0</v>
      </c>
      <c r="X113" s="875">
        <f t="shared" si="18"/>
        <v>3033.2200000000003</v>
      </c>
      <c r="Y113" s="883"/>
      <c r="Z113" s="875">
        <f t="shared" si="17"/>
        <v>0</v>
      </c>
      <c r="AA113" s="875">
        <f t="shared" si="17"/>
        <v>0</v>
      </c>
      <c r="AB113" s="875">
        <f t="shared" si="17"/>
        <v>0</v>
      </c>
      <c r="AC113" s="878"/>
    </row>
    <row r="114" spans="1:29" s="612" customFormat="1" x14ac:dyDescent="0.2">
      <c r="A114" s="618" t="s">
        <v>647</v>
      </c>
      <c r="B114" s="619" t="s">
        <v>747</v>
      </c>
      <c r="C114" s="620">
        <v>244</v>
      </c>
      <c r="D114" s="620">
        <v>225</v>
      </c>
      <c r="E114" s="596">
        <f t="shared" si="16"/>
        <v>10000</v>
      </c>
      <c r="F114" s="595">
        <f>'Прилож 4 24 (5)'!V113</f>
        <v>0</v>
      </c>
      <c r="G114" s="595">
        <f>'Прилож 4 24 (5)'!W113</f>
        <v>0</v>
      </c>
      <c r="H114" s="595">
        <f>'Прилож 4 24 (5)'!X113</f>
        <v>10000</v>
      </c>
      <c r="I114" s="628"/>
      <c r="J114" s="595">
        <f>'Прилож 4 24 (5)'!Z113</f>
        <v>0</v>
      </c>
      <c r="K114" s="595">
        <f>'Прилож 4 24 (5)'!AA113</f>
        <v>0</v>
      </c>
      <c r="L114" s="595">
        <f>'Прилож 4 24 (5)'!AB113</f>
        <v>0</v>
      </c>
      <c r="M114" s="876">
        <f t="shared" si="20"/>
        <v>0</v>
      </c>
      <c r="N114" s="875"/>
      <c r="O114" s="875"/>
      <c r="P114" s="875"/>
      <c r="Q114" s="877"/>
      <c r="R114" s="875"/>
      <c r="S114" s="875"/>
      <c r="T114" s="875"/>
      <c r="U114" s="876">
        <f t="shared" si="19"/>
        <v>10000</v>
      </c>
      <c r="V114" s="875">
        <f t="shared" si="19"/>
        <v>0</v>
      </c>
      <c r="W114" s="875">
        <f t="shared" si="18"/>
        <v>0</v>
      </c>
      <c r="X114" s="875">
        <f t="shared" si="18"/>
        <v>10000</v>
      </c>
      <c r="Y114" s="883"/>
      <c r="Z114" s="875">
        <f t="shared" si="17"/>
        <v>0</v>
      </c>
      <c r="AA114" s="875">
        <f t="shared" si="17"/>
        <v>0</v>
      </c>
      <c r="AB114" s="875">
        <f t="shared" si="17"/>
        <v>0</v>
      </c>
      <c r="AC114" s="878"/>
    </row>
    <row r="115" spans="1:29" s="612" customFormat="1" ht="31.5" x14ac:dyDescent="0.2">
      <c r="A115" s="618" t="s">
        <v>1185</v>
      </c>
      <c r="B115" s="619" t="s">
        <v>747</v>
      </c>
      <c r="C115" s="620">
        <v>244</v>
      </c>
      <c r="D115" s="620">
        <v>225</v>
      </c>
      <c r="E115" s="596">
        <f t="shared" si="16"/>
        <v>19716</v>
      </c>
      <c r="F115" s="595">
        <f>'Прилож 4 24 (5)'!V114</f>
        <v>0</v>
      </c>
      <c r="G115" s="595">
        <f>'Прилож 4 24 (5)'!W114</f>
        <v>0</v>
      </c>
      <c r="H115" s="595">
        <f>'Прилож 4 24 (5)'!X114</f>
        <v>19716</v>
      </c>
      <c r="I115" s="628"/>
      <c r="J115" s="595">
        <f>'Прилож 4 24 (5)'!Z114</f>
        <v>0</v>
      </c>
      <c r="K115" s="595">
        <f>'Прилож 4 24 (5)'!AA114</f>
        <v>0</v>
      </c>
      <c r="L115" s="595">
        <f>'Прилож 4 24 (5)'!AB114</f>
        <v>0</v>
      </c>
      <c r="M115" s="876">
        <f t="shared" si="20"/>
        <v>0</v>
      </c>
      <c r="N115" s="875"/>
      <c r="O115" s="875"/>
      <c r="P115" s="875"/>
      <c r="Q115" s="877"/>
      <c r="R115" s="875"/>
      <c r="S115" s="875"/>
      <c r="T115" s="875"/>
      <c r="U115" s="876">
        <f t="shared" si="19"/>
        <v>19716</v>
      </c>
      <c r="V115" s="875">
        <f t="shared" si="19"/>
        <v>0</v>
      </c>
      <c r="W115" s="875">
        <f t="shared" si="18"/>
        <v>0</v>
      </c>
      <c r="X115" s="875">
        <f t="shared" si="18"/>
        <v>19716</v>
      </c>
      <c r="Y115" s="883"/>
      <c r="Z115" s="875">
        <f t="shared" si="17"/>
        <v>0</v>
      </c>
      <c r="AA115" s="875">
        <f t="shared" si="17"/>
        <v>0</v>
      </c>
      <c r="AB115" s="875">
        <f t="shared" si="17"/>
        <v>0</v>
      </c>
      <c r="AC115" s="878"/>
    </row>
    <row r="116" spans="1:29" s="612" customFormat="1" ht="31.5" x14ac:dyDescent="0.2">
      <c r="A116" s="618" t="s">
        <v>587</v>
      </c>
      <c r="B116" s="619" t="s">
        <v>747</v>
      </c>
      <c r="C116" s="620">
        <v>244</v>
      </c>
      <c r="D116" s="620">
        <v>225</v>
      </c>
      <c r="E116" s="596">
        <f t="shared" si="16"/>
        <v>14952</v>
      </c>
      <c r="F116" s="595">
        <f>'Прилож 4 24 (5)'!V115</f>
        <v>0</v>
      </c>
      <c r="G116" s="595">
        <f>'Прилож 4 24 (5)'!W115</f>
        <v>0</v>
      </c>
      <c r="H116" s="595">
        <f>'Прилож 4 24 (5)'!X115</f>
        <v>14952</v>
      </c>
      <c r="I116" s="628"/>
      <c r="J116" s="595">
        <f>'Прилож 4 24 (5)'!Z115</f>
        <v>0</v>
      </c>
      <c r="K116" s="595">
        <f>'Прилож 4 24 (5)'!AA115</f>
        <v>0</v>
      </c>
      <c r="L116" s="595">
        <f>'Прилож 4 24 (5)'!AB115</f>
        <v>0</v>
      </c>
      <c r="M116" s="876">
        <f t="shared" si="20"/>
        <v>0</v>
      </c>
      <c r="N116" s="875"/>
      <c r="O116" s="875"/>
      <c r="P116" s="875"/>
      <c r="Q116" s="877"/>
      <c r="R116" s="875"/>
      <c r="S116" s="875"/>
      <c r="T116" s="875"/>
      <c r="U116" s="876">
        <f t="shared" si="19"/>
        <v>14952</v>
      </c>
      <c r="V116" s="875">
        <f t="shared" si="19"/>
        <v>0</v>
      </c>
      <c r="W116" s="875">
        <f t="shared" si="18"/>
        <v>0</v>
      </c>
      <c r="X116" s="875">
        <f t="shared" si="18"/>
        <v>14952</v>
      </c>
      <c r="Y116" s="883"/>
      <c r="Z116" s="875">
        <f t="shared" si="17"/>
        <v>0</v>
      </c>
      <c r="AA116" s="875">
        <f t="shared" si="17"/>
        <v>0</v>
      </c>
      <c r="AB116" s="875">
        <f t="shared" si="17"/>
        <v>0</v>
      </c>
      <c r="AC116" s="878"/>
    </row>
    <row r="117" spans="1:29" s="612" customFormat="1" x14ac:dyDescent="0.2">
      <c r="A117" s="618" t="s">
        <v>1109</v>
      </c>
      <c r="B117" s="619" t="s">
        <v>747</v>
      </c>
      <c r="C117" s="620">
        <v>244</v>
      </c>
      <c r="D117" s="620">
        <v>225</v>
      </c>
      <c r="E117" s="596">
        <f t="shared" si="16"/>
        <v>45398.879999999997</v>
      </c>
      <c r="F117" s="595">
        <f>'Прилож 4 24 (5)'!V116</f>
        <v>0</v>
      </c>
      <c r="G117" s="595">
        <f>'Прилож 4 24 (5)'!W116</f>
        <v>0</v>
      </c>
      <c r="H117" s="595">
        <f>'Прилож 4 24 (5)'!X116</f>
        <v>45398.879999999997</v>
      </c>
      <c r="I117" s="621"/>
      <c r="J117" s="595">
        <f>'Прилож 4 24 (5)'!Z116</f>
        <v>0</v>
      </c>
      <c r="K117" s="595">
        <f>'Прилож 4 24 (5)'!AA116</f>
        <v>0</v>
      </c>
      <c r="L117" s="595">
        <f>'Прилож 4 24 (5)'!AB116</f>
        <v>0</v>
      </c>
      <c r="M117" s="876">
        <f t="shared" si="20"/>
        <v>0</v>
      </c>
      <c r="N117" s="875"/>
      <c r="O117" s="875"/>
      <c r="P117" s="875"/>
      <c r="Q117" s="877"/>
      <c r="R117" s="875"/>
      <c r="S117" s="875"/>
      <c r="T117" s="875"/>
      <c r="U117" s="876">
        <f t="shared" si="19"/>
        <v>45398.879999999997</v>
      </c>
      <c r="V117" s="875">
        <f t="shared" si="19"/>
        <v>0</v>
      </c>
      <c r="W117" s="875">
        <f t="shared" si="18"/>
        <v>0</v>
      </c>
      <c r="X117" s="875">
        <f t="shared" si="18"/>
        <v>45398.879999999997</v>
      </c>
      <c r="Y117" s="877"/>
      <c r="Z117" s="875">
        <f t="shared" si="17"/>
        <v>0</v>
      </c>
      <c r="AA117" s="875">
        <f t="shared" si="17"/>
        <v>0</v>
      </c>
      <c r="AB117" s="875">
        <f t="shared" si="17"/>
        <v>0</v>
      </c>
      <c r="AC117" s="878"/>
    </row>
    <row r="118" spans="1:29" ht="31.5" x14ac:dyDescent="0.2">
      <c r="A118" s="618" t="s">
        <v>157</v>
      </c>
      <c r="B118" s="619" t="s">
        <v>747</v>
      </c>
      <c r="C118" s="620">
        <v>244</v>
      </c>
      <c r="D118" s="620">
        <v>225</v>
      </c>
      <c r="E118" s="596">
        <f t="shared" si="16"/>
        <v>10000</v>
      </c>
      <c r="F118" s="595">
        <f>'Прилож 4 24 (5)'!V117</f>
        <v>0</v>
      </c>
      <c r="G118" s="595">
        <f>'Прилож 4 24 (5)'!W117</f>
        <v>0</v>
      </c>
      <c r="H118" s="595">
        <f>'Прилож 4 24 (5)'!X117</f>
        <v>10000</v>
      </c>
      <c r="I118" s="628"/>
      <c r="J118" s="595">
        <f>'Прилож 4 24 (5)'!Z117</f>
        <v>0</v>
      </c>
      <c r="K118" s="595">
        <f>'Прилож 4 24 (5)'!AA117</f>
        <v>0</v>
      </c>
      <c r="L118" s="595">
        <f>'Прилож 4 24 (5)'!AB117</f>
        <v>0</v>
      </c>
      <c r="M118" s="876">
        <f t="shared" si="20"/>
        <v>0</v>
      </c>
      <c r="N118" s="875"/>
      <c r="O118" s="875"/>
      <c r="P118" s="875"/>
      <c r="Q118" s="877"/>
      <c r="R118" s="875"/>
      <c r="S118" s="875"/>
      <c r="T118" s="875"/>
      <c r="U118" s="876">
        <f t="shared" si="19"/>
        <v>10000</v>
      </c>
      <c r="V118" s="875">
        <f t="shared" si="19"/>
        <v>0</v>
      </c>
      <c r="W118" s="875">
        <f t="shared" si="18"/>
        <v>0</v>
      </c>
      <c r="X118" s="875">
        <f t="shared" si="18"/>
        <v>10000</v>
      </c>
      <c r="Y118" s="883"/>
      <c r="Z118" s="875">
        <f t="shared" si="17"/>
        <v>0</v>
      </c>
      <c r="AA118" s="875">
        <f t="shared" si="17"/>
        <v>0</v>
      </c>
      <c r="AB118" s="875">
        <f t="shared" si="17"/>
        <v>0</v>
      </c>
      <c r="AC118" s="878"/>
    </row>
    <row r="119" spans="1:29" ht="34.15" customHeight="1" x14ac:dyDescent="0.2">
      <c r="A119" s="618" t="s">
        <v>1317</v>
      </c>
      <c r="B119" s="619" t="s">
        <v>747</v>
      </c>
      <c r="C119" s="620">
        <v>244</v>
      </c>
      <c r="D119" s="620">
        <v>225</v>
      </c>
      <c r="E119" s="596">
        <f t="shared" si="16"/>
        <v>202823.2</v>
      </c>
      <c r="F119" s="595">
        <f>'Прилож 4 24 (5)'!V118</f>
        <v>0</v>
      </c>
      <c r="G119" s="595">
        <f>'Прилож 4 24 (5)'!W118</f>
        <v>0</v>
      </c>
      <c r="H119" s="595">
        <f>'Прилож 4 24 (5)'!X118</f>
        <v>0</v>
      </c>
      <c r="I119" s="621" t="s">
        <v>1322</v>
      </c>
      <c r="J119" s="595">
        <f>'Прилож 4 24 (5)'!Z118</f>
        <v>0</v>
      </c>
      <c r="K119" s="595">
        <f>'Прилож 4 24 (5)'!AA118</f>
        <v>202823.2</v>
      </c>
      <c r="L119" s="595">
        <f>'Прилож 4 24 (5)'!AB118</f>
        <v>0</v>
      </c>
      <c r="M119" s="876">
        <f t="shared" si="20"/>
        <v>0</v>
      </c>
      <c r="N119" s="875"/>
      <c r="O119" s="875"/>
      <c r="P119" s="875"/>
      <c r="Q119" s="877"/>
      <c r="R119" s="875"/>
      <c r="S119" s="875"/>
      <c r="T119" s="875"/>
      <c r="U119" s="876">
        <f t="shared" si="19"/>
        <v>202823.2</v>
      </c>
      <c r="V119" s="875">
        <f t="shared" si="19"/>
        <v>0</v>
      </c>
      <c r="W119" s="875">
        <f t="shared" si="18"/>
        <v>0</v>
      </c>
      <c r="X119" s="875">
        <f t="shared" si="18"/>
        <v>0</v>
      </c>
      <c r="Y119" s="877" t="s">
        <v>1322</v>
      </c>
      <c r="Z119" s="875">
        <f t="shared" si="17"/>
        <v>0</v>
      </c>
      <c r="AA119" s="875">
        <f t="shared" si="17"/>
        <v>202823.2</v>
      </c>
      <c r="AB119" s="875">
        <f t="shared" si="17"/>
        <v>0</v>
      </c>
      <c r="AC119" s="878"/>
    </row>
    <row r="120" spans="1:29" ht="34.15" customHeight="1" x14ac:dyDescent="0.2">
      <c r="A120" s="618" t="s">
        <v>1319</v>
      </c>
      <c r="B120" s="619" t="s">
        <v>747</v>
      </c>
      <c r="C120" s="620">
        <v>244</v>
      </c>
      <c r="D120" s="620">
        <v>225</v>
      </c>
      <c r="E120" s="596">
        <f t="shared" si="16"/>
        <v>271171.20000000001</v>
      </c>
      <c r="F120" s="595">
        <f>'Прилож 4 24 (5)'!V119</f>
        <v>0</v>
      </c>
      <c r="G120" s="595">
        <f>'Прилож 4 24 (5)'!W119</f>
        <v>0</v>
      </c>
      <c r="H120" s="595">
        <f>'Прилож 4 24 (5)'!X119</f>
        <v>0</v>
      </c>
      <c r="I120" s="621" t="s">
        <v>1322</v>
      </c>
      <c r="J120" s="595">
        <f>'Прилож 4 24 (5)'!Z119</f>
        <v>0</v>
      </c>
      <c r="K120" s="595">
        <f>'Прилож 4 24 (5)'!AA119</f>
        <v>271171.20000000001</v>
      </c>
      <c r="L120" s="595">
        <f>'Прилож 4 24 (5)'!AB119</f>
        <v>0</v>
      </c>
      <c r="M120" s="876">
        <f t="shared" si="20"/>
        <v>0</v>
      </c>
      <c r="N120" s="875"/>
      <c r="O120" s="875"/>
      <c r="P120" s="875"/>
      <c r="Q120" s="877"/>
      <c r="R120" s="875"/>
      <c r="S120" s="875"/>
      <c r="T120" s="875"/>
      <c r="U120" s="876">
        <f t="shared" si="19"/>
        <v>271171.20000000001</v>
      </c>
      <c r="V120" s="875">
        <f t="shared" si="19"/>
        <v>0</v>
      </c>
      <c r="W120" s="875">
        <f t="shared" si="18"/>
        <v>0</v>
      </c>
      <c r="X120" s="875">
        <f t="shared" si="18"/>
        <v>0</v>
      </c>
      <c r="Y120" s="877" t="s">
        <v>1322</v>
      </c>
      <c r="Z120" s="875">
        <f t="shared" si="17"/>
        <v>0</v>
      </c>
      <c r="AA120" s="875">
        <f t="shared" si="17"/>
        <v>271171.20000000001</v>
      </c>
      <c r="AB120" s="875">
        <f t="shared" si="17"/>
        <v>0</v>
      </c>
      <c r="AC120" s="878"/>
    </row>
    <row r="121" spans="1:29" ht="47.25" x14ac:dyDescent="0.2">
      <c r="A121" s="618" t="s">
        <v>1320</v>
      </c>
      <c r="B121" s="619" t="s">
        <v>747</v>
      </c>
      <c r="C121" s="620">
        <v>244</v>
      </c>
      <c r="D121" s="620">
        <v>225</v>
      </c>
      <c r="E121" s="596">
        <f t="shared" si="16"/>
        <v>340128</v>
      </c>
      <c r="F121" s="595">
        <f>'Прилож 4 24 (5)'!V120</f>
        <v>0</v>
      </c>
      <c r="G121" s="595">
        <f>'Прилож 4 24 (5)'!W120</f>
        <v>0</v>
      </c>
      <c r="H121" s="595">
        <f>'Прилож 4 24 (5)'!X120</f>
        <v>0</v>
      </c>
      <c r="I121" s="621" t="s">
        <v>1322</v>
      </c>
      <c r="J121" s="595">
        <f>'Прилож 4 24 (5)'!Z120</f>
        <v>0</v>
      </c>
      <c r="K121" s="595">
        <f>'Прилож 4 24 (5)'!AA120</f>
        <v>340128</v>
      </c>
      <c r="L121" s="595">
        <f>'Прилож 4 24 (5)'!AB120</f>
        <v>0</v>
      </c>
      <c r="M121" s="876">
        <f t="shared" si="20"/>
        <v>0</v>
      </c>
      <c r="N121" s="875"/>
      <c r="O121" s="875"/>
      <c r="P121" s="875"/>
      <c r="Q121" s="877"/>
      <c r="R121" s="875"/>
      <c r="S121" s="875"/>
      <c r="T121" s="875"/>
      <c r="U121" s="876">
        <f t="shared" si="19"/>
        <v>340128</v>
      </c>
      <c r="V121" s="875">
        <f t="shared" si="19"/>
        <v>0</v>
      </c>
      <c r="W121" s="875">
        <f t="shared" si="18"/>
        <v>0</v>
      </c>
      <c r="X121" s="875">
        <f t="shared" si="18"/>
        <v>0</v>
      </c>
      <c r="Y121" s="877" t="s">
        <v>1322</v>
      </c>
      <c r="Z121" s="875">
        <f t="shared" si="17"/>
        <v>0</v>
      </c>
      <c r="AA121" s="875">
        <f t="shared" si="17"/>
        <v>340128</v>
      </c>
      <c r="AB121" s="875">
        <f t="shared" si="17"/>
        <v>0</v>
      </c>
      <c r="AC121" s="878"/>
    </row>
    <row r="122" spans="1:29" s="637" customFormat="1" x14ac:dyDescent="0.2">
      <c r="A122" s="632" t="s">
        <v>1143</v>
      </c>
      <c r="B122" s="633" t="s">
        <v>747</v>
      </c>
      <c r="C122" s="634">
        <v>244</v>
      </c>
      <c r="D122" s="634">
        <v>225</v>
      </c>
      <c r="E122" s="596">
        <f t="shared" si="16"/>
        <v>1180103.18</v>
      </c>
      <c r="F122" s="595">
        <f>'Прилож 4 24 (5)'!V121</f>
        <v>0</v>
      </c>
      <c r="G122" s="595">
        <f>'Прилож 4 24 (5)'!W121</f>
        <v>0</v>
      </c>
      <c r="H122" s="595">
        <f>'Прилож 4 24 (5)'!X121</f>
        <v>365980.77999999997</v>
      </c>
      <c r="I122" s="635"/>
      <c r="J122" s="595">
        <f>'Прилож 4 24 (5)'!Z121</f>
        <v>0</v>
      </c>
      <c r="K122" s="595">
        <f>'Прилож 4 24 (5)'!AA121</f>
        <v>814122.4</v>
      </c>
      <c r="L122" s="595">
        <f>'Прилож 4 24 (5)'!AB121</f>
        <v>0</v>
      </c>
      <c r="M122" s="876">
        <f t="shared" si="20"/>
        <v>0</v>
      </c>
      <c r="N122" s="884">
        <f>SUM(N100:N121)</f>
        <v>0</v>
      </c>
      <c r="O122" s="884"/>
      <c r="P122" s="884">
        <f>SUM(P100:P121)</f>
        <v>0</v>
      </c>
      <c r="Q122" s="885"/>
      <c r="R122" s="884"/>
      <c r="S122" s="884"/>
      <c r="T122" s="884"/>
      <c r="U122" s="876">
        <f t="shared" si="19"/>
        <v>1180103.18</v>
      </c>
      <c r="V122" s="875">
        <f t="shared" si="19"/>
        <v>0</v>
      </c>
      <c r="W122" s="875">
        <f t="shared" si="18"/>
        <v>0</v>
      </c>
      <c r="X122" s="875">
        <f t="shared" si="18"/>
        <v>365980.77999999997</v>
      </c>
      <c r="Y122" s="885"/>
      <c r="Z122" s="875">
        <f t="shared" si="17"/>
        <v>0</v>
      </c>
      <c r="AA122" s="875">
        <f t="shared" si="17"/>
        <v>814122.4</v>
      </c>
      <c r="AB122" s="875">
        <f t="shared" si="17"/>
        <v>0</v>
      </c>
      <c r="AC122" s="886"/>
    </row>
    <row r="123" spans="1:29" ht="66.75" customHeight="1" x14ac:dyDescent="0.2">
      <c r="A123" s="618" t="s">
        <v>1188</v>
      </c>
      <c r="B123" s="619" t="s">
        <v>729</v>
      </c>
      <c r="C123" s="620">
        <v>244</v>
      </c>
      <c r="D123" s="620">
        <v>225</v>
      </c>
      <c r="E123" s="596">
        <f t="shared" si="16"/>
        <v>50400</v>
      </c>
      <c r="F123" s="595">
        <f>'Прилож 4 24 (5)'!V122</f>
        <v>0</v>
      </c>
      <c r="G123" s="595">
        <f>'Прилож 4 24 (5)'!W122</f>
        <v>0</v>
      </c>
      <c r="H123" s="595">
        <f>'Прилож 4 24 (5)'!X122</f>
        <v>50400</v>
      </c>
      <c r="I123" s="628"/>
      <c r="J123" s="595">
        <f>'Прилож 4 24 (5)'!Z122</f>
        <v>0</v>
      </c>
      <c r="K123" s="595">
        <f>'Прилож 4 24 (5)'!AA122</f>
        <v>0</v>
      </c>
      <c r="L123" s="595">
        <f>'Прилож 4 24 (5)'!AB122</f>
        <v>0</v>
      </c>
      <c r="M123" s="876">
        <f t="shared" si="20"/>
        <v>0</v>
      </c>
      <c r="N123" s="875"/>
      <c r="O123" s="875"/>
      <c r="P123" s="875"/>
      <c r="Q123" s="877"/>
      <c r="R123" s="875"/>
      <c r="S123" s="875"/>
      <c r="T123" s="875"/>
      <c r="U123" s="876">
        <f t="shared" si="19"/>
        <v>50400</v>
      </c>
      <c r="V123" s="875">
        <f t="shared" si="19"/>
        <v>0</v>
      </c>
      <c r="W123" s="875">
        <f t="shared" si="18"/>
        <v>0</v>
      </c>
      <c r="X123" s="875">
        <f t="shared" si="18"/>
        <v>50400</v>
      </c>
      <c r="Y123" s="883"/>
      <c r="Z123" s="875">
        <f t="shared" si="17"/>
        <v>0</v>
      </c>
      <c r="AA123" s="875">
        <f t="shared" si="17"/>
        <v>0</v>
      </c>
      <c r="AB123" s="875">
        <f t="shared" si="17"/>
        <v>0</v>
      </c>
      <c r="AC123" s="878"/>
    </row>
    <row r="124" spans="1:29" x14ac:dyDescent="0.2">
      <c r="A124" s="618" t="s">
        <v>1193</v>
      </c>
      <c r="B124" s="619" t="s">
        <v>729</v>
      </c>
      <c r="C124" s="620">
        <v>244</v>
      </c>
      <c r="D124" s="620">
        <v>225</v>
      </c>
      <c r="E124" s="596">
        <f t="shared" si="16"/>
        <v>73152</v>
      </c>
      <c r="F124" s="595">
        <f>'Прилож 4 24 (5)'!V123</f>
        <v>0</v>
      </c>
      <c r="G124" s="595">
        <f>'Прилож 4 24 (5)'!W123</f>
        <v>0</v>
      </c>
      <c r="H124" s="595">
        <f>'Прилож 4 24 (5)'!X123</f>
        <v>73152</v>
      </c>
      <c r="I124" s="628"/>
      <c r="J124" s="595">
        <f>'Прилож 4 24 (5)'!Z123</f>
        <v>0</v>
      </c>
      <c r="K124" s="595">
        <f>'Прилож 4 24 (5)'!AA123</f>
        <v>0</v>
      </c>
      <c r="L124" s="595">
        <f>'Прилож 4 24 (5)'!AB123</f>
        <v>0</v>
      </c>
      <c r="M124" s="876">
        <f t="shared" si="20"/>
        <v>0</v>
      </c>
      <c r="N124" s="875"/>
      <c r="O124" s="875"/>
      <c r="P124" s="875"/>
      <c r="Q124" s="877"/>
      <c r="R124" s="875"/>
      <c r="S124" s="875"/>
      <c r="T124" s="875"/>
      <c r="U124" s="876">
        <f t="shared" si="19"/>
        <v>73152</v>
      </c>
      <c r="V124" s="875">
        <f t="shared" si="19"/>
        <v>0</v>
      </c>
      <c r="W124" s="875">
        <f t="shared" si="18"/>
        <v>0</v>
      </c>
      <c r="X124" s="875">
        <f t="shared" si="18"/>
        <v>73152</v>
      </c>
      <c r="Y124" s="883"/>
      <c r="Z124" s="875">
        <f t="shared" si="17"/>
        <v>0</v>
      </c>
      <c r="AA124" s="875">
        <f t="shared" si="17"/>
        <v>0</v>
      </c>
      <c r="AB124" s="875">
        <f t="shared" si="17"/>
        <v>0</v>
      </c>
      <c r="AC124" s="878"/>
    </row>
    <row r="125" spans="1:29" ht="36.75" customHeight="1" x14ac:dyDescent="0.2">
      <c r="A125" s="618" t="s">
        <v>1192</v>
      </c>
      <c r="B125" s="619" t="s">
        <v>729</v>
      </c>
      <c r="C125" s="620">
        <v>244</v>
      </c>
      <c r="D125" s="620">
        <v>225</v>
      </c>
      <c r="E125" s="596">
        <f t="shared" si="16"/>
        <v>3859</v>
      </c>
      <c r="F125" s="595">
        <f>'Прилож 4 24 (5)'!V124</f>
        <v>0</v>
      </c>
      <c r="G125" s="595">
        <f>'Прилож 4 24 (5)'!W124</f>
        <v>0</v>
      </c>
      <c r="H125" s="595">
        <f>'Прилож 4 24 (5)'!X124</f>
        <v>3859</v>
      </c>
      <c r="I125" s="628"/>
      <c r="J125" s="595">
        <f>'Прилож 4 24 (5)'!Z124</f>
        <v>0</v>
      </c>
      <c r="K125" s="595">
        <f>'Прилож 4 24 (5)'!AA124</f>
        <v>0</v>
      </c>
      <c r="L125" s="595">
        <f>'Прилож 4 24 (5)'!AB124</f>
        <v>0</v>
      </c>
      <c r="M125" s="876">
        <f t="shared" si="20"/>
        <v>0</v>
      </c>
      <c r="N125" s="875"/>
      <c r="O125" s="875"/>
      <c r="P125" s="875"/>
      <c r="Q125" s="877"/>
      <c r="R125" s="875"/>
      <c r="S125" s="875"/>
      <c r="T125" s="875"/>
      <c r="U125" s="876">
        <f t="shared" si="19"/>
        <v>3859</v>
      </c>
      <c r="V125" s="875">
        <f t="shared" si="19"/>
        <v>0</v>
      </c>
      <c r="W125" s="875">
        <f t="shared" si="18"/>
        <v>0</v>
      </c>
      <c r="X125" s="875">
        <f t="shared" si="18"/>
        <v>3859</v>
      </c>
      <c r="Y125" s="883"/>
      <c r="Z125" s="875">
        <f t="shared" si="17"/>
        <v>0</v>
      </c>
      <c r="AA125" s="875">
        <f t="shared" si="17"/>
        <v>0</v>
      </c>
      <c r="AB125" s="875">
        <f t="shared" si="17"/>
        <v>0</v>
      </c>
      <c r="AC125" s="878"/>
    </row>
    <row r="126" spans="1:29" ht="31.5" x14ac:dyDescent="0.2">
      <c r="A126" s="618" t="s">
        <v>1186</v>
      </c>
      <c r="B126" s="619" t="s">
        <v>729</v>
      </c>
      <c r="C126" s="620">
        <v>244</v>
      </c>
      <c r="D126" s="620">
        <v>225</v>
      </c>
      <c r="E126" s="596">
        <f t="shared" si="16"/>
        <v>23457.360000000001</v>
      </c>
      <c r="F126" s="595">
        <f>'Прилож 4 24 (5)'!V125</f>
        <v>0</v>
      </c>
      <c r="G126" s="595">
        <f>'Прилож 4 24 (5)'!W125</f>
        <v>0</v>
      </c>
      <c r="H126" s="595">
        <f>'Прилож 4 24 (5)'!X125</f>
        <v>23457.360000000001</v>
      </c>
      <c r="I126" s="628"/>
      <c r="J126" s="595">
        <f>'Прилож 4 24 (5)'!Z125</f>
        <v>0</v>
      </c>
      <c r="K126" s="595">
        <f>'Прилож 4 24 (5)'!AA125</f>
        <v>0</v>
      </c>
      <c r="L126" s="595">
        <f>'Прилож 4 24 (5)'!AB125</f>
        <v>0</v>
      </c>
      <c r="M126" s="876">
        <f t="shared" si="20"/>
        <v>0</v>
      </c>
      <c r="N126" s="875"/>
      <c r="O126" s="875"/>
      <c r="P126" s="875"/>
      <c r="Q126" s="877"/>
      <c r="R126" s="875"/>
      <c r="S126" s="875"/>
      <c r="T126" s="875"/>
      <c r="U126" s="876">
        <f t="shared" si="19"/>
        <v>23457.360000000001</v>
      </c>
      <c r="V126" s="875">
        <f t="shared" si="19"/>
        <v>0</v>
      </c>
      <c r="W126" s="875">
        <f t="shared" si="18"/>
        <v>0</v>
      </c>
      <c r="X126" s="875">
        <f t="shared" si="18"/>
        <v>23457.360000000001</v>
      </c>
      <c r="Y126" s="883"/>
      <c r="Z126" s="875">
        <f t="shared" si="17"/>
        <v>0</v>
      </c>
      <c r="AA126" s="875">
        <f t="shared" si="17"/>
        <v>0</v>
      </c>
      <c r="AB126" s="875">
        <f t="shared" si="17"/>
        <v>0</v>
      </c>
      <c r="AC126" s="878"/>
    </row>
    <row r="127" spans="1:29" ht="55.5" customHeight="1" x14ac:dyDescent="0.2">
      <c r="A127" s="618" t="s">
        <v>148</v>
      </c>
      <c r="B127" s="619" t="s">
        <v>729</v>
      </c>
      <c r="C127" s="620">
        <v>244</v>
      </c>
      <c r="D127" s="620">
        <v>225</v>
      </c>
      <c r="E127" s="596">
        <f t="shared" si="16"/>
        <v>4000</v>
      </c>
      <c r="F127" s="595">
        <f>'Прилож 4 24 (5)'!V126</f>
        <v>0</v>
      </c>
      <c r="G127" s="595">
        <f>'Прилож 4 24 (5)'!W126</f>
        <v>0</v>
      </c>
      <c r="H127" s="595">
        <f>'Прилож 4 24 (5)'!X126</f>
        <v>4000</v>
      </c>
      <c r="I127" s="628"/>
      <c r="J127" s="595">
        <f>'Прилож 4 24 (5)'!Z126</f>
        <v>0</v>
      </c>
      <c r="K127" s="595">
        <f>'Прилож 4 24 (5)'!AA126</f>
        <v>0</v>
      </c>
      <c r="L127" s="595">
        <f>'Прилож 4 24 (5)'!AB126</f>
        <v>0</v>
      </c>
      <c r="M127" s="876">
        <f t="shared" si="20"/>
        <v>0</v>
      </c>
      <c r="N127" s="875"/>
      <c r="O127" s="875"/>
      <c r="P127" s="875"/>
      <c r="Q127" s="877"/>
      <c r="R127" s="875"/>
      <c r="S127" s="875"/>
      <c r="T127" s="875"/>
      <c r="U127" s="876">
        <f t="shared" si="19"/>
        <v>4000</v>
      </c>
      <c r="V127" s="875">
        <f t="shared" si="19"/>
        <v>0</v>
      </c>
      <c r="W127" s="875">
        <f t="shared" si="18"/>
        <v>0</v>
      </c>
      <c r="X127" s="875">
        <f t="shared" si="18"/>
        <v>4000</v>
      </c>
      <c r="Y127" s="883"/>
      <c r="Z127" s="875">
        <f t="shared" si="17"/>
        <v>0</v>
      </c>
      <c r="AA127" s="875">
        <f t="shared" si="17"/>
        <v>0</v>
      </c>
      <c r="AB127" s="875">
        <f t="shared" si="17"/>
        <v>0</v>
      </c>
      <c r="AC127" s="878"/>
    </row>
    <row r="128" spans="1:29" x14ac:dyDescent="0.2">
      <c r="A128" s="618" t="s">
        <v>627</v>
      </c>
      <c r="B128" s="619" t="s">
        <v>729</v>
      </c>
      <c r="C128" s="620">
        <v>244</v>
      </c>
      <c r="D128" s="620">
        <v>225</v>
      </c>
      <c r="E128" s="596">
        <f t="shared" si="16"/>
        <v>126092.16</v>
      </c>
      <c r="F128" s="595">
        <f>'Прилож 4 24 (5)'!V127</f>
        <v>0</v>
      </c>
      <c r="G128" s="595">
        <f>'Прилож 4 24 (5)'!W127</f>
        <v>0</v>
      </c>
      <c r="H128" s="595">
        <f>'Прилож 4 24 (5)'!X127</f>
        <v>126092.16</v>
      </c>
      <c r="I128" s="628"/>
      <c r="J128" s="595">
        <f>'Прилож 4 24 (5)'!Z127</f>
        <v>0</v>
      </c>
      <c r="K128" s="595">
        <f>'Прилож 4 24 (5)'!AA127</f>
        <v>0</v>
      </c>
      <c r="L128" s="595">
        <f>'Прилож 4 24 (5)'!AB127</f>
        <v>0</v>
      </c>
      <c r="M128" s="876">
        <f t="shared" si="20"/>
        <v>0</v>
      </c>
      <c r="N128" s="875"/>
      <c r="O128" s="875"/>
      <c r="P128" s="875"/>
      <c r="Q128" s="877"/>
      <c r="R128" s="875"/>
      <c r="S128" s="875"/>
      <c r="T128" s="875"/>
      <c r="U128" s="876">
        <f t="shared" si="19"/>
        <v>126092.16</v>
      </c>
      <c r="V128" s="875">
        <f t="shared" si="19"/>
        <v>0</v>
      </c>
      <c r="W128" s="875">
        <f t="shared" si="18"/>
        <v>0</v>
      </c>
      <c r="X128" s="875">
        <f t="shared" si="18"/>
        <v>126092.16</v>
      </c>
      <c r="Y128" s="883"/>
      <c r="Z128" s="875">
        <f t="shared" si="17"/>
        <v>0</v>
      </c>
      <c r="AA128" s="875">
        <f t="shared" si="17"/>
        <v>0</v>
      </c>
      <c r="AB128" s="875">
        <f t="shared" si="17"/>
        <v>0</v>
      </c>
      <c r="AC128" s="878"/>
    </row>
    <row r="129" spans="1:29" ht="34.5" customHeight="1" x14ac:dyDescent="0.2">
      <c r="A129" s="618" t="s">
        <v>759</v>
      </c>
      <c r="B129" s="619" t="s">
        <v>729</v>
      </c>
      <c r="C129" s="620">
        <v>244</v>
      </c>
      <c r="D129" s="620">
        <v>225</v>
      </c>
      <c r="E129" s="596">
        <f t="shared" si="16"/>
        <v>0</v>
      </c>
      <c r="F129" s="595">
        <f>'Прилож 4 24 (5)'!V128</f>
        <v>0</v>
      </c>
      <c r="G129" s="595">
        <f>'Прилож 4 24 (5)'!W128</f>
        <v>0</v>
      </c>
      <c r="H129" s="595">
        <f>'Прилож 4 24 (5)'!X128</f>
        <v>0</v>
      </c>
      <c r="I129" s="628"/>
      <c r="J129" s="595">
        <f>'Прилож 4 24 (5)'!Z128</f>
        <v>0</v>
      </c>
      <c r="K129" s="595">
        <f>'Прилож 4 24 (5)'!AA128</f>
        <v>0</v>
      </c>
      <c r="L129" s="595">
        <f>'Прилож 4 24 (5)'!AB128</f>
        <v>0</v>
      </c>
      <c r="M129" s="876">
        <f t="shared" si="20"/>
        <v>0</v>
      </c>
      <c r="N129" s="875"/>
      <c r="O129" s="875"/>
      <c r="P129" s="875"/>
      <c r="Q129" s="877"/>
      <c r="R129" s="875"/>
      <c r="S129" s="875"/>
      <c r="T129" s="875"/>
      <c r="U129" s="876">
        <f t="shared" si="19"/>
        <v>0</v>
      </c>
      <c r="V129" s="875">
        <f t="shared" si="19"/>
        <v>0</v>
      </c>
      <c r="W129" s="875">
        <f t="shared" si="18"/>
        <v>0</v>
      </c>
      <c r="X129" s="875">
        <f t="shared" si="18"/>
        <v>0</v>
      </c>
      <c r="Y129" s="883"/>
      <c r="Z129" s="875">
        <f t="shared" si="17"/>
        <v>0</v>
      </c>
      <c r="AA129" s="875">
        <f t="shared" si="17"/>
        <v>0</v>
      </c>
      <c r="AB129" s="875">
        <f t="shared" si="17"/>
        <v>0</v>
      </c>
      <c r="AC129" s="878"/>
    </row>
    <row r="130" spans="1:29" ht="28.5" customHeight="1" x14ac:dyDescent="0.2">
      <c r="A130" s="618" t="s">
        <v>143</v>
      </c>
      <c r="B130" s="619" t="s">
        <v>729</v>
      </c>
      <c r="C130" s="620">
        <v>244</v>
      </c>
      <c r="D130" s="620">
        <v>225</v>
      </c>
      <c r="E130" s="596">
        <f t="shared" si="16"/>
        <v>43576.47</v>
      </c>
      <c r="F130" s="595">
        <f>'Прилож 4 24 (5)'!V129</f>
        <v>0</v>
      </c>
      <c r="G130" s="595">
        <f>'Прилож 4 24 (5)'!W129</f>
        <v>0</v>
      </c>
      <c r="H130" s="595">
        <f>'Прилож 4 24 (5)'!X129</f>
        <v>43576.47</v>
      </c>
      <c r="I130" s="628"/>
      <c r="J130" s="595">
        <f>'Прилож 4 24 (5)'!Z129</f>
        <v>0</v>
      </c>
      <c r="K130" s="595">
        <f>'Прилож 4 24 (5)'!AA129</f>
        <v>0</v>
      </c>
      <c r="L130" s="595">
        <f>'Прилож 4 24 (5)'!AB129</f>
        <v>0</v>
      </c>
      <c r="M130" s="876">
        <f t="shared" si="20"/>
        <v>0</v>
      </c>
      <c r="N130" s="875"/>
      <c r="O130" s="875"/>
      <c r="P130" s="875"/>
      <c r="Q130" s="877"/>
      <c r="R130" s="875"/>
      <c r="S130" s="875"/>
      <c r="T130" s="875"/>
      <c r="U130" s="876">
        <f t="shared" si="19"/>
        <v>43576.47</v>
      </c>
      <c r="V130" s="875">
        <f t="shared" si="19"/>
        <v>0</v>
      </c>
      <c r="W130" s="875">
        <f t="shared" si="18"/>
        <v>0</v>
      </c>
      <c r="X130" s="875">
        <f t="shared" si="18"/>
        <v>43576.47</v>
      </c>
      <c r="Y130" s="883"/>
      <c r="Z130" s="875">
        <f t="shared" si="17"/>
        <v>0</v>
      </c>
      <c r="AA130" s="875">
        <f t="shared" si="17"/>
        <v>0</v>
      </c>
      <c r="AB130" s="875">
        <f t="shared" si="17"/>
        <v>0</v>
      </c>
      <c r="AC130" s="878"/>
    </row>
    <row r="131" spans="1:29" ht="39" customHeight="1" x14ac:dyDescent="0.2">
      <c r="A131" s="618" t="s">
        <v>635</v>
      </c>
      <c r="B131" s="619" t="s">
        <v>729</v>
      </c>
      <c r="C131" s="620">
        <v>244</v>
      </c>
      <c r="D131" s="620">
        <v>225</v>
      </c>
      <c r="E131" s="596">
        <f t="shared" si="16"/>
        <v>70000</v>
      </c>
      <c r="F131" s="595">
        <f>'Прилож 4 24 (5)'!V130</f>
        <v>0</v>
      </c>
      <c r="G131" s="595">
        <f>'Прилож 4 24 (5)'!W130</f>
        <v>0</v>
      </c>
      <c r="H131" s="595">
        <f>'Прилож 4 24 (5)'!X130</f>
        <v>70000</v>
      </c>
      <c r="I131" s="628"/>
      <c r="J131" s="595">
        <f>'Прилож 4 24 (5)'!Z130</f>
        <v>0</v>
      </c>
      <c r="K131" s="595">
        <f>'Прилож 4 24 (5)'!AA130</f>
        <v>0</v>
      </c>
      <c r="L131" s="595">
        <f>'Прилож 4 24 (5)'!AB130</f>
        <v>0</v>
      </c>
      <c r="M131" s="876">
        <f t="shared" si="20"/>
        <v>0</v>
      </c>
      <c r="N131" s="875"/>
      <c r="O131" s="875"/>
      <c r="P131" s="875"/>
      <c r="Q131" s="877"/>
      <c r="R131" s="875"/>
      <c r="S131" s="875"/>
      <c r="T131" s="875"/>
      <c r="U131" s="876">
        <f t="shared" si="19"/>
        <v>70000</v>
      </c>
      <c r="V131" s="875">
        <f t="shared" si="19"/>
        <v>0</v>
      </c>
      <c r="W131" s="875">
        <f t="shared" si="18"/>
        <v>0</v>
      </c>
      <c r="X131" s="875">
        <f t="shared" si="18"/>
        <v>70000</v>
      </c>
      <c r="Y131" s="883"/>
      <c r="Z131" s="875">
        <f t="shared" si="17"/>
        <v>0</v>
      </c>
      <c r="AA131" s="875">
        <f t="shared" si="17"/>
        <v>0</v>
      </c>
      <c r="AB131" s="875">
        <f t="shared" si="17"/>
        <v>0</v>
      </c>
      <c r="AC131" s="878"/>
    </row>
    <row r="132" spans="1:29" ht="36.75" customHeight="1" x14ac:dyDescent="0.2">
      <c r="A132" s="618" t="s">
        <v>951</v>
      </c>
      <c r="B132" s="619" t="s">
        <v>729</v>
      </c>
      <c r="C132" s="620">
        <v>244</v>
      </c>
      <c r="D132" s="620">
        <v>225</v>
      </c>
      <c r="E132" s="596">
        <f t="shared" si="16"/>
        <v>24062.89</v>
      </c>
      <c r="F132" s="595">
        <f>'Прилож 4 24 (5)'!V131</f>
        <v>0</v>
      </c>
      <c r="G132" s="595">
        <f>'Прилож 4 24 (5)'!W131</f>
        <v>0</v>
      </c>
      <c r="H132" s="595">
        <f>'Прилож 4 24 (5)'!X131</f>
        <v>24062.89</v>
      </c>
      <c r="I132" s="628"/>
      <c r="J132" s="595">
        <f>'Прилож 4 24 (5)'!Z131</f>
        <v>0</v>
      </c>
      <c r="K132" s="595">
        <f>'Прилож 4 24 (5)'!AA131</f>
        <v>0</v>
      </c>
      <c r="L132" s="595">
        <f>'Прилож 4 24 (5)'!AB131</f>
        <v>0</v>
      </c>
      <c r="M132" s="876">
        <f t="shared" si="20"/>
        <v>0</v>
      </c>
      <c r="N132" s="875"/>
      <c r="O132" s="875"/>
      <c r="P132" s="875"/>
      <c r="Q132" s="877"/>
      <c r="R132" s="875"/>
      <c r="S132" s="875"/>
      <c r="T132" s="875"/>
      <c r="U132" s="876">
        <f t="shared" si="19"/>
        <v>24062.89</v>
      </c>
      <c r="V132" s="875">
        <f t="shared" si="19"/>
        <v>0</v>
      </c>
      <c r="W132" s="875">
        <f t="shared" si="18"/>
        <v>0</v>
      </c>
      <c r="X132" s="875">
        <f t="shared" si="18"/>
        <v>24062.89</v>
      </c>
      <c r="Y132" s="883"/>
      <c r="Z132" s="875">
        <f t="shared" si="17"/>
        <v>0</v>
      </c>
      <c r="AA132" s="875">
        <f t="shared" si="17"/>
        <v>0</v>
      </c>
      <c r="AB132" s="875">
        <f t="shared" si="17"/>
        <v>0</v>
      </c>
      <c r="AC132" s="878"/>
    </row>
    <row r="133" spans="1:29" ht="34.5" customHeight="1" x14ac:dyDescent="0.2">
      <c r="A133" s="618" t="s">
        <v>150</v>
      </c>
      <c r="B133" s="619" t="s">
        <v>729</v>
      </c>
      <c r="C133" s="620">
        <v>244</v>
      </c>
      <c r="D133" s="620">
        <v>225</v>
      </c>
      <c r="E133" s="596">
        <f t="shared" si="16"/>
        <v>0</v>
      </c>
      <c r="F133" s="595">
        <f>'Прилож 4 24 (5)'!V132</f>
        <v>0</v>
      </c>
      <c r="G133" s="595">
        <f>'Прилож 4 24 (5)'!W132</f>
        <v>0</v>
      </c>
      <c r="H133" s="595">
        <f>'Прилож 4 24 (5)'!X132</f>
        <v>0</v>
      </c>
      <c r="I133" s="628"/>
      <c r="J133" s="595">
        <f>'Прилож 4 24 (5)'!Z132</f>
        <v>0</v>
      </c>
      <c r="K133" s="595">
        <f>'Прилож 4 24 (5)'!AA132</f>
        <v>0</v>
      </c>
      <c r="L133" s="595">
        <f>'Прилож 4 24 (5)'!AB132</f>
        <v>0</v>
      </c>
      <c r="M133" s="876">
        <f t="shared" si="20"/>
        <v>0</v>
      </c>
      <c r="N133" s="875"/>
      <c r="O133" s="875"/>
      <c r="P133" s="875"/>
      <c r="Q133" s="877"/>
      <c r="R133" s="875"/>
      <c r="S133" s="875"/>
      <c r="T133" s="875"/>
      <c r="U133" s="876">
        <f t="shared" si="19"/>
        <v>0</v>
      </c>
      <c r="V133" s="875">
        <f t="shared" si="19"/>
        <v>0</v>
      </c>
      <c r="W133" s="875">
        <f t="shared" si="18"/>
        <v>0</v>
      </c>
      <c r="X133" s="875">
        <f t="shared" si="18"/>
        <v>0</v>
      </c>
      <c r="Y133" s="883"/>
      <c r="Z133" s="875">
        <f t="shared" si="17"/>
        <v>0</v>
      </c>
      <c r="AA133" s="875">
        <f t="shared" si="17"/>
        <v>0</v>
      </c>
      <c r="AB133" s="875">
        <f t="shared" si="17"/>
        <v>0</v>
      </c>
      <c r="AC133" s="878"/>
    </row>
    <row r="134" spans="1:29" ht="41.25" customHeight="1" x14ac:dyDescent="0.2">
      <c r="A134" s="618" t="s">
        <v>952</v>
      </c>
      <c r="B134" s="619" t="s">
        <v>729</v>
      </c>
      <c r="C134" s="620">
        <v>244</v>
      </c>
      <c r="D134" s="620">
        <v>225</v>
      </c>
      <c r="E134" s="596">
        <f t="shared" si="16"/>
        <v>21188</v>
      </c>
      <c r="F134" s="595">
        <f>'Прилож 4 24 (5)'!V133</f>
        <v>0</v>
      </c>
      <c r="G134" s="595">
        <f>'Прилож 4 24 (5)'!W133</f>
        <v>0</v>
      </c>
      <c r="H134" s="595">
        <f>'Прилож 4 24 (5)'!X133</f>
        <v>21188</v>
      </c>
      <c r="I134" s="628"/>
      <c r="J134" s="595">
        <f>'Прилож 4 24 (5)'!Z133</f>
        <v>0</v>
      </c>
      <c r="K134" s="595">
        <f>'Прилож 4 24 (5)'!AA133</f>
        <v>0</v>
      </c>
      <c r="L134" s="595">
        <f>'Прилож 4 24 (5)'!AB133</f>
        <v>0</v>
      </c>
      <c r="M134" s="876">
        <f t="shared" si="20"/>
        <v>0</v>
      </c>
      <c r="N134" s="875"/>
      <c r="O134" s="875"/>
      <c r="P134" s="875"/>
      <c r="Q134" s="877"/>
      <c r="R134" s="875"/>
      <c r="S134" s="875"/>
      <c r="T134" s="875"/>
      <c r="U134" s="876">
        <f t="shared" si="19"/>
        <v>21188</v>
      </c>
      <c r="V134" s="875">
        <f t="shared" si="19"/>
        <v>0</v>
      </c>
      <c r="W134" s="875">
        <f t="shared" si="18"/>
        <v>0</v>
      </c>
      <c r="X134" s="875">
        <f t="shared" si="18"/>
        <v>21188</v>
      </c>
      <c r="Y134" s="883"/>
      <c r="Z134" s="875">
        <f t="shared" si="17"/>
        <v>0</v>
      </c>
      <c r="AA134" s="875">
        <f t="shared" si="17"/>
        <v>0</v>
      </c>
      <c r="AB134" s="875">
        <f t="shared" si="17"/>
        <v>0</v>
      </c>
      <c r="AC134" s="878"/>
    </row>
    <row r="135" spans="1:29" ht="39.75" customHeight="1" x14ac:dyDescent="0.2">
      <c r="A135" s="618" t="s">
        <v>149</v>
      </c>
      <c r="B135" s="619" t="s">
        <v>729</v>
      </c>
      <c r="C135" s="620">
        <v>244</v>
      </c>
      <c r="D135" s="620">
        <v>225</v>
      </c>
      <c r="E135" s="596">
        <f t="shared" si="16"/>
        <v>2652</v>
      </c>
      <c r="F135" s="595">
        <f>'Прилож 4 24 (5)'!V134</f>
        <v>0</v>
      </c>
      <c r="G135" s="595">
        <f>'Прилож 4 24 (5)'!W134</f>
        <v>0</v>
      </c>
      <c r="H135" s="595">
        <f>'Прилож 4 24 (5)'!X134</f>
        <v>2652</v>
      </c>
      <c r="I135" s="628"/>
      <c r="J135" s="595">
        <f>'Прилож 4 24 (5)'!Z134</f>
        <v>0</v>
      </c>
      <c r="K135" s="595">
        <f>'Прилож 4 24 (5)'!AA134</f>
        <v>0</v>
      </c>
      <c r="L135" s="595">
        <f>'Прилож 4 24 (5)'!AB134</f>
        <v>0</v>
      </c>
      <c r="M135" s="876">
        <f t="shared" si="20"/>
        <v>0</v>
      </c>
      <c r="N135" s="875"/>
      <c r="O135" s="875"/>
      <c r="P135" s="875"/>
      <c r="Q135" s="877"/>
      <c r="R135" s="875"/>
      <c r="S135" s="875"/>
      <c r="T135" s="875"/>
      <c r="U135" s="876">
        <f t="shared" si="19"/>
        <v>2652</v>
      </c>
      <c r="V135" s="875">
        <f t="shared" si="19"/>
        <v>0</v>
      </c>
      <c r="W135" s="875">
        <f t="shared" si="18"/>
        <v>0</v>
      </c>
      <c r="X135" s="875">
        <f t="shared" si="18"/>
        <v>2652</v>
      </c>
      <c r="Y135" s="883"/>
      <c r="Z135" s="875">
        <f t="shared" si="17"/>
        <v>0</v>
      </c>
      <c r="AA135" s="875">
        <f t="shared" si="17"/>
        <v>0</v>
      </c>
      <c r="AB135" s="875">
        <f t="shared" si="17"/>
        <v>0</v>
      </c>
      <c r="AC135" s="878"/>
    </row>
    <row r="136" spans="1:29" ht="31.5" x14ac:dyDescent="0.2">
      <c r="A136" s="618" t="s">
        <v>644</v>
      </c>
      <c r="B136" s="619" t="s">
        <v>729</v>
      </c>
      <c r="C136" s="620">
        <v>244</v>
      </c>
      <c r="D136" s="620">
        <v>225</v>
      </c>
      <c r="E136" s="596">
        <f t="shared" si="16"/>
        <v>15000</v>
      </c>
      <c r="F136" s="595">
        <f>'Прилож 4 24 (5)'!V135</f>
        <v>0</v>
      </c>
      <c r="G136" s="595">
        <f>'Прилож 4 24 (5)'!W135</f>
        <v>0</v>
      </c>
      <c r="H136" s="595">
        <f>'Прилож 4 24 (5)'!X135</f>
        <v>15000</v>
      </c>
      <c r="I136" s="628"/>
      <c r="J136" s="595">
        <f>'Прилож 4 24 (5)'!Z135</f>
        <v>0</v>
      </c>
      <c r="K136" s="595">
        <f>'Прилож 4 24 (5)'!AA135</f>
        <v>0</v>
      </c>
      <c r="L136" s="595">
        <f>'Прилож 4 24 (5)'!AB135</f>
        <v>0</v>
      </c>
      <c r="M136" s="876">
        <f t="shared" si="20"/>
        <v>0</v>
      </c>
      <c r="N136" s="875"/>
      <c r="O136" s="875"/>
      <c r="P136" s="875"/>
      <c r="Q136" s="877"/>
      <c r="R136" s="875"/>
      <c r="S136" s="875"/>
      <c r="T136" s="875"/>
      <c r="U136" s="876">
        <f t="shared" si="19"/>
        <v>15000</v>
      </c>
      <c r="V136" s="875">
        <f t="shared" si="19"/>
        <v>0</v>
      </c>
      <c r="W136" s="875">
        <f t="shared" si="18"/>
        <v>0</v>
      </c>
      <c r="X136" s="875">
        <f t="shared" si="18"/>
        <v>15000</v>
      </c>
      <c r="Y136" s="883"/>
      <c r="Z136" s="875">
        <f t="shared" si="17"/>
        <v>0</v>
      </c>
      <c r="AA136" s="875">
        <f t="shared" si="17"/>
        <v>0</v>
      </c>
      <c r="AB136" s="875">
        <f t="shared" si="17"/>
        <v>0</v>
      </c>
      <c r="AC136" s="878"/>
    </row>
    <row r="137" spans="1:29" ht="31.5" x14ac:dyDescent="0.2">
      <c r="A137" s="618" t="s">
        <v>587</v>
      </c>
      <c r="B137" s="619" t="s">
        <v>729</v>
      </c>
      <c r="C137" s="620">
        <v>244</v>
      </c>
      <c r="D137" s="620">
        <v>225</v>
      </c>
      <c r="E137" s="596">
        <f t="shared" si="16"/>
        <v>15624</v>
      </c>
      <c r="F137" s="595">
        <f>'Прилож 4 24 (5)'!V136</f>
        <v>0</v>
      </c>
      <c r="G137" s="595">
        <f>'Прилож 4 24 (5)'!W136</f>
        <v>0</v>
      </c>
      <c r="H137" s="595">
        <f>'Прилож 4 24 (5)'!X136</f>
        <v>15624</v>
      </c>
      <c r="I137" s="628"/>
      <c r="J137" s="595">
        <f>'Прилож 4 24 (5)'!Z136</f>
        <v>0</v>
      </c>
      <c r="K137" s="595">
        <f>'Прилож 4 24 (5)'!AA136</f>
        <v>0</v>
      </c>
      <c r="L137" s="595">
        <f>'Прилож 4 24 (5)'!AB136</f>
        <v>0</v>
      </c>
      <c r="M137" s="876">
        <f t="shared" si="20"/>
        <v>0</v>
      </c>
      <c r="N137" s="875"/>
      <c r="O137" s="875"/>
      <c r="P137" s="875"/>
      <c r="Q137" s="877"/>
      <c r="R137" s="875"/>
      <c r="S137" s="875"/>
      <c r="T137" s="875"/>
      <c r="U137" s="876">
        <f t="shared" si="19"/>
        <v>15624</v>
      </c>
      <c r="V137" s="875">
        <f t="shared" si="19"/>
        <v>0</v>
      </c>
      <c r="W137" s="875">
        <f t="shared" si="18"/>
        <v>0</v>
      </c>
      <c r="X137" s="875">
        <f t="shared" si="18"/>
        <v>15624</v>
      </c>
      <c r="Y137" s="883"/>
      <c r="Z137" s="875">
        <f t="shared" si="17"/>
        <v>0</v>
      </c>
      <c r="AA137" s="875">
        <f t="shared" si="17"/>
        <v>0</v>
      </c>
      <c r="AB137" s="875">
        <f t="shared" si="17"/>
        <v>0</v>
      </c>
      <c r="AC137" s="878"/>
    </row>
    <row r="138" spans="1:29" ht="28.5" customHeight="1" x14ac:dyDescent="0.2">
      <c r="A138" s="618" t="s">
        <v>1208</v>
      </c>
      <c r="B138" s="619" t="s">
        <v>729</v>
      </c>
      <c r="C138" s="620">
        <v>244</v>
      </c>
      <c r="D138" s="620">
        <v>225</v>
      </c>
      <c r="E138" s="596">
        <f t="shared" si="16"/>
        <v>0</v>
      </c>
      <c r="F138" s="595">
        <f>'Прилож 4 24 (5)'!V137</f>
        <v>0</v>
      </c>
      <c r="G138" s="595">
        <f>'Прилож 4 24 (5)'!W137</f>
        <v>0</v>
      </c>
      <c r="H138" s="595">
        <f>'Прилож 4 24 (5)'!X137</f>
        <v>0</v>
      </c>
      <c r="I138" s="628"/>
      <c r="J138" s="595">
        <f>'Прилож 4 24 (5)'!Z137</f>
        <v>0</v>
      </c>
      <c r="K138" s="595">
        <f>'Прилож 4 24 (5)'!AA137</f>
        <v>0</v>
      </c>
      <c r="L138" s="595">
        <f>'Прилож 4 24 (5)'!AB137</f>
        <v>0</v>
      </c>
      <c r="M138" s="876">
        <f t="shared" si="20"/>
        <v>0</v>
      </c>
      <c r="N138" s="875"/>
      <c r="O138" s="875"/>
      <c r="P138" s="875"/>
      <c r="Q138" s="877"/>
      <c r="R138" s="875"/>
      <c r="S138" s="875"/>
      <c r="T138" s="875"/>
      <c r="U138" s="876">
        <f t="shared" si="19"/>
        <v>0</v>
      </c>
      <c r="V138" s="875">
        <f t="shared" si="19"/>
        <v>0</v>
      </c>
      <c r="W138" s="875">
        <f t="shared" si="18"/>
        <v>0</v>
      </c>
      <c r="X138" s="875">
        <f t="shared" si="18"/>
        <v>0</v>
      </c>
      <c r="Y138" s="883"/>
      <c r="Z138" s="875">
        <f t="shared" si="17"/>
        <v>0</v>
      </c>
      <c r="AA138" s="875">
        <f t="shared" si="17"/>
        <v>0</v>
      </c>
      <c r="AB138" s="875">
        <f t="shared" si="17"/>
        <v>0</v>
      </c>
      <c r="AC138" s="878"/>
    </row>
    <row r="139" spans="1:29" ht="31.5" x14ac:dyDescent="0.2">
      <c r="A139" s="618" t="s">
        <v>157</v>
      </c>
      <c r="B139" s="619" t="s">
        <v>729</v>
      </c>
      <c r="C139" s="620">
        <v>244</v>
      </c>
      <c r="D139" s="620">
        <v>225</v>
      </c>
      <c r="E139" s="596">
        <f t="shared" si="16"/>
        <v>10000</v>
      </c>
      <c r="F139" s="595">
        <f>'Прилож 4 24 (5)'!V138</f>
        <v>0</v>
      </c>
      <c r="G139" s="595">
        <f>'Прилож 4 24 (5)'!W138</f>
        <v>0</v>
      </c>
      <c r="H139" s="595">
        <f>'Прилож 4 24 (5)'!X138</f>
        <v>10000</v>
      </c>
      <c r="I139" s="628"/>
      <c r="J139" s="595">
        <f>'Прилож 4 24 (5)'!Z138</f>
        <v>0</v>
      </c>
      <c r="K139" s="595">
        <f>'Прилож 4 24 (5)'!AA138</f>
        <v>0</v>
      </c>
      <c r="L139" s="595">
        <f>'Прилож 4 24 (5)'!AB138</f>
        <v>0</v>
      </c>
      <c r="M139" s="876">
        <f t="shared" si="20"/>
        <v>0</v>
      </c>
      <c r="N139" s="875"/>
      <c r="O139" s="875"/>
      <c r="P139" s="875"/>
      <c r="Q139" s="877"/>
      <c r="R139" s="875"/>
      <c r="S139" s="875"/>
      <c r="T139" s="875"/>
      <c r="U139" s="876">
        <f t="shared" si="19"/>
        <v>10000</v>
      </c>
      <c r="V139" s="875">
        <f t="shared" si="19"/>
        <v>0</v>
      </c>
      <c r="W139" s="875">
        <f t="shared" si="18"/>
        <v>0</v>
      </c>
      <c r="X139" s="875">
        <f t="shared" si="18"/>
        <v>10000</v>
      </c>
      <c r="Y139" s="883"/>
      <c r="Z139" s="875">
        <f t="shared" si="17"/>
        <v>0</v>
      </c>
      <c r="AA139" s="875">
        <f t="shared" si="17"/>
        <v>0</v>
      </c>
      <c r="AB139" s="875">
        <f t="shared" si="17"/>
        <v>0</v>
      </c>
      <c r="AC139" s="878"/>
    </row>
    <row r="140" spans="1:29" ht="30" customHeight="1" x14ac:dyDescent="0.2">
      <c r="A140" s="618" t="s">
        <v>583</v>
      </c>
      <c r="B140" s="619" t="s">
        <v>729</v>
      </c>
      <c r="C140" s="620">
        <v>244</v>
      </c>
      <c r="D140" s="620">
        <v>225</v>
      </c>
      <c r="E140" s="596">
        <f t="shared" si="16"/>
        <v>10310</v>
      </c>
      <c r="F140" s="595">
        <f>'Прилож 4 24 (5)'!V139</f>
        <v>0</v>
      </c>
      <c r="G140" s="595">
        <f>'Прилож 4 24 (5)'!W139</f>
        <v>0</v>
      </c>
      <c r="H140" s="595">
        <f>'Прилож 4 24 (5)'!X139</f>
        <v>10310</v>
      </c>
      <c r="I140" s="628"/>
      <c r="J140" s="595">
        <f>'Прилож 4 24 (5)'!Z139</f>
        <v>0</v>
      </c>
      <c r="K140" s="595">
        <f>'Прилож 4 24 (5)'!AA139</f>
        <v>0</v>
      </c>
      <c r="L140" s="595">
        <f>'Прилож 4 24 (5)'!AB139</f>
        <v>0</v>
      </c>
      <c r="M140" s="876">
        <f t="shared" si="20"/>
        <v>0</v>
      </c>
      <c r="N140" s="875"/>
      <c r="O140" s="875"/>
      <c r="P140" s="875"/>
      <c r="Q140" s="877"/>
      <c r="R140" s="875"/>
      <c r="S140" s="875"/>
      <c r="T140" s="875"/>
      <c r="U140" s="876">
        <f t="shared" si="19"/>
        <v>10310</v>
      </c>
      <c r="V140" s="875">
        <f t="shared" si="19"/>
        <v>0</v>
      </c>
      <c r="W140" s="875">
        <f t="shared" si="18"/>
        <v>0</v>
      </c>
      <c r="X140" s="875">
        <f t="shared" si="18"/>
        <v>10310</v>
      </c>
      <c r="Y140" s="883"/>
      <c r="Z140" s="875">
        <f t="shared" si="17"/>
        <v>0</v>
      </c>
      <c r="AA140" s="875">
        <f t="shared" si="17"/>
        <v>0</v>
      </c>
      <c r="AB140" s="875">
        <f t="shared" si="17"/>
        <v>0</v>
      </c>
      <c r="AC140" s="878"/>
    </row>
    <row r="141" spans="1:29" ht="31.5" customHeight="1" x14ac:dyDescent="0.2">
      <c r="A141" s="618" t="s">
        <v>1204</v>
      </c>
      <c r="B141" s="619" t="s">
        <v>729</v>
      </c>
      <c r="C141" s="620">
        <v>244</v>
      </c>
      <c r="D141" s="620">
        <v>225</v>
      </c>
      <c r="E141" s="596">
        <f t="shared" ref="E141:E206" si="21">L141+K141+J141+H141+G141+F141</f>
        <v>44690</v>
      </c>
      <c r="F141" s="595">
        <f>'Прилож 4 24 (5)'!V140</f>
        <v>0</v>
      </c>
      <c r="G141" s="595">
        <f>'Прилож 4 24 (5)'!W140</f>
        <v>0</v>
      </c>
      <c r="H141" s="595">
        <f>'Прилож 4 24 (5)'!X140</f>
        <v>44690</v>
      </c>
      <c r="I141" s="628"/>
      <c r="J141" s="595">
        <f>'Прилож 4 24 (5)'!Z140</f>
        <v>0</v>
      </c>
      <c r="K141" s="595">
        <f>'Прилож 4 24 (5)'!AA140</f>
        <v>0</v>
      </c>
      <c r="L141" s="595">
        <f>'Прилож 4 24 (5)'!AB140</f>
        <v>0</v>
      </c>
      <c r="M141" s="876">
        <f t="shared" si="20"/>
        <v>-8512</v>
      </c>
      <c r="N141" s="875"/>
      <c r="O141" s="875"/>
      <c r="P141" s="875">
        <v>-8512</v>
      </c>
      <c r="Q141" s="877"/>
      <c r="R141" s="875"/>
      <c r="S141" s="875"/>
      <c r="T141" s="875"/>
      <c r="U141" s="876">
        <f t="shared" si="19"/>
        <v>36178</v>
      </c>
      <c r="V141" s="875">
        <f t="shared" si="19"/>
        <v>0</v>
      </c>
      <c r="W141" s="875">
        <f t="shared" si="18"/>
        <v>0</v>
      </c>
      <c r="X141" s="875">
        <f t="shared" si="18"/>
        <v>36178</v>
      </c>
      <c r="Y141" s="883"/>
      <c r="Z141" s="875">
        <f t="shared" si="17"/>
        <v>0</v>
      </c>
      <c r="AA141" s="875">
        <f t="shared" si="17"/>
        <v>0</v>
      </c>
      <c r="AB141" s="875">
        <f t="shared" si="17"/>
        <v>0</v>
      </c>
      <c r="AC141" s="878" t="s">
        <v>1464</v>
      </c>
    </row>
    <row r="142" spans="1:29" ht="47.25" x14ac:dyDescent="0.2">
      <c r="A142" s="618" t="s">
        <v>1327</v>
      </c>
      <c r="B142" s="619" t="s">
        <v>729</v>
      </c>
      <c r="C142" s="620">
        <v>244</v>
      </c>
      <c r="D142" s="620">
        <v>225</v>
      </c>
      <c r="E142" s="596">
        <f t="shared" si="21"/>
        <v>5075389</v>
      </c>
      <c r="F142" s="595">
        <f>'Прилож 4 24 (5)'!V141</f>
        <v>0</v>
      </c>
      <c r="G142" s="595">
        <f>'Прилож 4 24 (5)'!W141</f>
        <v>0</v>
      </c>
      <c r="H142" s="595">
        <f>'Прилож 4 24 (5)'!X141</f>
        <v>0</v>
      </c>
      <c r="I142" s="621" t="s">
        <v>1314</v>
      </c>
      <c r="J142" s="595">
        <f>'Прилож 4 24 (5)'!Z141</f>
        <v>0</v>
      </c>
      <c r="K142" s="595">
        <f>'Прилож 4 24 (5)'!AA141</f>
        <v>5075389</v>
      </c>
      <c r="L142" s="595">
        <f>'Прилож 4 24 (5)'!AB141</f>
        <v>0</v>
      </c>
      <c r="M142" s="876">
        <f t="shared" si="20"/>
        <v>-5075389</v>
      </c>
      <c r="N142" s="875"/>
      <c r="O142" s="875"/>
      <c r="P142" s="875"/>
      <c r="Q142" s="621" t="s">
        <v>1314</v>
      </c>
      <c r="R142" s="875"/>
      <c r="S142" s="875">
        <v>-5075389</v>
      </c>
      <c r="T142" s="875"/>
      <c r="U142" s="876">
        <f t="shared" si="19"/>
        <v>0</v>
      </c>
      <c r="V142" s="875">
        <f t="shared" si="19"/>
        <v>0</v>
      </c>
      <c r="W142" s="875">
        <f t="shared" si="18"/>
        <v>0</v>
      </c>
      <c r="X142" s="875">
        <f t="shared" si="18"/>
        <v>0</v>
      </c>
      <c r="Y142" s="877" t="s">
        <v>1314</v>
      </c>
      <c r="Z142" s="875">
        <f t="shared" si="17"/>
        <v>0</v>
      </c>
      <c r="AA142" s="875">
        <f t="shared" si="17"/>
        <v>0</v>
      </c>
      <c r="AB142" s="875">
        <f t="shared" si="17"/>
        <v>0</v>
      </c>
      <c r="AC142" s="878" t="s">
        <v>1462</v>
      </c>
    </row>
    <row r="143" spans="1:29" ht="37.5" customHeight="1" x14ac:dyDescent="0.2">
      <c r="A143" s="994" t="s">
        <v>1446</v>
      </c>
      <c r="B143" s="619" t="s">
        <v>729</v>
      </c>
      <c r="C143" s="620">
        <v>244</v>
      </c>
      <c r="D143" s="620">
        <v>225</v>
      </c>
      <c r="E143" s="596">
        <f t="shared" si="21"/>
        <v>249291.8</v>
      </c>
      <c r="F143" s="595">
        <f>'Прилож 4 24 (5)'!V142</f>
        <v>0</v>
      </c>
      <c r="G143" s="595">
        <f>'Прилож 4 24 (5)'!W142</f>
        <v>0</v>
      </c>
      <c r="H143" s="595">
        <f>'Прилож 4 24 (5)'!X142</f>
        <v>0</v>
      </c>
      <c r="I143" s="621" t="s">
        <v>1314</v>
      </c>
      <c r="J143" s="595">
        <f>'Прилож 4 24 (5)'!Z142</f>
        <v>0</v>
      </c>
      <c r="K143" s="595">
        <f>'Прилож 4 24 (5)'!AA142</f>
        <v>249291.8</v>
      </c>
      <c r="L143" s="595">
        <f>'Прилож 4 24 (5)'!AB142</f>
        <v>0</v>
      </c>
      <c r="M143" s="876">
        <f t="shared" si="20"/>
        <v>0</v>
      </c>
      <c r="N143" s="875"/>
      <c r="O143" s="875"/>
      <c r="P143" s="875"/>
      <c r="Q143" s="621"/>
      <c r="R143" s="875"/>
      <c r="S143" s="875"/>
      <c r="T143" s="875"/>
      <c r="U143" s="876">
        <f t="shared" si="19"/>
        <v>249291.8</v>
      </c>
      <c r="V143" s="875">
        <f t="shared" si="19"/>
        <v>0</v>
      </c>
      <c r="W143" s="875">
        <f t="shared" si="18"/>
        <v>0</v>
      </c>
      <c r="X143" s="875">
        <f t="shared" si="18"/>
        <v>0</v>
      </c>
      <c r="Y143" s="877" t="s">
        <v>1314</v>
      </c>
      <c r="Z143" s="875"/>
      <c r="AA143" s="875">
        <f t="shared" si="17"/>
        <v>249291.8</v>
      </c>
      <c r="AB143" s="875">
        <f t="shared" si="17"/>
        <v>0</v>
      </c>
      <c r="AC143" s="878"/>
    </row>
    <row r="144" spans="1:29" ht="38.25" customHeight="1" x14ac:dyDescent="0.2">
      <c r="A144" s="994" t="s">
        <v>1447</v>
      </c>
      <c r="B144" s="619" t="s">
        <v>729</v>
      </c>
      <c r="C144" s="620">
        <v>244</v>
      </c>
      <c r="D144" s="620">
        <v>225</v>
      </c>
      <c r="E144" s="596">
        <f t="shared" si="21"/>
        <v>601984.80000000005</v>
      </c>
      <c r="F144" s="595">
        <f>'Прилож 4 24 (5)'!V143</f>
        <v>0</v>
      </c>
      <c r="G144" s="595">
        <f>'Прилож 4 24 (5)'!W143</f>
        <v>0</v>
      </c>
      <c r="H144" s="595">
        <f>'Прилож 4 24 (5)'!X143</f>
        <v>0</v>
      </c>
      <c r="I144" s="621" t="s">
        <v>1314</v>
      </c>
      <c r="J144" s="595">
        <f>'Прилож 4 24 (5)'!Z143</f>
        <v>0</v>
      </c>
      <c r="K144" s="595">
        <f>'Прилож 4 24 (5)'!AA143</f>
        <v>601984.80000000005</v>
      </c>
      <c r="L144" s="595">
        <f>'Прилож 4 24 (5)'!AB143</f>
        <v>0</v>
      </c>
      <c r="M144" s="876">
        <f t="shared" si="20"/>
        <v>0</v>
      </c>
      <c r="N144" s="875"/>
      <c r="O144" s="875"/>
      <c r="P144" s="875"/>
      <c r="Q144" s="621"/>
      <c r="R144" s="875"/>
      <c r="S144" s="875"/>
      <c r="T144" s="875"/>
      <c r="U144" s="876">
        <f t="shared" si="19"/>
        <v>601984.80000000005</v>
      </c>
      <c r="V144" s="875">
        <f t="shared" si="19"/>
        <v>0</v>
      </c>
      <c r="W144" s="875">
        <f t="shared" si="18"/>
        <v>0</v>
      </c>
      <c r="X144" s="875">
        <f t="shared" si="18"/>
        <v>0</v>
      </c>
      <c r="Y144" s="877" t="s">
        <v>1314</v>
      </c>
      <c r="Z144" s="875"/>
      <c r="AA144" s="875">
        <f t="shared" si="17"/>
        <v>601984.80000000005</v>
      </c>
      <c r="AB144" s="875">
        <f t="shared" si="17"/>
        <v>0</v>
      </c>
      <c r="AC144" s="878"/>
    </row>
    <row r="145" spans="1:30" ht="38.25" customHeight="1" x14ac:dyDescent="0.2">
      <c r="A145" s="994" t="s">
        <v>1460</v>
      </c>
      <c r="B145" s="619" t="s">
        <v>729</v>
      </c>
      <c r="C145" s="620">
        <v>244</v>
      </c>
      <c r="D145" s="620">
        <v>225</v>
      </c>
      <c r="E145" s="596"/>
      <c r="F145" s="595"/>
      <c r="G145" s="595"/>
      <c r="H145" s="595"/>
      <c r="I145" s="621"/>
      <c r="J145" s="595"/>
      <c r="K145" s="595"/>
      <c r="L145" s="595"/>
      <c r="M145" s="876">
        <f t="shared" si="20"/>
        <v>18000</v>
      </c>
      <c r="N145" s="875"/>
      <c r="O145" s="875"/>
      <c r="P145" s="875">
        <v>18000</v>
      </c>
      <c r="Q145" s="621"/>
      <c r="R145" s="875"/>
      <c r="S145" s="875"/>
      <c r="T145" s="875"/>
      <c r="U145" s="876">
        <f t="shared" si="19"/>
        <v>18000</v>
      </c>
      <c r="V145" s="875">
        <f t="shared" si="19"/>
        <v>0</v>
      </c>
      <c r="W145" s="875">
        <f t="shared" si="18"/>
        <v>0</v>
      </c>
      <c r="X145" s="875">
        <f t="shared" si="18"/>
        <v>18000</v>
      </c>
      <c r="Y145" s="877"/>
      <c r="Z145" s="875"/>
      <c r="AA145" s="875">
        <f t="shared" si="17"/>
        <v>0</v>
      </c>
      <c r="AB145" s="875">
        <f t="shared" si="17"/>
        <v>0</v>
      </c>
      <c r="AC145" s="878" t="s">
        <v>1458</v>
      </c>
    </row>
    <row r="146" spans="1:30" s="637" customFormat="1" x14ac:dyDescent="0.2">
      <c r="A146" s="1016" t="s">
        <v>1143</v>
      </c>
      <c r="B146" s="633" t="s">
        <v>729</v>
      </c>
      <c r="C146" s="634">
        <v>244</v>
      </c>
      <c r="D146" s="634">
        <v>225</v>
      </c>
      <c r="E146" s="596">
        <f t="shared" si="21"/>
        <v>6464729.4799999995</v>
      </c>
      <c r="F146" s="595">
        <f>'Прилож 4 24 (5)'!V144</f>
        <v>0</v>
      </c>
      <c r="G146" s="595">
        <f>'Прилож 4 24 (5)'!W144</f>
        <v>0</v>
      </c>
      <c r="H146" s="595">
        <f>'Прилож 4 24 (5)'!X144</f>
        <v>538063.88</v>
      </c>
      <c r="I146" s="635"/>
      <c r="J146" s="595">
        <f>'Прилож 4 24 (5)'!Z144</f>
        <v>0</v>
      </c>
      <c r="K146" s="595">
        <f>'Прилож 4 24 (5)'!AA144</f>
        <v>5926665.5999999996</v>
      </c>
      <c r="L146" s="595">
        <f>'Прилож 4 24 (5)'!AB144</f>
        <v>0</v>
      </c>
      <c r="M146" s="876">
        <f>N146+P146+R146+S146+T146+O146</f>
        <v>-5065901</v>
      </c>
      <c r="N146" s="891"/>
      <c r="O146" s="891"/>
      <c r="P146" s="892">
        <f>SUM(P123:P145)</f>
        <v>9488</v>
      </c>
      <c r="Q146" s="885"/>
      <c r="R146" s="884"/>
      <c r="S146" s="884">
        <f>SUM(S123:S144)</f>
        <v>-5075389</v>
      </c>
      <c r="T146" s="884"/>
      <c r="U146" s="876">
        <f>E146+M146</f>
        <v>1398828.4799999995</v>
      </c>
      <c r="V146" s="875">
        <f t="shared" si="19"/>
        <v>0</v>
      </c>
      <c r="W146" s="875">
        <f t="shared" si="18"/>
        <v>0</v>
      </c>
      <c r="X146" s="875">
        <f t="shared" si="18"/>
        <v>547551.88</v>
      </c>
      <c r="Y146" s="885"/>
      <c r="Z146" s="875">
        <f t="shared" si="17"/>
        <v>0</v>
      </c>
      <c r="AA146" s="875">
        <f t="shared" si="17"/>
        <v>851276.59999999963</v>
      </c>
      <c r="AB146" s="875">
        <f t="shared" si="17"/>
        <v>0</v>
      </c>
      <c r="AC146" s="886"/>
    </row>
    <row r="147" spans="1:30" ht="36" customHeight="1" x14ac:dyDescent="0.2">
      <c r="A147" s="994" t="s">
        <v>677</v>
      </c>
      <c r="B147" s="619" t="s">
        <v>691</v>
      </c>
      <c r="C147" s="620">
        <v>244</v>
      </c>
      <c r="D147" s="620">
        <v>225</v>
      </c>
      <c r="E147" s="596">
        <f t="shared" si="21"/>
        <v>13451.999999999998</v>
      </c>
      <c r="F147" s="595">
        <f>'Прилож 4 24 (5)'!V145</f>
        <v>0</v>
      </c>
      <c r="G147" s="595">
        <f>'Прилож 4 24 (5)'!W145</f>
        <v>0</v>
      </c>
      <c r="H147" s="595">
        <f>'Прилож 4 24 (5)'!X145</f>
        <v>11086.939999999999</v>
      </c>
      <c r="I147" s="628"/>
      <c r="J147" s="595">
        <f>'Прилож 4 24 (5)'!Z145</f>
        <v>0</v>
      </c>
      <c r="K147" s="595">
        <f>'Прилож 4 24 (5)'!AA145</f>
        <v>0</v>
      </c>
      <c r="L147" s="595">
        <f>'Прилож 4 24 (5)'!AB145</f>
        <v>2365.06</v>
      </c>
      <c r="M147" s="876">
        <f t="shared" si="20"/>
        <v>0</v>
      </c>
      <c r="N147" s="875"/>
      <c r="O147" s="875"/>
      <c r="P147" s="875"/>
      <c r="Q147" s="877"/>
      <c r="R147" s="875"/>
      <c r="S147" s="875"/>
      <c r="T147" s="875"/>
      <c r="U147" s="876">
        <f t="shared" si="19"/>
        <v>13451.999999999998</v>
      </c>
      <c r="V147" s="875">
        <f t="shared" si="19"/>
        <v>0</v>
      </c>
      <c r="W147" s="875">
        <f t="shared" si="18"/>
        <v>0</v>
      </c>
      <c r="X147" s="875">
        <f t="shared" si="18"/>
        <v>11086.939999999999</v>
      </c>
      <c r="Y147" s="883"/>
      <c r="Z147" s="875">
        <f t="shared" ref="Z147:AB216" si="22">R147+J147</f>
        <v>0</v>
      </c>
      <c r="AA147" s="875">
        <f t="shared" si="22"/>
        <v>0</v>
      </c>
      <c r="AB147" s="875">
        <f t="shared" si="22"/>
        <v>2365.06</v>
      </c>
      <c r="AC147" s="878"/>
    </row>
    <row r="148" spans="1:30" ht="36" customHeight="1" x14ac:dyDescent="0.2">
      <c r="A148" s="994" t="s">
        <v>1436</v>
      </c>
      <c r="B148" s="619" t="s">
        <v>691</v>
      </c>
      <c r="C148" s="620">
        <v>244</v>
      </c>
      <c r="D148" s="620">
        <v>225</v>
      </c>
      <c r="E148" s="596">
        <f t="shared" si="21"/>
        <v>10200</v>
      </c>
      <c r="F148" s="595">
        <f>'Прилож 4 24 (5)'!V146</f>
        <v>0</v>
      </c>
      <c r="G148" s="595">
        <f>'Прилож 4 24 (5)'!W146</f>
        <v>0</v>
      </c>
      <c r="H148" s="595">
        <f>'Прилож 4 24 (5)'!X146</f>
        <v>0</v>
      </c>
      <c r="I148" s="877" t="s">
        <v>1440</v>
      </c>
      <c r="J148" s="595">
        <f>'Прилож 4 24 (5)'!Z146</f>
        <v>0</v>
      </c>
      <c r="K148" s="595">
        <f>'Прилож 4 24 (5)'!AA146</f>
        <v>10200</v>
      </c>
      <c r="L148" s="595">
        <f>'Прилож 4 24 (5)'!AB146</f>
        <v>0</v>
      </c>
      <c r="M148" s="876">
        <f t="shared" si="20"/>
        <v>0</v>
      </c>
      <c r="N148" s="875"/>
      <c r="O148" s="875"/>
      <c r="P148" s="875"/>
      <c r="Q148" s="877"/>
      <c r="R148" s="875"/>
      <c r="S148" s="875"/>
      <c r="T148" s="875"/>
      <c r="U148" s="876">
        <f t="shared" si="19"/>
        <v>10200</v>
      </c>
      <c r="V148" s="875"/>
      <c r="W148" s="875"/>
      <c r="X148" s="875"/>
      <c r="Y148" s="877" t="s">
        <v>1440</v>
      </c>
      <c r="Z148" s="875"/>
      <c r="AA148" s="875">
        <f t="shared" si="22"/>
        <v>10200</v>
      </c>
      <c r="AB148" s="875"/>
      <c r="AC148" s="878"/>
    </row>
    <row r="149" spans="1:30" ht="17.25" customHeight="1" x14ac:dyDescent="0.2">
      <c r="A149" s="632" t="s">
        <v>1143</v>
      </c>
      <c r="B149" s="633" t="s">
        <v>691</v>
      </c>
      <c r="C149" s="634">
        <v>244</v>
      </c>
      <c r="D149" s="634">
        <v>225</v>
      </c>
      <c r="E149" s="596">
        <f t="shared" si="21"/>
        <v>23652</v>
      </c>
      <c r="F149" s="595">
        <f>'Прилож 4 24 (5)'!V147</f>
        <v>0</v>
      </c>
      <c r="G149" s="595">
        <f>'Прилож 4 24 (5)'!W147</f>
        <v>0</v>
      </c>
      <c r="H149" s="595">
        <f>'Прилож 4 24 (5)'!X147</f>
        <v>11086.939999999999</v>
      </c>
      <c r="I149" s="628"/>
      <c r="J149" s="595">
        <f>'Прилож 4 24 (5)'!Z147</f>
        <v>0</v>
      </c>
      <c r="K149" s="595">
        <f>'Прилож 4 24 (5)'!AA147</f>
        <v>10200</v>
      </c>
      <c r="L149" s="595">
        <f>'Прилож 4 24 (5)'!AB147</f>
        <v>2365.06</v>
      </c>
      <c r="M149" s="876">
        <f t="shared" si="20"/>
        <v>0</v>
      </c>
      <c r="N149" s="875"/>
      <c r="O149" s="875"/>
      <c r="P149" s="875"/>
      <c r="Q149" s="877"/>
      <c r="R149" s="875"/>
      <c r="S149" s="875">
        <f>SUM(S147:S148)</f>
        <v>0</v>
      </c>
      <c r="T149" s="875"/>
      <c r="U149" s="876">
        <f t="shared" si="19"/>
        <v>23652</v>
      </c>
      <c r="V149" s="875"/>
      <c r="W149" s="875"/>
      <c r="X149" s="875">
        <f>SUM(X147:X148)</f>
        <v>11086.939999999999</v>
      </c>
      <c r="Y149" s="883"/>
      <c r="Z149" s="875"/>
      <c r="AA149" s="875">
        <f>SUM(AA147:AA148)</f>
        <v>10200</v>
      </c>
      <c r="AB149" s="875">
        <f>SUM(AB147:AB148)</f>
        <v>2365.06</v>
      </c>
      <c r="AC149" s="878"/>
    </row>
    <row r="150" spans="1:30" s="614" customFormat="1" x14ac:dyDescent="0.2">
      <c r="A150" s="630" t="s">
        <v>738</v>
      </c>
      <c r="B150" s="631"/>
      <c r="C150" s="624"/>
      <c r="D150" s="624"/>
      <c r="E150" s="596">
        <f t="shared" si="21"/>
        <v>7668484.6600000001</v>
      </c>
      <c r="F150" s="595">
        <f>'Прилож 4 24 (5)'!V148</f>
        <v>0</v>
      </c>
      <c r="G150" s="595">
        <f>'Прилож 4 24 (5)'!W148</f>
        <v>0</v>
      </c>
      <c r="H150" s="595">
        <f>'Прилож 4 24 (5)'!X148</f>
        <v>915131.60000000009</v>
      </c>
      <c r="I150" s="626"/>
      <c r="J150" s="595">
        <f>'Прилож 4 24 (5)'!Z148</f>
        <v>0</v>
      </c>
      <c r="K150" s="595">
        <f>'Прилож 4 24 (5)'!AA148</f>
        <v>6750988</v>
      </c>
      <c r="L150" s="595">
        <f>'Прилож 4 24 (5)'!AB148</f>
        <v>2365.06</v>
      </c>
      <c r="M150" s="876">
        <f t="shared" si="20"/>
        <v>-5065901</v>
      </c>
      <c r="N150" s="876">
        <f>N122+N146+N147</f>
        <v>0</v>
      </c>
      <c r="O150" s="876"/>
      <c r="P150" s="876">
        <f>P122+P146+P147</f>
        <v>9488</v>
      </c>
      <c r="Q150" s="881"/>
      <c r="R150" s="876"/>
      <c r="S150" s="876">
        <f>S146+S122+S149</f>
        <v>-5075389</v>
      </c>
      <c r="T150" s="876"/>
      <c r="U150" s="876">
        <f t="shared" si="19"/>
        <v>2602583.66</v>
      </c>
      <c r="V150" s="875">
        <f t="shared" si="19"/>
        <v>0</v>
      </c>
      <c r="W150" s="875">
        <f t="shared" si="18"/>
        <v>0</v>
      </c>
      <c r="X150" s="875">
        <f t="shared" si="18"/>
        <v>924619.60000000009</v>
      </c>
      <c r="Y150" s="881"/>
      <c r="Z150" s="875">
        <f t="shared" si="22"/>
        <v>0</v>
      </c>
      <c r="AA150" s="875">
        <f t="shared" si="22"/>
        <v>1675599</v>
      </c>
      <c r="AB150" s="875">
        <f>T150+L150</f>
        <v>2365.06</v>
      </c>
      <c r="AC150" s="879"/>
      <c r="AD150" s="818"/>
    </row>
    <row r="151" spans="1:30" ht="31.5" x14ac:dyDescent="0.2">
      <c r="A151" s="618" t="s">
        <v>586</v>
      </c>
      <c r="B151" s="619" t="s">
        <v>747</v>
      </c>
      <c r="C151" s="620">
        <v>244</v>
      </c>
      <c r="D151" s="620">
        <v>226</v>
      </c>
      <c r="E151" s="596">
        <f t="shared" si="21"/>
        <v>53845.919999999998</v>
      </c>
      <c r="F151" s="595">
        <f>'Прилож 4 24 (5)'!V149</f>
        <v>0</v>
      </c>
      <c r="G151" s="595">
        <f>'Прилож 4 24 (5)'!W149</f>
        <v>0</v>
      </c>
      <c r="H151" s="595">
        <f>'Прилож 4 24 (5)'!X149</f>
        <v>53845.919999999998</v>
      </c>
      <c r="I151" s="628"/>
      <c r="J151" s="595">
        <f>'Прилож 4 24 (5)'!Z149</f>
        <v>0</v>
      </c>
      <c r="K151" s="595">
        <f>'Прилож 4 24 (5)'!AA149</f>
        <v>0</v>
      </c>
      <c r="L151" s="595">
        <f>'Прилож 4 24 (5)'!AB149</f>
        <v>0</v>
      </c>
      <c r="M151" s="876">
        <f t="shared" si="20"/>
        <v>0</v>
      </c>
      <c r="N151" s="875"/>
      <c r="O151" s="875"/>
      <c r="P151" s="875"/>
      <c r="Q151" s="877"/>
      <c r="R151" s="875"/>
      <c r="S151" s="875"/>
      <c r="T151" s="875"/>
      <c r="U151" s="876">
        <f t="shared" si="19"/>
        <v>53845.919999999998</v>
      </c>
      <c r="V151" s="875">
        <f t="shared" si="19"/>
        <v>0</v>
      </c>
      <c r="W151" s="875">
        <f t="shared" si="18"/>
        <v>0</v>
      </c>
      <c r="X151" s="875">
        <f t="shared" si="18"/>
        <v>53845.919999999998</v>
      </c>
      <c r="Y151" s="883"/>
      <c r="Z151" s="875">
        <f t="shared" si="22"/>
        <v>0</v>
      </c>
      <c r="AA151" s="875">
        <f t="shared" si="22"/>
        <v>0</v>
      </c>
      <c r="AB151" s="875">
        <f t="shared" si="22"/>
        <v>0</v>
      </c>
      <c r="AC151" s="878"/>
    </row>
    <row r="152" spans="1:30" ht="31.5" x14ac:dyDescent="0.2">
      <c r="A152" s="618" t="s">
        <v>154</v>
      </c>
      <c r="B152" s="619" t="s">
        <v>747</v>
      </c>
      <c r="C152" s="620">
        <v>244</v>
      </c>
      <c r="D152" s="620">
        <v>226</v>
      </c>
      <c r="E152" s="596">
        <f t="shared" si="21"/>
        <v>50000</v>
      </c>
      <c r="F152" s="595">
        <f>'Прилож 4 24 (5)'!V150</f>
        <v>0</v>
      </c>
      <c r="G152" s="595">
        <f>'Прилож 4 24 (5)'!W150</f>
        <v>0</v>
      </c>
      <c r="H152" s="595">
        <f>'Прилож 4 24 (5)'!X150</f>
        <v>50000</v>
      </c>
      <c r="I152" s="628"/>
      <c r="J152" s="595">
        <f>'Прилож 4 24 (5)'!Z150</f>
        <v>0</v>
      </c>
      <c r="K152" s="595">
        <f>'Прилож 4 24 (5)'!AA150</f>
        <v>0</v>
      </c>
      <c r="L152" s="595">
        <f>'Прилож 4 24 (5)'!AB150</f>
        <v>0</v>
      </c>
      <c r="M152" s="876">
        <f t="shared" si="20"/>
        <v>0</v>
      </c>
      <c r="N152" s="875"/>
      <c r="O152" s="875"/>
      <c r="P152" s="875"/>
      <c r="Q152" s="877"/>
      <c r="R152" s="875"/>
      <c r="S152" s="875"/>
      <c r="T152" s="875"/>
      <c r="U152" s="876">
        <f t="shared" si="19"/>
        <v>50000</v>
      </c>
      <c r="V152" s="875">
        <f t="shared" si="19"/>
        <v>0</v>
      </c>
      <c r="W152" s="875">
        <f t="shared" si="18"/>
        <v>0</v>
      </c>
      <c r="X152" s="875">
        <f t="shared" si="18"/>
        <v>50000</v>
      </c>
      <c r="Y152" s="883"/>
      <c r="Z152" s="875">
        <f t="shared" si="22"/>
        <v>0</v>
      </c>
      <c r="AA152" s="875">
        <f t="shared" si="22"/>
        <v>0</v>
      </c>
      <c r="AB152" s="875">
        <f t="shared" si="22"/>
        <v>0</v>
      </c>
      <c r="AC152" s="878"/>
    </row>
    <row r="153" spans="1:30" ht="31.5" x14ac:dyDescent="0.2">
      <c r="A153" s="618" t="s">
        <v>642</v>
      </c>
      <c r="B153" s="619" t="s">
        <v>747</v>
      </c>
      <c r="C153" s="620">
        <v>244</v>
      </c>
      <c r="D153" s="620">
        <v>226</v>
      </c>
      <c r="E153" s="596">
        <f t="shared" si="21"/>
        <v>60720</v>
      </c>
      <c r="F153" s="595">
        <f>'Прилож 4 24 (5)'!V151</f>
        <v>0</v>
      </c>
      <c r="G153" s="595">
        <f>'Прилож 4 24 (5)'!W151</f>
        <v>0</v>
      </c>
      <c r="H153" s="595">
        <f>'Прилож 4 24 (5)'!X151</f>
        <v>60720</v>
      </c>
      <c r="I153" s="628"/>
      <c r="J153" s="595">
        <f>'Прилож 4 24 (5)'!Z151</f>
        <v>0</v>
      </c>
      <c r="K153" s="595">
        <f>'Прилож 4 24 (5)'!AA151</f>
        <v>0</v>
      </c>
      <c r="L153" s="595">
        <f>'Прилож 4 24 (5)'!AB151</f>
        <v>0</v>
      </c>
      <c r="M153" s="876">
        <f t="shared" si="20"/>
        <v>0</v>
      </c>
      <c r="N153" s="875"/>
      <c r="O153" s="875"/>
      <c r="P153" s="875"/>
      <c r="Q153" s="877"/>
      <c r="R153" s="875"/>
      <c r="S153" s="875"/>
      <c r="T153" s="875"/>
      <c r="U153" s="876">
        <f t="shared" si="19"/>
        <v>60720</v>
      </c>
      <c r="V153" s="875">
        <f t="shared" si="19"/>
        <v>0</v>
      </c>
      <c r="W153" s="875">
        <f t="shared" si="18"/>
        <v>0</v>
      </c>
      <c r="X153" s="875">
        <f t="shared" si="18"/>
        <v>60720</v>
      </c>
      <c r="Y153" s="883"/>
      <c r="Z153" s="875">
        <f t="shared" si="22"/>
        <v>0</v>
      </c>
      <c r="AA153" s="875">
        <f t="shared" si="22"/>
        <v>0</v>
      </c>
      <c r="AB153" s="875">
        <f t="shared" si="22"/>
        <v>0</v>
      </c>
      <c r="AC153" s="878"/>
    </row>
    <row r="154" spans="1:30" ht="186" customHeight="1" x14ac:dyDescent="0.2">
      <c r="A154" s="618" t="s">
        <v>1243</v>
      </c>
      <c r="B154" s="619" t="s">
        <v>747</v>
      </c>
      <c r="C154" s="620">
        <v>244</v>
      </c>
      <c r="D154" s="620">
        <v>226</v>
      </c>
      <c r="E154" s="596">
        <f t="shared" si="21"/>
        <v>23830</v>
      </c>
      <c r="F154" s="595">
        <f>'Прилож 4 24 (5)'!V152</f>
        <v>0</v>
      </c>
      <c r="G154" s="595">
        <f>'Прилож 4 24 (5)'!W152</f>
        <v>0</v>
      </c>
      <c r="H154" s="595">
        <f>'Прилож 4 24 (5)'!X152</f>
        <v>23830</v>
      </c>
      <c r="I154" s="628"/>
      <c r="J154" s="595">
        <f>'Прилож 4 24 (5)'!Z152</f>
        <v>0</v>
      </c>
      <c r="K154" s="595">
        <f>'Прилож 4 24 (5)'!AA152</f>
        <v>0</v>
      </c>
      <c r="L154" s="595">
        <f>'Прилож 4 24 (5)'!AB152</f>
        <v>0</v>
      </c>
      <c r="M154" s="876">
        <f t="shared" si="20"/>
        <v>0</v>
      </c>
      <c r="N154" s="875"/>
      <c r="O154" s="875"/>
      <c r="P154" s="875"/>
      <c r="Q154" s="877"/>
      <c r="R154" s="875"/>
      <c r="S154" s="875"/>
      <c r="T154" s="875"/>
      <c r="U154" s="876">
        <f t="shared" si="19"/>
        <v>23830</v>
      </c>
      <c r="V154" s="875">
        <f t="shared" si="19"/>
        <v>0</v>
      </c>
      <c r="W154" s="875">
        <f t="shared" si="18"/>
        <v>0</v>
      </c>
      <c r="X154" s="875">
        <f t="shared" si="18"/>
        <v>23830</v>
      </c>
      <c r="Y154" s="883"/>
      <c r="Z154" s="875">
        <f t="shared" si="22"/>
        <v>0</v>
      </c>
      <c r="AA154" s="875">
        <f t="shared" si="22"/>
        <v>0</v>
      </c>
      <c r="AB154" s="875">
        <f t="shared" si="22"/>
        <v>0</v>
      </c>
      <c r="AC154" s="878"/>
    </row>
    <row r="155" spans="1:30" x14ac:dyDescent="0.2">
      <c r="A155" s="618" t="s">
        <v>593</v>
      </c>
      <c r="B155" s="619" t="s">
        <v>747</v>
      </c>
      <c r="C155" s="620">
        <v>244</v>
      </c>
      <c r="D155" s="620">
        <v>226</v>
      </c>
      <c r="E155" s="596">
        <f t="shared" si="21"/>
        <v>7430</v>
      </c>
      <c r="F155" s="595">
        <f>'Прилож 4 24 (5)'!V153</f>
        <v>0</v>
      </c>
      <c r="G155" s="595">
        <f>'Прилож 4 24 (5)'!W153</f>
        <v>0</v>
      </c>
      <c r="H155" s="595">
        <f>'Прилож 4 24 (5)'!X153</f>
        <v>7430</v>
      </c>
      <c r="I155" s="628"/>
      <c r="J155" s="595">
        <f>'Прилож 4 24 (5)'!Z153</f>
        <v>0</v>
      </c>
      <c r="K155" s="595">
        <f>'Прилож 4 24 (5)'!AA153</f>
        <v>0</v>
      </c>
      <c r="L155" s="595">
        <f>'Прилож 4 24 (5)'!AB153</f>
        <v>0</v>
      </c>
      <c r="M155" s="876">
        <f t="shared" si="20"/>
        <v>0</v>
      </c>
      <c r="N155" s="875"/>
      <c r="O155" s="875"/>
      <c r="P155" s="875"/>
      <c r="Q155" s="877"/>
      <c r="R155" s="875"/>
      <c r="S155" s="875"/>
      <c r="T155" s="875"/>
      <c r="U155" s="876">
        <f t="shared" si="19"/>
        <v>7430</v>
      </c>
      <c r="V155" s="875">
        <f t="shared" si="19"/>
        <v>0</v>
      </c>
      <c r="W155" s="875">
        <f t="shared" si="18"/>
        <v>0</v>
      </c>
      <c r="X155" s="875">
        <f t="shared" si="18"/>
        <v>7430</v>
      </c>
      <c r="Y155" s="883"/>
      <c r="Z155" s="875">
        <f t="shared" si="22"/>
        <v>0</v>
      </c>
      <c r="AA155" s="875">
        <f t="shared" si="22"/>
        <v>0</v>
      </c>
      <c r="AB155" s="875">
        <f t="shared" si="22"/>
        <v>0</v>
      </c>
      <c r="AC155" s="878"/>
    </row>
    <row r="156" spans="1:30" x14ac:dyDescent="0.2">
      <c r="A156" s="618" t="s">
        <v>1194</v>
      </c>
      <c r="B156" s="619" t="s">
        <v>747</v>
      </c>
      <c r="C156" s="620">
        <v>244</v>
      </c>
      <c r="D156" s="620">
        <v>226</v>
      </c>
      <c r="E156" s="596">
        <f t="shared" si="21"/>
        <v>18900</v>
      </c>
      <c r="F156" s="595">
        <f>'Прилож 4 24 (5)'!V154</f>
        <v>0</v>
      </c>
      <c r="G156" s="595">
        <f>'Прилож 4 24 (5)'!W154</f>
        <v>0</v>
      </c>
      <c r="H156" s="595">
        <f>'Прилож 4 24 (5)'!X154</f>
        <v>18900</v>
      </c>
      <c r="I156" s="628"/>
      <c r="J156" s="595">
        <f>'Прилож 4 24 (5)'!Z154</f>
        <v>0</v>
      </c>
      <c r="K156" s="595">
        <f>'Прилож 4 24 (5)'!AA154</f>
        <v>0</v>
      </c>
      <c r="L156" s="595">
        <f>'Прилож 4 24 (5)'!AB154</f>
        <v>0</v>
      </c>
      <c r="M156" s="876">
        <f t="shared" si="20"/>
        <v>0</v>
      </c>
      <c r="N156" s="875"/>
      <c r="O156" s="875"/>
      <c r="P156" s="875"/>
      <c r="Q156" s="877"/>
      <c r="R156" s="875"/>
      <c r="S156" s="875"/>
      <c r="T156" s="875"/>
      <c r="U156" s="876">
        <f>E156+M156</f>
        <v>18900</v>
      </c>
      <c r="V156" s="875">
        <f t="shared" si="19"/>
        <v>0</v>
      </c>
      <c r="W156" s="875">
        <f t="shared" si="18"/>
        <v>0</v>
      </c>
      <c r="X156" s="875">
        <f t="shared" si="18"/>
        <v>18900</v>
      </c>
      <c r="Y156" s="883"/>
      <c r="Z156" s="875">
        <f t="shared" si="22"/>
        <v>0</v>
      </c>
      <c r="AA156" s="875">
        <f t="shared" si="22"/>
        <v>0</v>
      </c>
      <c r="AB156" s="875">
        <f t="shared" si="22"/>
        <v>0</v>
      </c>
      <c r="AC156" s="878"/>
    </row>
    <row r="157" spans="1:30" ht="51.75" customHeight="1" x14ac:dyDescent="0.2">
      <c r="A157" s="618" t="s">
        <v>1318</v>
      </c>
      <c r="B157" s="619" t="s">
        <v>747</v>
      </c>
      <c r="C157" s="620">
        <v>244</v>
      </c>
      <c r="D157" s="620">
        <v>226</v>
      </c>
      <c r="E157" s="596">
        <f t="shared" si="21"/>
        <v>252769.2</v>
      </c>
      <c r="F157" s="595">
        <f>'Прилож 4 24 (5)'!V155</f>
        <v>0</v>
      </c>
      <c r="G157" s="595">
        <f>'Прилож 4 24 (5)'!W155</f>
        <v>0</v>
      </c>
      <c r="H157" s="595">
        <f>'Прилож 4 24 (5)'!X155</f>
        <v>0</v>
      </c>
      <c r="I157" s="877" t="s">
        <v>1322</v>
      </c>
      <c r="J157" s="595">
        <f>'Прилож 4 24 (5)'!Z155</f>
        <v>0</v>
      </c>
      <c r="K157" s="595">
        <f>'Прилож 4 24 (5)'!AA155</f>
        <v>252769.2</v>
      </c>
      <c r="L157" s="595">
        <f>'Прилож 4 24 (5)'!AB155</f>
        <v>0</v>
      </c>
      <c r="M157" s="875">
        <f>N157+O157+P157+R157+S157+T157</f>
        <v>0</v>
      </c>
      <c r="N157" s="875"/>
      <c r="O157" s="875"/>
      <c r="P157" s="875"/>
      <c r="Q157" s="877"/>
      <c r="R157" s="875"/>
      <c r="S157" s="875"/>
      <c r="T157" s="875"/>
      <c r="U157" s="876">
        <f>E157+M157</f>
        <v>252769.2</v>
      </c>
      <c r="V157" s="875">
        <f t="shared" si="19"/>
        <v>0</v>
      </c>
      <c r="W157" s="875">
        <f t="shared" si="18"/>
        <v>0</v>
      </c>
      <c r="X157" s="875">
        <f t="shared" si="18"/>
        <v>0</v>
      </c>
      <c r="Y157" s="877" t="s">
        <v>1322</v>
      </c>
      <c r="Z157" s="875">
        <f t="shared" si="22"/>
        <v>0</v>
      </c>
      <c r="AA157" s="875">
        <f t="shared" si="22"/>
        <v>252769.2</v>
      </c>
      <c r="AB157" s="875">
        <f t="shared" si="22"/>
        <v>0</v>
      </c>
      <c r="AC157" s="878"/>
    </row>
    <row r="158" spans="1:30" s="637" customFormat="1" x14ac:dyDescent="0.2">
      <c r="A158" s="632" t="s">
        <v>1143</v>
      </c>
      <c r="B158" s="619" t="s">
        <v>747</v>
      </c>
      <c r="C158" s="634">
        <v>244</v>
      </c>
      <c r="D158" s="634">
        <v>226</v>
      </c>
      <c r="E158" s="596">
        <f t="shared" si="21"/>
        <v>467495.12</v>
      </c>
      <c r="F158" s="595">
        <f>'Прилож 4 24 (5)'!V156</f>
        <v>0</v>
      </c>
      <c r="G158" s="595">
        <f>'Прилож 4 24 (5)'!W156</f>
        <v>0</v>
      </c>
      <c r="H158" s="595">
        <f>'Прилож 4 24 (5)'!X156</f>
        <v>214725.91999999998</v>
      </c>
      <c r="I158" s="640"/>
      <c r="J158" s="595">
        <f>'Прилож 4 24 (5)'!Z156</f>
        <v>0</v>
      </c>
      <c r="K158" s="595">
        <f>'Прилож 4 24 (5)'!AA156</f>
        <v>252769.2</v>
      </c>
      <c r="L158" s="595">
        <f>'Прилож 4 24 (5)'!AB156</f>
        <v>0</v>
      </c>
      <c r="M158" s="876">
        <f t="shared" si="20"/>
        <v>0</v>
      </c>
      <c r="N158" s="887"/>
      <c r="O158" s="887"/>
      <c r="P158" s="887">
        <f>SUM(P151:P156)</f>
        <v>0</v>
      </c>
      <c r="Q158" s="893"/>
      <c r="R158" s="887"/>
      <c r="S158" s="887">
        <f>SUM(S151:S157)</f>
        <v>0</v>
      </c>
      <c r="T158" s="887"/>
      <c r="U158" s="876">
        <f t="shared" si="19"/>
        <v>467495.12</v>
      </c>
      <c r="V158" s="875">
        <f t="shared" si="19"/>
        <v>0</v>
      </c>
      <c r="W158" s="875">
        <f t="shared" si="18"/>
        <v>0</v>
      </c>
      <c r="X158" s="875">
        <f t="shared" si="18"/>
        <v>214725.91999999998</v>
      </c>
      <c r="Y158" s="893"/>
      <c r="Z158" s="875">
        <f t="shared" si="22"/>
        <v>0</v>
      </c>
      <c r="AA158" s="875">
        <f t="shared" si="22"/>
        <v>252769.2</v>
      </c>
      <c r="AB158" s="875">
        <f t="shared" si="22"/>
        <v>0</v>
      </c>
      <c r="AC158" s="886"/>
    </row>
    <row r="159" spans="1:30" ht="31.5" x14ac:dyDescent="0.2">
      <c r="A159" s="618" t="s">
        <v>586</v>
      </c>
      <c r="B159" s="619" t="s">
        <v>729</v>
      </c>
      <c r="C159" s="620">
        <v>244</v>
      </c>
      <c r="D159" s="620">
        <v>226</v>
      </c>
      <c r="E159" s="596">
        <f t="shared" si="21"/>
        <v>53845.919999999998</v>
      </c>
      <c r="F159" s="595">
        <f>'Прилож 4 24 (5)'!V157</f>
        <v>0</v>
      </c>
      <c r="G159" s="595">
        <f>'Прилож 4 24 (5)'!W157</f>
        <v>0</v>
      </c>
      <c r="H159" s="595">
        <f>'Прилож 4 24 (5)'!X157</f>
        <v>53845.919999999998</v>
      </c>
      <c r="I159" s="628"/>
      <c r="J159" s="595">
        <f>'Прилож 4 24 (5)'!Z157</f>
        <v>0</v>
      </c>
      <c r="K159" s="595">
        <f>'Прилож 4 24 (5)'!AA157</f>
        <v>0</v>
      </c>
      <c r="L159" s="595">
        <f>'Прилож 4 24 (5)'!AB157</f>
        <v>0</v>
      </c>
      <c r="M159" s="876">
        <f t="shared" si="20"/>
        <v>0</v>
      </c>
      <c r="N159" s="875"/>
      <c r="O159" s="875"/>
      <c r="P159" s="875"/>
      <c r="Q159" s="877"/>
      <c r="R159" s="875"/>
      <c r="S159" s="875"/>
      <c r="T159" s="875"/>
      <c r="U159" s="876">
        <f t="shared" si="19"/>
        <v>53845.919999999998</v>
      </c>
      <c r="V159" s="875">
        <f t="shared" si="19"/>
        <v>0</v>
      </c>
      <c r="W159" s="875">
        <f t="shared" si="18"/>
        <v>0</v>
      </c>
      <c r="X159" s="875">
        <f t="shared" si="18"/>
        <v>53845.919999999998</v>
      </c>
      <c r="Y159" s="883"/>
      <c r="Z159" s="875">
        <f t="shared" si="22"/>
        <v>0</v>
      </c>
      <c r="AA159" s="875">
        <f t="shared" si="22"/>
        <v>0</v>
      </c>
      <c r="AB159" s="875">
        <f t="shared" si="22"/>
        <v>0</v>
      </c>
      <c r="AC159" s="878"/>
    </row>
    <row r="160" spans="1:30" ht="31.5" x14ac:dyDescent="0.2">
      <c r="A160" s="618" t="s">
        <v>642</v>
      </c>
      <c r="B160" s="619" t="s">
        <v>729</v>
      </c>
      <c r="C160" s="620">
        <v>244</v>
      </c>
      <c r="D160" s="620">
        <v>226</v>
      </c>
      <c r="E160" s="596">
        <f t="shared" si="21"/>
        <v>60720</v>
      </c>
      <c r="F160" s="595">
        <f>'Прилож 4 24 (5)'!V158</f>
        <v>0</v>
      </c>
      <c r="G160" s="595">
        <f>'Прилож 4 24 (5)'!W158</f>
        <v>0</v>
      </c>
      <c r="H160" s="595">
        <f>'Прилож 4 24 (5)'!X158</f>
        <v>60720</v>
      </c>
      <c r="I160" s="628"/>
      <c r="J160" s="595">
        <f>'Прилож 4 24 (5)'!Z158</f>
        <v>0</v>
      </c>
      <c r="K160" s="595">
        <f>'Прилож 4 24 (5)'!AA158</f>
        <v>0</v>
      </c>
      <c r="L160" s="595">
        <f>'Прилож 4 24 (5)'!AB158</f>
        <v>0</v>
      </c>
      <c r="M160" s="876">
        <f t="shared" si="20"/>
        <v>0</v>
      </c>
      <c r="N160" s="875"/>
      <c r="O160" s="875"/>
      <c r="P160" s="875"/>
      <c r="Q160" s="877"/>
      <c r="R160" s="875"/>
      <c r="S160" s="875"/>
      <c r="T160" s="875"/>
      <c r="U160" s="876">
        <f t="shared" si="19"/>
        <v>60720</v>
      </c>
      <c r="V160" s="875">
        <f t="shared" si="19"/>
        <v>0</v>
      </c>
      <c r="W160" s="875">
        <f t="shared" si="18"/>
        <v>0</v>
      </c>
      <c r="X160" s="875">
        <f t="shared" si="18"/>
        <v>60720</v>
      </c>
      <c r="Y160" s="883"/>
      <c r="Z160" s="875">
        <f t="shared" si="22"/>
        <v>0</v>
      </c>
      <c r="AA160" s="875">
        <f t="shared" si="22"/>
        <v>0</v>
      </c>
      <c r="AB160" s="875">
        <f t="shared" si="22"/>
        <v>0</v>
      </c>
      <c r="AC160" s="878"/>
    </row>
    <row r="161" spans="1:30" ht="87.75" customHeight="1" x14ac:dyDescent="0.2">
      <c r="A161" s="618" t="s">
        <v>1244</v>
      </c>
      <c r="B161" s="619" t="s">
        <v>729</v>
      </c>
      <c r="C161" s="620">
        <v>244</v>
      </c>
      <c r="D161" s="620">
        <v>226</v>
      </c>
      <c r="E161" s="596">
        <f t="shared" si="21"/>
        <v>37665</v>
      </c>
      <c r="F161" s="595">
        <f>'Прилож 4 24 (5)'!V159</f>
        <v>0</v>
      </c>
      <c r="G161" s="595">
        <f>'Прилож 4 24 (5)'!W159</f>
        <v>0</v>
      </c>
      <c r="H161" s="595">
        <f>'Прилож 4 24 (5)'!X159</f>
        <v>37665</v>
      </c>
      <c r="I161" s="628"/>
      <c r="J161" s="595">
        <f>'Прилож 4 24 (5)'!Z159</f>
        <v>0</v>
      </c>
      <c r="K161" s="595">
        <f>'Прилож 4 24 (5)'!AA159</f>
        <v>0</v>
      </c>
      <c r="L161" s="595">
        <f>'Прилож 4 24 (5)'!AB159</f>
        <v>0</v>
      </c>
      <c r="M161" s="876">
        <f t="shared" si="20"/>
        <v>0</v>
      </c>
      <c r="N161" s="875"/>
      <c r="O161" s="875"/>
      <c r="P161" s="875"/>
      <c r="Q161" s="877"/>
      <c r="R161" s="875"/>
      <c r="S161" s="875"/>
      <c r="T161" s="875"/>
      <c r="U161" s="876">
        <f t="shared" si="19"/>
        <v>37665</v>
      </c>
      <c r="V161" s="875">
        <f t="shared" si="19"/>
        <v>0</v>
      </c>
      <c r="W161" s="875">
        <f t="shared" si="18"/>
        <v>0</v>
      </c>
      <c r="X161" s="875">
        <f t="shared" si="18"/>
        <v>37665</v>
      </c>
      <c r="Y161" s="883"/>
      <c r="Z161" s="875">
        <f t="shared" si="22"/>
        <v>0</v>
      </c>
      <c r="AA161" s="875">
        <f t="shared" si="22"/>
        <v>0</v>
      </c>
      <c r="AB161" s="875">
        <f t="shared" si="22"/>
        <v>0</v>
      </c>
      <c r="AC161" s="878"/>
    </row>
    <row r="162" spans="1:30" ht="31.5" x14ac:dyDescent="0.2">
      <c r="A162" s="618" t="s">
        <v>752</v>
      </c>
      <c r="B162" s="619" t="s">
        <v>729</v>
      </c>
      <c r="C162" s="620">
        <v>244</v>
      </c>
      <c r="D162" s="620">
        <v>226</v>
      </c>
      <c r="E162" s="596">
        <f t="shared" si="21"/>
        <v>150000</v>
      </c>
      <c r="F162" s="595">
        <f>'Прилож 4 24 (5)'!V160</f>
        <v>0</v>
      </c>
      <c r="G162" s="595">
        <f>'Прилож 4 24 (5)'!W160</f>
        <v>0</v>
      </c>
      <c r="H162" s="595">
        <f>'Прилож 4 24 (5)'!X160</f>
        <v>150000</v>
      </c>
      <c r="I162" s="628"/>
      <c r="J162" s="595">
        <f>'Прилож 4 24 (5)'!Z160</f>
        <v>0</v>
      </c>
      <c r="K162" s="595">
        <f>'Прилож 4 24 (5)'!AA160</f>
        <v>0</v>
      </c>
      <c r="L162" s="595">
        <f>'Прилож 4 24 (5)'!AB160</f>
        <v>0</v>
      </c>
      <c r="M162" s="876">
        <f t="shared" si="20"/>
        <v>0</v>
      </c>
      <c r="N162" s="875"/>
      <c r="O162" s="875"/>
      <c r="P162" s="875"/>
      <c r="Q162" s="877"/>
      <c r="R162" s="875"/>
      <c r="S162" s="875"/>
      <c r="T162" s="875"/>
      <c r="U162" s="876">
        <f t="shared" si="19"/>
        <v>150000</v>
      </c>
      <c r="V162" s="875">
        <f t="shared" si="19"/>
        <v>0</v>
      </c>
      <c r="W162" s="875">
        <f t="shared" si="18"/>
        <v>0</v>
      </c>
      <c r="X162" s="875">
        <f t="shared" si="18"/>
        <v>150000</v>
      </c>
      <c r="Y162" s="883"/>
      <c r="Z162" s="875">
        <f t="shared" si="22"/>
        <v>0</v>
      </c>
      <c r="AA162" s="875">
        <f t="shared" si="22"/>
        <v>0</v>
      </c>
      <c r="AB162" s="875">
        <f t="shared" si="22"/>
        <v>0</v>
      </c>
      <c r="AC162" s="878"/>
    </row>
    <row r="163" spans="1:30" ht="137.25" customHeight="1" x14ac:dyDescent="0.2">
      <c r="A163" s="618" t="s">
        <v>593</v>
      </c>
      <c r="B163" s="619" t="s">
        <v>729</v>
      </c>
      <c r="C163" s="620">
        <v>244</v>
      </c>
      <c r="D163" s="620">
        <v>226</v>
      </c>
      <c r="E163" s="596">
        <f t="shared" si="21"/>
        <v>26720</v>
      </c>
      <c r="F163" s="595">
        <f>'Прилож 4 24 (5)'!V161</f>
        <v>0</v>
      </c>
      <c r="G163" s="595">
        <f>'Прилож 4 24 (5)'!W161</f>
        <v>0</v>
      </c>
      <c r="H163" s="595">
        <f>'Прилож 4 24 (5)'!X161</f>
        <v>26720</v>
      </c>
      <c r="I163" s="628"/>
      <c r="J163" s="595">
        <f>'Прилож 4 24 (5)'!Z161</f>
        <v>0</v>
      </c>
      <c r="K163" s="595">
        <f>'Прилож 4 24 (5)'!AA161</f>
        <v>0</v>
      </c>
      <c r="L163" s="595">
        <f>'Прилож 4 24 (5)'!AB161</f>
        <v>0</v>
      </c>
      <c r="M163" s="876">
        <f t="shared" si="20"/>
        <v>0</v>
      </c>
      <c r="N163" s="875"/>
      <c r="O163" s="875"/>
      <c r="P163" s="875"/>
      <c r="Q163" s="877"/>
      <c r="R163" s="875"/>
      <c r="S163" s="875"/>
      <c r="T163" s="875"/>
      <c r="U163" s="876">
        <f t="shared" si="19"/>
        <v>26720</v>
      </c>
      <c r="V163" s="875">
        <f t="shared" si="19"/>
        <v>0</v>
      </c>
      <c r="W163" s="875">
        <f t="shared" si="18"/>
        <v>0</v>
      </c>
      <c r="X163" s="875">
        <f t="shared" si="18"/>
        <v>26720</v>
      </c>
      <c r="Y163" s="883"/>
      <c r="Z163" s="875">
        <f t="shared" si="22"/>
        <v>0</v>
      </c>
      <c r="AA163" s="875">
        <f t="shared" si="22"/>
        <v>0</v>
      </c>
      <c r="AB163" s="875">
        <f t="shared" si="22"/>
        <v>0</v>
      </c>
      <c r="AC163" s="878"/>
    </row>
    <row r="164" spans="1:30" ht="69" customHeight="1" x14ac:dyDescent="0.2">
      <c r="A164" s="618" t="s">
        <v>914</v>
      </c>
      <c r="B164" s="619" t="s">
        <v>729</v>
      </c>
      <c r="C164" s="620">
        <v>244</v>
      </c>
      <c r="D164" s="620">
        <v>226</v>
      </c>
      <c r="E164" s="596">
        <f t="shared" si="21"/>
        <v>54800</v>
      </c>
      <c r="F164" s="595">
        <f>'Прилож 4 24 (5)'!V162</f>
        <v>0</v>
      </c>
      <c r="G164" s="595">
        <f>'Прилож 4 24 (5)'!W162</f>
        <v>0</v>
      </c>
      <c r="H164" s="595">
        <f>'Прилож 4 24 (5)'!X162</f>
        <v>54800</v>
      </c>
      <c r="I164" s="628"/>
      <c r="J164" s="595">
        <f>'Прилож 4 24 (5)'!Z162</f>
        <v>0</v>
      </c>
      <c r="K164" s="595">
        <f>'Прилож 4 24 (5)'!AA162</f>
        <v>0</v>
      </c>
      <c r="L164" s="595">
        <f>'Прилож 4 24 (5)'!AB162</f>
        <v>0</v>
      </c>
      <c r="M164" s="876">
        <f t="shared" si="20"/>
        <v>0</v>
      </c>
      <c r="N164" s="875"/>
      <c r="O164" s="875"/>
      <c r="P164" s="875"/>
      <c r="Q164" s="877"/>
      <c r="R164" s="875"/>
      <c r="S164" s="875"/>
      <c r="T164" s="875"/>
      <c r="U164" s="876">
        <f t="shared" si="19"/>
        <v>54800</v>
      </c>
      <c r="V164" s="875">
        <f t="shared" si="19"/>
        <v>0</v>
      </c>
      <c r="W164" s="875">
        <f t="shared" si="18"/>
        <v>0</v>
      </c>
      <c r="X164" s="875">
        <f t="shared" si="18"/>
        <v>54800</v>
      </c>
      <c r="Y164" s="883"/>
      <c r="Z164" s="875">
        <f t="shared" si="22"/>
        <v>0</v>
      </c>
      <c r="AA164" s="875">
        <f t="shared" si="22"/>
        <v>0</v>
      </c>
      <c r="AB164" s="875">
        <f t="shared" si="22"/>
        <v>0</v>
      </c>
      <c r="AC164" s="1002"/>
    </row>
    <row r="165" spans="1:30" ht="60" customHeight="1" x14ac:dyDescent="0.2">
      <c r="A165" s="618" t="s">
        <v>1245</v>
      </c>
      <c r="B165" s="619" t="s">
        <v>729</v>
      </c>
      <c r="C165" s="620">
        <v>244</v>
      </c>
      <c r="D165" s="620">
        <v>226</v>
      </c>
      <c r="E165" s="596">
        <f t="shared" si="21"/>
        <v>7200</v>
      </c>
      <c r="F165" s="595">
        <f>'Прилож 4 24 (5)'!V163</f>
        <v>0</v>
      </c>
      <c r="G165" s="595">
        <f>'Прилож 4 24 (5)'!W163</f>
        <v>0</v>
      </c>
      <c r="H165" s="595">
        <f>'Прилож 4 24 (5)'!X163</f>
        <v>7200</v>
      </c>
      <c r="I165" s="628"/>
      <c r="J165" s="595">
        <f>'Прилож 4 24 (5)'!Z163</f>
        <v>0</v>
      </c>
      <c r="K165" s="595">
        <f>'Прилож 4 24 (5)'!AA163</f>
        <v>0</v>
      </c>
      <c r="L165" s="595">
        <f>'Прилож 4 24 (5)'!AB163</f>
        <v>0</v>
      </c>
      <c r="M165" s="876">
        <f t="shared" si="20"/>
        <v>0</v>
      </c>
      <c r="N165" s="875"/>
      <c r="O165" s="875"/>
      <c r="P165" s="875"/>
      <c r="Q165" s="877"/>
      <c r="R165" s="875"/>
      <c r="S165" s="875"/>
      <c r="T165" s="875"/>
      <c r="U165" s="876">
        <f t="shared" si="19"/>
        <v>7200</v>
      </c>
      <c r="V165" s="875">
        <f t="shared" si="19"/>
        <v>0</v>
      </c>
      <c r="W165" s="875">
        <f t="shared" si="18"/>
        <v>0</v>
      </c>
      <c r="X165" s="875">
        <f t="shared" si="18"/>
        <v>7200</v>
      </c>
      <c r="Y165" s="883"/>
      <c r="Z165" s="875">
        <f t="shared" si="22"/>
        <v>0</v>
      </c>
      <c r="AA165" s="875">
        <f t="shared" si="22"/>
        <v>0</v>
      </c>
      <c r="AB165" s="875">
        <f t="shared" si="22"/>
        <v>0</v>
      </c>
      <c r="AC165" s="878"/>
    </row>
    <row r="166" spans="1:30" ht="36" customHeight="1" x14ac:dyDescent="0.2">
      <c r="A166" s="618" t="s">
        <v>1185</v>
      </c>
      <c r="B166" s="619" t="s">
        <v>729</v>
      </c>
      <c r="C166" s="620">
        <v>244</v>
      </c>
      <c r="D166" s="620">
        <v>226</v>
      </c>
      <c r="E166" s="596">
        <f t="shared" si="21"/>
        <v>9600</v>
      </c>
      <c r="F166" s="595">
        <f>'Прилож 4 24 (5)'!V164</f>
        <v>0</v>
      </c>
      <c r="G166" s="595">
        <f>'Прилож 4 24 (5)'!W164</f>
        <v>0</v>
      </c>
      <c r="H166" s="595">
        <f>'Прилож 4 24 (5)'!X164</f>
        <v>9600</v>
      </c>
      <c r="I166" s="621"/>
      <c r="J166" s="595">
        <f>'Прилож 4 24 (5)'!Z164</f>
        <v>0</v>
      </c>
      <c r="K166" s="595">
        <f>'Прилож 4 24 (5)'!AA164</f>
        <v>0</v>
      </c>
      <c r="L166" s="595">
        <f>'Прилож 4 24 (5)'!AB164</f>
        <v>0</v>
      </c>
      <c r="M166" s="876">
        <f t="shared" si="20"/>
        <v>0</v>
      </c>
      <c r="N166" s="875"/>
      <c r="O166" s="875"/>
      <c r="P166" s="875"/>
      <c r="Q166" s="877"/>
      <c r="R166" s="875"/>
      <c r="S166" s="875"/>
      <c r="T166" s="875"/>
      <c r="U166" s="876">
        <f t="shared" si="19"/>
        <v>9600</v>
      </c>
      <c r="V166" s="875">
        <f t="shared" si="19"/>
        <v>0</v>
      </c>
      <c r="W166" s="875">
        <f t="shared" ref="W166:X234" si="23">O166+G166</f>
        <v>0</v>
      </c>
      <c r="X166" s="875">
        <f t="shared" si="23"/>
        <v>9600</v>
      </c>
      <c r="Y166" s="877"/>
      <c r="Z166" s="875">
        <f t="shared" si="22"/>
        <v>0</v>
      </c>
      <c r="AA166" s="875">
        <f t="shared" si="22"/>
        <v>0</v>
      </c>
      <c r="AB166" s="875">
        <f t="shared" si="22"/>
        <v>0</v>
      </c>
      <c r="AC166" s="878"/>
    </row>
    <row r="167" spans="1:30" x14ac:dyDescent="0.2">
      <c r="A167" s="618" t="s">
        <v>1194</v>
      </c>
      <c r="B167" s="619" t="s">
        <v>729</v>
      </c>
      <c r="C167" s="620">
        <v>244</v>
      </c>
      <c r="D167" s="620">
        <v>226</v>
      </c>
      <c r="E167" s="596">
        <f t="shared" si="21"/>
        <v>13500</v>
      </c>
      <c r="F167" s="595">
        <f>'Прилож 4 24 (5)'!V165</f>
        <v>0</v>
      </c>
      <c r="G167" s="595">
        <f>'Прилож 4 24 (5)'!W165</f>
        <v>0</v>
      </c>
      <c r="H167" s="595">
        <f>'Прилож 4 24 (5)'!X165</f>
        <v>13500</v>
      </c>
      <c r="I167" s="621"/>
      <c r="J167" s="595">
        <f>'Прилож 4 24 (5)'!Z165</f>
        <v>0</v>
      </c>
      <c r="K167" s="595">
        <f>'Прилож 4 24 (5)'!AA165</f>
        <v>0</v>
      </c>
      <c r="L167" s="595">
        <f>'Прилож 4 24 (5)'!AB165</f>
        <v>0</v>
      </c>
      <c r="M167" s="876">
        <f t="shared" si="20"/>
        <v>0</v>
      </c>
      <c r="N167" s="875"/>
      <c r="O167" s="875"/>
      <c r="P167" s="875"/>
      <c r="Q167" s="877"/>
      <c r="R167" s="875"/>
      <c r="S167" s="875"/>
      <c r="T167" s="875"/>
      <c r="U167" s="876">
        <f t="shared" ref="U167:V235" si="24">E167+M167</f>
        <v>13500</v>
      </c>
      <c r="V167" s="875">
        <f t="shared" si="24"/>
        <v>0</v>
      </c>
      <c r="W167" s="875">
        <f t="shared" si="23"/>
        <v>0</v>
      </c>
      <c r="X167" s="875">
        <f t="shared" si="23"/>
        <v>13500</v>
      </c>
      <c r="Y167" s="877"/>
      <c r="Z167" s="875">
        <f t="shared" si="22"/>
        <v>0</v>
      </c>
      <c r="AA167" s="875">
        <f t="shared" si="22"/>
        <v>0</v>
      </c>
      <c r="AB167" s="875">
        <f t="shared" si="22"/>
        <v>0</v>
      </c>
      <c r="AC167" s="878"/>
    </row>
    <row r="168" spans="1:30" ht="47.25" x14ac:dyDescent="0.2">
      <c r="A168" s="618" t="s">
        <v>1223</v>
      </c>
      <c r="B168" s="619" t="s">
        <v>729</v>
      </c>
      <c r="C168" s="620">
        <v>244</v>
      </c>
      <c r="D168" s="620">
        <v>226</v>
      </c>
      <c r="E168" s="596">
        <f t="shared" si="21"/>
        <v>14900</v>
      </c>
      <c r="F168" s="595">
        <f>'Прилож 4 24 (5)'!V166</f>
        <v>0</v>
      </c>
      <c r="G168" s="595">
        <f>'Прилож 4 24 (5)'!W166</f>
        <v>0</v>
      </c>
      <c r="H168" s="595">
        <f>'Прилож 4 24 (5)'!X166</f>
        <v>14900</v>
      </c>
      <c r="I168" s="628"/>
      <c r="J168" s="595">
        <f>'Прилож 4 24 (5)'!Z166</f>
        <v>0</v>
      </c>
      <c r="K168" s="595">
        <f>'Прилож 4 24 (5)'!AA166</f>
        <v>0</v>
      </c>
      <c r="L168" s="595">
        <f>'Прилож 4 24 (5)'!AB166</f>
        <v>0</v>
      </c>
      <c r="M168" s="876">
        <f t="shared" ref="M168:M236" si="25">N168+P168+R168+S168+T168+O168</f>
        <v>0</v>
      </c>
      <c r="N168" s="875"/>
      <c r="O168" s="875"/>
      <c r="P168" s="875"/>
      <c r="Q168" s="877"/>
      <c r="R168" s="875"/>
      <c r="S168" s="875"/>
      <c r="T168" s="875"/>
      <c r="U168" s="876">
        <f t="shared" si="24"/>
        <v>14900</v>
      </c>
      <c r="V168" s="875">
        <f t="shared" si="24"/>
        <v>0</v>
      </c>
      <c r="W168" s="875">
        <f t="shared" si="23"/>
        <v>0</v>
      </c>
      <c r="X168" s="875">
        <f t="shared" si="23"/>
        <v>14900</v>
      </c>
      <c r="Y168" s="883"/>
      <c r="Z168" s="875">
        <f t="shared" si="22"/>
        <v>0</v>
      </c>
      <c r="AA168" s="875">
        <f t="shared" si="22"/>
        <v>0</v>
      </c>
      <c r="AB168" s="875">
        <f t="shared" si="22"/>
        <v>0</v>
      </c>
      <c r="AC168" s="878"/>
    </row>
    <row r="169" spans="1:30" ht="47.25" x14ac:dyDescent="0.2">
      <c r="A169" s="618" t="s">
        <v>1289</v>
      </c>
      <c r="B169" s="619" t="s">
        <v>729</v>
      </c>
      <c r="C169" s="620">
        <v>244</v>
      </c>
      <c r="D169" s="620">
        <v>226</v>
      </c>
      <c r="E169" s="596">
        <f t="shared" si="21"/>
        <v>11320</v>
      </c>
      <c r="F169" s="595">
        <f>'Прилож 4 24 (5)'!V167</f>
        <v>0</v>
      </c>
      <c r="G169" s="595">
        <f>'Прилож 4 24 (5)'!W167</f>
        <v>0</v>
      </c>
      <c r="H169" s="595">
        <f>'Прилож 4 24 (5)'!X167</f>
        <v>11320</v>
      </c>
      <c r="I169" s="628"/>
      <c r="J169" s="595">
        <f>'Прилож 4 24 (5)'!Z167</f>
        <v>0</v>
      </c>
      <c r="K169" s="595">
        <f>'Прилож 4 24 (5)'!AA167</f>
        <v>0</v>
      </c>
      <c r="L169" s="595">
        <f>'Прилож 4 24 (5)'!AB167</f>
        <v>0</v>
      </c>
      <c r="M169" s="876">
        <f t="shared" si="25"/>
        <v>0</v>
      </c>
      <c r="N169" s="875"/>
      <c r="O169" s="875"/>
      <c r="P169" s="875"/>
      <c r="Q169" s="877"/>
      <c r="R169" s="875"/>
      <c r="S169" s="875"/>
      <c r="T169" s="875"/>
      <c r="U169" s="876">
        <f t="shared" si="24"/>
        <v>11320</v>
      </c>
      <c r="V169" s="875">
        <f t="shared" si="24"/>
        <v>0</v>
      </c>
      <c r="W169" s="875">
        <f t="shared" si="23"/>
        <v>0</v>
      </c>
      <c r="X169" s="875">
        <f t="shared" si="23"/>
        <v>11320</v>
      </c>
      <c r="Y169" s="883"/>
      <c r="Z169" s="875">
        <f t="shared" si="22"/>
        <v>0</v>
      </c>
      <c r="AA169" s="875">
        <f t="shared" si="22"/>
        <v>0</v>
      </c>
      <c r="AB169" s="875">
        <f t="shared" si="22"/>
        <v>0</v>
      </c>
      <c r="AC169" s="878"/>
    </row>
    <row r="170" spans="1:30" ht="24.75" customHeight="1" x14ac:dyDescent="0.2">
      <c r="A170" s="618" t="s">
        <v>1313</v>
      </c>
      <c r="B170" s="619" t="s">
        <v>729</v>
      </c>
      <c r="C170" s="620">
        <v>244</v>
      </c>
      <c r="D170" s="620">
        <v>226</v>
      </c>
      <c r="E170" s="596">
        <f t="shared" si="21"/>
        <v>163101.6</v>
      </c>
      <c r="F170" s="595">
        <f>'Прилож 4 24 (5)'!V168</f>
        <v>0</v>
      </c>
      <c r="G170" s="595">
        <f>'Прилож 4 24 (5)'!W168</f>
        <v>0</v>
      </c>
      <c r="H170" s="595">
        <f>'Прилож 4 24 (5)'!X168</f>
        <v>0</v>
      </c>
      <c r="I170" s="582" t="s">
        <v>1314</v>
      </c>
      <c r="J170" s="595">
        <f>'Прилож 4 24 (5)'!Z168</f>
        <v>0</v>
      </c>
      <c r="K170" s="595">
        <f>'Прилож 4 24 (5)'!AA168</f>
        <v>163101.6</v>
      </c>
      <c r="L170" s="595">
        <f>'Прилож 4 24 (5)'!AB168</f>
        <v>0</v>
      </c>
      <c r="M170" s="876">
        <f t="shared" si="25"/>
        <v>0</v>
      </c>
      <c r="N170" s="875"/>
      <c r="O170" s="875"/>
      <c r="P170" s="875"/>
      <c r="Q170" s="873"/>
      <c r="R170" s="875"/>
      <c r="S170" s="875"/>
      <c r="T170" s="875"/>
      <c r="U170" s="876">
        <f t="shared" si="24"/>
        <v>163101.6</v>
      </c>
      <c r="V170" s="875">
        <f t="shared" si="24"/>
        <v>0</v>
      </c>
      <c r="W170" s="875">
        <f t="shared" si="23"/>
        <v>0</v>
      </c>
      <c r="X170" s="875">
        <f t="shared" si="23"/>
        <v>0</v>
      </c>
      <c r="Y170" s="873" t="s">
        <v>1314</v>
      </c>
      <c r="Z170" s="875">
        <f t="shared" si="22"/>
        <v>0</v>
      </c>
      <c r="AA170" s="875">
        <f t="shared" si="22"/>
        <v>163101.6</v>
      </c>
      <c r="AB170" s="875">
        <f t="shared" si="22"/>
        <v>0</v>
      </c>
      <c r="AC170" s="878"/>
    </row>
    <row r="171" spans="1:30" ht="59.25" customHeight="1" x14ac:dyDescent="0.2">
      <c r="A171" s="618" t="s">
        <v>1318</v>
      </c>
      <c r="B171" s="619" t="s">
        <v>729</v>
      </c>
      <c r="C171" s="620">
        <v>244</v>
      </c>
      <c r="D171" s="620">
        <v>226</v>
      </c>
      <c r="E171" s="596">
        <f t="shared" si="21"/>
        <v>0</v>
      </c>
      <c r="F171" s="595">
        <f>'Прилож 4 24 (5)'!V169</f>
        <v>0</v>
      </c>
      <c r="G171" s="595">
        <f>'Прилож 4 24 (5)'!W169</f>
        <v>0</v>
      </c>
      <c r="H171" s="595">
        <f>'Прилож 4 24 (5)'!X169</f>
        <v>0</v>
      </c>
      <c r="I171" s="582" t="s">
        <v>1314</v>
      </c>
      <c r="J171" s="595">
        <f>'Прилож 4 24 (5)'!Z169</f>
        <v>0</v>
      </c>
      <c r="K171" s="595">
        <f>'Прилож 4 24 (5)'!AA169</f>
        <v>0</v>
      </c>
      <c r="L171" s="595">
        <f>'Прилож 4 24 (5)'!AB169</f>
        <v>0</v>
      </c>
      <c r="M171" s="876">
        <f t="shared" si="25"/>
        <v>0</v>
      </c>
      <c r="N171" s="875"/>
      <c r="O171" s="875"/>
      <c r="P171" s="875"/>
      <c r="Q171" s="990"/>
      <c r="R171" s="875"/>
      <c r="S171" s="875"/>
      <c r="T171" s="875"/>
      <c r="U171" s="876">
        <f t="shared" si="24"/>
        <v>0</v>
      </c>
      <c r="V171" s="875">
        <f t="shared" si="24"/>
        <v>0</v>
      </c>
      <c r="W171" s="875">
        <f t="shared" si="23"/>
        <v>0</v>
      </c>
      <c r="X171" s="875">
        <f t="shared" si="23"/>
        <v>0</v>
      </c>
      <c r="Y171" s="873" t="s">
        <v>1314</v>
      </c>
      <c r="Z171" s="875">
        <f t="shared" si="22"/>
        <v>0</v>
      </c>
      <c r="AA171" s="875">
        <f t="shared" si="22"/>
        <v>0</v>
      </c>
      <c r="AB171" s="875">
        <f t="shared" si="22"/>
        <v>0</v>
      </c>
      <c r="AC171" s="878"/>
    </row>
    <row r="172" spans="1:30" ht="63.75" customHeight="1" x14ac:dyDescent="0.2">
      <c r="A172" s="618" t="s">
        <v>1424</v>
      </c>
      <c r="B172" s="619" t="s">
        <v>729</v>
      </c>
      <c r="C172" s="620">
        <v>244</v>
      </c>
      <c r="D172" s="620">
        <v>226</v>
      </c>
      <c r="E172" s="596">
        <f t="shared" si="21"/>
        <v>43822.35</v>
      </c>
      <c r="F172" s="595">
        <f>'Прилож 4 24 (5)'!V170</f>
        <v>43822.35</v>
      </c>
      <c r="G172" s="595">
        <f>'Прилож 4 24 (5)'!W170</f>
        <v>0</v>
      </c>
      <c r="H172" s="595">
        <f>'Прилож 4 24 (5)'!X170</f>
        <v>0</v>
      </c>
      <c r="I172" s="582"/>
      <c r="J172" s="595">
        <f>'Прилож 4 24 (5)'!Z170</f>
        <v>0</v>
      </c>
      <c r="K172" s="595">
        <f>'Прилож 4 24 (5)'!AA170</f>
        <v>0</v>
      </c>
      <c r="L172" s="595">
        <f>'Прилож 4 24 (5)'!AB170</f>
        <v>0</v>
      </c>
      <c r="M172" s="876">
        <f t="shared" si="25"/>
        <v>0</v>
      </c>
      <c r="N172" s="875"/>
      <c r="O172" s="875"/>
      <c r="P172" s="875"/>
      <c r="Q172" s="873"/>
      <c r="R172" s="875"/>
      <c r="S172" s="875"/>
      <c r="T172" s="875"/>
      <c r="U172" s="876">
        <f t="shared" si="24"/>
        <v>43822.35</v>
      </c>
      <c r="V172" s="875">
        <f t="shared" si="24"/>
        <v>43822.35</v>
      </c>
      <c r="W172" s="875">
        <f t="shared" si="23"/>
        <v>0</v>
      </c>
      <c r="X172" s="875">
        <f t="shared" si="23"/>
        <v>0</v>
      </c>
      <c r="Y172" s="873"/>
      <c r="Z172" s="875">
        <f t="shared" si="22"/>
        <v>0</v>
      </c>
      <c r="AA172" s="875">
        <f t="shared" si="22"/>
        <v>0</v>
      </c>
      <c r="AB172" s="875">
        <f t="shared" si="22"/>
        <v>0</v>
      </c>
      <c r="AC172" s="878"/>
    </row>
    <row r="173" spans="1:30" ht="41.25" customHeight="1" x14ac:dyDescent="0.2">
      <c r="A173" s="618" t="s">
        <v>1393</v>
      </c>
      <c r="B173" s="619" t="s">
        <v>729</v>
      </c>
      <c r="C173" s="620">
        <v>244</v>
      </c>
      <c r="D173" s="620">
        <v>226</v>
      </c>
      <c r="E173" s="596">
        <f t="shared" si="21"/>
        <v>35920</v>
      </c>
      <c r="F173" s="595">
        <f>'Прилож 4 24 (5)'!V171</f>
        <v>0</v>
      </c>
      <c r="G173" s="595">
        <f>'Прилож 4 24 (5)'!W171</f>
        <v>0</v>
      </c>
      <c r="H173" s="595">
        <f>'Прилож 4 24 (5)'!X171</f>
        <v>35920</v>
      </c>
      <c r="I173" s="582"/>
      <c r="J173" s="595">
        <f>'Прилож 4 24 (5)'!Z171</f>
        <v>0</v>
      </c>
      <c r="K173" s="595">
        <f>'Прилож 4 24 (5)'!AA171</f>
        <v>0</v>
      </c>
      <c r="L173" s="595">
        <f>'Прилож 4 24 (5)'!AB171</f>
        <v>0</v>
      </c>
      <c r="M173" s="876">
        <f t="shared" si="25"/>
        <v>0</v>
      </c>
      <c r="N173" s="875"/>
      <c r="O173" s="875"/>
      <c r="P173" s="875"/>
      <c r="Q173" s="873"/>
      <c r="R173" s="875"/>
      <c r="S173" s="875"/>
      <c r="T173" s="875"/>
      <c r="U173" s="876">
        <f t="shared" si="24"/>
        <v>35920</v>
      </c>
      <c r="V173" s="875">
        <f t="shared" si="24"/>
        <v>0</v>
      </c>
      <c r="W173" s="875">
        <f t="shared" si="23"/>
        <v>0</v>
      </c>
      <c r="X173" s="875">
        <f t="shared" si="23"/>
        <v>35920</v>
      </c>
      <c r="Y173" s="873"/>
      <c r="Z173" s="875">
        <f t="shared" si="22"/>
        <v>0</v>
      </c>
      <c r="AA173" s="875">
        <f t="shared" si="22"/>
        <v>0</v>
      </c>
      <c r="AB173" s="875">
        <f t="shared" si="22"/>
        <v>0</v>
      </c>
      <c r="AC173" s="878"/>
    </row>
    <row r="174" spans="1:30" ht="48.75" customHeight="1" x14ac:dyDescent="0.2">
      <c r="A174" s="618" t="s">
        <v>1327</v>
      </c>
      <c r="B174" s="619" t="s">
        <v>729</v>
      </c>
      <c r="C174" s="620">
        <v>244</v>
      </c>
      <c r="D174" s="620">
        <v>226</v>
      </c>
      <c r="E174" s="596">
        <f t="shared" ref="E174" si="26">L174+K174+J174+H174+G174+F174</f>
        <v>0</v>
      </c>
      <c r="F174" s="595"/>
      <c r="G174" s="595">
        <f>'Прилож 4 24 (5)'!W172</f>
        <v>0</v>
      </c>
      <c r="H174" s="595"/>
      <c r="I174" s="621"/>
      <c r="J174" s="595">
        <f>'Прилож 4 24 (5)'!Z172</f>
        <v>0</v>
      </c>
      <c r="K174" s="595"/>
      <c r="L174" s="595">
        <f>'Прилож 4 24 (5)'!AB172</f>
        <v>0</v>
      </c>
      <c r="M174" s="876">
        <f t="shared" si="25"/>
        <v>5075389</v>
      </c>
      <c r="N174" s="875"/>
      <c r="O174" s="875"/>
      <c r="P174" s="875"/>
      <c r="Q174" s="621" t="s">
        <v>1314</v>
      </c>
      <c r="R174" s="875"/>
      <c r="S174" s="875">
        <v>5075389</v>
      </c>
      <c r="T174" s="875"/>
      <c r="U174" s="876">
        <f t="shared" si="24"/>
        <v>5075389</v>
      </c>
      <c r="V174" s="875">
        <f t="shared" si="24"/>
        <v>0</v>
      </c>
      <c r="W174" s="875">
        <f t="shared" si="23"/>
        <v>0</v>
      </c>
      <c r="X174" s="875">
        <f t="shared" si="23"/>
        <v>0</v>
      </c>
      <c r="Y174" s="621" t="s">
        <v>1314</v>
      </c>
      <c r="Z174" s="875">
        <f t="shared" si="22"/>
        <v>0</v>
      </c>
      <c r="AA174" s="875">
        <f t="shared" si="22"/>
        <v>5075389</v>
      </c>
      <c r="AB174" s="875">
        <f t="shared" si="22"/>
        <v>0</v>
      </c>
      <c r="AC174" s="878" t="s">
        <v>1463</v>
      </c>
    </row>
    <row r="175" spans="1:30" s="637" customFormat="1" x14ac:dyDescent="0.2">
      <c r="A175" s="632" t="s">
        <v>1143</v>
      </c>
      <c r="B175" s="633" t="s">
        <v>729</v>
      </c>
      <c r="C175" s="634">
        <v>244</v>
      </c>
      <c r="D175" s="634">
        <v>226</v>
      </c>
      <c r="E175" s="596">
        <f t="shared" si="21"/>
        <v>683114.87</v>
      </c>
      <c r="F175" s="595">
        <f>'Прилож 4 24 (5)'!V172</f>
        <v>43822.35</v>
      </c>
      <c r="G175" s="595">
        <f>'Прилож 4 24 (5)'!W172</f>
        <v>0</v>
      </c>
      <c r="H175" s="595">
        <f>'Прилож 4 24 (5)'!X172</f>
        <v>476190.92</v>
      </c>
      <c r="I175" s="635"/>
      <c r="J175" s="595">
        <f>'Прилож 4 24 (5)'!Z172</f>
        <v>0</v>
      </c>
      <c r="K175" s="595">
        <f>'Прилож 4 24 (5)'!AA172</f>
        <v>163101.60000000003</v>
      </c>
      <c r="L175" s="595">
        <f>'Прилож 4 24 (5)'!AB172</f>
        <v>0</v>
      </c>
      <c r="M175" s="876">
        <f t="shared" si="25"/>
        <v>5075389</v>
      </c>
      <c r="N175" s="884">
        <f>SUM(N159:N173)</f>
        <v>0</v>
      </c>
      <c r="O175" s="884"/>
      <c r="P175" s="884">
        <f>SUM(P159:P173)</f>
        <v>0</v>
      </c>
      <c r="Q175" s="885"/>
      <c r="R175" s="884"/>
      <c r="S175" s="884">
        <f>SUM(S159:S174)</f>
        <v>5075389</v>
      </c>
      <c r="T175" s="884"/>
      <c r="U175" s="876">
        <f>E175+M175</f>
        <v>5758503.8700000001</v>
      </c>
      <c r="V175" s="875">
        <f t="shared" si="24"/>
        <v>43822.35</v>
      </c>
      <c r="W175" s="875">
        <f t="shared" si="23"/>
        <v>0</v>
      </c>
      <c r="X175" s="875">
        <f t="shared" si="23"/>
        <v>476190.92</v>
      </c>
      <c r="Y175" s="885"/>
      <c r="Z175" s="875">
        <f t="shared" si="22"/>
        <v>0</v>
      </c>
      <c r="AA175" s="875">
        <f t="shared" si="22"/>
        <v>5238490.5999999996</v>
      </c>
      <c r="AB175" s="875">
        <f t="shared" si="22"/>
        <v>0</v>
      </c>
      <c r="AC175" s="886"/>
      <c r="AD175" s="819"/>
    </row>
    <row r="176" spans="1:30" x14ac:dyDescent="0.2">
      <c r="A176" s="618" t="s">
        <v>753</v>
      </c>
      <c r="B176" s="619" t="s">
        <v>691</v>
      </c>
      <c r="C176" s="620">
        <v>244</v>
      </c>
      <c r="D176" s="620">
        <v>226</v>
      </c>
      <c r="E176" s="596">
        <f t="shared" si="21"/>
        <v>190259.99999999997</v>
      </c>
      <c r="F176" s="595">
        <f>'Прилож 4 24 (5)'!V173</f>
        <v>32288.77</v>
      </c>
      <c r="G176" s="595">
        <f>'Прилож 4 24 (5)'!W173</f>
        <v>0</v>
      </c>
      <c r="H176" s="595">
        <f>'Прилож 4 24 (5)'!X173</f>
        <v>109128.84</v>
      </c>
      <c r="I176" s="628"/>
      <c r="J176" s="595">
        <f>'Прилож 4 24 (5)'!Z173</f>
        <v>0</v>
      </c>
      <c r="K176" s="595">
        <f>'Прилож 4 24 (5)'!AA173</f>
        <v>0</v>
      </c>
      <c r="L176" s="595">
        <f>'Прилож 4 24 (5)'!AB173</f>
        <v>48842.39</v>
      </c>
      <c r="M176" s="876">
        <f t="shared" si="25"/>
        <v>0</v>
      </c>
      <c r="N176" s="875"/>
      <c r="O176" s="875"/>
      <c r="P176" s="875"/>
      <c r="Q176" s="877"/>
      <c r="R176" s="875"/>
      <c r="S176" s="875"/>
      <c r="T176" s="875"/>
      <c r="U176" s="876">
        <f t="shared" si="24"/>
        <v>190259.99999999997</v>
      </c>
      <c r="V176" s="875">
        <f t="shared" si="24"/>
        <v>32288.77</v>
      </c>
      <c r="W176" s="875">
        <f t="shared" si="23"/>
        <v>0</v>
      </c>
      <c r="X176" s="875">
        <f t="shared" si="23"/>
        <v>109128.84</v>
      </c>
      <c r="Y176" s="883"/>
      <c r="Z176" s="875">
        <f t="shared" si="22"/>
        <v>0</v>
      </c>
      <c r="AA176" s="875">
        <f t="shared" si="22"/>
        <v>0</v>
      </c>
      <c r="AB176" s="875">
        <f t="shared" si="22"/>
        <v>48842.39</v>
      </c>
      <c r="AC176" s="878"/>
    </row>
    <row r="177" spans="1:30" x14ac:dyDescent="0.2">
      <c r="A177" s="618" t="s">
        <v>754</v>
      </c>
      <c r="B177" s="619" t="s">
        <v>691</v>
      </c>
      <c r="C177" s="620">
        <v>244</v>
      </c>
      <c r="D177" s="620">
        <v>226</v>
      </c>
      <c r="E177" s="596">
        <f t="shared" si="21"/>
        <v>74560.5</v>
      </c>
      <c r="F177" s="595">
        <f>'Прилож 4 24 (5)'!V174</f>
        <v>0</v>
      </c>
      <c r="G177" s="595">
        <f>'Прилож 4 24 (5)'!W174</f>
        <v>0</v>
      </c>
      <c r="H177" s="595">
        <f>'Прилож 4 24 (5)'!X174</f>
        <v>63301.25</v>
      </c>
      <c r="I177" s="628"/>
      <c r="J177" s="595">
        <f>'Прилож 4 24 (5)'!Z174</f>
        <v>0</v>
      </c>
      <c r="K177" s="595">
        <f>'Прилож 4 24 (5)'!AA174</f>
        <v>0</v>
      </c>
      <c r="L177" s="595">
        <f>'Прилож 4 24 (5)'!AB174</f>
        <v>11259.25</v>
      </c>
      <c r="M177" s="876">
        <f t="shared" si="25"/>
        <v>0</v>
      </c>
      <c r="N177" s="875"/>
      <c r="O177" s="875"/>
      <c r="P177" s="875"/>
      <c r="Q177" s="877"/>
      <c r="R177" s="875"/>
      <c r="S177" s="875"/>
      <c r="T177" s="875"/>
      <c r="U177" s="876">
        <f t="shared" si="24"/>
        <v>74560.5</v>
      </c>
      <c r="V177" s="875">
        <f t="shared" si="24"/>
        <v>0</v>
      </c>
      <c r="W177" s="875">
        <f t="shared" si="23"/>
        <v>0</v>
      </c>
      <c r="X177" s="875">
        <f t="shared" si="23"/>
        <v>63301.25</v>
      </c>
      <c r="Y177" s="883"/>
      <c r="Z177" s="875">
        <f t="shared" si="22"/>
        <v>0</v>
      </c>
      <c r="AA177" s="875">
        <f t="shared" si="22"/>
        <v>0</v>
      </c>
      <c r="AB177" s="875">
        <f t="shared" si="22"/>
        <v>11259.25</v>
      </c>
      <c r="AC177" s="878"/>
    </row>
    <row r="178" spans="1:30" ht="73.5" customHeight="1" x14ac:dyDescent="0.2">
      <c r="A178" s="618" t="s">
        <v>712</v>
      </c>
      <c r="B178" s="619" t="s">
        <v>691</v>
      </c>
      <c r="C178" s="620">
        <v>244</v>
      </c>
      <c r="D178" s="620">
        <v>226</v>
      </c>
      <c r="E178" s="596">
        <f t="shared" si="21"/>
        <v>28538.999999999996</v>
      </c>
      <c r="F178" s="595">
        <f>'Прилож 4 24 (5)'!V175</f>
        <v>0</v>
      </c>
      <c r="G178" s="595">
        <f>'Прилож 4 24 (5)'!W175</f>
        <v>0</v>
      </c>
      <c r="H178" s="595">
        <f>'Прилож 4 24 (5)'!X175</f>
        <v>27112.049999999996</v>
      </c>
      <c r="I178" s="628"/>
      <c r="J178" s="595">
        <f>'Прилож 4 24 (5)'!Z175</f>
        <v>0</v>
      </c>
      <c r="K178" s="595">
        <f>'Прилож 4 24 (5)'!AA175</f>
        <v>0</v>
      </c>
      <c r="L178" s="595">
        <f>'Прилож 4 24 (5)'!AB175</f>
        <v>1426.95</v>
      </c>
      <c r="M178" s="876">
        <f t="shared" si="25"/>
        <v>0</v>
      </c>
      <c r="N178" s="875"/>
      <c r="O178" s="875"/>
      <c r="P178" s="875"/>
      <c r="Q178" s="877"/>
      <c r="R178" s="875"/>
      <c r="S178" s="875"/>
      <c r="T178" s="875"/>
      <c r="U178" s="876">
        <f t="shared" si="24"/>
        <v>28538.999999999996</v>
      </c>
      <c r="V178" s="875">
        <f t="shared" si="24"/>
        <v>0</v>
      </c>
      <c r="W178" s="875">
        <f t="shared" si="23"/>
        <v>0</v>
      </c>
      <c r="X178" s="875">
        <f t="shared" si="23"/>
        <v>27112.049999999996</v>
      </c>
      <c r="Y178" s="883"/>
      <c r="Z178" s="875">
        <f t="shared" si="22"/>
        <v>0</v>
      </c>
      <c r="AA178" s="875">
        <f t="shared" si="22"/>
        <v>0</v>
      </c>
      <c r="AB178" s="875">
        <f t="shared" si="22"/>
        <v>1426.95</v>
      </c>
      <c r="AC178" s="878"/>
    </row>
    <row r="179" spans="1:30" x14ac:dyDescent="0.2">
      <c r="A179" s="618" t="s">
        <v>755</v>
      </c>
      <c r="B179" s="619" t="s">
        <v>691</v>
      </c>
      <c r="C179" s="620">
        <v>244</v>
      </c>
      <c r="D179" s="620">
        <v>226</v>
      </c>
      <c r="E179" s="596">
        <f t="shared" si="21"/>
        <v>0</v>
      </c>
      <c r="F179" s="595">
        <f>'Прилож 4 24 (5)'!V176</f>
        <v>0</v>
      </c>
      <c r="G179" s="595">
        <f>'Прилож 4 24 (5)'!W176</f>
        <v>0</v>
      </c>
      <c r="H179" s="595">
        <f>'Прилож 4 24 (5)'!X176</f>
        <v>0</v>
      </c>
      <c r="I179" s="628"/>
      <c r="J179" s="595">
        <f>'Прилож 4 24 (5)'!Z176</f>
        <v>0</v>
      </c>
      <c r="K179" s="595">
        <f>'Прилож 4 24 (5)'!AA176</f>
        <v>0</v>
      </c>
      <c r="L179" s="595">
        <f>'Прилож 4 24 (5)'!AB176</f>
        <v>0</v>
      </c>
      <c r="M179" s="876">
        <f t="shared" si="25"/>
        <v>0</v>
      </c>
      <c r="N179" s="875"/>
      <c r="O179" s="875"/>
      <c r="P179" s="875"/>
      <c r="Q179" s="877"/>
      <c r="R179" s="875"/>
      <c r="S179" s="875"/>
      <c r="T179" s="875"/>
      <c r="U179" s="876">
        <f t="shared" si="24"/>
        <v>0</v>
      </c>
      <c r="V179" s="875">
        <f t="shared" si="24"/>
        <v>0</v>
      </c>
      <c r="W179" s="875">
        <f t="shared" si="23"/>
        <v>0</v>
      </c>
      <c r="X179" s="875">
        <f t="shared" si="23"/>
        <v>0</v>
      </c>
      <c r="Y179" s="883"/>
      <c r="Z179" s="875">
        <f t="shared" si="22"/>
        <v>0</v>
      </c>
      <c r="AA179" s="875">
        <f t="shared" si="22"/>
        <v>0</v>
      </c>
      <c r="AB179" s="875">
        <f t="shared" si="22"/>
        <v>0</v>
      </c>
      <c r="AC179" s="878"/>
    </row>
    <row r="180" spans="1:30" ht="44.25" customHeight="1" x14ac:dyDescent="0.2">
      <c r="A180" s="618" t="s">
        <v>756</v>
      </c>
      <c r="B180" s="619" t="s">
        <v>691</v>
      </c>
      <c r="C180" s="620">
        <v>244</v>
      </c>
      <c r="D180" s="620">
        <v>226</v>
      </c>
      <c r="E180" s="596">
        <f t="shared" si="21"/>
        <v>29384.92</v>
      </c>
      <c r="F180" s="595">
        <f>'Прилож 4 24 (5)'!V177</f>
        <v>0</v>
      </c>
      <c r="G180" s="595">
        <f>'Прилож 4 24 (5)'!W177</f>
        <v>0</v>
      </c>
      <c r="H180" s="595">
        <f>'Прилож 4 24 (5)'!X177</f>
        <v>25135.27</v>
      </c>
      <c r="I180" s="628"/>
      <c r="J180" s="595">
        <f>'Прилож 4 24 (5)'!Z177</f>
        <v>0</v>
      </c>
      <c r="K180" s="595">
        <f>'Прилож 4 24 (5)'!AA177</f>
        <v>0</v>
      </c>
      <c r="L180" s="595">
        <f>'Прилож 4 24 (5)'!AB177</f>
        <v>4249.6499999999996</v>
      </c>
      <c r="M180" s="876">
        <f t="shared" si="25"/>
        <v>0</v>
      </c>
      <c r="N180" s="875"/>
      <c r="O180" s="875"/>
      <c r="P180" s="875"/>
      <c r="Q180" s="877"/>
      <c r="R180" s="875"/>
      <c r="S180" s="875"/>
      <c r="T180" s="875"/>
      <c r="U180" s="876">
        <f t="shared" si="24"/>
        <v>29384.92</v>
      </c>
      <c r="V180" s="875">
        <f t="shared" si="24"/>
        <v>0</v>
      </c>
      <c r="W180" s="875">
        <f t="shared" si="23"/>
        <v>0</v>
      </c>
      <c r="X180" s="875">
        <f t="shared" si="23"/>
        <v>25135.27</v>
      </c>
      <c r="Y180" s="883"/>
      <c r="Z180" s="875">
        <f t="shared" si="22"/>
        <v>0</v>
      </c>
      <c r="AA180" s="875">
        <f t="shared" si="22"/>
        <v>0</v>
      </c>
      <c r="AB180" s="875">
        <f t="shared" si="22"/>
        <v>4249.6499999999996</v>
      </c>
      <c r="AC180" s="878"/>
    </row>
    <row r="181" spans="1:30" x14ac:dyDescent="0.2">
      <c r="A181" s="618" t="s">
        <v>706</v>
      </c>
      <c r="B181" s="619" t="s">
        <v>691</v>
      </c>
      <c r="C181" s="620">
        <v>244</v>
      </c>
      <c r="D181" s="620">
        <v>226</v>
      </c>
      <c r="E181" s="596">
        <f t="shared" si="21"/>
        <v>0</v>
      </c>
      <c r="F181" s="595">
        <f>'Прилож 4 24 (5)'!V178</f>
        <v>0</v>
      </c>
      <c r="G181" s="595">
        <f>'Прилож 4 24 (5)'!W178</f>
        <v>0</v>
      </c>
      <c r="H181" s="595">
        <f>'Прилож 4 24 (5)'!X178</f>
        <v>0</v>
      </c>
      <c r="I181" s="628"/>
      <c r="J181" s="595">
        <f>'Прилож 4 24 (5)'!Z178</f>
        <v>0</v>
      </c>
      <c r="K181" s="595">
        <f>'Прилож 4 24 (5)'!AA178</f>
        <v>0</v>
      </c>
      <c r="L181" s="595">
        <f>'Прилож 4 24 (5)'!AB178</f>
        <v>0</v>
      </c>
      <c r="M181" s="876">
        <f t="shared" si="25"/>
        <v>0</v>
      </c>
      <c r="N181" s="875"/>
      <c r="O181" s="875"/>
      <c r="P181" s="875"/>
      <c r="Q181" s="877"/>
      <c r="R181" s="875"/>
      <c r="S181" s="875"/>
      <c r="T181" s="875"/>
      <c r="U181" s="876">
        <f t="shared" si="24"/>
        <v>0</v>
      </c>
      <c r="V181" s="875">
        <f t="shared" si="24"/>
        <v>0</v>
      </c>
      <c r="W181" s="875">
        <f t="shared" si="23"/>
        <v>0</v>
      </c>
      <c r="X181" s="875">
        <f t="shared" si="23"/>
        <v>0</v>
      </c>
      <c r="Y181" s="883"/>
      <c r="Z181" s="875">
        <f t="shared" si="22"/>
        <v>0</v>
      </c>
      <c r="AA181" s="875">
        <f t="shared" si="22"/>
        <v>0</v>
      </c>
      <c r="AB181" s="875">
        <f t="shared" si="22"/>
        <v>0</v>
      </c>
      <c r="AC181" s="878"/>
    </row>
    <row r="182" spans="1:30" ht="61.5" customHeight="1" x14ac:dyDescent="0.2">
      <c r="A182" s="994" t="s">
        <v>1445</v>
      </c>
      <c r="B182" s="619" t="s">
        <v>691</v>
      </c>
      <c r="C182" s="620">
        <v>244</v>
      </c>
      <c r="D182" s="620">
        <v>226</v>
      </c>
      <c r="E182" s="596">
        <f t="shared" si="21"/>
        <v>21411</v>
      </c>
      <c r="F182" s="595">
        <f>'Прилож 4 24 (5)'!V179</f>
        <v>0</v>
      </c>
      <c r="G182" s="595">
        <f>'Прилож 4 24 (5)'!W179</f>
        <v>0</v>
      </c>
      <c r="H182" s="595">
        <f>'Прилож 4 24 (5)'!X179</f>
        <v>0</v>
      </c>
      <c r="I182" s="877" t="s">
        <v>1440</v>
      </c>
      <c r="J182" s="595">
        <f>'Прилож 4 24 (5)'!Z179</f>
        <v>0</v>
      </c>
      <c r="K182" s="595">
        <f>'Прилож 4 24 (5)'!AA179</f>
        <v>21411</v>
      </c>
      <c r="L182" s="595">
        <f>'Прилож 4 24 (5)'!AB179</f>
        <v>0</v>
      </c>
      <c r="M182" s="876">
        <f t="shared" si="25"/>
        <v>0</v>
      </c>
      <c r="N182" s="875"/>
      <c r="O182" s="875"/>
      <c r="P182" s="875"/>
      <c r="Q182" s="877"/>
      <c r="R182" s="875"/>
      <c r="S182" s="875"/>
      <c r="T182" s="875"/>
      <c r="U182" s="876">
        <f t="shared" si="24"/>
        <v>21411</v>
      </c>
      <c r="V182" s="875">
        <f t="shared" si="24"/>
        <v>0</v>
      </c>
      <c r="W182" s="875">
        <f t="shared" si="23"/>
        <v>0</v>
      </c>
      <c r="X182" s="875"/>
      <c r="Y182" s="877" t="s">
        <v>1440</v>
      </c>
      <c r="Z182" s="875"/>
      <c r="AA182" s="875">
        <f t="shared" si="22"/>
        <v>21411</v>
      </c>
      <c r="AB182" s="875">
        <f t="shared" si="22"/>
        <v>0</v>
      </c>
      <c r="AC182" s="878"/>
    </row>
    <row r="183" spans="1:30" s="637" customFormat="1" x14ac:dyDescent="0.2">
      <c r="A183" s="632" t="s">
        <v>1143</v>
      </c>
      <c r="B183" s="633" t="s">
        <v>691</v>
      </c>
      <c r="C183" s="634">
        <v>244</v>
      </c>
      <c r="D183" s="634">
        <v>226</v>
      </c>
      <c r="E183" s="596">
        <f t="shared" si="21"/>
        <v>344155.42</v>
      </c>
      <c r="F183" s="595">
        <f>'Прилож 4 24 (5)'!V180</f>
        <v>32288.77</v>
      </c>
      <c r="G183" s="595">
        <f>'Прилож 4 24 (5)'!W180</f>
        <v>0</v>
      </c>
      <c r="H183" s="595">
        <f>'Прилож 4 24 (5)'!X180</f>
        <v>224677.40999999997</v>
      </c>
      <c r="I183" s="635"/>
      <c r="J183" s="595">
        <f>'Прилож 4 24 (5)'!Z180</f>
        <v>0</v>
      </c>
      <c r="K183" s="595">
        <f>'Прилож 4 24 (5)'!AA180</f>
        <v>21411</v>
      </c>
      <c r="L183" s="595">
        <f>'Прилож 4 24 (5)'!AB180</f>
        <v>65778.240000000005</v>
      </c>
      <c r="M183" s="876">
        <f t="shared" si="25"/>
        <v>0</v>
      </c>
      <c r="N183" s="884"/>
      <c r="O183" s="884"/>
      <c r="P183" s="884">
        <f>SUM(P176:P181)</f>
        <v>0</v>
      </c>
      <c r="Q183" s="885"/>
      <c r="R183" s="884"/>
      <c r="S183" s="884">
        <f>SUM(S176:S182)</f>
        <v>0</v>
      </c>
      <c r="T183" s="884">
        <f>SUM(T176:T181)</f>
        <v>0</v>
      </c>
      <c r="U183" s="876">
        <f t="shared" si="24"/>
        <v>344155.42</v>
      </c>
      <c r="V183" s="875">
        <f t="shared" si="24"/>
        <v>32288.77</v>
      </c>
      <c r="W183" s="875">
        <f t="shared" si="23"/>
        <v>0</v>
      </c>
      <c r="X183" s="875">
        <f t="shared" si="23"/>
        <v>224677.40999999997</v>
      </c>
      <c r="Y183" s="885"/>
      <c r="Z183" s="875">
        <f t="shared" si="22"/>
        <v>0</v>
      </c>
      <c r="AA183" s="875">
        <f t="shared" si="22"/>
        <v>21411</v>
      </c>
      <c r="AB183" s="875">
        <f t="shared" si="22"/>
        <v>65778.240000000005</v>
      </c>
      <c r="AC183" s="886"/>
      <c r="AD183" s="819"/>
    </row>
    <row r="184" spans="1:30" s="614" customFormat="1" x14ac:dyDescent="0.2">
      <c r="A184" s="630" t="s">
        <v>739</v>
      </c>
      <c r="B184" s="631"/>
      <c r="C184" s="624"/>
      <c r="D184" s="624"/>
      <c r="E184" s="596">
        <f t="shared" si="21"/>
        <v>1494765.4100000001</v>
      </c>
      <c r="F184" s="595">
        <f>'Прилож 4 24 (5)'!V181</f>
        <v>76111.12</v>
      </c>
      <c r="G184" s="595">
        <f>'Прилож 4 24 (5)'!W181</f>
        <v>0</v>
      </c>
      <c r="H184" s="595">
        <f>'Прилож 4 24 (5)'!X181</f>
        <v>915594.24999999988</v>
      </c>
      <c r="I184" s="626"/>
      <c r="J184" s="595">
        <f>'Прилож 4 24 (5)'!Z181</f>
        <v>0</v>
      </c>
      <c r="K184" s="595">
        <f>'Прилож 4 24 (5)'!AA181</f>
        <v>437281.80000000005</v>
      </c>
      <c r="L184" s="595">
        <f>'Прилож 4 24 (5)'!AB181</f>
        <v>65778.240000000005</v>
      </c>
      <c r="M184" s="876">
        <f>N184+P184+R184+S184+T184+O184</f>
        <v>5075389</v>
      </c>
      <c r="N184" s="876">
        <f>N183+N175+N158</f>
        <v>0</v>
      </c>
      <c r="O184" s="876"/>
      <c r="P184" s="876">
        <f>P183+P175+P158</f>
        <v>0</v>
      </c>
      <c r="Q184" s="881"/>
      <c r="R184" s="876">
        <f>R183+R175+R158</f>
        <v>0</v>
      </c>
      <c r="S184" s="876">
        <f>S183+S175+S158</f>
        <v>5075389</v>
      </c>
      <c r="T184" s="876">
        <f>T183+T175+T158</f>
        <v>0</v>
      </c>
      <c r="U184" s="876">
        <f>E184+M184</f>
        <v>6570154.4100000001</v>
      </c>
      <c r="V184" s="875">
        <f t="shared" si="24"/>
        <v>76111.12</v>
      </c>
      <c r="W184" s="875">
        <f t="shared" si="23"/>
        <v>0</v>
      </c>
      <c r="X184" s="875">
        <f t="shared" si="23"/>
        <v>915594.24999999988</v>
      </c>
      <c r="Y184" s="881"/>
      <c r="Z184" s="875">
        <f t="shared" si="22"/>
        <v>0</v>
      </c>
      <c r="AA184" s="875">
        <f t="shared" si="22"/>
        <v>5512670.7999999998</v>
      </c>
      <c r="AB184" s="875">
        <f t="shared" si="22"/>
        <v>65778.240000000005</v>
      </c>
      <c r="AC184" s="879"/>
      <c r="AD184" s="819"/>
    </row>
    <row r="185" spans="1:30" ht="34.5" customHeight="1" x14ac:dyDescent="0.2">
      <c r="A185" s="618" t="s">
        <v>637</v>
      </c>
      <c r="B185" s="619" t="s">
        <v>729</v>
      </c>
      <c r="C185" s="620">
        <v>244</v>
      </c>
      <c r="D185" s="620">
        <v>227</v>
      </c>
      <c r="E185" s="596">
        <f t="shared" si="21"/>
        <v>10000</v>
      </c>
      <c r="F185" s="595">
        <f>'Прилож 4 24 (5)'!V182</f>
        <v>0</v>
      </c>
      <c r="G185" s="595">
        <f>'Прилож 4 24 (5)'!W182</f>
        <v>0</v>
      </c>
      <c r="H185" s="595">
        <f>'Прилож 4 24 (5)'!X182</f>
        <v>10000</v>
      </c>
      <c r="I185" s="628"/>
      <c r="J185" s="595">
        <f>'Прилож 4 24 (5)'!Z182</f>
        <v>0</v>
      </c>
      <c r="K185" s="595">
        <f>'Прилож 4 24 (5)'!AA182</f>
        <v>0</v>
      </c>
      <c r="L185" s="595">
        <f>'Прилож 4 24 (5)'!AB182</f>
        <v>0</v>
      </c>
      <c r="M185" s="876">
        <f t="shared" si="25"/>
        <v>0</v>
      </c>
      <c r="N185" s="875"/>
      <c r="O185" s="875"/>
      <c r="P185" s="875"/>
      <c r="Q185" s="877"/>
      <c r="R185" s="875"/>
      <c r="S185" s="875"/>
      <c r="T185" s="875"/>
      <c r="U185" s="876">
        <f t="shared" si="24"/>
        <v>10000</v>
      </c>
      <c r="V185" s="875">
        <f t="shared" si="24"/>
        <v>0</v>
      </c>
      <c r="W185" s="875">
        <f t="shared" si="23"/>
        <v>0</v>
      </c>
      <c r="X185" s="875">
        <f t="shared" si="23"/>
        <v>10000</v>
      </c>
      <c r="Y185" s="883"/>
      <c r="Z185" s="875">
        <f t="shared" si="22"/>
        <v>0</v>
      </c>
      <c r="AA185" s="875">
        <f t="shared" si="22"/>
        <v>0</v>
      </c>
      <c r="AB185" s="875">
        <f t="shared" si="22"/>
        <v>0</v>
      </c>
      <c r="AC185" s="878"/>
    </row>
    <row r="186" spans="1:30" ht="25.5" customHeight="1" x14ac:dyDescent="0.2">
      <c r="A186" s="618" t="s">
        <v>678</v>
      </c>
      <c r="B186" s="619" t="s">
        <v>691</v>
      </c>
      <c r="C186" s="620">
        <v>244</v>
      </c>
      <c r="D186" s="620">
        <v>227</v>
      </c>
      <c r="E186" s="596">
        <f t="shared" si="21"/>
        <v>1827</v>
      </c>
      <c r="F186" s="595">
        <f>'Прилож 4 24 (5)'!V183</f>
        <v>0</v>
      </c>
      <c r="G186" s="595">
        <f>'Прилож 4 24 (5)'!W183</f>
        <v>0</v>
      </c>
      <c r="H186" s="595">
        <f>'Прилож 4 24 (5)'!X183</f>
        <v>1551.11</v>
      </c>
      <c r="I186" s="628"/>
      <c r="J186" s="595">
        <f>'Прилож 4 24 (5)'!Z183</f>
        <v>0</v>
      </c>
      <c r="K186" s="595">
        <f>'Прилож 4 24 (5)'!AA183</f>
        <v>0</v>
      </c>
      <c r="L186" s="595">
        <f>'Прилож 4 24 (5)'!AB183</f>
        <v>275.89</v>
      </c>
      <c r="M186" s="876">
        <f t="shared" si="25"/>
        <v>0</v>
      </c>
      <c r="N186" s="875"/>
      <c r="O186" s="875"/>
      <c r="P186" s="875"/>
      <c r="Q186" s="877"/>
      <c r="R186" s="875"/>
      <c r="S186" s="875"/>
      <c r="T186" s="875"/>
      <c r="U186" s="876">
        <f t="shared" si="24"/>
        <v>1827</v>
      </c>
      <c r="V186" s="875">
        <f t="shared" si="24"/>
        <v>0</v>
      </c>
      <c r="W186" s="875">
        <f t="shared" si="23"/>
        <v>0</v>
      </c>
      <c r="X186" s="875">
        <f t="shared" si="23"/>
        <v>1551.11</v>
      </c>
      <c r="Y186" s="883"/>
      <c r="Z186" s="875">
        <f t="shared" si="22"/>
        <v>0</v>
      </c>
      <c r="AA186" s="875">
        <f t="shared" si="22"/>
        <v>0</v>
      </c>
      <c r="AB186" s="875">
        <f t="shared" si="22"/>
        <v>275.89</v>
      </c>
      <c r="AC186" s="878"/>
    </row>
    <row r="187" spans="1:30" s="614" customFormat="1" x14ac:dyDescent="0.2">
      <c r="A187" s="630" t="s">
        <v>740</v>
      </c>
      <c r="B187" s="631"/>
      <c r="C187" s="624"/>
      <c r="D187" s="624"/>
      <c r="E187" s="596">
        <f t="shared" si="21"/>
        <v>11827</v>
      </c>
      <c r="F187" s="595">
        <f>'Прилож 4 24 (5)'!V184</f>
        <v>0</v>
      </c>
      <c r="G187" s="595">
        <f>'Прилож 4 24 (5)'!W184</f>
        <v>0</v>
      </c>
      <c r="H187" s="595">
        <f>'Прилож 4 24 (5)'!X184</f>
        <v>11551.11</v>
      </c>
      <c r="I187" s="626"/>
      <c r="J187" s="595">
        <f>'Прилож 4 24 (5)'!Z184</f>
        <v>0</v>
      </c>
      <c r="K187" s="595">
        <f>'Прилож 4 24 (5)'!AA184</f>
        <v>0</v>
      </c>
      <c r="L187" s="595">
        <f>'Прилож 4 24 (5)'!AB184</f>
        <v>275.89</v>
      </c>
      <c r="M187" s="876">
        <f t="shared" si="25"/>
        <v>0</v>
      </c>
      <c r="N187" s="876"/>
      <c r="O187" s="876"/>
      <c r="P187" s="876"/>
      <c r="Q187" s="881"/>
      <c r="R187" s="876"/>
      <c r="S187" s="876"/>
      <c r="T187" s="876"/>
      <c r="U187" s="876">
        <f t="shared" si="24"/>
        <v>11827</v>
      </c>
      <c r="V187" s="875">
        <f t="shared" si="24"/>
        <v>0</v>
      </c>
      <c r="W187" s="875">
        <f t="shared" si="23"/>
        <v>0</v>
      </c>
      <c r="X187" s="875">
        <f t="shared" si="23"/>
        <v>11551.11</v>
      </c>
      <c r="Y187" s="881"/>
      <c r="Z187" s="875">
        <f t="shared" si="22"/>
        <v>0</v>
      </c>
      <c r="AA187" s="875">
        <f t="shared" si="22"/>
        <v>0</v>
      </c>
      <c r="AB187" s="875">
        <f t="shared" si="22"/>
        <v>275.89</v>
      </c>
      <c r="AC187" s="879"/>
    </row>
    <row r="188" spans="1:30" x14ac:dyDescent="0.2">
      <c r="A188" s="618" t="s">
        <v>1227</v>
      </c>
      <c r="B188" s="619" t="s">
        <v>747</v>
      </c>
      <c r="C188" s="620">
        <v>244</v>
      </c>
      <c r="D188" s="620">
        <v>310</v>
      </c>
      <c r="E188" s="596">
        <f t="shared" si="21"/>
        <v>0</v>
      </c>
      <c r="F188" s="595">
        <f>'Прилож 4 24 (5)'!V185</f>
        <v>0</v>
      </c>
      <c r="G188" s="595">
        <f>'Прилож 4 24 (5)'!W185</f>
        <v>0</v>
      </c>
      <c r="H188" s="595">
        <f>'Прилож 4 24 (5)'!X185</f>
        <v>0</v>
      </c>
      <c r="I188" s="621"/>
      <c r="J188" s="595">
        <f>'Прилож 4 24 (5)'!Z185</f>
        <v>0</v>
      </c>
      <c r="K188" s="595">
        <f>'Прилож 4 24 (5)'!AA185</f>
        <v>0</v>
      </c>
      <c r="L188" s="595">
        <f>'Прилож 4 24 (5)'!AB185</f>
        <v>0</v>
      </c>
      <c r="M188" s="876">
        <f t="shared" si="25"/>
        <v>0</v>
      </c>
      <c r="N188" s="875"/>
      <c r="O188" s="875"/>
      <c r="P188" s="875"/>
      <c r="Q188" s="877"/>
      <c r="R188" s="875"/>
      <c r="S188" s="875"/>
      <c r="T188" s="875"/>
      <c r="U188" s="876">
        <f t="shared" si="24"/>
        <v>0</v>
      </c>
      <c r="V188" s="875">
        <f t="shared" si="24"/>
        <v>0</v>
      </c>
      <c r="W188" s="875">
        <f t="shared" si="23"/>
        <v>0</v>
      </c>
      <c r="X188" s="875">
        <f t="shared" si="23"/>
        <v>0</v>
      </c>
      <c r="Y188" s="877"/>
      <c r="Z188" s="875">
        <f t="shared" si="22"/>
        <v>0</v>
      </c>
      <c r="AA188" s="875">
        <f t="shared" si="22"/>
        <v>0</v>
      </c>
      <c r="AB188" s="875">
        <f t="shared" si="22"/>
        <v>0</v>
      </c>
      <c r="AC188" s="878"/>
    </row>
    <row r="189" spans="1:30" ht="31.5" x14ac:dyDescent="0.2">
      <c r="A189" s="618" t="s">
        <v>1228</v>
      </c>
      <c r="B189" s="619" t="s">
        <v>747</v>
      </c>
      <c r="C189" s="620">
        <v>244</v>
      </c>
      <c r="D189" s="620">
        <v>310</v>
      </c>
      <c r="E189" s="596">
        <f t="shared" si="21"/>
        <v>0</v>
      </c>
      <c r="F189" s="595">
        <f>'Прилож 4 24 (5)'!V186</f>
        <v>0</v>
      </c>
      <c r="G189" s="595">
        <f>'Прилож 4 24 (5)'!W186</f>
        <v>0</v>
      </c>
      <c r="H189" s="595">
        <f>'Прилож 4 24 (5)'!X186</f>
        <v>0</v>
      </c>
      <c r="I189" s="621"/>
      <c r="J189" s="595">
        <f>'Прилож 4 24 (5)'!Z186</f>
        <v>0</v>
      </c>
      <c r="K189" s="595">
        <f>'Прилож 4 24 (5)'!AA186</f>
        <v>0</v>
      </c>
      <c r="L189" s="595">
        <f>'Прилож 4 24 (5)'!AB186</f>
        <v>0</v>
      </c>
      <c r="M189" s="876">
        <f t="shared" si="25"/>
        <v>0</v>
      </c>
      <c r="N189" s="875"/>
      <c r="O189" s="875"/>
      <c r="P189" s="875"/>
      <c r="Q189" s="877"/>
      <c r="R189" s="875"/>
      <c r="S189" s="875"/>
      <c r="T189" s="875"/>
      <c r="U189" s="876">
        <f t="shared" si="24"/>
        <v>0</v>
      </c>
      <c r="V189" s="875">
        <f t="shared" si="24"/>
        <v>0</v>
      </c>
      <c r="W189" s="875">
        <f t="shared" si="23"/>
        <v>0</v>
      </c>
      <c r="X189" s="875">
        <f t="shared" si="23"/>
        <v>0</v>
      </c>
      <c r="Y189" s="877"/>
      <c r="Z189" s="875">
        <f t="shared" si="22"/>
        <v>0</v>
      </c>
      <c r="AA189" s="875">
        <f t="shared" si="22"/>
        <v>0</v>
      </c>
      <c r="AB189" s="875">
        <f t="shared" si="22"/>
        <v>0</v>
      </c>
      <c r="AC189" s="878"/>
    </row>
    <row r="190" spans="1:30" ht="31.5" x14ac:dyDescent="0.2">
      <c r="A190" s="618" t="s">
        <v>1229</v>
      </c>
      <c r="B190" s="619" t="s">
        <v>747</v>
      </c>
      <c r="C190" s="620">
        <v>244</v>
      </c>
      <c r="D190" s="620">
        <v>310</v>
      </c>
      <c r="E190" s="596">
        <f t="shared" si="21"/>
        <v>0</v>
      </c>
      <c r="F190" s="595">
        <f>'Прилож 4 24 (5)'!V187</f>
        <v>0</v>
      </c>
      <c r="G190" s="595">
        <f>'Прилож 4 24 (5)'!W187</f>
        <v>0</v>
      </c>
      <c r="H190" s="595">
        <f>'Прилож 4 24 (5)'!X187</f>
        <v>0</v>
      </c>
      <c r="I190" s="621"/>
      <c r="J190" s="595">
        <f>'Прилож 4 24 (5)'!Z187</f>
        <v>0</v>
      </c>
      <c r="K190" s="595">
        <f>'Прилож 4 24 (5)'!AA187</f>
        <v>0</v>
      </c>
      <c r="L190" s="595">
        <f>'Прилож 4 24 (5)'!AB187</f>
        <v>0</v>
      </c>
      <c r="M190" s="876">
        <f t="shared" si="25"/>
        <v>0</v>
      </c>
      <c r="N190" s="875"/>
      <c r="O190" s="875"/>
      <c r="P190" s="875"/>
      <c r="Q190" s="877"/>
      <c r="R190" s="875"/>
      <c r="S190" s="875"/>
      <c r="T190" s="875"/>
      <c r="U190" s="876">
        <f t="shared" si="24"/>
        <v>0</v>
      </c>
      <c r="V190" s="875">
        <f t="shared" si="24"/>
        <v>0</v>
      </c>
      <c r="W190" s="875">
        <f t="shared" si="23"/>
        <v>0</v>
      </c>
      <c r="X190" s="875">
        <f t="shared" si="23"/>
        <v>0</v>
      </c>
      <c r="Y190" s="877"/>
      <c r="Z190" s="875">
        <f t="shared" si="22"/>
        <v>0</v>
      </c>
      <c r="AA190" s="875">
        <f t="shared" si="22"/>
        <v>0</v>
      </c>
      <c r="AB190" s="875">
        <f t="shared" si="22"/>
        <v>0</v>
      </c>
      <c r="AC190" s="878"/>
    </row>
    <row r="191" spans="1:30" x14ac:dyDescent="0.2">
      <c r="A191" s="618" t="s">
        <v>1284</v>
      </c>
      <c r="B191" s="619" t="s">
        <v>747</v>
      </c>
      <c r="C191" s="620">
        <v>244</v>
      </c>
      <c r="D191" s="620">
        <v>310</v>
      </c>
      <c r="E191" s="596">
        <f t="shared" si="21"/>
        <v>18000</v>
      </c>
      <c r="F191" s="595">
        <f>'Прилож 4 24 (5)'!V188</f>
        <v>18000</v>
      </c>
      <c r="G191" s="595">
        <f>'Прилож 4 24 (5)'!W188</f>
        <v>0</v>
      </c>
      <c r="H191" s="595">
        <f>'Прилож 4 24 (5)'!X188</f>
        <v>0</v>
      </c>
      <c r="I191" s="621"/>
      <c r="J191" s="595">
        <f>'Прилож 4 24 (5)'!Z188</f>
        <v>0</v>
      </c>
      <c r="K191" s="595">
        <f>'Прилож 4 24 (5)'!AA188</f>
        <v>0</v>
      </c>
      <c r="L191" s="595">
        <f>'Прилож 4 24 (5)'!AB188</f>
        <v>0</v>
      </c>
      <c r="M191" s="876">
        <f t="shared" si="25"/>
        <v>0</v>
      </c>
      <c r="N191" s="875"/>
      <c r="O191" s="875"/>
      <c r="P191" s="875"/>
      <c r="Q191" s="877"/>
      <c r="R191" s="875"/>
      <c r="S191" s="875"/>
      <c r="T191" s="875"/>
      <c r="U191" s="876">
        <f t="shared" si="24"/>
        <v>18000</v>
      </c>
      <c r="V191" s="875">
        <f t="shared" si="24"/>
        <v>18000</v>
      </c>
      <c r="W191" s="875">
        <f t="shared" si="23"/>
        <v>0</v>
      </c>
      <c r="X191" s="875">
        <f t="shared" si="23"/>
        <v>0</v>
      </c>
      <c r="Y191" s="877"/>
      <c r="Z191" s="875">
        <f t="shared" si="22"/>
        <v>0</v>
      </c>
      <c r="AA191" s="875">
        <f t="shared" si="22"/>
        <v>0</v>
      </c>
      <c r="AB191" s="875">
        <f t="shared" si="22"/>
        <v>0</v>
      </c>
      <c r="AC191" s="878"/>
    </row>
    <row r="192" spans="1:30" ht="35.25" customHeight="1" x14ac:dyDescent="0.2">
      <c r="A192" s="618" t="s">
        <v>1344</v>
      </c>
      <c r="B192" s="619" t="s">
        <v>747</v>
      </c>
      <c r="C192" s="620">
        <v>244</v>
      </c>
      <c r="D192" s="620">
        <v>310</v>
      </c>
      <c r="E192" s="596">
        <f t="shared" si="21"/>
        <v>219950</v>
      </c>
      <c r="F192" s="595">
        <f>'Прилож 4 24 (5)'!V189</f>
        <v>219950</v>
      </c>
      <c r="G192" s="595">
        <f>'Прилож 4 24 (5)'!W189</f>
        <v>0</v>
      </c>
      <c r="H192" s="595">
        <f>'Прилож 4 24 (5)'!X189</f>
        <v>0</v>
      </c>
      <c r="I192" s="621"/>
      <c r="J192" s="595">
        <f>'Прилож 4 24 (5)'!Z189</f>
        <v>0</v>
      </c>
      <c r="K192" s="595">
        <f>'Прилож 4 24 (5)'!AA189</f>
        <v>0</v>
      </c>
      <c r="L192" s="595">
        <f>'Прилож 4 24 (5)'!AB189</f>
        <v>0</v>
      </c>
      <c r="M192" s="876">
        <f t="shared" si="25"/>
        <v>0</v>
      </c>
      <c r="N192" s="875"/>
      <c r="O192" s="875"/>
      <c r="P192" s="875"/>
      <c r="Q192" s="877"/>
      <c r="R192" s="875"/>
      <c r="S192" s="875"/>
      <c r="T192" s="875"/>
      <c r="U192" s="876">
        <f t="shared" si="24"/>
        <v>219950</v>
      </c>
      <c r="V192" s="875">
        <f t="shared" si="24"/>
        <v>219950</v>
      </c>
      <c r="W192" s="875">
        <f t="shared" si="23"/>
        <v>0</v>
      </c>
      <c r="X192" s="875">
        <f t="shared" si="23"/>
        <v>0</v>
      </c>
      <c r="Y192" s="877"/>
      <c r="Z192" s="875">
        <f t="shared" si="22"/>
        <v>0</v>
      </c>
      <c r="AA192" s="875">
        <f t="shared" si="22"/>
        <v>0</v>
      </c>
      <c r="AB192" s="875">
        <f t="shared" si="22"/>
        <v>0</v>
      </c>
      <c r="AC192" s="878"/>
    </row>
    <row r="193" spans="1:30" ht="34.5" customHeight="1" x14ac:dyDescent="0.2">
      <c r="A193" s="618" t="s">
        <v>1345</v>
      </c>
      <c r="B193" s="619" t="s">
        <v>747</v>
      </c>
      <c r="C193" s="620">
        <v>244</v>
      </c>
      <c r="D193" s="620">
        <v>310</v>
      </c>
      <c r="E193" s="596">
        <f t="shared" si="21"/>
        <v>45990</v>
      </c>
      <c r="F193" s="595">
        <f>'Прилож 4 24 (5)'!V190</f>
        <v>45990</v>
      </c>
      <c r="G193" s="595">
        <f>'Прилож 4 24 (5)'!W190</f>
        <v>0</v>
      </c>
      <c r="H193" s="595">
        <f>'Прилож 4 24 (5)'!X190</f>
        <v>0</v>
      </c>
      <c r="I193" s="621"/>
      <c r="J193" s="595">
        <f>'Прилож 4 24 (5)'!Z190</f>
        <v>0</v>
      </c>
      <c r="K193" s="595">
        <f>'Прилож 4 24 (5)'!AA190</f>
        <v>0</v>
      </c>
      <c r="L193" s="595">
        <f>'Прилож 4 24 (5)'!AB190</f>
        <v>0</v>
      </c>
      <c r="M193" s="876">
        <f t="shared" si="25"/>
        <v>0</v>
      </c>
      <c r="N193" s="875"/>
      <c r="O193" s="875"/>
      <c r="P193" s="875"/>
      <c r="Q193" s="877"/>
      <c r="R193" s="875"/>
      <c r="S193" s="875"/>
      <c r="T193" s="875"/>
      <c r="U193" s="876">
        <f t="shared" si="24"/>
        <v>45990</v>
      </c>
      <c r="V193" s="875">
        <f t="shared" si="24"/>
        <v>45990</v>
      </c>
      <c r="W193" s="875">
        <f t="shared" si="23"/>
        <v>0</v>
      </c>
      <c r="X193" s="875">
        <f t="shared" si="23"/>
        <v>0</v>
      </c>
      <c r="Y193" s="877"/>
      <c r="Z193" s="875">
        <f t="shared" si="22"/>
        <v>0</v>
      </c>
      <c r="AA193" s="875">
        <f t="shared" si="22"/>
        <v>0</v>
      </c>
      <c r="AB193" s="875">
        <f t="shared" si="22"/>
        <v>0</v>
      </c>
      <c r="AC193" s="878"/>
    </row>
    <row r="194" spans="1:30" s="637" customFormat="1" x14ac:dyDescent="0.2">
      <c r="A194" s="632" t="s">
        <v>783</v>
      </c>
      <c r="B194" s="633"/>
      <c r="C194" s="634"/>
      <c r="D194" s="634"/>
      <c r="E194" s="596">
        <f t="shared" si="21"/>
        <v>283940</v>
      </c>
      <c r="F194" s="595">
        <f>'Прилож 4 24 (5)'!V191</f>
        <v>283940</v>
      </c>
      <c r="G194" s="595">
        <f>'Прилож 4 24 (5)'!W191</f>
        <v>0</v>
      </c>
      <c r="H194" s="595">
        <f>'Прилож 4 24 (5)'!X191</f>
        <v>0</v>
      </c>
      <c r="I194" s="597">
        <f t="shared" ref="I194" si="27">SUM(I188:I191)</f>
        <v>0</v>
      </c>
      <c r="J194" s="595">
        <f>'Прилож 4 24 (5)'!Z191</f>
        <v>0</v>
      </c>
      <c r="K194" s="595">
        <f>'Прилож 4 24 (5)'!AA191</f>
        <v>0</v>
      </c>
      <c r="L194" s="595">
        <f>'Прилож 4 24 (5)'!AB191</f>
        <v>0</v>
      </c>
      <c r="M194" s="876">
        <f t="shared" si="25"/>
        <v>0</v>
      </c>
      <c r="N194" s="884">
        <f>SUM(N188:N193)</f>
        <v>0</v>
      </c>
      <c r="O194" s="884"/>
      <c r="P194" s="884"/>
      <c r="Q194" s="884"/>
      <c r="R194" s="884"/>
      <c r="S194" s="884"/>
      <c r="T194" s="884"/>
      <c r="U194" s="876">
        <f t="shared" si="24"/>
        <v>283940</v>
      </c>
      <c r="V194" s="875">
        <f t="shared" si="24"/>
        <v>283940</v>
      </c>
      <c r="W194" s="875">
        <f t="shared" si="23"/>
        <v>0</v>
      </c>
      <c r="X194" s="875">
        <f t="shared" si="23"/>
        <v>0</v>
      </c>
      <c r="Y194" s="884">
        <f t="shared" ref="Y194" si="28">SUM(Y188:Y191)</f>
        <v>0</v>
      </c>
      <c r="Z194" s="875">
        <f t="shared" si="22"/>
        <v>0</v>
      </c>
      <c r="AA194" s="875">
        <f t="shared" si="22"/>
        <v>0</v>
      </c>
      <c r="AB194" s="875">
        <f t="shared" si="22"/>
        <v>0</v>
      </c>
      <c r="AC194" s="886"/>
    </row>
    <row r="195" spans="1:30" ht="31.5" x14ac:dyDescent="0.2">
      <c r="A195" s="618" t="s">
        <v>1281</v>
      </c>
      <c r="B195" s="619" t="s">
        <v>729</v>
      </c>
      <c r="C195" s="620">
        <v>244</v>
      </c>
      <c r="D195" s="620">
        <v>310</v>
      </c>
      <c r="E195" s="596">
        <f t="shared" si="21"/>
        <v>50000</v>
      </c>
      <c r="F195" s="595">
        <f>'Прилож 4 24 (5)'!V192</f>
        <v>50000</v>
      </c>
      <c r="G195" s="595">
        <f>'Прилож 4 24 (5)'!W192</f>
        <v>0</v>
      </c>
      <c r="H195" s="595">
        <f>'Прилож 4 24 (5)'!X192</f>
        <v>0</v>
      </c>
      <c r="I195" s="621"/>
      <c r="J195" s="595">
        <f>'Прилож 4 24 (5)'!Z192</f>
        <v>0</v>
      </c>
      <c r="K195" s="595">
        <f>'Прилож 4 24 (5)'!AA192</f>
        <v>0</v>
      </c>
      <c r="L195" s="595">
        <f>'Прилож 4 24 (5)'!AB192</f>
        <v>0</v>
      </c>
      <c r="M195" s="876">
        <f t="shared" si="25"/>
        <v>0</v>
      </c>
      <c r="N195" s="875"/>
      <c r="O195" s="875"/>
      <c r="P195" s="875"/>
      <c r="Q195" s="877"/>
      <c r="R195" s="875"/>
      <c r="S195" s="875"/>
      <c r="T195" s="875"/>
      <c r="U195" s="876">
        <f t="shared" si="24"/>
        <v>50000</v>
      </c>
      <c r="V195" s="875">
        <f t="shared" si="24"/>
        <v>50000</v>
      </c>
      <c r="W195" s="875">
        <f t="shared" si="23"/>
        <v>0</v>
      </c>
      <c r="X195" s="875">
        <f t="shared" si="23"/>
        <v>0</v>
      </c>
      <c r="Y195" s="877"/>
      <c r="Z195" s="875">
        <f t="shared" si="22"/>
        <v>0</v>
      </c>
      <c r="AA195" s="875">
        <f t="shared" si="22"/>
        <v>0</v>
      </c>
      <c r="AB195" s="875">
        <f t="shared" si="22"/>
        <v>0</v>
      </c>
      <c r="AC195" s="878"/>
    </row>
    <row r="196" spans="1:30" ht="93" customHeight="1" x14ac:dyDescent="0.2">
      <c r="A196" s="618" t="s">
        <v>1282</v>
      </c>
      <c r="B196" s="619" t="s">
        <v>729</v>
      </c>
      <c r="C196" s="620">
        <v>244</v>
      </c>
      <c r="D196" s="620">
        <v>310</v>
      </c>
      <c r="E196" s="596">
        <f t="shared" si="21"/>
        <v>584046.51</v>
      </c>
      <c r="F196" s="595">
        <f>'Прилож 4 24 (5)'!V193</f>
        <v>584046.51</v>
      </c>
      <c r="G196" s="595">
        <f>'Прилож 4 24 (5)'!W193</f>
        <v>0</v>
      </c>
      <c r="H196" s="595">
        <f>'Прилож 4 24 (5)'!X193</f>
        <v>0</v>
      </c>
      <c r="I196" s="621"/>
      <c r="J196" s="595">
        <f>'Прилож 4 24 (5)'!Z193</f>
        <v>0</v>
      </c>
      <c r="K196" s="595">
        <f>'Прилож 4 24 (5)'!AA193</f>
        <v>0</v>
      </c>
      <c r="L196" s="595">
        <f>'Прилож 4 24 (5)'!AB193</f>
        <v>0</v>
      </c>
      <c r="M196" s="876">
        <f t="shared" si="25"/>
        <v>-8370.2000000000007</v>
      </c>
      <c r="N196" s="875">
        <v>-8370.2000000000007</v>
      </c>
      <c r="O196" s="875"/>
      <c r="P196" s="875"/>
      <c r="Q196" s="877"/>
      <c r="R196" s="875"/>
      <c r="S196" s="875"/>
      <c r="T196" s="875"/>
      <c r="U196" s="876">
        <f t="shared" si="24"/>
        <v>575676.31000000006</v>
      </c>
      <c r="V196" s="875">
        <f t="shared" si="24"/>
        <v>575676.31000000006</v>
      </c>
      <c r="W196" s="875">
        <f t="shared" si="23"/>
        <v>0</v>
      </c>
      <c r="X196" s="875">
        <f t="shared" si="23"/>
        <v>0</v>
      </c>
      <c r="Y196" s="877"/>
      <c r="Z196" s="875">
        <f t="shared" si="22"/>
        <v>0</v>
      </c>
      <c r="AA196" s="875">
        <f t="shared" si="22"/>
        <v>0</v>
      </c>
      <c r="AB196" s="875">
        <f t="shared" si="22"/>
        <v>0</v>
      </c>
      <c r="AC196" s="878" t="s">
        <v>1471</v>
      </c>
    </row>
    <row r="197" spans="1:30" x14ac:dyDescent="0.2">
      <c r="A197" s="618" t="s">
        <v>1284</v>
      </c>
      <c r="B197" s="619" t="s">
        <v>729</v>
      </c>
      <c r="C197" s="620">
        <v>244</v>
      </c>
      <c r="D197" s="620">
        <v>310</v>
      </c>
      <c r="E197" s="596">
        <f t="shared" si="21"/>
        <v>27000</v>
      </c>
      <c r="F197" s="595">
        <f>'Прилож 4 24 (5)'!V194</f>
        <v>27000</v>
      </c>
      <c r="G197" s="595">
        <f>'Прилож 4 24 (5)'!W194</f>
        <v>0</v>
      </c>
      <c r="H197" s="595">
        <f>'Прилож 4 24 (5)'!X194</f>
        <v>0</v>
      </c>
      <c r="I197" s="621"/>
      <c r="J197" s="595">
        <f>'Прилож 4 24 (5)'!Z194</f>
        <v>0</v>
      </c>
      <c r="K197" s="595">
        <f>'Прилож 4 24 (5)'!AA194</f>
        <v>0</v>
      </c>
      <c r="L197" s="595">
        <f>'Прилож 4 24 (5)'!AB194</f>
        <v>0</v>
      </c>
      <c r="M197" s="876">
        <f t="shared" si="25"/>
        <v>0</v>
      </c>
      <c r="N197" s="875"/>
      <c r="O197" s="875"/>
      <c r="P197" s="875"/>
      <c r="Q197" s="877"/>
      <c r="R197" s="875"/>
      <c r="S197" s="875"/>
      <c r="T197" s="875"/>
      <c r="U197" s="876">
        <f t="shared" si="24"/>
        <v>27000</v>
      </c>
      <c r="V197" s="875">
        <f t="shared" si="24"/>
        <v>27000</v>
      </c>
      <c r="W197" s="875">
        <f t="shared" si="23"/>
        <v>0</v>
      </c>
      <c r="X197" s="875">
        <f t="shared" si="23"/>
        <v>0</v>
      </c>
      <c r="Y197" s="877"/>
      <c r="Z197" s="875">
        <f t="shared" si="22"/>
        <v>0</v>
      </c>
      <c r="AA197" s="875">
        <f t="shared" si="22"/>
        <v>0</v>
      </c>
      <c r="AB197" s="875">
        <f t="shared" si="22"/>
        <v>0</v>
      </c>
      <c r="AC197" s="878"/>
    </row>
    <row r="198" spans="1:30" x14ac:dyDescent="0.2">
      <c r="A198" s="618" t="s">
        <v>1227</v>
      </c>
      <c r="B198" s="619" t="s">
        <v>729</v>
      </c>
      <c r="C198" s="620">
        <v>244</v>
      </c>
      <c r="D198" s="620">
        <v>310</v>
      </c>
      <c r="E198" s="596">
        <f t="shared" si="21"/>
        <v>4025</v>
      </c>
      <c r="F198" s="595">
        <f>'Прилож 4 24 (5)'!V195</f>
        <v>0</v>
      </c>
      <c r="G198" s="595">
        <f>'Прилож 4 24 (5)'!W195</f>
        <v>0</v>
      </c>
      <c r="H198" s="595">
        <f>'Прилож 4 24 (5)'!X195</f>
        <v>0</v>
      </c>
      <c r="I198" s="621" t="s">
        <v>1226</v>
      </c>
      <c r="J198" s="595">
        <f>'Прилож 4 24 (5)'!Z195</f>
        <v>0</v>
      </c>
      <c r="K198" s="595">
        <f>'Прилож 4 24 (5)'!AA195</f>
        <v>4025</v>
      </c>
      <c r="L198" s="595">
        <f>'Прилож 4 24 (5)'!AB195</f>
        <v>0</v>
      </c>
      <c r="M198" s="876">
        <f t="shared" si="25"/>
        <v>0</v>
      </c>
      <c r="N198" s="875"/>
      <c r="O198" s="875"/>
      <c r="P198" s="875"/>
      <c r="Q198" s="877"/>
      <c r="R198" s="875"/>
      <c r="S198" s="875"/>
      <c r="T198" s="875"/>
      <c r="U198" s="876">
        <f t="shared" si="24"/>
        <v>4025</v>
      </c>
      <c r="V198" s="875">
        <f t="shared" si="24"/>
        <v>0</v>
      </c>
      <c r="W198" s="875">
        <f t="shared" si="23"/>
        <v>0</v>
      </c>
      <c r="X198" s="875">
        <f t="shared" si="23"/>
        <v>0</v>
      </c>
      <c r="Y198" s="877" t="s">
        <v>1226</v>
      </c>
      <c r="Z198" s="875">
        <f t="shared" si="22"/>
        <v>0</v>
      </c>
      <c r="AA198" s="875">
        <f t="shared" si="22"/>
        <v>4025</v>
      </c>
      <c r="AB198" s="875">
        <f t="shared" si="22"/>
        <v>0</v>
      </c>
      <c r="AC198" s="878"/>
    </row>
    <row r="199" spans="1:30" ht="31.5" x14ac:dyDescent="0.2">
      <c r="A199" s="618" t="s">
        <v>1228</v>
      </c>
      <c r="B199" s="619" t="s">
        <v>729</v>
      </c>
      <c r="C199" s="620">
        <v>244</v>
      </c>
      <c r="D199" s="620">
        <v>310</v>
      </c>
      <c r="E199" s="596">
        <f t="shared" si="21"/>
        <v>4638</v>
      </c>
      <c r="F199" s="595">
        <f>'Прилож 4 24 (5)'!V196</f>
        <v>0</v>
      </c>
      <c r="G199" s="595">
        <f>'Прилож 4 24 (5)'!W196</f>
        <v>0</v>
      </c>
      <c r="H199" s="595">
        <f>'Прилож 4 24 (5)'!X196</f>
        <v>0</v>
      </c>
      <c r="I199" s="621" t="s">
        <v>1226</v>
      </c>
      <c r="J199" s="595">
        <f>'Прилож 4 24 (5)'!Z196</f>
        <v>0</v>
      </c>
      <c r="K199" s="595">
        <f>'Прилож 4 24 (5)'!AA196</f>
        <v>4638</v>
      </c>
      <c r="L199" s="595">
        <f>'Прилож 4 24 (5)'!AB196</f>
        <v>0</v>
      </c>
      <c r="M199" s="876">
        <f t="shared" si="25"/>
        <v>0</v>
      </c>
      <c r="N199" s="875"/>
      <c r="O199" s="875"/>
      <c r="P199" s="875"/>
      <c r="Q199" s="877"/>
      <c r="R199" s="875"/>
      <c r="S199" s="875"/>
      <c r="T199" s="875"/>
      <c r="U199" s="876">
        <f t="shared" si="24"/>
        <v>4638</v>
      </c>
      <c r="V199" s="875">
        <f t="shared" si="24"/>
        <v>0</v>
      </c>
      <c r="W199" s="875">
        <f t="shared" si="23"/>
        <v>0</v>
      </c>
      <c r="X199" s="875">
        <f t="shared" si="23"/>
        <v>0</v>
      </c>
      <c r="Y199" s="877" t="s">
        <v>1226</v>
      </c>
      <c r="Z199" s="875">
        <f t="shared" si="22"/>
        <v>0</v>
      </c>
      <c r="AA199" s="875">
        <f t="shared" si="22"/>
        <v>4638</v>
      </c>
      <c r="AB199" s="875">
        <f t="shared" si="22"/>
        <v>0</v>
      </c>
      <c r="AC199" s="878"/>
      <c r="AD199" s="820"/>
    </row>
    <row r="200" spans="1:30" ht="31.5" x14ac:dyDescent="0.2">
      <c r="A200" s="618" t="s">
        <v>1229</v>
      </c>
      <c r="B200" s="619" t="s">
        <v>729</v>
      </c>
      <c r="C200" s="620">
        <v>244</v>
      </c>
      <c r="D200" s="620">
        <v>310</v>
      </c>
      <c r="E200" s="596">
        <f t="shared" si="21"/>
        <v>93768</v>
      </c>
      <c r="F200" s="595">
        <f>'Прилож 4 24 (5)'!V197</f>
        <v>0</v>
      </c>
      <c r="G200" s="595">
        <f>'Прилож 4 24 (5)'!W197</f>
        <v>0</v>
      </c>
      <c r="H200" s="595">
        <f>'Прилож 4 24 (5)'!X197</f>
        <v>0</v>
      </c>
      <c r="I200" s="621" t="s">
        <v>1226</v>
      </c>
      <c r="J200" s="595">
        <f>'Прилож 4 24 (5)'!Z197</f>
        <v>0</v>
      </c>
      <c r="K200" s="595">
        <f>'Прилож 4 24 (5)'!AA197</f>
        <v>93768</v>
      </c>
      <c r="L200" s="595">
        <f>'Прилож 4 24 (5)'!AB197</f>
        <v>0</v>
      </c>
      <c r="M200" s="876">
        <f t="shared" si="25"/>
        <v>0</v>
      </c>
      <c r="N200" s="875"/>
      <c r="O200" s="875"/>
      <c r="P200" s="875"/>
      <c r="Q200" s="877"/>
      <c r="R200" s="875"/>
      <c r="S200" s="875"/>
      <c r="T200" s="875"/>
      <c r="U200" s="876">
        <f t="shared" si="24"/>
        <v>93768</v>
      </c>
      <c r="V200" s="875">
        <f t="shared" si="24"/>
        <v>0</v>
      </c>
      <c r="W200" s="875">
        <f t="shared" si="23"/>
        <v>0</v>
      </c>
      <c r="X200" s="875">
        <f t="shared" si="23"/>
        <v>0</v>
      </c>
      <c r="Y200" s="877" t="s">
        <v>1226</v>
      </c>
      <c r="Z200" s="875">
        <f t="shared" si="22"/>
        <v>0</v>
      </c>
      <c r="AA200" s="875">
        <f t="shared" si="22"/>
        <v>93768</v>
      </c>
      <c r="AB200" s="875">
        <f t="shared" si="22"/>
        <v>0</v>
      </c>
      <c r="AC200" s="878"/>
    </row>
    <row r="201" spans="1:30" ht="48.75" customHeight="1" x14ac:dyDescent="0.2">
      <c r="A201" s="618" t="s">
        <v>1360</v>
      </c>
      <c r="B201" s="619" t="s">
        <v>729</v>
      </c>
      <c r="C201" s="620">
        <v>244</v>
      </c>
      <c r="D201" s="620">
        <v>310</v>
      </c>
      <c r="E201" s="596">
        <f t="shared" si="21"/>
        <v>100000</v>
      </c>
      <c r="F201" s="595">
        <f>'Прилож 4 24 (5)'!V198</f>
        <v>0</v>
      </c>
      <c r="G201" s="595">
        <f>'Прилож 4 24 (5)'!W198</f>
        <v>0</v>
      </c>
      <c r="H201" s="595">
        <f>'Прилож 4 24 (5)'!X198</f>
        <v>0</v>
      </c>
      <c r="I201" s="1020" t="s">
        <v>1226</v>
      </c>
      <c r="J201" s="595">
        <f>'Прилож 4 24 (5)'!Z198</f>
        <v>0</v>
      </c>
      <c r="K201" s="595">
        <f>'Прилож 4 24 (5)'!AA198</f>
        <v>100000</v>
      </c>
      <c r="L201" s="595">
        <f>'Прилож 4 24 (5)'!AB198</f>
        <v>0</v>
      </c>
      <c r="M201" s="876">
        <f t="shared" si="25"/>
        <v>0</v>
      </c>
      <c r="N201" s="875"/>
      <c r="O201" s="875"/>
      <c r="P201" s="875"/>
      <c r="Q201" s="877"/>
      <c r="R201" s="875"/>
      <c r="S201" s="875"/>
      <c r="T201" s="875"/>
      <c r="U201" s="876">
        <f t="shared" si="24"/>
        <v>100000</v>
      </c>
      <c r="V201" s="875">
        <f t="shared" si="24"/>
        <v>0</v>
      </c>
      <c r="W201" s="875">
        <f t="shared" si="23"/>
        <v>0</v>
      </c>
      <c r="X201" s="875">
        <f t="shared" si="23"/>
        <v>0</v>
      </c>
      <c r="Y201" s="877" t="s">
        <v>1226</v>
      </c>
      <c r="Z201" s="875">
        <f t="shared" si="22"/>
        <v>0</v>
      </c>
      <c r="AA201" s="875">
        <f t="shared" si="22"/>
        <v>100000</v>
      </c>
      <c r="AB201" s="875">
        <f t="shared" si="22"/>
        <v>0</v>
      </c>
      <c r="AC201" s="878"/>
    </row>
    <row r="202" spans="1:30" ht="54" customHeight="1" x14ac:dyDescent="0.2">
      <c r="A202" s="618" t="s">
        <v>1358</v>
      </c>
      <c r="B202" s="619" t="s">
        <v>729</v>
      </c>
      <c r="C202" s="620">
        <v>244</v>
      </c>
      <c r="D202" s="620">
        <v>310</v>
      </c>
      <c r="E202" s="596">
        <f t="shared" si="21"/>
        <v>107260</v>
      </c>
      <c r="F202" s="595">
        <f>'Прилож 4 24 (5)'!V199</f>
        <v>107260</v>
      </c>
      <c r="G202" s="595">
        <f>'Прилож 4 24 (5)'!W199</f>
        <v>0</v>
      </c>
      <c r="H202" s="595">
        <f>'Прилож 4 24 (5)'!X199</f>
        <v>0</v>
      </c>
      <c r="I202" s="621"/>
      <c r="J202" s="595">
        <f>'Прилож 4 24 (5)'!Z199</f>
        <v>0</v>
      </c>
      <c r="K202" s="595">
        <f>'Прилож 4 24 (5)'!AA199</f>
        <v>0</v>
      </c>
      <c r="L202" s="595">
        <f>'Прилож 4 24 (5)'!AB199</f>
        <v>0</v>
      </c>
      <c r="M202" s="876">
        <f t="shared" si="25"/>
        <v>0</v>
      </c>
      <c r="N202" s="875"/>
      <c r="O202" s="875"/>
      <c r="P202" s="875"/>
      <c r="Q202" s="877"/>
      <c r="R202" s="875"/>
      <c r="S202" s="875"/>
      <c r="T202" s="875"/>
      <c r="U202" s="876">
        <f t="shared" si="24"/>
        <v>107260</v>
      </c>
      <c r="V202" s="875">
        <f t="shared" si="24"/>
        <v>107260</v>
      </c>
      <c r="W202" s="875">
        <f t="shared" si="23"/>
        <v>0</v>
      </c>
      <c r="X202" s="875">
        <f t="shared" si="23"/>
        <v>0</v>
      </c>
      <c r="Y202" s="877"/>
      <c r="Z202" s="875">
        <f t="shared" si="22"/>
        <v>0</v>
      </c>
      <c r="AA202" s="875">
        <f t="shared" si="22"/>
        <v>0</v>
      </c>
      <c r="AB202" s="875">
        <f t="shared" si="22"/>
        <v>0</v>
      </c>
      <c r="AC202" s="878"/>
    </row>
    <row r="203" spans="1:30" ht="42" customHeight="1" x14ac:dyDescent="0.2">
      <c r="A203" s="618" t="s">
        <v>1359</v>
      </c>
      <c r="B203" s="619" t="s">
        <v>729</v>
      </c>
      <c r="C203" s="620">
        <v>244</v>
      </c>
      <c r="D203" s="620">
        <v>310</v>
      </c>
      <c r="E203" s="596">
        <f t="shared" si="21"/>
        <v>76990</v>
      </c>
      <c r="F203" s="595">
        <f>'Прилож 4 24 (5)'!V200</f>
        <v>76990</v>
      </c>
      <c r="G203" s="595">
        <f>'Прилож 4 24 (5)'!W200</f>
        <v>0</v>
      </c>
      <c r="H203" s="595">
        <f>'Прилож 4 24 (5)'!X200</f>
        <v>0</v>
      </c>
      <c r="I203" s="621"/>
      <c r="J203" s="595">
        <f>'Прилож 4 24 (5)'!Z200</f>
        <v>0</v>
      </c>
      <c r="K203" s="595">
        <f>'Прилож 4 24 (5)'!AA200</f>
        <v>0</v>
      </c>
      <c r="L203" s="595">
        <f>'Прилож 4 24 (5)'!AB200</f>
        <v>0</v>
      </c>
      <c r="M203" s="876">
        <f t="shared" si="25"/>
        <v>0</v>
      </c>
      <c r="N203" s="875"/>
      <c r="O203" s="875"/>
      <c r="P203" s="875"/>
      <c r="Q203" s="877"/>
      <c r="R203" s="875"/>
      <c r="S203" s="875"/>
      <c r="T203" s="875"/>
      <c r="U203" s="876">
        <f t="shared" si="24"/>
        <v>76990</v>
      </c>
      <c r="V203" s="875">
        <f t="shared" si="24"/>
        <v>76990</v>
      </c>
      <c r="W203" s="875">
        <f t="shared" si="23"/>
        <v>0</v>
      </c>
      <c r="X203" s="875">
        <f t="shared" si="23"/>
        <v>0</v>
      </c>
      <c r="Y203" s="877"/>
      <c r="Z203" s="875">
        <f t="shared" si="22"/>
        <v>0</v>
      </c>
      <c r="AA203" s="875">
        <f t="shared" si="22"/>
        <v>0</v>
      </c>
      <c r="AB203" s="875">
        <f t="shared" si="22"/>
        <v>0</v>
      </c>
      <c r="AC203" s="878"/>
    </row>
    <row r="204" spans="1:30" x14ac:dyDescent="0.2">
      <c r="A204" s="618" t="s">
        <v>1287</v>
      </c>
      <c r="B204" s="619" t="s">
        <v>729</v>
      </c>
      <c r="C204" s="620">
        <v>244</v>
      </c>
      <c r="D204" s="620">
        <v>310</v>
      </c>
      <c r="E204" s="596">
        <f t="shared" si="21"/>
        <v>1047727.51</v>
      </c>
      <c r="F204" s="595">
        <f>'Прилож 4 24 (5)'!V201</f>
        <v>845296.51</v>
      </c>
      <c r="G204" s="595">
        <f>'Прилож 4 24 (5)'!W201</f>
        <v>0</v>
      </c>
      <c r="H204" s="595">
        <f>'Прилож 4 24 (5)'!X201</f>
        <v>0</v>
      </c>
      <c r="I204" s="596">
        <f>SUM(I195:I197)</f>
        <v>0</v>
      </c>
      <c r="J204" s="595">
        <f>'Прилож 4 24 (5)'!Z201</f>
        <v>0</v>
      </c>
      <c r="K204" s="595">
        <f>'Прилож 4 24 (5)'!AA201</f>
        <v>202431</v>
      </c>
      <c r="L204" s="595">
        <f>'Прилож 4 24 (5)'!AB201</f>
        <v>0</v>
      </c>
      <c r="M204" s="876">
        <f t="shared" si="25"/>
        <v>-8370.2000000000007</v>
      </c>
      <c r="N204" s="876">
        <f>SUM(N195:N203)</f>
        <v>-8370.2000000000007</v>
      </c>
      <c r="O204" s="876"/>
      <c r="P204" s="876"/>
      <c r="Q204" s="876"/>
      <c r="R204" s="876"/>
      <c r="S204" s="876">
        <f>SUM(S195:S201)</f>
        <v>0</v>
      </c>
      <c r="T204" s="876">
        <f>SUM(T195:T201)</f>
        <v>0</v>
      </c>
      <c r="U204" s="876">
        <f t="shared" si="24"/>
        <v>1039357.31</v>
      </c>
      <c r="V204" s="875">
        <f t="shared" si="24"/>
        <v>836926.31</v>
      </c>
      <c r="W204" s="875">
        <f t="shared" si="23"/>
        <v>0</v>
      </c>
      <c r="X204" s="875">
        <f t="shared" si="23"/>
        <v>0</v>
      </c>
      <c r="Y204" s="876">
        <f>SUM(Y195:Y197)</f>
        <v>0</v>
      </c>
      <c r="Z204" s="875">
        <f t="shared" si="22"/>
        <v>0</v>
      </c>
      <c r="AA204" s="875">
        <f t="shared" si="22"/>
        <v>202431</v>
      </c>
      <c r="AB204" s="875">
        <f t="shared" si="22"/>
        <v>0</v>
      </c>
      <c r="AC204" s="876"/>
      <c r="AD204" s="820"/>
    </row>
    <row r="205" spans="1:30" s="614" customFormat="1" ht="29.25" customHeight="1" x14ac:dyDescent="0.2">
      <c r="A205" s="630" t="s">
        <v>741</v>
      </c>
      <c r="B205" s="631"/>
      <c r="C205" s="624"/>
      <c r="D205" s="624"/>
      <c r="E205" s="596">
        <f t="shared" si="21"/>
        <v>1331667.51</v>
      </c>
      <c r="F205" s="595">
        <f>'Прилож 4 24 (5)'!V202</f>
        <v>1129236.51</v>
      </c>
      <c r="G205" s="595">
        <f>'Прилож 4 24 (5)'!W202</f>
        <v>0</v>
      </c>
      <c r="H205" s="595">
        <f>'Прилож 4 24 (5)'!X202</f>
        <v>0</v>
      </c>
      <c r="I205" s="596">
        <f>I204+I194</f>
        <v>0</v>
      </c>
      <c r="J205" s="595">
        <f>'Прилож 4 24 (5)'!Z202</f>
        <v>0</v>
      </c>
      <c r="K205" s="595">
        <f>'Прилож 4 24 (5)'!AA202</f>
        <v>202431</v>
      </c>
      <c r="L205" s="595">
        <f>'Прилож 4 24 (5)'!AB202</f>
        <v>0</v>
      </c>
      <c r="M205" s="876">
        <f t="shared" si="25"/>
        <v>-8370.2000000000007</v>
      </c>
      <c r="N205" s="876">
        <f>N194+N204</f>
        <v>-8370.2000000000007</v>
      </c>
      <c r="O205" s="876"/>
      <c r="P205" s="876"/>
      <c r="Q205" s="876"/>
      <c r="R205" s="876"/>
      <c r="S205" s="876">
        <f>S194+S204</f>
        <v>0</v>
      </c>
      <c r="T205" s="876">
        <f>T194+T204</f>
        <v>0</v>
      </c>
      <c r="U205" s="876">
        <f t="shared" si="24"/>
        <v>1323297.31</v>
      </c>
      <c r="V205" s="875">
        <f t="shared" si="24"/>
        <v>1120866.31</v>
      </c>
      <c r="W205" s="875">
        <f t="shared" si="23"/>
        <v>0</v>
      </c>
      <c r="X205" s="875">
        <f t="shared" si="23"/>
        <v>0</v>
      </c>
      <c r="Y205" s="876">
        <f>Y204+Y194</f>
        <v>0</v>
      </c>
      <c r="Z205" s="875">
        <f t="shared" si="22"/>
        <v>0</v>
      </c>
      <c r="AA205" s="875">
        <f t="shared" si="22"/>
        <v>202431</v>
      </c>
      <c r="AB205" s="875">
        <f t="shared" si="22"/>
        <v>0</v>
      </c>
      <c r="AC205" s="876"/>
    </row>
    <row r="206" spans="1:30" x14ac:dyDescent="0.2">
      <c r="A206" s="618" t="s">
        <v>588</v>
      </c>
      <c r="B206" s="619" t="s">
        <v>747</v>
      </c>
      <c r="C206" s="620">
        <v>244</v>
      </c>
      <c r="D206" s="620">
        <v>341</v>
      </c>
      <c r="E206" s="596">
        <f t="shared" si="21"/>
        <v>0</v>
      </c>
      <c r="F206" s="595">
        <f>'Прилож 4 24 (5)'!V203</f>
        <v>0</v>
      </c>
      <c r="G206" s="595">
        <f>'Прилож 4 24 (5)'!W203</f>
        <v>0</v>
      </c>
      <c r="H206" s="595">
        <f>'Прилож 4 24 (5)'!X203</f>
        <v>0</v>
      </c>
      <c r="I206" s="621"/>
      <c r="J206" s="595">
        <f>'Прилож 4 24 (5)'!Z203</f>
        <v>0</v>
      </c>
      <c r="K206" s="595">
        <f>'Прилож 4 24 (5)'!AA203</f>
        <v>0</v>
      </c>
      <c r="L206" s="595">
        <f>'Прилож 4 24 (5)'!AB203</f>
        <v>0</v>
      </c>
      <c r="M206" s="876">
        <f t="shared" si="25"/>
        <v>0</v>
      </c>
      <c r="N206" s="875"/>
      <c r="O206" s="875"/>
      <c r="P206" s="875"/>
      <c r="Q206" s="894"/>
      <c r="R206" s="875"/>
      <c r="S206" s="875"/>
      <c r="T206" s="875"/>
      <c r="U206" s="876">
        <f t="shared" si="24"/>
        <v>0</v>
      </c>
      <c r="V206" s="875">
        <f t="shared" si="24"/>
        <v>0</v>
      </c>
      <c r="W206" s="875">
        <f t="shared" si="23"/>
        <v>0</v>
      </c>
      <c r="X206" s="875">
        <f t="shared" si="23"/>
        <v>0</v>
      </c>
      <c r="Y206" s="877"/>
      <c r="Z206" s="875">
        <f t="shared" si="22"/>
        <v>0</v>
      </c>
      <c r="AA206" s="875">
        <f t="shared" si="22"/>
        <v>0</v>
      </c>
      <c r="AB206" s="875">
        <f t="shared" si="22"/>
        <v>0</v>
      </c>
      <c r="AC206" s="878"/>
    </row>
    <row r="207" spans="1:30" x14ac:dyDescent="0.2">
      <c r="A207" s="618" t="s">
        <v>588</v>
      </c>
      <c r="B207" s="619" t="s">
        <v>729</v>
      </c>
      <c r="C207" s="620">
        <v>244</v>
      </c>
      <c r="D207" s="620">
        <v>341</v>
      </c>
      <c r="E207" s="596">
        <f t="shared" ref="E207:E241" si="29">L207+K207+J207+H207+G207+F207</f>
        <v>27315</v>
      </c>
      <c r="F207" s="595">
        <f>'Прилож 4 24 (5)'!V204</f>
        <v>0</v>
      </c>
      <c r="G207" s="595">
        <f>'Прилож 4 24 (5)'!W204</f>
        <v>0</v>
      </c>
      <c r="H207" s="595">
        <f>'Прилож 4 24 (5)'!X204</f>
        <v>13280</v>
      </c>
      <c r="I207" s="621" t="s">
        <v>1226</v>
      </c>
      <c r="J207" s="595">
        <f>'Прилож 4 24 (5)'!Z204</f>
        <v>0</v>
      </c>
      <c r="K207" s="595">
        <f>'Прилож 4 24 (5)'!AA204</f>
        <v>14035</v>
      </c>
      <c r="L207" s="595">
        <f>'Прилож 4 24 (5)'!AB204</f>
        <v>0</v>
      </c>
      <c r="M207" s="876">
        <f t="shared" si="25"/>
        <v>0</v>
      </c>
      <c r="N207" s="875"/>
      <c r="O207" s="875"/>
      <c r="P207" s="875"/>
      <c r="Q207" s="894"/>
      <c r="R207" s="875"/>
      <c r="S207" s="875"/>
      <c r="T207" s="875"/>
      <c r="U207" s="876">
        <f t="shared" si="24"/>
        <v>27315</v>
      </c>
      <c r="V207" s="875">
        <f t="shared" si="24"/>
        <v>0</v>
      </c>
      <c r="W207" s="875">
        <f t="shared" si="23"/>
        <v>0</v>
      </c>
      <c r="X207" s="875">
        <f t="shared" si="23"/>
        <v>13280</v>
      </c>
      <c r="Y207" s="877" t="s">
        <v>1226</v>
      </c>
      <c r="Z207" s="875">
        <f t="shared" si="22"/>
        <v>0</v>
      </c>
      <c r="AA207" s="875">
        <f t="shared" si="22"/>
        <v>14035</v>
      </c>
      <c r="AB207" s="875">
        <f t="shared" si="22"/>
        <v>0</v>
      </c>
      <c r="AC207" s="878"/>
    </row>
    <row r="208" spans="1:30" s="614" customFormat="1" ht="26.25" customHeight="1" x14ac:dyDescent="0.2">
      <c r="A208" s="630" t="s">
        <v>742</v>
      </c>
      <c r="B208" s="631"/>
      <c r="C208" s="624"/>
      <c r="D208" s="624"/>
      <c r="E208" s="596">
        <f t="shared" si="29"/>
        <v>27315</v>
      </c>
      <c r="F208" s="595">
        <f>'Прилож 4 24 (5)'!V205</f>
        <v>0</v>
      </c>
      <c r="G208" s="595">
        <f>'Прилож 4 24 (5)'!W205</f>
        <v>0</v>
      </c>
      <c r="H208" s="595">
        <f>'Прилож 4 24 (5)'!X205</f>
        <v>13280</v>
      </c>
      <c r="I208" s="626"/>
      <c r="J208" s="595">
        <f>'Прилож 4 24 (5)'!Z205</f>
        <v>0</v>
      </c>
      <c r="K208" s="595">
        <f>'Прилож 4 24 (5)'!AA205</f>
        <v>14035</v>
      </c>
      <c r="L208" s="595">
        <f>'Прилож 4 24 (5)'!AB205</f>
        <v>0</v>
      </c>
      <c r="M208" s="876">
        <f>N208+P208+R208+S208+T208+O208</f>
        <v>0</v>
      </c>
      <c r="N208" s="876"/>
      <c r="O208" s="876"/>
      <c r="P208" s="876">
        <f>P206+P207</f>
        <v>0</v>
      </c>
      <c r="Q208" s="881"/>
      <c r="R208" s="876"/>
      <c r="S208" s="876"/>
      <c r="T208" s="876"/>
      <c r="U208" s="876">
        <f t="shared" si="24"/>
        <v>27315</v>
      </c>
      <c r="V208" s="875">
        <f t="shared" si="24"/>
        <v>0</v>
      </c>
      <c r="W208" s="875">
        <f t="shared" si="23"/>
        <v>0</v>
      </c>
      <c r="X208" s="875">
        <f t="shared" si="23"/>
        <v>13280</v>
      </c>
      <c r="Y208" s="881"/>
      <c r="Z208" s="875">
        <f t="shared" si="22"/>
        <v>0</v>
      </c>
      <c r="AA208" s="875">
        <f t="shared" si="22"/>
        <v>14035</v>
      </c>
      <c r="AB208" s="875">
        <f t="shared" si="22"/>
        <v>0</v>
      </c>
      <c r="AC208" s="879"/>
    </row>
    <row r="209" spans="1:31" ht="45" customHeight="1" x14ac:dyDescent="0.2">
      <c r="A209" s="618" t="s">
        <v>788</v>
      </c>
      <c r="B209" s="619" t="s">
        <v>747</v>
      </c>
      <c r="C209" s="620">
        <v>244</v>
      </c>
      <c r="D209" s="620">
        <v>342</v>
      </c>
      <c r="E209" s="596">
        <f t="shared" si="29"/>
        <v>2008650</v>
      </c>
      <c r="F209" s="595">
        <f>'Прилож 4 24 (5)'!V206</f>
        <v>0</v>
      </c>
      <c r="G209" s="595">
        <f>'Прилож 4 24 (5)'!W206</f>
        <v>0</v>
      </c>
      <c r="H209" s="595">
        <f>'Прилож 4 24 (5)'!X206</f>
        <v>851020</v>
      </c>
      <c r="I209" s="628"/>
      <c r="J209" s="595">
        <f>'Прилож 4 24 (5)'!Z206</f>
        <v>0</v>
      </c>
      <c r="K209" s="595">
        <f>'Прилож 4 24 (5)'!AA206</f>
        <v>0</v>
      </c>
      <c r="L209" s="595">
        <f>'Прилож 4 24 (5)'!AB206</f>
        <v>1157630</v>
      </c>
      <c r="M209" s="876">
        <f t="shared" si="25"/>
        <v>0</v>
      </c>
      <c r="N209" s="875"/>
      <c r="O209" s="875"/>
      <c r="P209" s="875"/>
      <c r="Q209" s="877"/>
      <c r="R209" s="875"/>
      <c r="S209" s="875"/>
      <c r="T209" s="875"/>
      <c r="U209" s="876">
        <f t="shared" si="24"/>
        <v>2008650</v>
      </c>
      <c r="V209" s="875">
        <f t="shared" si="24"/>
        <v>0</v>
      </c>
      <c r="W209" s="875">
        <f t="shared" si="23"/>
        <v>0</v>
      </c>
      <c r="X209" s="875">
        <f t="shared" si="23"/>
        <v>851020</v>
      </c>
      <c r="Y209" s="883"/>
      <c r="Z209" s="875">
        <f t="shared" si="22"/>
        <v>0</v>
      </c>
      <c r="AA209" s="875">
        <f t="shared" si="22"/>
        <v>0</v>
      </c>
      <c r="AB209" s="875">
        <f t="shared" si="22"/>
        <v>1157630</v>
      </c>
      <c r="AC209" s="878"/>
    </row>
    <row r="210" spans="1:31" s="614" customFormat="1" ht="26.25" customHeight="1" x14ac:dyDescent="0.2">
      <c r="A210" s="630" t="s">
        <v>786</v>
      </c>
      <c r="B210" s="631"/>
      <c r="C210" s="624"/>
      <c r="D210" s="624"/>
      <c r="E210" s="596">
        <f t="shared" si="29"/>
        <v>2008650</v>
      </c>
      <c r="F210" s="595">
        <f>'Прилож 4 24 (5)'!V207</f>
        <v>0</v>
      </c>
      <c r="G210" s="595">
        <f>'Прилож 4 24 (5)'!W207</f>
        <v>0</v>
      </c>
      <c r="H210" s="595">
        <f>'Прилож 4 24 (5)'!X207</f>
        <v>851020</v>
      </c>
      <c r="I210" s="626"/>
      <c r="J210" s="595">
        <f>'Прилож 4 24 (5)'!Z207</f>
        <v>0</v>
      </c>
      <c r="K210" s="595">
        <f>'Прилож 4 24 (5)'!AA207</f>
        <v>0</v>
      </c>
      <c r="L210" s="595">
        <f>'Прилож 4 24 (5)'!AB207</f>
        <v>1157630</v>
      </c>
      <c r="M210" s="876">
        <f t="shared" si="25"/>
        <v>0</v>
      </c>
      <c r="N210" s="876"/>
      <c r="O210" s="876"/>
      <c r="P210" s="876"/>
      <c r="Q210" s="881"/>
      <c r="R210" s="876"/>
      <c r="S210" s="876"/>
      <c r="T210" s="876"/>
      <c r="U210" s="876">
        <f t="shared" si="24"/>
        <v>2008650</v>
      </c>
      <c r="V210" s="875">
        <f t="shared" si="24"/>
        <v>0</v>
      </c>
      <c r="W210" s="875">
        <f t="shared" si="23"/>
        <v>0</v>
      </c>
      <c r="X210" s="875">
        <f t="shared" si="23"/>
        <v>851020</v>
      </c>
      <c r="Y210" s="881"/>
      <c r="Z210" s="875">
        <f t="shared" si="22"/>
        <v>0</v>
      </c>
      <c r="AA210" s="875">
        <f t="shared" si="22"/>
        <v>0</v>
      </c>
      <c r="AB210" s="875">
        <f t="shared" si="22"/>
        <v>1157630</v>
      </c>
      <c r="AC210" s="879"/>
      <c r="AD210" s="818"/>
    </row>
    <row r="211" spans="1:31" ht="47.25" x14ac:dyDescent="0.2">
      <c r="A211" s="618" t="s">
        <v>793</v>
      </c>
      <c r="B211" s="619" t="s">
        <v>791</v>
      </c>
      <c r="C211" s="620">
        <v>244</v>
      </c>
      <c r="D211" s="620">
        <v>342</v>
      </c>
      <c r="E211" s="596">
        <f t="shared" si="29"/>
        <v>600000</v>
      </c>
      <c r="F211" s="595">
        <f>'Прилож 4 24 (5)'!V208</f>
        <v>600000</v>
      </c>
      <c r="G211" s="595">
        <f>'Прилож 4 24 (5)'!W208</f>
        <v>0</v>
      </c>
      <c r="H211" s="595">
        <f>'Прилож 4 24 (5)'!X208</f>
        <v>0</v>
      </c>
      <c r="I211" s="628"/>
      <c r="J211" s="595">
        <f>'Прилож 4 24 (5)'!Z208</f>
        <v>0</v>
      </c>
      <c r="K211" s="595">
        <f>'Прилож 4 24 (5)'!AA208</f>
        <v>0</v>
      </c>
      <c r="L211" s="595">
        <f>'Прилож 4 24 (5)'!AB208</f>
        <v>0</v>
      </c>
      <c r="M211" s="876">
        <f t="shared" si="25"/>
        <v>0</v>
      </c>
      <c r="N211" s="875"/>
      <c r="O211" s="875"/>
      <c r="P211" s="875"/>
      <c r="Q211" s="877"/>
      <c r="R211" s="875"/>
      <c r="S211" s="875"/>
      <c r="T211" s="875"/>
      <c r="U211" s="876">
        <f t="shared" si="24"/>
        <v>600000</v>
      </c>
      <c r="V211" s="875">
        <f t="shared" si="24"/>
        <v>600000</v>
      </c>
      <c r="W211" s="875">
        <f t="shared" si="23"/>
        <v>0</v>
      </c>
      <c r="X211" s="875">
        <f t="shared" si="23"/>
        <v>0</v>
      </c>
      <c r="Y211" s="883"/>
      <c r="Z211" s="875">
        <f t="shared" si="22"/>
        <v>0</v>
      </c>
      <c r="AA211" s="875">
        <f t="shared" si="22"/>
        <v>0</v>
      </c>
      <c r="AB211" s="875">
        <f t="shared" si="22"/>
        <v>0</v>
      </c>
      <c r="AC211" s="878"/>
    </row>
    <row r="212" spans="1:31" s="614" customFormat="1" x14ac:dyDescent="0.2">
      <c r="A212" s="630" t="s">
        <v>786</v>
      </c>
      <c r="B212" s="631"/>
      <c r="C212" s="624"/>
      <c r="D212" s="624"/>
      <c r="E212" s="596">
        <f t="shared" si="29"/>
        <v>600000</v>
      </c>
      <c r="F212" s="595">
        <f>'Прилож 4 24 (5)'!V209</f>
        <v>600000</v>
      </c>
      <c r="G212" s="595">
        <f>'Прилож 4 24 (5)'!W209</f>
        <v>0</v>
      </c>
      <c r="H212" s="595">
        <f>'Прилож 4 24 (5)'!X209</f>
        <v>0</v>
      </c>
      <c r="I212" s="626"/>
      <c r="J212" s="595">
        <f>'Прилож 4 24 (5)'!Z209</f>
        <v>0</v>
      </c>
      <c r="K212" s="595">
        <f>'Прилож 4 24 (5)'!AA209</f>
        <v>0</v>
      </c>
      <c r="L212" s="595">
        <f>'Прилож 4 24 (5)'!AB209</f>
        <v>0</v>
      </c>
      <c r="M212" s="876">
        <f t="shared" si="25"/>
        <v>0</v>
      </c>
      <c r="N212" s="876"/>
      <c r="O212" s="876"/>
      <c r="P212" s="876"/>
      <c r="Q212" s="881"/>
      <c r="R212" s="876"/>
      <c r="S212" s="876"/>
      <c r="T212" s="876"/>
      <c r="U212" s="876">
        <f t="shared" si="24"/>
        <v>600000</v>
      </c>
      <c r="V212" s="875">
        <f t="shared" si="24"/>
        <v>600000</v>
      </c>
      <c r="W212" s="875">
        <f t="shared" si="23"/>
        <v>0</v>
      </c>
      <c r="X212" s="875">
        <f t="shared" si="23"/>
        <v>0</v>
      </c>
      <c r="Y212" s="881"/>
      <c r="Z212" s="875">
        <f t="shared" si="22"/>
        <v>0</v>
      </c>
      <c r="AA212" s="875">
        <f t="shared" si="22"/>
        <v>0</v>
      </c>
      <c r="AB212" s="875">
        <f t="shared" si="22"/>
        <v>0</v>
      </c>
    </row>
    <row r="213" spans="1:31" ht="31.5" x14ac:dyDescent="0.2">
      <c r="A213" s="618" t="s">
        <v>621</v>
      </c>
      <c r="B213" s="619" t="s">
        <v>747</v>
      </c>
      <c r="C213" s="620">
        <v>244</v>
      </c>
      <c r="D213" s="620">
        <v>343</v>
      </c>
      <c r="E213" s="596">
        <f t="shared" si="29"/>
        <v>1000</v>
      </c>
      <c r="F213" s="595">
        <f>'Прилож 4 24 (5)'!V210</f>
        <v>0</v>
      </c>
      <c r="G213" s="595">
        <f>'Прилож 4 24 (5)'!W210</f>
        <v>0</v>
      </c>
      <c r="H213" s="595">
        <f>'Прилож 4 24 (5)'!X210</f>
        <v>1000</v>
      </c>
      <c r="I213" s="628"/>
      <c r="J213" s="595">
        <f>'Прилож 4 24 (5)'!Z210</f>
        <v>0</v>
      </c>
      <c r="K213" s="595">
        <f>'Прилож 4 24 (5)'!AA210</f>
        <v>0</v>
      </c>
      <c r="L213" s="595">
        <f>'Прилож 4 24 (5)'!AB210</f>
        <v>0</v>
      </c>
      <c r="M213" s="876">
        <f t="shared" si="25"/>
        <v>-744</v>
      </c>
      <c r="N213" s="875"/>
      <c r="O213" s="875"/>
      <c r="P213" s="875">
        <v>-744</v>
      </c>
      <c r="Q213" s="877"/>
      <c r="R213" s="875"/>
      <c r="S213" s="875"/>
      <c r="T213" s="875"/>
      <c r="U213" s="876">
        <f t="shared" si="24"/>
        <v>256</v>
      </c>
      <c r="V213" s="875">
        <f t="shared" si="24"/>
        <v>0</v>
      </c>
      <c r="W213" s="875">
        <f t="shared" si="23"/>
        <v>0</v>
      </c>
      <c r="X213" s="875">
        <f t="shared" si="23"/>
        <v>256</v>
      </c>
      <c r="Y213" s="883"/>
      <c r="Z213" s="875">
        <f t="shared" si="22"/>
        <v>0</v>
      </c>
      <c r="AA213" s="875">
        <f t="shared" si="22"/>
        <v>0</v>
      </c>
      <c r="AB213" s="875">
        <f t="shared" si="22"/>
        <v>0</v>
      </c>
      <c r="AC213" s="879" t="s">
        <v>1354</v>
      </c>
    </row>
    <row r="214" spans="1:31" ht="31.5" x14ac:dyDescent="0.2">
      <c r="A214" s="618" t="s">
        <v>1145</v>
      </c>
      <c r="B214" s="619" t="s">
        <v>729</v>
      </c>
      <c r="C214" s="620">
        <v>244</v>
      </c>
      <c r="D214" s="620">
        <v>343</v>
      </c>
      <c r="E214" s="596">
        <f t="shared" si="29"/>
        <v>210000</v>
      </c>
      <c r="F214" s="595">
        <f>'Прилож 4 24 (5)'!V211</f>
        <v>200000</v>
      </c>
      <c r="G214" s="595">
        <f>'Прилож 4 24 (5)'!W211</f>
        <v>0</v>
      </c>
      <c r="H214" s="595">
        <f>'Прилож 4 24 (5)'!X211</f>
        <v>10000</v>
      </c>
      <c r="I214" s="628"/>
      <c r="J214" s="595">
        <f>'Прилож 4 24 (5)'!Z211</f>
        <v>0</v>
      </c>
      <c r="K214" s="595">
        <f>'Прилож 4 24 (5)'!AA211</f>
        <v>0</v>
      </c>
      <c r="L214" s="595">
        <f>'Прилож 4 24 (5)'!AB211</f>
        <v>0</v>
      </c>
      <c r="M214" s="876">
        <f t="shared" si="25"/>
        <v>-9488</v>
      </c>
      <c r="N214" s="875"/>
      <c r="O214" s="875"/>
      <c r="P214" s="875">
        <v>-9488</v>
      </c>
      <c r="Q214" s="877"/>
      <c r="R214" s="875"/>
      <c r="S214" s="875"/>
      <c r="T214" s="875"/>
      <c r="U214" s="876">
        <f t="shared" si="24"/>
        <v>200512</v>
      </c>
      <c r="V214" s="875">
        <f t="shared" si="24"/>
        <v>200000</v>
      </c>
      <c r="W214" s="875">
        <f t="shared" si="23"/>
        <v>0</v>
      </c>
      <c r="X214" s="875">
        <f t="shared" si="23"/>
        <v>512</v>
      </c>
      <c r="Y214" s="883"/>
      <c r="Z214" s="875">
        <f t="shared" si="22"/>
        <v>0</v>
      </c>
      <c r="AA214" s="875">
        <f t="shared" si="22"/>
        <v>0</v>
      </c>
      <c r="AB214" s="875">
        <f t="shared" si="22"/>
        <v>0</v>
      </c>
      <c r="AC214" s="879" t="s">
        <v>1354</v>
      </c>
    </row>
    <row r="215" spans="1:31" s="614" customFormat="1" x14ac:dyDescent="0.2">
      <c r="A215" s="630" t="s">
        <v>879</v>
      </c>
      <c r="B215" s="631"/>
      <c r="C215" s="624"/>
      <c r="D215" s="624"/>
      <c r="E215" s="596">
        <f t="shared" si="29"/>
        <v>211000</v>
      </c>
      <c r="F215" s="595">
        <f>'Прилож 4 24 (5)'!V212</f>
        <v>200000</v>
      </c>
      <c r="G215" s="595">
        <f>'Прилож 4 24 (5)'!W212</f>
        <v>0</v>
      </c>
      <c r="H215" s="595">
        <f>'Прилож 4 24 (5)'!X212</f>
        <v>11000</v>
      </c>
      <c r="I215" s="626"/>
      <c r="J215" s="595">
        <f>'Прилож 4 24 (5)'!Z212</f>
        <v>0</v>
      </c>
      <c r="K215" s="595">
        <f>'Прилож 4 24 (5)'!AA212</f>
        <v>0</v>
      </c>
      <c r="L215" s="595">
        <f>'Прилож 4 24 (5)'!AB212</f>
        <v>0</v>
      </c>
      <c r="M215" s="876">
        <f t="shared" si="25"/>
        <v>-10232</v>
      </c>
      <c r="N215" s="876">
        <f>SUM(N213:N214)</f>
        <v>0</v>
      </c>
      <c r="O215" s="876"/>
      <c r="P215" s="876">
        <f>SUM(P213:P214)</f>
        <v>-10232</v>
      </c>
      <c r="Q215" s="881"/>
      <c r="R215" s="876"/>
      <c r="S215" s="876"/>
      <c r="T215" s="876"/>
      <c r="U215" s="876">
        <f t="shared" si="24"/>
        <v>200768</v>
      </c>
      <c r="V215" s="875">
        <f t="shared" si="24"/>
        <v>200000</v>
      </c>
      <c r="W215" s="875">
        <f t="shared" si="23"/>
        <v>0</v>
      </c>
      <c r="X215" s="875">
        <f t="shared" si="23"/>
        <v>768</v>
      </c>
      <c r="Y215" s="881"/>
      <c r="Z215" s="875">
        <f t="shared" si="22"/>
        <v>0</v>
      </c>
      <c r="AA215" s="875">
        <f t="shared" si="22"/>
        <v>0</v>
      </c>
      <c r="AB215" s="875">
        <f t="shared" si="22"/>
        <v>0</v>
      </c>
      <c r="AC215" s="879"/>
    </row>
    <row r="216" spans="1:31" s="614" customFormat="1" x14ac:dyDescent="0.2">
      <c r="A216" s="618" t="s">
        <v>941</v>
      </c>
      <c r="B216" s="619" t="s">
        <v>729</v>
      </c>
      <c r="C216" s="620">
        <v>244</v>
      </c>
      <c r="D216" s="620">
        <v>344</v>
      </c>
      <c r="E216" s="596">
        <f t="shared" si="29"/>
        <v>4892</v>
      </c>
      <c r="F216" s="595">
        <f>'Прилож 4 24 (5)'!V213</f>
        <v>0</v>
      </c>
      <c r="G216" s="595">
        <f>'Прилож 4 24 (5)'!W213</f>
        <v>0</v>
      </c>
      <c r="H216" s="595">
        <f>'Прилож 4 24 (5)'!X213</f>
        <v>4892</v>
      </c>
      <c r="I216" s="628"/>
      <c r="J216" s="595">
        <f>'Прилож 4 24 (5)'!Z213</f>
        <v>0</v>
      </c>
      <c r="K216" s="595">
        <f>'Прилож 4 24 (5)'!AA213</f>
        <v>0</v>
      </c>
      <c r="L216" s="595">
        <f>'Прилож 4 24 (5)'!AB213</f>
        <v>0</v>
      </c>
      <c r="M216" s="876">
        <f t="shared" si="25"/>
        <v>0</v>
      </c>
      <c r="N216" s="876"/>
      <c r="O216" s="876"/>
      <c r="P216" s="875"/>
      <c r="Q216" s="883"/>
      <c r="R216" s="876"/>
      <c r="S216" s="876"/>
      <c r="T216" s="875"/>
      <c r="U216" s="876">
        <f t="shared" si="24"/>
        <v>4892</v>
      </c>
      <c r="V216" s="875">
        <f t="shared" si="24"/>
        <v>0</v>
      </c>
      <c r="W216" s="875">
        <f t="shared" si="23"/>
        <v>0</v>
      </c>
      <c r="X216" s="875">
        <f t="shared" si="23"/>
        <v>4892</v>
      </c>
      <c r="Y216" s="883"/>
      <c r="Z216" s="875">
        <f t="shared" si="22"/>
        <v>0</v>
      </c>
      <c r="AA216" s="875">
        <f t="shared" si="22"/>
        <v>0</v>
      </c>
      <c r="AB216" s="875">
        <f t="shared" si="22"/>
        <v>0</v>
      </c>
      <c r="AC216" s="878"/>
    </row>
    <row r="217" spans="1:31" s="614" customFormat="1" x14ac:dyDescent="0.2">
      <c r="A217" s="630" t="s">
        <v>942</v>
      </c>
      <c r="B217" s="631"/>
      <c r="C217" s="624"/>
      <c r="D217" s="624"/>
      <c r="E217" s="596">
        <f t="shared" si="29"/>
        <v>4892</v>
      </c>
      <c r="F217" s="595">
        <f>'Прилож 4 24 (5)'!V214</f>
        <v>0</v>
      </c>
      <c r="G217" s="595">
        <f>'Прилож 4 24 (5)'!W214</f>
        <v>0</v>
      </c>
      <c r="H217" s="595">
        <f>'Прилож 4 24 (5)'!X214</f>
        <v>4892</v>
      </c>
      <c r="I217" s="626"/>
      <c r="J217" s="595">
        <f>'Прилож 4 24 (5)'!Z214</f>
        <v>0</v>
      </c>
      <c r="K217" s="595">
        <f>'Прилож 4 24 (5)'!AA214</f>
        <v>0</v>
      </c>
      <c r="L217" s="595">
        <f>'Прилож 4 24 (5)'!AB214</f>
        <v>0</v>
      </c>
      <c r="M217" s="876">
        <f t="shared" si="25"/>
        <v>0</v>
      </c>
      <c r="N217" s="876"/>
      <c r="O217" s="876"/>
      <c r="P217" s="876">
        <f>P216</f>
        <v>0</v>
      </c>
      <c r="Q217" s="881"/>
      <c r="R217" s="876"/>
      <c r="S217" s="876"/>
      <c r="T217" s="876"/>
      <c r="U217" s="876">
        <f t="shared" si="24"/>
        <v>4892</v>
      </c>
      <c r="V217" s="875">
        <f t="shared" si="24"/>
        <v>0</v>
      </c>
      <c r="W217" s="875">
        <f t="shared" si="23"/>
        <v>0</v>
      </c>
      <c r="X217" s="875">
        <f t="shared" si="23"/>
        <v>4892</v>
      </c>
      <c r="Y217" s="881"/>
      <c r="Z217" s="875">
        <f t="shared" ref="Z217:AB241" si="30">R217+J217</f>
        <v>0</v>
      </c>
      <c r="AA217" s="875">
        <f t="shared" si="30"/>
        <v>0</v>
      </c>
      <c r="AB217" s="875">
        <f t="shared" si="30"/>
        <v>0</v>
      </c>
      <c r="AC217" s="895"/>
    </row>
    <row r="218" spans="1:31" x14ac:dyDescent="0.2">
      <c r="A218" s="618" t="s">
        <v>169</v>
      </c>
      <c r="B218" s="619" t="s">
        <v>747</v>
      </c>
      <c r="C218" s="620">
        <v>244</v>
      </c>
      <c r="D218" s="620">
        <v>345</v>
      </c>
      <c r="E218" s="596">
        <f t="shared" si="29"/>
        <v>20000</v>
      </c>
      <c r="F218" s="595">
        <f>'Прилож 4 24 (5)'!V215</f>
        <v>0</v>
      </c>
      <c r="G218" s="595">
        <f>'Прилож 4 24 (5)'!W215</f>
        <v>0</v>
      </c>
      <c r="H218" s="595">
        <f>'Прилож 4 24 (5)'!X215</f>
        <v>0</v>
      </c>
      <c r="I218" s="628"/>
      <c r="J218" s="595">
        <f>'Прилож 4 24 (5)'!Z215</f>
        <v>0</v>
      </c>
      <c r="K218" s="595">
        <f>'Прилож 4 24 (5)'!AA215</f>
        <v>0</v>
      </c>
      <c r="L218" s="595">
        <f>'Прилож 4 24 (5)'!AB215</f>
        <v>20000</v>
      </c>
      <c r="M218" s="876">
        <f t="shared" si="25"/>
        <v>0</v>
      </c>
      <c r="N218" s="875"/>
      <c r="O218" s="875"/>
      <c r="P218" s="875"/>
      <c r="Q218" s="877"/>
      <c r="R218" s="875"/>
      <c r="S218" s="875"/>
      <c r="T218" s="875"/>
      <c r="U218" s="876">
        <f t="shared" si="24"/>
        <v>20000</v>
      </c>
      <c r="V218" s="875">
        <f t="shared" si="24"/>
        <v>0</v>
      </c>
      <c r="W218" s="875">
        <f t="shared" si="23"/>
        <v>0</v>
      </c>
      <c r="X218" s="875">
        <f t="shared" si="23"/>
        <v>0</v>
      </c>
      <c r="Y218" s="883"/>
      <c r="Z218" s="875">
        <f t="shared" si="30"/>
        <v>0</v>
      </c>
      <c r="AA218" s="875">
        <f t="shared" si="30"/>
        <v>0</v>
      </c>
      <c r="AB218" s="875">
        <f t="shared" si="30"/>
        <v>20000</v>
      </c>
      <c r="AC218" s="878"/>
    </row>
    <row r="219" spans="1:31" s="614" customFormat="1" ht="30" customHeight="1" x14ac:dyDescent="0.2">
      <c r="A219" s="630" t="s">
        <v>743</v>
      </c>
      <c r="B219" s="631"/>
      <c r="C219" s="624"/>
      <c r="D219" s="624"/>
      <c r="E219" s="596">
        <f t="shared" si="29"/>
        <v>20000</v>
      </c>
      <c r="F219" s="595">
        <f>'Прилож 4 24 (5)'!V216</f>
        <v>0</v>
      </c>
      <c r="G219" s="595">
        <f>'Прилож 4 24 (5)'!W216</f>
        <v>0</v>
      </c>
      <c r="H219" s="595">
        <f>'Прилож 4 24 (5)'!X216</f>
        <v>0</v>
      </c>
      <c r="I219" s="626"/>
      <c r="J219" s="595">
        <f>'Прилож 4 24 (5)'!Z216</f>
        <v>0</v>
      </c>
      <c r="K219" s="595">
        <f>'Прилож 4 24 (5)'!AA216</f>
        <v>0</v>
      </c>
      <c r="L219" s="595">
        <f>'Прилож 4 24 (5)'!AB216</f>
        <v>20000</v>
      </c>
      <c r="M219" s="876">
        <f t="shared" si="25"/>
        <v>0</v>
      </c>
      <c r="N219" s="876"/>
      <c r="O219" s="876"/>
      <c r="P219" s="876"/>
      <c r="Q219" s="881"/>
      <c r="R219" s="876"/>
      <c r="S219" s="876"/>
      <c r="T219" s="876"/>
      <c r="U219" s="876">
        <f t="shared" si="24"/>
        <v>20000</v>
      </c>
      <c r="V219" s="875">
        <f t="shared" si="24"/>
        <v>0</v>
      </c>
      <c r="W219" s="875">
        <f t="shared" si="23"/>
        <v>0</v>
      </c>
      <c r="X219" s="875">
        <f t="shared" si="23"/>
        <v>0</v>
      </c>
      <c r="Y219" s="881"/>
      <c r="Z219" s="875">
        <f t="shared" si="30"/>
        <v>0</v>
      </c>
      <c r="AA219" s="875">
        <f t="shared" si="30"/>
        <v>0</v>
      </c>
      <c r="AB219" s="875">
        <f t="shared" si="30"/>
        <v>20000</v>
      </c>
      <c r="AC219" s="879"/>
    </row>
    <row r="220" spans="1:31" ht="81.75" customHeight="1" x14ac:dyDescent="0.2">
      <c r="A220" s="618" t="s">
        <v>1301</v>
      </c>
      <c r="B220" s="619" t="s">
        <v>747</v>
      </c>
      <c r="C220" s="620">
        <v>244</v>
      </c>
      <c r="D220" s="620">
        <v>346</v>
      </c>
      <c r="E220" s="596">
        <f t="shared" si="29"/>
        <v>252618.76</v>
      </c>
      <c r="F220" s="595">
        <f>'Прилож 4 24 (5)'!V217</f>
        <v>80000</v>
      </c>
      <c r="G220" s="595">
        <f>'Прилож 4 24 (5)'!W217</f>
        <v>0</v>
      </c>
      <c r="H220" s="595">
        <f>'Прилож 4 24 (5)'!X217</f>
        <v>127471.05</v>
      </c>
      <c r="I220" s="621"/>
      <c r="J220" s="595">
        <f>'Прилож 4 24 (5)'!Z217</f>
        <v>0</v>
      </c>
      <c r="K220" s="595">
        <f>'Прилож 4 24 (5)'!AA217</f>
        <v>0</v>
      </c>
      <c r="L220" s="595">
        <f>'Прилож 4 24 (5)'!AB217</f>
        <v>45147.71</v>
      </c>
      <c r="M220" s="876">
        <f t="shared" si="25"/>
        <v>744</v>
      </c>
      <c r="N220" s="875"/>
      <c r="O220" s="875"/>
      <c r="P220" s="875">
        <v>744</v>
      </c>
      <c r="Q220" s="877"/>
      <c r="R220" s="875"/>
      <c r="S220" s="875"/>
      <c r="T220" s="875"/>
      <c r="U220" s="876">
        <f t="shared" si="24"/>
        <v>253362.76</v>
      </c>
      <c r="V220" s="875">
        <f t="shared" si="24"/>
        <v>80000</v>
      </c>
      <c r="W220" s="875">
        <f t="shared" si="23"/>
        <v>0</v>
      </c>
      <c r="X220" s="875">
        <f t="shared" si="23"/>
        <v>128215.05</v>
      </c>
      <c r="Y220" s="877"/>
      <c r="Z220" s="875">
        <f t="shared" si="30"/>
        <v>0</v>
      </c>
      <c r="AA220" s="875">
        <f t="shared" si="30"/>
        <v>0</v>
      </c>
      <c r="AB220" s="875">
        <f t="shared" si="30"/>
        <v>45147.71</v>
      </c>
      <c r="AC220" s="878" t="s">
        <v>1465</v>
      </c>
    </row>
    <row r="221" spans="1:31" ht="96" customHeight="1" x14ac:dyDescent="0.2">
      <c r="A221" s="618" t="s">
        <v>1311</v>
      </c>
      <c r="B221" s="619" t="s">
        <v>747</v>
      </c>
      <c r="C221" s="620">
        <v>244</v>
      </c>
      <c r="D221" s="620">
        <v>346</v>
      </c>
      <c r="E221" s="596">
        <f t="shared" si="29"/>
        <v>1130430.01</v>
      </c>
      <c r="F221" s="595">
        <f>'Прилож 4 24 (5)'!V218</f>
        <v>1130430.01</v>
      </c>
      <c r="G221" s="595">
        <f>'Прилож 4 24 (5)'!W218</f>
        <v>0</v>
      </c>
      <c r="H221" s="595">
        <f>'Прилож 4 24 (5)'!X218</f>
        <v>0</v>
      </c>
      <c r="I221" s="621"/>
      <c r="J221" s="595">
        <f>'Прилож 4 24 (5)'!Z218</f>
        <v>0</v>
      </c>
      <c r="K221" s="595">
        <f>'Прилож 4 24 (5)'!AA218</f>
        <v>0</v>
      </c>
      <c r="L221" s="595">
        <f>'Прилож 4 24 (5)'!AB218</f>
        <v>0</v>
      </c>
      <c r="M221" s="876">
        <f t="shared" si="25"/>
        <v>0</v>
      </c>
      <c r="N221" s="875"/>
      <c r="O221" s="875"/>
      <c r="P221" s="875"/>
      <c r="Q221" s="877"/>
      <c r="R221" s="875"/>
      <c r="S221" s="875"/>
      <c r="T221" s="875"/>
      <c r="U221" s="876">
        <f t="shared" si="24"/>
        <v>1130430.01</v>
      </c>
      <c r="V221" s="875">
        <f t="shared" si="24"/>
        <v>1130430.01</v>
      </c>
      <c r="W221" s="875">
        <f t="shared" si="23"/>
        <v>0</v>
      </c>
      <c r="X221" s="875">
        <f t="shared" si="23"/>
        <v>0</v>
      </c>
      <c r="Y221" s="877"/>
      <c r="Z221" s="875">
        <f t="shared" si="30"/>
        <v>0</v>
      </c>
      <c r="AA221" s="875">
        <f t="shared" si="30"/>
        <v>0</v>
      </c>
      <c r="AB221" s="875">
        <f t="shared" si="30"/>
        <v>0</v>
      </c>
      <c r="AC221" s="878"/>
      <c r="AD221" s="820"/>
    </row>
    <row r="222" spans="1:31" ht="48" customHeight="1" x14ac:dyDescent="0.2">
      <c r="A222" s="618" t="s">
        <v>1419</v>
      </c>
      <c r="B222" s="619" t="s">
        <v>747</v>
      </c>
      <c r="C222" s="620">
        <v>244</v>
      </c>
      <c r="D222" s="620">
        <v>346</v>
      </c>
      <c r="E222" s="596">
        <f t="shared" si="29"/>
        <v>30000</v>
      </c>
      <c r="F222" s="595">
        <f>'Прилож 4 24 (5)'!V219</f>
        <v>30000</v>
      </c>
      <c r="G222" s="595">
        <f>'Прилож 4 24 (5)'!W219</f>
        <v>0</v>
      </c>
      <c r="H222" s="595">
        <f>'Прилож 4 24 (5)'!X219</f>
        <v>0</v>
      </c>
      <c r="I222" s="621"/>
      <c r="J222" s="595">
        <f>'Прилож 4 24 (5)'!Z219</f>
        <v>0</v>
      </c>
      <c r="K222" s="595">
        <f>'Прилож 4 24 (5)'!AA219</f>
        <v>0</v>
      </c>
      <c r="L222" s="595">
        <f>'Прилож 4 24 (5)'!AB219</f>
        <v>0</v>
      </c>
      <c r="M222" s="876">
        <f t="shared" si="25"/>
        <v>0</v>
      </c>
      <c r="N222" s="875"/>
      <c r="O222" s="875"/>
      <c r="P222" s="875"/>
      <c r="Q222" s="877"/>
      <c r="R222" s="875"/>
      <c r="S222" s="875"/>
      <c r="T222" s="875"/>
      <c r="U222" s="876">
        <f t="shared" si="24"/>
        <v>30000</v>
      </c>
      <c r="V222" s="875">
        <f t="shared" si="24"/>
        <v>30000</v>
      </c>
      <c r="W222" s="875">
        <f t="shared" si="23"/>
        <v>0</v>
      </c>
      <c r="X222" s="875">
        <f t="shared" si="23"/>
        <v>0</v>
      </c>
      <c r="Y222" s="877"/>
      <c r="Z222" s="875">
        <f t="shared" si="30"/>
        <v>0</v>
      </c>
      <c r="AA222" s="875">
        <f t="shared" si="30"/>
        <v>0</v>
      </c>
      <c r="AB222" s="875">
        <f t="shared" si="30"/>
        <v>0</v>
      </c>
      <c r="AC222" s="878"/>
      <c r="AD222" s="820"/>
    </row>
    <row r="223" spans="1:31" ht="42.75" customHeight="1" x14ac:dyDescent="0.2">
      <c r="A223" s="618" t="s">
        <v>1293</v>
      </c>
      <c r="B223" s="619" t="s">
        <v>747</v>
      </c>
      <c r="C223" s="620">
        <v>244</v>
      </c>
      <c r="D223" s="620">
        <v>346</v>
      </c>
      <c r="E223" s="596">
        <f t="shared" si="29"/>
        <v>12000</v>
      </c>
      <c r="F223" s="595">
        <f>'Прилож 4 24 (5)'!V220</f>
        <v>0</v>
      </c>
      <c r="G223" s="595">
        <f>'Прилож 4 24 (5)'!W220</f>
        <v>0</v>
      </c>
      <c r="H223" s="595">
        <f>'Прилож 4 24 (5)'!X220</f>
        <v>0</v>
      </c>
      <c r="I223" s="621"/>
      <c r="J223" s="595">
        <f>'Прилож 4 24 (5)'!Z220</f>
        <v>0</v>
      </c>
      <c r="K223" s="595">
        <f>'Прилож 4 24 (5)'!AA220</f>
        <v>0</v>
      </c>
      <c r="L223" s="595">
        <f>'Прилож 4 24 (5)'!AB220</f>
        <v>12000</v>
      </c>
      <c r="M223" s="876">
        <f t="shared" si="25"/>
        <v>0</v>
      </c>
      <c r="N223" s="875"/>
      <c r="O223" s="875"/>
      <c r="P223" s="875"/>
      <c r="Q223" s="877"/>
      <c r="R223" s="875"/>
      <c r="S223" s="875"/>
      <c r="T223" s="875"/>
      <c r="U223" s="876">
        <f t="shared" si="24"/>
        <v>12000</v>
      </c>
      <c r="V223" s="875">
        <f t="shared" si="24"/>
        <v>0</v>
      </c>
      <c r="W223" s="875">
        <f t="shared" si="23"/>
        <v>0</v>
      </c>
      <c r="X223" s="875">
        <f t="shared" si="23"/>
        <v>0</v>
      </c>
      <c r="Y223" s="877"/>
      <c r="Z223" s="875">
        <f t="shared" si="30"/>
        <v>0</v>
      </c>
      <c r="AA223" s="875">
        <f t="shared" si="30"/>
        <v>0</v>
      </c>
      <c r="AB223" s="875">
        <f t="shared" si="30"/>
        <v>12000</v>
      </c>
      <c r="AC223" s="878"/>
      <c r="AD223" s="820"/>
    </row>
    <row r="224" spans="1:31" s="637" customFormat="1" ht="19.5" customHeight="1" x14ac:dyDescent="0.2">
      <c r="A224" s="632" t="s">
        <v>1143</v>
      </c>
      <c r="B224" s="633" t="s">
        <v>747</v>
      </c>
      <c r="C224" s="634">
        <v>244</v>
      </c>
      <c r="D224" s="634">
        <v>346</v>
      </c>
      <c r="E224" s="596">
        <f t="shared" si="29"/>
        <v>1425048.77</v>
      </c>
      <c r="F224" s="595">
        <f>'Прилож 4 24 (5)'!V221</f>
        <v>1240430.01</v>
      </c>
      <c r="G224" s="595">
        <f>'Прилож 4 24 (5)'!W221</f>
        <v>0</v>
      </c>
      <c r="H224" s="595">
        <f>'Прилож 4 24 (5)'!X221</f>
        <v>127471.05</v>
      </c>
      <c r="I224" s="597">
        <f t="shared" ref="I224" si="31">SUM(I220:I223)</f>
        <v>0</v>
      </c>
      <c r="J224" s="595">
        <f>'Прилож 4 24 (5)'!Z221</f>
        <v>0</v>
      </c>
      <c r="K224" s="595">
        <f>'Прилож 4 24 (5)'!AA221</f>
        <v>0</v>
      </c>
      <c r="L224" s="595">
        <f>'Прилож 4 24 (5)'!AB221</f>
        <v>57147.71</v>
      </c>
      <c r="M224" s="876">
        <f t="shared" si="25"/>
        <v>744</v>
      </c>
      <c r="N224" s="876">
        <f>SUM(N220:N223)</f>
        <v>0</v>
      </c>
      <c r="O224" s="876"/>
      <c r="P224" s="876">
        <f>SUM(P220:P223)</f>
        <v>744</v>
      </c>
      <c r="Q224" s="876"/>
      <c r="R224" s="876"/>
      <c r="S224" s="876"/>
      <c r="T224" s="876"/>
      <c r="U224" s="876">
        <f t="shared" si="24"/>
        <v>1425792.77</v>
      </c>
      <c r="V224" s="875">
        <f t="shared" si="24"/>
        <v>1240430.01</v>
      </c>
      <c r="W224" s="875">
        <f t="shared" si="23"/>
        <v>0</v>
      </c>
      <c r="X224" s="875">
        <f t="shared" si="23"/>
        <v>128215.05</v>
      </c>
      <c r="Y224" s="884">
        <f t="shared" ref="Y224" si="32">SUM(Y220:Y223)</f>
        <v>0</v>
      </c>
      <c r="Z224" s="875">
        <f t="shared" si="30"/>
        <v>0</v>
      </c>
      <c r="AA224" s="875">
        <f t="shared" si="30"/>
        <v>0</v>
      </c>
      <c r="AB224" s="875">
        <f t="shared" si="30"/>
        <v>57147.71</v>
      </c>
      <c r="AC224" s="886"/>
      <c r="AD224" s="819"/>
      <c r="AE224" s="819"/>
    </row>
    <row r="225" spans="1:30" ht="51.75" customHeight="1" x14ac:dyDescent="0.2">
      <c r="A225" s="618" t="s">
        <v>1423</v>
      </c>
      <c r="B225" s="619" t="s">
        <v>729</v>
      </c>
      <c r="C225" s="620">
        <v>244</v>
      </c>
      <c r="D225" s="620">
        <v>346</v>
      </c>
      <c r="E225" s="596">
        <f t="shared" si="29"/>
        <v>102423.97</v>
      </c>
      <c r="F225" s="595">
        <f>'Прилож 4 24 (5)'!V222</f>
        <v>0</v>
      </c>
      <c r="G225" s="595">
        <f>'Прилож 4 24 (5)'!W222</f>
        <v>0</v>
      </c>
      <c r="H225" s="595">
        <f>'Прилож 4 24 (5)'!X222</f>
        <v>87913.900000000009</v>
      </c>
      <c r="I225" s="621"/>
      <c r="J225" s="595">
        <f>'Прилож 4 24 (5)'!Z222</f>
        <v>0</v>
      </c>
      <c r="K225" s="595">
        <f>'Прилож 4 24 (5)'!AA222</f>
        <v>0</v>
      </c>
      <c r="L225" s="595">
        <f>'Прилож 4 24 (5)'!AB222</f>
        <v>14510.07</v>
      </c>
      <c r="M225" s="876">
        <f t="shared" si="25"/>
        <v>0</v>
      </c>
      <c r="N225" s="875"/>
      <c r="O225" s="875"/>
      <c r="P225" s="875"/>
      <c r="Q225" s="877"/>
      <c r="R225" s="875"/>
      <c r="S225" s="875"/>
      <c r="T225" s="875"/>
      <c r="U225" s="876">
        <f t="shared" si="24"/>
        <v>102423.97</v>
      </c>
      <c r="V225" s="875">
        <f t="shared" si="24"/>
        <v>0</v>
      </c>
      <c r="W225" s="875">
        <f t="shared" si="23"/>
        <v>0</v>
      </c>
      <c r="X225" s="875">
        <f t="shared" si="23"/>
        <v>87913.900000000009</v>
      </c>
      <c r="Y225" s="877"/>
      <c r="Z225" s="875">
        <f t="shared" si="30"/>
        <v>0</v>
      </c>
      <c r="AA225" s="875">
        <f t="shared" si="30"/>
        <v>0</v>
      </c>
      <c r="AB225" s="875">
        <f t="shared" si="30"/>
        <v>14510.07</v>
      </c>
      <c r="AC225" s="878"/>
    </row>
    <row r="226" spans="1:30" ht="33" customHeight="1" x14ac:dyDescent="0.2">
      <c r="A226" s="618" t="s">
        <v>617</v>
      </c>
      <c r="B226" s="619" t="s">
        <v>729</v>
      </c>
      <c r="C226" s="620">
        <v>244</v>
      </c>
      <c r="D226" s="620">
        <v>346</v>
      </c>
      <c r="E226" s="596">
        <f t="shared" si="29"/>
        <v>43015</v>
      </c>
      <c r="F226" s="595">
        <f>'Прилож 4 24 (5)'!V223</f>
        <v>0</v>
      </c>
      <c r="G226" s="595">
        <f>'Прилож 4 24 (5)'!W223</f>
        <v>0</v>
      </c>
      <c r="H226" s="595">
        <f>'Прилож 4 24 (5)'!X223</f>
        <v>43015</v>
      </c>
      <c r="I226" s="621"/>
      <c r="J226" s="595">
        <f>'Прилож 4 24 (5)'!Z223</f>
        <v>0</v>
      </c>
      <c r="K226" s="595">
        <f>'Прилож 4 24 (5)'!AA223</f>
        <v>0</v>
      </c>
      <c r="L226" s="595">
        <f>'Прилож 4 24 (5)'!AB223</f>
        <v>0</v>
      </c>
      <c r="M226" s="876">
        <f t="shared" si="25"/>
        <v>0</v>
      </c>
      <c r="N226" s="875"/>
      <c r="O226" s="875"/>
      <c r="P226" s="875"/>
      <c r="Q226" s="877"/>
      <c r="R226" s="875"/>
      <c r="S226" s="875"/>
      <c r="T226" s="875"/>
      <c r="U226" s="876">
        <f t="shared" si="24"/>
        <v>43015</v>
      </c>
      <c r="V226" s="875">
        <f t="shared" si="24"/>
        <v>0</v>
      </c>
      <c r="W226" s="875">
        <f t="shared" si="23"/>
        <v>0</v>
      </c>
      <c r="X226" s="875">
        <f t="shared" si="23"/>
        <v>43015</v>
      </c>
      <c r="Y226" s="877"/>
      <c r="Z226" s="875">
        <f t="shared" si="30"/>
        <v>0</v>
      </c>
      <c r="AA226" s="875">
        <f t="shared" si="30"/>
        <v>0</v>
      </c>
      <c r="AB226" s="875">
        <f t="shared" si="30"/>
        <v>0</v>
      </c>
      <c r="AC226" s="878"/>
    </row>
    <row r="227" spans="1:30" ht="34.5" customHeight="1" x14ac:dyDescent="0.2">
      <c r="A227" s="618" t="s">
        <v>1427</v>
      </c>
      <c r="B227" s="619" t="s">
        <v>729</v>
      </c>
      <c r="C227" s="620">
        <v>244</v>
      </c>
      <c r="D227" s="620">
        <v>346</v>
      </c>
      <c r="E227" s="596">
        <f t="shared" si="29"/>
        <v>10000</v>
      </c>
      <c r="F227" s="595">
        <f>'Прилож 4 24 (5)'!V224</f>
        <v>10000</v>
      </c>
      <c r="G227" s="595">
        <f>'Прилож 4 24 (5)'!W224</f>
        <v>0</v>
      </c>
      <c r="H227" s="595">
        <f>'Прилож 4 24 (5)'!X224</f>
        <v>0</v>
      </c>
      <c r="I227" s="621"/>
      <c r="J227" s="595">
        <f>'Прилож 4 24 (5)'!Z224</f>
        <v>0</v>
      </c>
      <c r="K227" s="595">
        <f>'Прилож 4 24 (5)'!AA224</f>
        <v>0</v>
      </c>
      <c r="L227" s="595">
        <f>'Прилож 4 24 (5)'!AB224</f>
        <v>0</v>
      </c>
      <c r="M227" s="876"/>
      <c r="N227" s="875"/>
      <c r="O227" s="875"/>
      <c r="P227" s="875"/>
      <c r="Q227" s="877"/>
      <c r="R227" s="875"/>
      <c r="S227" s="875"/>
      <c r="T227" s="875"/>
      <c r="U227" s="876">
        <f t="shared" si="24"/>
        <v>10000</v>
      </c>
      <c r="V227" s="875">
        <f t="shared" si="24"/>
        <v>10000</v>
      </c>
      <c r="W227" s="875">
        <f t="shared" si="23"/>
        <v>0</v>
      </c>
      <c r="X227" s="875">
        <f t="shared" si="23"/>
        <v>0</v>
      </c>
      <c r="Y227" s="877"/>
      <c r="Z227" s="875">
        <f t="shared" si="30"/>
        <v>0</v>
      </c>
      <c r="AA227" s="875">
        <f t="shared" si="30"/>
        <v>0</v>
      </c>
      <c r="AB227" s="875">
        <f t="shared" si="30"/>
        <v>0</v>
      </c>
      <c r="AC227" s="878"/>
    </row>
    <row r="228" spans="1:30" ht="39" customHeight="1" x14ac:dyDescent="0.2">
      <c r="A228" s="618" t="s">
        <v>1285</v>
      </c>
      <c r="B228" s="619" t="s">
        <v>729</v>
      </c>
      <c r="C228" s="620">
        <v>244</v>
      </c>
      <c r="D228" s="620">
        <v>346</v>
      </c>
      <c r="E228" s="596">
        <f t="shared" si="29"/>
        <v>50000</v>
      </c>
      <c r="F228" s="595">
        <f>'Прилож 4 24 (5)'!V225</f>
        <v>50000</v>
      </c>
      <c r="G228" s="595">
        <f>'Прилож 4 24 (5)'!W225</f>
        <v>0</v>
      </c>
      <c r="H228" s="595">
        <f>'Прилож 4 24 (5)'!X225</f>
        <v>0</v>
      </c>
      <c r="I228" s="621"/>
      <c r="J228" s="595">
        <f>'Прилож 4 24 (5)'!Z225</f>
        <v>0</v>
      </c>
      <c r="K228" s="595">
        <f>'Прилож 4 24 (5)'!AA225</f>
        <v>0</v>
      </c>
      <c r="L228" s="595">
        <f>'Прилож 4 24 (5)'!AB225</f>
        <v>0</v>
      </c>
      <c r="M228" s="876">
        <f t="shared" si="25"/>
        <v>0</v>
      </c>
      <c r="N228" s="875"/>
      <c r="O228" s="875"/>
      <c r="P228" s="875"/>
      <c r="Q228" s="877"/>
      <c r="R228" s="875"/>
      <c r="S228" s="875"/>
      <c r="T228" s="875"/>
      <c r="U228" s="876">
        <f t="shared" si="24"/>
        <v>50000</v>
      </c>
      <c r="V228" s="875">
        <f t="shared" si="24"/>
        <v>50000</v>
      </c>
      <c r="W228" s="875">
        <f t="shared" si="23"/>
        <v>0</v>
      </c>
      <c r="X228" s="875">
        <f t="shared" si="23"/>
        <v>0</v>
      </c>
      <c r="Y228" s="877"/>
      <c r="Z228" s="875">
        <f t="shared" si="30"/>
        <v>0</v>
      </c>
      <c r="AA228" s="875">
        <f t="shared" si="30"/>
        <v>0</v>
      </c>
      <c r="AB228" s="875">
        <f t="shared" si="30"/>
        <v>0</v>
      </c>
      <c r="AC228" s="878"/>
    </row>
    <row r="229" spans="1:30" ht="50.25" customHeight="1" x14ac:dyDescent="0.2">
      <c r="A229" s="618" t="s">
        <v>1286</v>
      </c>
      <c r="B229" s="619" t="s">
        <v>729</v>
      </c>
      <c r="C229" s="620">
        <v>244</v>
      </c>
      <c r="D229" s="620">
        <v>346</v>
      </c>
      <c r="E229" s="596">
        <f t="shared" si="29"/>
        <v>90181.760000000009</v>
      </c>
      <c r="F229" s="595">
        <f>'Прилож 4 24 (5)'!V226</f>
        <v>90181.760000000009</v>
      </c>
      <c r="G229" s="595">
        <f>'Прилож 4 24 (5)'!W226</f>
        <v>0</v>
      </c>
      <c r="H229" s="595">
        <f>'Прилож 4 24 (5)'!X226</f>
        <v>0</v>
      </c>
      <c r="I229" s="621"/>
      <c r="J229" s="595">
        <f>'Прилож 4 24 (5)'!Z226</f>
        <v>0</v>
      </c>
      <c r="K229" s="595">
        <f>'Прилож 4 24 (5)'!AA226</f>
        <v>0</v>
      </c>
      <c r="L229" s="595">
        <f>'Прилож 4 24 (5)'!AB226</f>
        <v>0</v>
      </c>
      <c r="M229" s="876">
        <f t="shared" si="25"/>
        <v>0</v>
      </c>
      <c r="N229" s="875"/>
      <c r="O229" s="875"/>
      <c r="P229" s="875"/>
      <c r="Q229" s="877"/>
      <c r="R229" s="875"/>
      <c r="S229" s="875"/>
      <c r="T229" s="875"/>
      <c r="U229" s="876">
        <f t="shared" si="24"/>
        <v>90181.760000000009</v>
      </c>
      <c r="V229" s="875">
        <f t="shared" si="24"/>
        <v>90181.760000000009</v>
      </c>
      <c r="W229" s="875">
        <f t="shared" si="23"/>
        <v>0</v>
      </c>
      <c r="X229" s="875">
        <f t="shared" si="23"/>
        <v>0</v>
      </c>
      <c r="Y229" s="877"/>
      <c r="Z229" s="875">
        <f t="shared" si="30"/>
        <v>0</v>
      </c>
      <c r="AA229" s="875">
        <f t="shared" si="30"/>
        <v>0</v>
      </c>
      <c r="AB229" s="875">
        <f t="shared" si="30"/>
        <v>0</v>
      </c>
      <c r="AC229" s="878"/>
    </row>
    <row r="230" spans="1:30" ht="44.25" customHeight="1" x14ac:dyDescent="0.2">
      <c r="A230" s="618" t="s">
        <v>1421</v>
      </c>
      <c r="B230" s="619" t="s">
        <v>729</v>
      </c>
      <c r="C230" s="620">
        <v>244</v>
      </c>
      <c r="D230" s="620">
        <v>346</v>
      </c>
      <c r="E230" s="596">
        <f t="shared" si="29"/>
        <v>9550</v>
      </c>
      <c r="F230" s="595">
        <f>'Прилож 4 24 (5)'!V227</f>
        <v>9550</v>
      </c>
      <c r="G230" s="595">
        <f>'Прилож 4 24 (5)'!W227</f>
        <v>0</v>
      </c>
      <c r="H230" s="595">
        <f>'Прилож 4 24 (5)'!X227</f>
        <v>0</v>
      </c>
      <c r="I230" s="621"/>
      <c r="J230" s="595">
        <f>'Прилож 4 24 (5)'!Z227</f>
        <v>0</v>
      </c>
      <c r="K230" s="595">
        <f>'Прилож 4 24 (5)'!AA227</f>
        <v>0</v>
      </c>
      <c r="L230" s="595">
        <f>'Прилож 4 24 (5)'!AB227</f>
        <v>0</v>
      </c>
      <c r="M230" s="876">
        <f t="shared" si="25"/>
        <v>0</v>
      </c>
      <c r="N230" s="875"/>
      <c r="O230" s="875"/>
      <c r="P230" s="875"/>
      <c r="Q230" s="877"/>
      <c r="R230" s="875"/>
      <c r="S230" s="875"/>
      <c r="T230" s="875"/>
      <c r="U230" s="876">
        <f t="shared" si="24"/>
        <v>9550</v>
      </c>
      <c r="V230" s="875">
        <f t="shared" si="24"/>
        <v>9550</v>
      </c>
      <c r="W230" s="875"/>
      <c r="X230" s="875"/>
      <c r="Y230" s="877"/>
      <c r="Z230" s="875"/>
      <c r="AA230" s="875"/>
      <c r="AB230" s="875"/>
      <c r="AC230" s="878"/>
    </row>
    <row r="231" spans="1:30" ht="39.75" customHeight="1" x14ac:dyDescent="0.2">
      <c r="A231" s="618" t="s">
        <v>1422</v>
      </c>
      <c r="B231" s="619" t="s">
        <v>729</v>
      </c>
      <c r="C231" s="620">
        <v>244</v>
      </c>
      <c r="D231" s="620">
        <v>346</v>
      </c>
      <c r="E231" s="596">
        <f t="shared" si="29"/>
        <v>27035</v>
      </c>
      <c r="F231" s="595">
        <f>'Прилож 4 24 (5)'!V228</f>
        <v>27035</v>
      </c>
      <c r="G231" s="595">
        <f>'Прилож 4 24 (5)'!W228</f>
        <v>0</v>
      </c>
      <c r="H231" s="595">
        <f>'Прилож 4 24 (5)'!X228</f>
        <v>0</v>
      </c>
      <c r="I231" s="621"/>
      <c r="J231" s="595">
        <f>'Прилож 4 24 (5)'!Z228</f>
        <v>0</v>
      </c>
      <c r="K231" s="595">
        <f>'Прилож 4 24 (5)'!AA228</f>
        <v>0</v>
      </c>
      <c r="L231" s="595">
        <f>'Прилож 4 24 (5)'!AB228</f>
        <v>0</v>
      </c>
      <c r="M231" s="876">
        <f t="shared" si="25"/>
        <v>0</v>
      </c>
      <c r="N231" s="875"/>
      <c r="O231" s="875"/>
      <c r="P231" s="875"/>
      <c r="Q231" s="877"/>
      <c r="R231" s="875"/>
      <c r="S231" s="875"/>
      <c r="T231" s="875"/>
      <c r="U231" s="876">
        <f t="shared" si="24"/>
        <v>27035</v>
      </c>
      <c r="V231" s="875">
        <f t="shared" si="24"/>
        <v>27035</v>
      </c>
      <c r="W231" s="875">
        <f t="shared" si="23"/>
        <v>0</v>
      </c>
      <c r="X231" s="875">
        <f t="shared" si="23"/>
        <v>0</v>
      </c>
      <c r="Y231" s="877"/>
      <c r="Z231" s="875">
        <f t="shared" si="30"/>
        <v>0</v>
      </c>
      <c r="AA231" s="875">
        <f t="shared" si="30"/>
        <v>0</v>
      </c>
      <c r="AB231" s="875">
        <f t="shared" si="30"/>
        <v>0</v>
      </c>
      <c r="AC231" s="878"/>
    </row>
    <row r="232" spans="1:30" s="637" customFormat="1" ht="26.25" customHeight="1" x14ac:dyDescent="0.2">
      <c r="A232" s="632" t="s">
        <v>1143</v>
      </c>
      <c r="B232" s="633"/>
      <c r="C232" s="634"/>
      <c r="D232" s="634"/>
      <c r="E232" s="596">
        <f t="shared" si="29"/>
        <v>332205.73</v>
      </c>
      <c r="F232" s="595">
        <f>'Прилож 4 24 (5)'!V229</f>
        <v>186766.76</v>
      </c>
      <c r="G232" s="595">
        <f>'Прилож 4 24 (5)'!W229</f>
        <v>0</v>
      </c>
      <c r="H232" s="595">
        <f>'Прилож 4 24 (5)'!X229</f>
        <v>130928.90000000001</v>
      </c>
      <c r="I232" s="597">
        <f>SUM(I225:I229)</f>
        <v>0</v>
      </c>
      <c r="J232" s="595">
        <f>'Прилож 4 24 (5)'!Z229</f>
        <v>0</v>
      </c>
      <c r="K232" s="595">
        <f>'Прилож 4 24 (5)'!AA229</f>
        <v>0</v>
      </c>
      <c r="L232" s="595">
        <f>'Прилож 4 24 (5)'!AB229</f>
        <v>14510.07</v>
      </c>
      <c r="M232" s="876">
        <f t="shared" si="25"/>
        <v>0</v>
      </c>
      <c r="N232" s="876">
        <f>SUM(N225:N231)</f>
        <v>0</v>
      </c>
      <c r="O232" s="876"/>
      <c r="P232" s="876">
        <f>SUM(P225:P231)</f>
        <v>0</v>
      </c>
      <c r="Q232" s="876"/>
      <c r="R232" s="876"/>
      <c r="S232" s="876"/>
      <c r="T232" s="876">
        <f>SUM(T225:T231)</f>
        <v>0</v>
      </c>
      <c r="U232" s="876">
        <f t="shared" si="24"/>
        <v>332205.73</v>
      </c>
      <c r="V232" s="875">
        <f t="shared" si="24"/>
        <v>186766.76</v>
      </c>
      <c r="W232" s="875">
        <f t="shared" si="23"/>
        <v>0</v>
      </c>
      <c r="X232" s="875">
        <f t="shared" si="23"/>
        <v>130928.90000000001</v>
      </c>
      <c r="Y232" s="884">
        <f>SUM(Y225:Y229)</f>
        <v>0</v>
      </c>
      <c r="Z232" s="875">
        <f t="shared" si="30"/>
        <v>0</v>
      </c>
      <c r="AA232" s="875">
        <f t="shared" si="30"/>
        <v>0</v>
      </c>
      <c r="AB232" s="875">
        <f t="shared" si="30"/>
        <v>14510.07</v>
      </c>
      <c r="AC232" s="886"/>
      <c r="AD232" s="819"/>
    </row>
    <row r="233" spans="1:30" ht="22.5" customHeight="1" x14ac:dyDescent="0.2">
      <c r="A233" s="618" t="s">
        <v>67</v>
      </c>
      <c r="B233" s="619" t="s">
        <v>64</v>
      </c>
      <c r="C233" s="620">
        <v>244</v>
      </c>
      <c r="D233" s="620">
        <v>346</v>
      </c>
      <c r="E233" s="596">
        <f t="shared" si="29"/>
        <v>3200</v>
      </c>
      <c r="F233" s="595">
        <f>'Прилож 4 24 (5)'!V230</f>
        <v>0</v>
      </c>
      <c r="G233" s="595">
        <f>'Прилож 4 24 (5)'!W230</f>
        <v>0</v>
      </c>
      <c r="H233" s="595">
        <f>'Прилож 4 24 (5)'!X230</f>
        <v>0</v>
      </c>
      <c r="I233" s="621" t="s">
        <v>1235</v>
      </c>
      <c r="J233" s="595">
        <f>'Прилож 4 24 (5)'!Z230</f>
        <v>0</v>
      </c>
      <c r="K233" s="595">
        <f>'Прилож 4 24 (5)'!AA230</f>
        <v>3200</v>
      </c>
      <c r="L233" s="595">
        <f>'Прилож 4 24 (5)'!AB230</f>
        <v>0</v>
      </c>
      <c r="M233" s="876">
        <f t="shared" si="25"/>
        <v>0</v>
      </c>
      <c r="N233" s="875"/>
      <c r="O233" s="875"/>
      <c r="P233" s="875"/>
      <c r="Q233" s="877"/>
      <c r="R233" s="875"/>
      <c r="S233" s="875"/>
      <c r="T233" s="875"/>
      <c r="U233" s="876">
        <f t="shared" si="24"/>
        <v>3200</v>
      </c>
      <c r="V233" s="875">
        <f t="shared" si="24"/>
        <v>0</v>
      </c>
      <c r="W233" s="875">
        <f t="shared" si="23"/>
        <v>0</v>
      </c>
      <c r="X233" s="875">
        <f t="shared" si="23"/>
        <v>0</v>
      </c>
      <c r="Y233" s="621" t="s">
        <v>1235</v>
      </c>
      <c r="Z233" s="875">
        <f t="shared" si="30"/>
        <v>0</v>
      </c>
      <c r="AA233" s="875">
        <f t="shared" si="30"/>
        <v>3200</v>
      </c>
      <c r="AB233" s="875">
        <f t="shared" si="30"/>
        <v>0</v>
      </c>
      <c r="AC233" s="878"/>
    </row>
    <row r="234" spans="1:30" s="637" customFormat="1" ht="22.5" customHeight="1" x14ac:dyDescent="0.2">
      <c r="A234" s="632" t="s">
        <v>1143</v>
      </c>
      <c r="B234" s="633"/>
      <c r="C234" s="634"/>
      <c r="D234" s="634"/>
      <c r="E234" s="596">
        <f t="shared" si="29"/>
        <v>3200</v>
      </c>
      <c r="F234" s="595">
        <f>'Прилож 4 24 (5)'!V231</f>
        <v>0</v>
      </c>
      <c r="G234" s="595">
        <f>'Прилож 4 24 (5)'!W231</f>
        <v>0</v>
      </c>
      <c r="H234" s="595">
        <f>'Прилож 4 24 (5)'!X231</f>
        <v>0</v>
      </c>
      <c r="I234" s="597"/>
      <c r="J234" s="595">
        <f>'Прилож 4 24 (5)'!Z231</f>
        <v>0</v>
      </c>
      <c r="K234" s="595">
        <f>'Прилож 4 24 (5)'!AA231</f>
        <v>3200</v>
      </c>
      <c r="L234" s="595">
        <f>'Прилож 4 24 (5)'!AB231</f>
        <v>0</v>
      </c>
      <c r="M234" s="876">
        <f t="shared" si="25"/>
        <v>0</v>
      </c>
      <c r="N234" s="884"/>
      <c r="O234" s="884"/>
      <c r="P234" s="884"/>
      <c r="Q234" s="884"/>
      <c r="R234" s="884"/>
      <c r="S234" s="884"/>
      <c r="T234" s="884"/>
      <c r="U234" s="876">
        <f t="shared" si="24"/>
        <v>3200</v>
      </c>
      <c r="V234" s="875">
        <f t="shared" si="24"/>
        <v>0</v>
      </c>
      <c r="W234" s="875">
        <f t="shared" si="23"/>
        <v>0</v>
      </c>
      <c r="X234" s="875">
        <f t="shared" si="23"/>
        <v>0</v>
      </c>
      <c r="Y234" s="884"/>
      <c r="Z234" s="875">
        <f t="shared" si="30"/>
        <v>0</v>
      </c>
      <c r="AA234" s="875">
        <f t="shared" si="30"/>
        <v>3200</v>
      </c>
      <c r="AB234" s="875">
        <f t="shared" si="30"/>
        <v>0</v>
      </c>
      <c r="AC234" s="886"/>
    </row>
    <row r="235" spans="1:30" ht="44.25" customHeight="1" x14ac:dyDescent="0.2">
      <c r="A235" s="618" t="s">
        <v>710</v>
      </c>
      <c r="B235" s="619" t="s">
        <v>691</v>
      </c>
      <c r="C235" s="620">
        <v>244</v>
      </c>
      <c r="D235" s="620">
        <v>346</v>
      </c>
      <c r="E235" s="596">
        <f t="shared" si="29"/>
        <v>17057.180000000229</v>
      </c>
      <c r="F235" s="595">
        <f>'Прилож 4 24 (5)'!V232</f>
        <v>0</v>
      </c>
      <c r="G235" s="595">
        <f>'Прилож 4 24 (5)'!W232</f>
        <v>2.3283064365386963E-10</v>
      </c>
      <c r="H235" s="595">
        <f>'Прилож 4 24 (5)'!X232</f>
        <v>15649.169999999998</v>
      </c>
      <c r="I235" s="621"/>
      <c r="J235" s="595">
        <f>'Прилож 4 24 (5)'!Z232</f>
        <v>0</v>
      </c>
      <c r="K235" s="595">
        <f>'Прилож 4 24 (5)'!AA232</f>
        <v>0</v>
      </c>
      <c r="L235" s="595">
        <f>'Прилож 4 24 (5)'!AB232</f>
        <v>1408.01</v>
      </c>
      <c r="M235" s="876">
        <f t="shared" si="25"/>
        <v>0</v>
      </c>
      <c r="N235" s="875"/>
      <c r="O235" s="875"/>
      <c r="P235" s="875"/>
      <c r="Q235" s="877"/>
      <c r="R235" s="875"/>
      <c r="S235" s="875"/>
      <c r="T235" s="875"/>
      <c r="U235" s="876">
        <f t="shared" si="24"/>
        <v>17057.180000000229</v>
      </c>
      <c r="V235" s="875">
        <f t="shared" si="24"/>
        <v>0</v>
      </c>
      <c r="W235" s="875">
        <f t="shared" ref="W235:X244" si="33">O235+G235</f>
        <v>2.3283064365386963E-10</v>
      </c>
      <c r="X235" s="875">
        <f t="shared" si="33"/>
        <v>15649.169999999998</v>
      </c>
      <c r="Y235" s="877"/>
      <c r="Z235" s="875">
        <f t="shared" si="30"/>
        <v>0</v>
      </c>
      <c r="AA235" s="875">
        <f t="shared" si="30"/>
        <v>0</v>
      </c>
      <c r="AB235" s="875">
        <f t="shared" si="30"/>
        <v>1408.01</v>
      </c>
      <c r="AC235" s="878"/>
    </row>
    <row r="236" spans="1:30" ht="62.25" customHeight="1" x14ac:dyDescent="0.2">
      <c r="A236" s="618" t="s">
        <v>709</v>
      </c>
      <c r="B236" s="619" t="s">
        <v>691</v>
      </c>
      <c r="C236" s="620">
        <v>244</v>
      </c>
      <c r="D236" s="620">
        <v>346</v>
      </c>
      <c r="E236" s="596">
        <f t="shared" si="29"/>
        <v>5836.95</v>
      </c>
      <c r="F236" s="595">
        <f>'Прилож 4 24 (5)'!V233</f>
        <v>0</v>
      </c>
      <c r="G236" s="595">
        <f>'Прилож 4 24 (5)'!W233</f>
        <v>0</v>
      </c>
      <c r="H236" s="595">
        <f>'Прилож 4 24 (5)'!X233</f>
        <v>5171</v>
      </c>
      <c r="I236" s="621"/>
      <c r="J236" s="595">
        <f>'Прилож 4 24 (5)'!Z233</f>
        <v>0</v>
      </c>
      <c r="K236" s="595">
        <f>'Прилож 4 24 (5)'!AA233</f>
        <v>0</v>
      </c>
      <c r="L236" s="595">
        <f>'Прилож 4 24 (5)'!AB233</f>
        <v>665.95</v>
      </c>
      <c r="M236" s="876">
        <f t="shared" si="25"/>
        <v>0</v>
      </c>
      <c r="N236" s="875"/>
      <c r="O236" s="875"/>
      <c r="P236" s="875"/>
      <c r="Q236" s="877"/>
      <c r="R236" s="875"/>
      <c r="S236" s="875"/>
      <c r="T236" s="875"/>
      <c r="U236" s="876">
        <f t="shared" ref="U236:V244" si="34">E236+M236</f>
        <v>5836.95</v>
      </c>
      <c r="V236" s="875">
        <f t="shared" si="34"/>
        <v>0</v>
      </c>
      <c r="W236" s="875">
        <f t="shared" si="33"/>
        <v>0</v>
      </c>
      <c r="X236" s="875">
        <f t="shared" si="33"/>
        <v>5171</v>
      </c>
      <c r="Y236" s="877"/>
      <c r="Z236" s="875">
        <f t="shared" si="30"/>
        <v>0</v>
      </c>
      <c r="AA236" s="875">
        <f t="shared" si="30"/>
        <v>0</v>
      </c>
      <c r="AB236" s="875">
        <f t="shared" si="30"/>
        <v>665.95</v>
      </c>
      <c r="AC236" s="878"/>
    </row>
    <row r="237" spans="1:30" s="637" customFormat="1" ht="25.5" customHeight="1" x14ac:dyDescent="0.2">
      <c r="A237" s="632" t="s">
        <v>1143</v>
      </c>
      <c r="B237" s="633" t="s">
        <v>691</v>
      </c>
      <c r="C237" s="634">
        <v>244</v>
      </c>
      <c r="D237" s="634">
        <v>346</v>
      </c>
      <c r="E237" s="596">
        <f t="shared" si="29"/>
        <v>22894.13</v>
      </c>
      <c r="F237" s="595">
        <f>'Прилож 4 24 (5)'!V234</f>
        <v>0</v>
      </c>
      <c r="G237" s="595">
        <f>'Прилож 4 24 (5)'!W234</f>
        <v>0</v>
      </c>
      <c r="H237" s="595">
        <f>'Прилож 4 24 (5)'!X234</f>
        <v>20820.170000000002</v>
      </c>
      <c r="I237" s="635"/>
      <c r="J237" s="595">
        <f>'Прилож 4 24 (5)'!Z234</f>
        <v>0</v>
      </c>
      <c r="K237" s="595">
        <f>'Прилож 4 24 (5)'!AA234</f>
        <v>0</v>
      </c>
      <c r="L237" s="595">
        <f>'Прилож 4 24 (5)'!AB234</f>
        <v>2073.96</v>
      </c>
      <c r="M237" s="876">
        <f t="shared" ref="M237:M240" si="35">N237+P237+R237+S237+T237+O237</f>
        <v>0</v>
      </c>
      <c r="N237" s="884"/>
      <c r="O237" s="884"/>
      <c r="P237" s="884">
        <f>SUM(P235:P236)</f>
        <v>0</v>
      </c>
      <c r="Q237" s="885"/>
      <c r="R237" s="884"/>
      <c r="S237" s="884"/>
      <c r="T237" s="884">
        <f>SUM(T235:T236)</f>
        <v>0</v>
      </c>
      <c r="U237" s="876">
        <f t="shared" si="34"/>
        <v>22894.13</v>
      </c>
      <c r="V237" s="875">
        <f t="shared" si="34"/>
        <v>0</v>
      </c>
      <c r="W237" s="875">
        <f t="shared" si="33"/>
        <v>0</v>
      </c>
      <c r="X237" s="875">
        <f t="shared" si="33"/>
        <v>20820.170000000002</v>
      </c>
      <c r="Y237" s="885"/>
      <c r="Z237" s="875">
        <f t="shared" si="30"/>
        <v>0</v>
      </c>
      <c r="AA237" s="875">
        <f t="shared" si="30"/>
        <v>0</v>
      </c>
      <c r="AB237" s="875">
        <f t="shared" si="30"/>
        <v>2073.96</v>
      </c>
      <c r="AC237" s="1004"/>
    </row>
    <row r="238" spans="1:30" s="614" customFormat="1" ht="27.75" customHeight="1" x14ac:dyDescent="0.2">
      <c r="A238" s="630" t="s">
        <v>744</v>
      </c>
      <c r="B238" s="631"/>
      <c r="C238" s="624"/>
      <c r="D238" s="624"/>
      <c r="E238" s="596">
        <f t="shared" si="29"/>
        <v>1783348.63</v>
      </c>
      <c r="F238" s="595">
        <f>'Прилож 4 24 (5)'!V235</f>
        <v>1427196.77</v>
      </c>
      <c r="G238" s="595">
        <f>'Прилож 4 24 (5)'!W235</f>
        <v>0</v>
      </c>
      <c r="H238" s="595">
        <f>'Прилож 4 24 (5)'!X235</f>
        <v>279220.12</v>
      </c>
      <c r="I238" s="596"/>
      <c r="J238" s="595">
        <f>'Прилож 4 24 (5)'!Z235</f>
        <v>0</v>
      </c>
      <c r="K238" s="595">
        <f>'Прилож 4 24 (5)'!AA235</f>
        <v>3200</v>
      </c>
      <c r="L238" s="595">
        <f>'Прилож 4 24 (5)'!AB235</f>
        <v>73731.739999999991</v>
      </c>
      <c r="M238" s="876">
        <f t="shared" si="35"/>
        <v>744</v>
      </c>
      <c r="N238" s="876">
        <f>N237+N234+N232+N224</f>
        <v>0</v>
      </c>
      <c r="O238" s="876"/>
      <c r="P238" s="876">
        <f>P224+P232+P237</f>
        <v>744</v>
      </c>
      <c r="Q238" s="876"/>
      <c r="R238" s="876"/>
      <c r="S238" s="876"/>
      <c r="T238" s="876">
        <f>T224+T232+T237</f>
        <v>0</v>
      </c>
      <c r="U238" s="876">
        <f t="shared" si="34"/>
        <v>1784092.63</v>
      </c>
      <c r="V238" s="875">
        <f t="shared" si="34"/>
        <v>1427196.77</v>
      </c>
      <c r="W238" s="875">
        <f t="shared" si="33"/>
        <v>0</v>
      </c>
      <c r="X238" s="875">
        <f t="shared" si="33"/>
        <v>279964.12</v>
      </c>
      <c r="Y238" s="876"/>
      <c r="Z238" s="875">
        <f t="shared" si="30"/>
        <v>0</v>
      </c>
      <c r="AA238" s="875">
        <f t="shared" si="30"/>
        <v>3200</v>
      </c>
      <c r="AB238" s="875">
        <f t="shared" si="30"/>
        <v>73731.739999999991</v>
      </c>
      <c r="AC238" s="879"/>
      <c r="AD238" s="818"/>
    </row>
    <row r="239" spans="1:30" ht="46.5" customHeight="1" x14ac:dyDescent="0.2">
      <c r="A239" s="618" t="s">
        <v>948</v>
      </c>
      <c r="B239" s="619" t="s">
        <v>729</v>
      </c>
      <c r="C239" s="620">
        <v>244</v>
      </c>
      <c r="D239" s="620">
        <v>349</v>
      </c>
      <c r="E239" s="596">
        <f t="shared" si="29"/>
        <v>6000</v>
      </c>
      <c r="F239" s="595">
        <f>'Прилож 4 24 (5)'!V236</f>
        <v>6000</v>
      </c>
      <c r="G239" s="595">
        <f>'Прилож 4 24 (5)'!W236</f>
        <v>0</v>
      </c>
      <c r="H239" s="595">
        <f>'Прилож 4 24 (5)'!X236</f>
        <v>0</v>
      </c>
      <c r="I239" s="626"/>
      <c r="J239" s="595">
        <f>'Прилож 4 24 (5)'!Z236</f>
        <v>0</v>
      </c>
      <c r="K239" s="595">
        <f>'Прилож 4 24 (5)'!AA236</f>
        <v>0</v>
      </c>
      <c r="L239" s="595">
        <f>'Прилож 4 24 (5)'!AB236</f>
        <v>0</v>
      </c>
      <c r="M239" s="876">
        <f t="shared" si="35"/>
        <v>0</v>
      </c>
      <c r="N239" s="875"/>
      <c r="O239" s="876"/>
      <c r="P239" s="876"/>
      <c r="Q239" s="881"/>
      <c r="R239" s="876"/>
      <c r="S239" s="876"/>
      <c r="T239" s="875"/>
      <c r="U239" s="876">
        <f t="shared" si="34"/>
        <v>6000</v>
      </c>
      <c r="V239" s="875">
        <f t="shared" si="34"/>
        <v>6000</v>
      </c>
      <c r="W239" s="875">
        <f t="shared" si="33"/>
        <v>0</v>
      </c>
      <c r="X239" s="875">
        <f t="shared" si="33"/>
        <v>0</v>
      </c>
      <c r="Y239" s="881"/>
      <c r="Z239" s="875">
        <f t="shared" si="30"/>
        <v>0</v>
      </c>
      <c r="AA239" s="875">
        <f t="shared" si="30"/>
        <v>0</v>
      </c>
      <c r="AB239" s="875">
        <f t="shared" si="30"/>
        <v>0</v>
      </c>
      <c r="AC239" s="878"/>
    </row>
    <row r="240" spans="1:30" s="614" customFormat="1" ht="27.75" customHeight="1" x14ac:dyDescent="0.2">
      <c r="A240" s="630" t="s">
        <v>949</v>
      </c>
      <c r="B240" s="631"/>
      <c r="C240" s="624"/>
      <c r="D240" s="624"/>
      <c r="E240" s="596">
        <f t="shared" si="29"/>
        <v>6000</v>
      </c>
      <c r="F240" s="595">
        <f>'Прилож 4 24 (5)'!V237</f>
        <v>6000</v>
      </c>
      <c r="G240" s="595">
        <f>'Прилож 4 24 (5)'!W237</f>
        <v>0</v>
      </c>
      <c r="H240" s="595">
        <f>'Прилож 4 24 (5)'!X237</f>
        <v>0</v>
      </c>
      <c r="I240" s="626"/>
      <c r="J240" s="595">
        <f>'Прилож 4 24 (5)'!Z237</f>
        <v>0</v>
      </c>
      <c r="K240" s="595">
        <f>'Прилож 4 24 (5)'!AA237</f>
        <v>0</v>
      </c>
      <c r="L240" s="595">
        <f>'Прилож 4 24 (5)'!AB237</f>
        <v>0</v>
      </c>
      <c r="M240" s="876">
        <f t="shared" si="35"/>
        <v>0</v>
      </c>
      <c r="N240" s="876"/>
      <c r="O240" s="876">
        <f t="shared" ref="O240" si="36">O232+O234+O237</f>
        <v>0</v>
      </c>
      <c r="P240" s="876"/>
      <c r="Q240" s="881"/>
      <c r="R240" s="876">
        <f t="shared" ref="R240:S240" si="37">R232+R234+R237</f>
        <v>0</v>
      </c>
      <c r="S240" s="876">
        <f t="shared" si="37"/>
        <v>0</v>
      </c>
      <c r="T240" s="876"/>
      <c r="U240" s="876">
        <f t="shared" si="34"/>
        <v>6000</v>
      </c>
      <c r="V240" s="875">
        <f t="shared" si="34"/>
        <v>6000</v>
      </c>
      <c r="W240" s="875">
        <f t="shared" si="33"/>
        <v>0</v>
      </c>
      <c r="X240" s="875">
        <f t="shared" si="33"/>
        <v>0</v>
      </c>
      <c r="Y240" s="881"/>
      <c r="Z240" s="875">
        <f t="shared" si="30"/>
        <v>0</v>
      </c>
      <c r="AA240" s="875">
        <f t="shared" si="30"/>
        <v>0</v>
      </c>
      <c r="AB240" s="875">
        <f t="shared" si="30"/>
        <v>0</v>
      </c>
      <c r="AC240" s="879"/>
    </row>
    <row r="241" spans="1:31" s="614" customFormat="1" x14ac:dyDescent="0.2">
      <c r="A241" s="624" t="s">
        <v>745</v>
      </c>
      <c r="B241" s="631"/>
      <c r="C241" s="624"/>
      <c r="D241" s="624"/>
      <c r="E241" s="596">
        <f t="shared" si="29"/>
        <v>64874309.010000005</v>
      </c>
      <c r="F241" s="595">
        <f>'Прилож 4 24 (5)'!V238</f>
        <v>42188221.810000002</v>
      </c>
      <c r="G241" s="595">
        <f>'Прилож 4 24 (5)'!W238</f>
        <v>1331028.0899999999</v>
      </c>
      <c r="H241" s="595">
        <f>'Прилож 4 24 (5)'!X238</f>
        <v>11317923.020000001</v>
      </c>
      <c r="I241" s="626"/>
      <c r="J241" s="595">
        <f>'Прилож 4 24 (5)'!Z238</f>
        <v>0</v>
      </c>
      <c r="K241" s="595">
        <f>'Прилож 4 24 (5)'!AA238</f>
        <v>7491773.0999999996</v>
      </c>
      <c r="L241" s="595">
        <f>'Прилож 4 24 (5)'!AB238</f>
        <v>2545362.9899999993</v>
      </c>
      <c r="M241" s="876">
        <f>M240+M238+M219+M217+M215+M212+M210+M205++M187+M184+M150+M99+M97+M80+M59+M50+M43+M41+M36+M208+M38</f>
        <v>210499.99999999983</v>
      </c>
      <c r="N241" s="876">
        <f t="shared" ref="N241:T241" si="38">N238+N219+N217+N215+N212+N210+N208+N205+N187+N184+N150+N99+N97+N80+N59+N50+N43+N41+N38+N36</f>
        <v>0</v>
      </c>
      <c r="O241" s="876">
        <f t="shared" si="38"/>
        <v>210500</v>
      </c>
      <c r="P241" s="876">
        <f t="shared" si="38"/>
        <v>0</v>
      </c>
      <c r="Q241" s="876">
        <f t="shared" si="38"/>
        <v>0</v>
      </c>
      <c r="R241" s="876">
        <f t="shared" si="38"/>
        <v>0</v>
      </c>
      <c r="S241" s="876">
        <f t="shared" si="38"/>
        <v>0</v>
      </c>
      <c r="T241" s="876">
        <f t="shared" si="38"/>
        <v>0</v>
      </c>
      <c r="U241" s="876">
        <f>U240+U238+U219+U217+U215+U212+U210+U205++U187+U184+U150+U99+U97+U80+U59+U50+U43+U41+U36+U208+U38</f>
        <v>65084809.010000013</v>
      </c>
      <c r="V241" s="875">
        <f t="shared" si="34"/>
        <v>42188221.810000002</v>
      </c>
      <c r="W241" s="875">
        <f t="shared" si="33"/>
        <v>1541528.0899999999</v>
      </c>
      <c r="X241" s="875">
        <f t="shared" si="33"/>
        <v>11317923.020000001</v>
      </c>
      <c r="Y241" s="876">
        <f>Y240+Y238+Y219+Y217+Y215+Y212+Y210+Y205++Y187+Y184+Y150+Y99+Y97+Y80+Y59+Y50+Y43+Y41+Y36+Y208</f>
        <v>0</v>
      </c>
      <c r="Z241" s="875">
        <f t="shared" si="30"/>
        <v>0</v>
      </c>
      <c r="AA241" s="875">
        <f t="shared" si="30"/>
        <v>7491773.0999999996</v>
      </c>
      <c r="AB241" s="875">
        <f t="shared" si="30"/>
        <v>2545362.9899999993</v>
      </c>
      <c r="AC241" s="879"/>
      <c r="AD241" s="818"/>
      <c r="AE241" s="818">
        <f>V241+W241+X241</f>
        <v>55047672.920000009</v>
      </c>
    </row>
    <row r="242" spans="1:31" ht="25.5" customHeight="1" x14ac:dyDescent="0.2">
      <c r="A242" s="618" t="s">
        <v>946</v>
      </c>
      <c r="B242" s="619"/>
      <c r="C242" s="620"/>
      <c r="D242" s="620">
        <v>189</v>
      </c>
      <c r="E242" s="596">
        <f t="shared" ref="E242:E243" si="39">L242+K242+J242+H242+G242+F242</f>
        <v>-12500</v>
      </c>
      <c r="F242" s="595">
        <f>'Прилож 4 24 (2)'!V208</f>
        <v>0</v>
      </c>
      <c r="G242" s="595">
        <f>'Прилож 4 24 (2)'!W218</f>
        <v>0</v>
      </c>
      <c r="H242" s="595">
        <f>'Прилож 4 24 (2)'!X208</f>
        <v>0</v>
      </c>
      <c r="I242" s="621"/>
      <c r="J242" s="595">
        <f>'Прилож 4 24 (2)'!Z208</f>
        <v>0</v>
      </c>
      <c r="K242" s="595">
        <f>'Прилож 4 24 (2)'!AA208</f>
        <v>0</v>
      </c>
      <c r="L242" s="875">
        <f>'Прилож 4 24 (2)'!AB208</f>
        <v>-12500</v>
      </c>
      <c r="M242" s="876">
        <f t="shared" ref="M242:M244" si="40">N242+P242+R242+S242+T242+O242</f>
        <v>0</v>
      </c>
      <c r="N242" s="875"/>
      <c r="O242" s="875"/>
      <c r="P242" s="875"/>
      <c r="Q242" s="877"/>
      <c r="R242" s="875"/>
      <c r="S242" s="875"/>
      <c r="T242" s="875"/>
      <c r="U242" s="876">
        <f>V242+X242+Z242+AA242+AB242+W242</f>
        <v>-12500</v>
      </c>
      <c r="V242" s="875">
        <f t="shared" si="34"/>
        <v>0</v>
      </c>
      <c r="W242" s="875">
        <f t="shared" si="33"/>
        <v>0</v>
      </c>
      <c r="X242" s="875">
        <f t="shared" si="33"/>
        <v>0</v>
      </c>
      <c r="Y242" s="877"/>
      <c r="Z242" s="875">
        <f t="shared" ref="Z242:AB250" si="41">R242+J242</f>
        <v>0</v>
      </c>
      <c r="AA242" s="875">
        <f t="shared" si="41"/>
        <v>0</v>
      </c>
      <c r="AB242" s="875">
        <f t="shared" si="41"/>
        <v>-12500</v>
      </c>
      <c r="AC242" s="878"/>
    </row>
    <row r="243" spans="1:31" s="614" customFormat="1" ht="31.5" x14ac:dyDescent="0.2">
      <c r="A243" s="630" t="s">
        <v>746</v>
      </c>
      <c r="B243" s="624"/>
      <c r="C243" s="624"/>
      <c r="D243" s="624"/>
      <c r="E243" s="596">
        <f t="shared" si="39"/>
        <v>-12500</v>
      </c>
      <c r="F243" s="595">
        <f>'Прилож 4 24 (2)'!V209</f>
        <v>0</v>
      </c>
      <c r="G243" s="595">
        <f>'Прилож 4 24 (2)'!W219</f>
        <v>0</v>
      </c>
      <c r="H243" s="595">
        <f>'Прилож 4 24 (2)'!X209</f>
        <v>0</v>
      </c>
      <c r="I243" s="626"/>
      <c r="J243" s="595">
        <f>'Прилож 4 24 (2)'!Z209</f>
        <v>0</v>
      </c>
      <c r="K243" s="595">
        <f>'Прилож 4 24 (2)'!AA209</f>
        <v>0</v>
      </c>
      <c r="L243" s="875">
        <f>'Прилож 4 24 (2)'!AB209</f>
        <v>-12500</v>
      </c>
      <c r="M243" s="876">
        <f t="shared" si="40"/>
        <v>0</v>
      </c>
      <c r="N243" s="876">
        <f t="shared" ref="N243:Y244" si="42">N242</f>
        <v>0</v>
      </c>
      <c r="O243" s="876">
        <f t="shared" si="42"/>
        <v>0</v>
      </c>
      <c r="P243" s="876">
        <f t="shared" si="42"/>
        <v>0</v>
      </c>
      <c r="Q243" s="881"/>
      <c r="R243" s="876">
        <f t="shared" si="42"/>
        <v>0</v>
      </c>
      <c r="S243" s="876"/>
      <c r="T243" s="876">
        <f t="shared" si="42"/>
        <v>0</v>
      </c>
      <c r="U243" s="876">
        <f t="shared" ref="U243:U244" si="43">V243+X243+Z243+AA243+AB243+W243</f>
        <v>-12500</v>
      </c>
      <c r="V243" s="875">
        <f t="shared" si="34"/>
        <v>0</v>
      </c>
      <c r="W243" s="875">
        <f t="shared" si="33"/>
        <v>0</v>
      </c>
      <c r="X243" s="875">
        <f t="shared" si="33"/>
        <v>0</v>
      </c>
      <c r="Y243" s="881">
        <f t="shared" si="42"/>
        <v>0</v>
      </c>
      <c r="Z243" s="875">
        <f t="shared" si="41"/>
        <v>0</v>
      </c>
      <c r="AA243" s="875">
        <f t="shared" si="41"/>
        <v>0</v>
      </c>
      <c r="AB243" s="875">
        <f t="shared" si="41"/>
        <v>-12500</v>
      </c>
      <c r="AC243" s="878"/>
    </row>
    <row r="244" spans="1:31" s="614" customFormat="1" x14ac:dyDescent="0.2">
      <c r="A244" s="630" t="s">
        <v>950</v>
      </c>
      <c r="B244" s="631" t="s">
        <v>747</v>
      </c>
      <c r="C244" s="624"/>
      <c r="D244" s="624">
        <v>610</v>
      </c>
      <c r="E244" s="596">
        <f>L244+K244+J244+H244+G244+F244</f>
        <v>142385.88</v>
      </c>
      <c r="F244" s="595">
        <f>'Прилож 4 24 (2)'!V210</f>
        <v>0</v>
      </c>
      <c r="G244" s="595">
        <f>'Прилож 4 24 (2)'!W220</f>
        <v>0</v>
      </c>
      <c r="H244" s="595">
        <f>'Прилож 4 24 (2)'!X210</f>
        <v>142385.88</v>
      </c>
      <c r="I244" s="626"/>
      <c r="J244" s="595">
        <f>'Прилож 4 24 (2)'!Z210</f>
        <v>0</v>
      </c>
      <c r="K244" s="595">
        <f>'Прилож 4 24 (2)'!AA210</f>
        <v>0</v>
      </c>
      <c r="L244" s="875">
        <f>'Прилож 4 24 (2)'!AB210</f>
        <v>0</v>
      </c>
      <c r="M244" s="876">
        <f t="shared" si="40"/>
        <v>0</v>
      </c>
      <c r="N244" s="876">
        <f t="shared" si="42"/>
        <v>0</v>
      </c>
      <c r="O244" s="876">
        <f t="shared" si="42"/>
        <v>0</v>
      </c>
      <c r="P244" s="876"/>
      <c r="Q244" s="881"/>
      <c r="R244" s="876">
        <f t="shared" si="42"/>
        <v>0</v>
      </c>
      <c r="S244" s="876">
        <f t="shared" si="42"/>
        <v>0</v>
      </c>
      <c r="T244" s="876"/>
      <c r="U244" s="876">
        <f t="shared" si="43"/>
        <v>142385.88</v>
      </c>
      <c r="V244" s="875">
        <f t="shared" si="34"/>
        <v>0</v>
      </c>
      <c r="W244" s="875">
        <f t="shared" si="33"/>
        <v>0</v>
      </c>
      <c r="X244" s="875">
        <v>142385.88</v>
      </c>
      <c r="Y244" s="881">
        <f t="shared" si="42"/>
        <v>0</v>
      </c>
      <c r="Z244" s="875">
        <f t="shared" si="41"/>
        <v>0</v>
      </c>
      <c r="AA244" s="875">
        <f t="shared" si="41"/>
        <v>0</v>
      </c>
      <c r="AB244" s="875">
        <f t="shared" si="41"/>
        <v>0</v>
      </c>
      <c r="AC244" s="878"/>
    </row>
    <row r="245" spans="1:31" ht="33" customHeight="1" x14ac:dyDescent="0.2">
      <c r="A245" s="822" t="s">
        <v>1330</v>
      </c>
      <c r="E245" s="644">
        <f t="shared" ref="E245:U245" si="44">E11+E30-E241+E243-E244</f>
        <v>-4.7730281949043274E-9</v>
      </c>
      <c r="F245" s="644">
        <f t="shared" si="44"/>
        <v>0</v>
      </c>
      <c r="G245" s="644">
        <f t="shared" si="44"/>
        <v>2.3283064365386963E-10</v>
      </c>
      <c r="H245" s="644">
        <f t="shared" si="44"/>
        <v>-1.0477378964424133E-9</v>
      </c>
      <c r="I245" s="641">
        <f t="shared" si="44"/>
        <v>0</v>
      </c>
      <c r="J245" s="644">
        <f t="shared" si="44"/>
        <v>0</v>
      </c>
      <c r="K245" s="644">
        <f t="shared" si="44"/>
        <v>0</v>
      </c>
      <c r="L245" s="644">
        <f t="shared" si="44"/>
        <v>9.3132257461547852E-10</v>
      </c>
      <c r="M245" s="644">
        <f t="shared" si="44"/>
        <v>1.7462298274040222E-10</v>
      </c>
      <c r="N245" s="644">
        <f t="shared" si="44"/>
        <v>0</v>
      </c>
      <c r="O245" s="644">
        <f t="shared" si="44"/>
        <v>0</v>
      </c>
      <c r="P245" s="644">
        <f t="shared" si="44"/>
        <v>0</v>
      </c>
      <c r="Q245" s="644">
        <f t="shared" si="44"/>
        <v>0</v>
      </c>
      <c r="R245" s="644">
        <f t="shared" si="44"/>
        <v>0</v>
      </c>
      <c r="S245" s="644">
        <f t="shared" si="44"/>
        <v>0</v>
      </c>
      <c r="T245" s="644">
        <f t="shared" si="44"/>
        <v>0</v>
      </c>
      <c r="U245" s="644">
        <f t="shared" si="44"/>
        <v>-1.2223608791828156E-8</v>
      </c>
      <c r="V245" s="595">
        <f>F245+N245</f>
        <v>0</v>
      </c>
      <c r="W245" s="644">
        <f>W11+W30-W241+W243-W244</f>
        <v>2.3283064365386963E-10</v>
      </c>
      <c r="X245" s="644">
        <f>X11+X30-X241+X243-X244</f>
        <v>-1.0477378964424133E-9</v>
      </c>
      <c r="Y245" s="644">
        <f>Y11+Y30-Y241+Y243-Y244</f>
        <v>0</v>
      </c>
      <c r="Z245" s="595">
        <f t="shared" si="41"/>
        <v>0</v>
      </c>
      <c r="AA245" s="644">
        <f>AA11+AA30-AA241+AA243-AA244</f>
        <v>0</v>
      </c>
      <c r="AB245" s="595">
        <f t="shared" si="41"/>
        <v>9.3132257461547852E-10</v>
      </c>
      <c r="AC245" s="1005"/>
    </row>
    <row r="246" spans="1:31" x14ac:dyDescent="0.2">
      <c r="A246" s="624" t="s">
        <v>1266</v>
      </c>
      <c r="B246" s="620"/>
      <c r="C246" s="620"/>
      <c r="D246" s="620"/>
      <c r="E246" s="596"/>
      <c r="F246" s="595"/>
      <c r="G246" s="595"/>
      <c r="H246" s="595"/>
      <c r="W246" s="645">
        <f>SUM(W195:W204)</f>
        <v>0</v>
      </c>
      <c r="X246" s="645">
        <f>SUM(X195:X204)</f>
        <v>0</v>
      </c>
      <c r="AB246" s="595">
        <f t="shared" si="41"/>
        <v>0</v>
      </c>
      <c r="AC246" s="1002"/>
    </row>
    <row r="247" spans="1:31" x14ac:dyDescent="0.2">
      <c r="A247" s="624" t="s">
        <v>1268</v>
      </c>
      <c r="B247" s="620"/>
      <c r="C247" s="620"/>
      <c r="D247" s="620"/>
      <c r="E247" s="596"/>
      <c r="F247" s="595"/>
      <c r="G247" s="595"/>
      <c r="H247" s="595"/>
      <c r="AB247" s="595">
        <f t="shared" si="41"/>
        <v>0</v>
      </c>
      <c r="AC247" s="1002"/>
    </row>
    <row r="248" spans="1:31" x14ac:dyDescent="0.2">
      <c r="A248" s="620" t="s">
        <v>1265</v>
      </c>
      <c r="B248" s="619" t="s">
        <v>747</v>
      </c>
      <c r="C248" s="620">
        <v>247</v>
      </c>
      <c r="D248" s="620">
        <v>223</v>
      </c>
      <c r="E248" s="596"/>
      <c r="F248" s="595"/>
      <c r="G248" s="595"/>
      <c r="H248" s="595">
        <v>97172.91</v>
      </c>
      <c r="AB248" s="595">
        <f t="shared" si="41"/>
        <v>0</v>
      </c>
      <c r="AC248" s="1002"/>
    </row>
    <row r="249" spans="1:31" x14ac:dyDescent="0.2">
      <c r="A249" s="620" t="s">
        <v>1265</v>
      </c>
      <c r="B249" s="619" t="s">
        <v>729</v>
      </c>
      <c r="C249" s="620">
        <v>247</v>
      </c>
      <c r="D249" s="620">
        <v>223</v>
      </c>
      <c r="E249" s="596"/>
      <c r="F249" s="595"/>
      <c r="G249" s="595"/>
      <c r="H249" s="595">
        <v>149284.57</v>
      </c>
      <c r="AB249" s="595">
        <f t="shared" si="41"/>
        <v>0</v>
      </c>
      <c r="AC249" s="1002"/>
    </row>
    <row r="250" spans="1:31" x14ac:dyDescent="0.2">
      <c r="A250" s="620"/>
      <c r="B250" s="620"/>
      <c r="C250" s="620"/>
      <c r="D250" s="620"/>
      <c r="E250" s="596"/>
      <c r="F250" s="595"/>
      <c r="G250" s="595"/>
      <c r="H250" s="595">
        <f>SUM(H248:H249)</f>
        <v>246457.48</v>
      </c>
      <c r="AB250" s="595">
        <f t="shared" si="41"/>
        <v>0</v>
      </c>
    </row>
    <row r="251" spans="1:31" x14ac:dyDescent="0.2">
      <c r="A251" s="624" t="s">
        <v>1269</v>
      </c>
      <c r="B251" s="620"/>
      <c r="C251" s="620"/>
      <c r="D251" s="620"/>
      <c r="E251" s="596"/>
      <c r="F251" s="595"/>
      <c r="G251" s="595"/>
      <c r="H251" s="595"/>
    </row>
    <row r="252" spans="1:31" x14ac:dyDescent="0.2">
      <c r="A252" s="620" t="s">
        <v>735</v>
      </c>
      <c r="B252" s="619" t="s">
        <v>747</v>
      </c>
      <c r="C252" s="620">
        <v>244</v>
      </c>
      <c r="D252" s="620">
        <v>223</v>
      </c>
      <c r="E252" s="596"/>
      <c r="F252" s="595"/>
      <c r="G252" s="595"/>
      <c r="H252" s="595">
        <v>28336.69</v>
      </c>
    </row>
    <row r="253" spans="1:31" x14ac:dyDescent="0.2">
      <c r="A253" s="620" t="s">
        <v>1267</v>
      </c>
      <c r="B253" s="619" t="s">
        <v>747</v>
      </c>
      <c r="C253" s="620">
        <v>247</v>
      </c>
      <c r="D253" s="620">
        <v>223</v>
      </c>
      <c r="E253" s="596"/>
      <c r="F253" s="595"/>
      <c r="G253" s="595"/>
      <c r="H253" s="595">
        <v>19716.62</v>
      </c>
    </row>
    <row r="254" spans="1:31" x14ac:dyDescent="0.2">
      <c r="A254" s="620" t="s">
        <v>1267</v>
      </c>
      <c r="B254" s="619" t="s">
        <v>729</v>
      </c>
      <c r="C254" s="620">
        <v>247</v>
      </c>
      <c r="D254" s="620">
        <v>223</v>
      </c>
      <c r="E254" s="596"/>
      <c r="F254" s="595"/>
      <c r="G254" s="595"/>
      <c r="H254" s="595">
        <v>105588.85</v>
      </c>
    </row>
    <row r="255" spans="1:31" x14ac:dyDescent="0.2">
      <c r="A255" s="620"/>
      <c r="B255" s="620"/>
      <c r="C255" s="620"/>
      <c r="D255" s="620"/>
      <c r="E255" s="596"/>
      <c r="F255" s="595"/>
      <c r="G255" s="595"/>
      <c r="H255" s="595">
        <f>SUM(H252:H254)</f>
        <v>153642.16</v>
      </c>
    </row>
  </sheetData>
  <mergeCells count="28">
    <mergeCell ref="AC7:AC10"/>
    <mergeCell ref="V8:AB8"/>
    <mergeCell ref="Y9:AA9"/>
    <mergeCell ref="AB9:AB10"/>
    <mergeCell ref="M8:M10"/>
    <mergeCell ref="N8:T8"/>
    <mergeCell ref="U8:U10"/>
    <mergeCell ref="T9:T10"/>
    <mergeCell ref="N9:P9"/>
    <mergeCell ref="Q9:S9"/>
    <mergeCell ref="V9:X9"/>
    <mergeCell ref="M7:T7"/>
    <mergeCell ref="U7:AB7"/>
    <mergeCell ref="Z1:AB1"/>
    <mergeCell ref="Z2:AB2"/>
    <mergeCell ref="A3:X3"/>
    <mergeCell ref="A4:X4"/>
    <mergeCell ref="D5:P5"/>
    <mergeCell ref="A7:A10"/>
    <mergeCell ref="B7:B10"/>
    <mergeCell ref="C7:C10"/>
    <mergeCell ref="D7:D10"/>
    <mergeCell ref="E7:L7"/>
    <mergeCell ref="E8:E10"/>
    <mergeCell ref="F8:L8"/>
    <mergeCell ref="F9:H9"/>
    <mergeCell ref="I9:K9"/>
    <mergeCell ref="L9:L10"/>
  </mergeCells>
  <pageMargins left="0.25" right="0.25" top="0.75" bottom="0.75" header="0.3" footer="0.3"/>
  <pageSetup paperSize="9" scale="26" fitToHeight="0" orientation="landscape" r:id="rId1"/>
  <rowBreaks count="5" manualBreakCount="5">
    <brk id="30" max="28" man="1"/>
    <brk id="88" max="28" man="1"/>
    <brk id="146" max="28" man="1"/>
    <brk id="194" max="28" man="1"/>
    <brk id="232" max="28"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F257"/>
  <sheetViews>
    <sheetView view="pageBreakPreview" zoomScale="60" zoomScaleNormal="56" workbookViewId="0">
      <pane xSplit="1" ySplit="10" topLeftCell="B234" activePane="bottomRight" state="frozen"/>
      <selection pane="topRight" activeCell="B1" sqref="B1"/>
      <selection pane="bottomLeft" activeCell="A11" sqref="A11"/>
      <selection pane="bottomRight" activeCell="W237" sqref="W237"/>
    </sheetView>
  </sheetViews>
  <sheetFormatPr defaultColWidth="9.140625" defaultRowHeight="15.75" x14ac:dyDescent="0.2"/>
  <cols>
    <col min="1" max="1" width="40.28515625" style="610" customWidth="1"/>
    <col min="2" max="2" width="11.5703125" style="610" customWidth="1"/>
    <col min="3" max="3" width="9.42578125" style="610" customWidth="1"/>
    <col min="4" max="4" width="11.7109375" style="610" customWidth="1"/>
    <col min="5" max="5" width="20.85546875" style="644" customWidth="1"/>
    <col min="6" max="6" width="19.7109375" style="645" customWidth="1"/>
    <col min="7" max="7" width="20.28515625" style="645" customWidth="1"/>
    <col min="8" max="8" width="21.42578125" style="645" customWidth="1"/>
    <col min="9" max="9" width="14.42578125" style="611" customWidth="1"/>
    <col min="10" max="10" width="14.7109375" style="645" customWidth="1"/>
    <col min="11" max="11" width="20.140625" style="645" customWidth="1"/>
    <col min="12" max="12" width="19.85546875" style="645" customWidth="1"/>
    <col min="13" max="13" width="22.85546875" style="644" customWidth="1"/>
    <col min="14" max="14" width="18.42578125" style="645" customWidth="1"/>
    <col min="15" max="15" width="19.42578125" style="645" customWidth="1"/>
    <col min="16" max="16" width="18.5703125" style="645" customWidth="1"/>
    <col min="17" max="17" width="16.28515625" style="611" customWidth="1"/>
    <col min="18" max="18" width="17.140625" style="645" customWidth="1"/>
    <col min="19" max="19" width="19" style="645" customWidth="1"/>
    <col min="20" max="20" width="20.140625" style="645" customWidth="1"/>
    <col min="21" max="21" width="22.140625" style="644" customWidth="1"/>
    <col min="22" max="22" width="20" style="645" customWidth="1"/>
    <col min="23" max="23" width="18.140625" style="645" customWidth="1"/>
    <col min="24" max="24" width="22.7109375" style="645" customWidth="1"/>
    <col min="25" max="25" width="14.140625" style="611" customWidth="1"/>
    <col min="26" max="26" width="15.42578125" style="645" customWidth="1"/>
    <col min="27" max="27" width="19" style="645" customWidth="1"/>
    <col min="28" max="28" width="22.42578125" style="645" customWidth="1"/>
    <col min="29" max="29" width="20" style="612" customWidth="1"/>
    <col min="30" max="30" width="19.28515625" style="610" customWidth="1"/>
    <col min="31" max="31" width="18" style="610" customWidth="1"/>
    <col min="32" max="32" width="17.5703125" style="610" bestFit="1" customWidth="1"/>
    <col min="33" max="16384" width="9.140625" style="610"/>
  </cols>
  <sheetData>
    <row r="1" spans="1:29" ht="51.75" customHeight="1" x14ac:dyDescent="0.2">
      <c r="Z1" s="1572" t="s">
        <v>721</v>
      </c>
      <c r="AA1" s="1573"/>
      <c r="AB1" s="1573"/>
    </row>
    <row r="2" spans="1:29" ht="31.9" customHeight="1" x14ac:dyDescent="0.2">
      <c r="Z2" s="1573" t="s">
        <v>722</v>
      </c>
      <c r="AA2" s="1573"/>
      <c r="AB2" s="1573"/>
    </row>
    <row r="3" spans="1:29" s="614" customFormat="1" ht="24.75" customHeight="1" x14ac:dyDescent="0.2">
      <c r="A3" s="1574" t="s">
        <v>1249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613"/>
      <c r="Z3" s="644"/>
      <c r="AA3" s="644"/>
      <c r="AB3" s="644"/>
      <c r="AC3" s="612"/>
    </row>
    <row r="4" spans="1:29" s="614" customFormat="1" ht="25.5" customHeight="1" x14ac:dyDescent="0.2">
      <c r="A4" s="1574" t="s">
        <v>1473</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613"/>
      <c r="Z4" s="644"/>
      <c r="AA4" s="644"/>
      <c r="AB4" s="644"/>
      <c r="AC4" s="612"/>
    </row>
    <row r="5" spans="1:29" x14ac:dyDescent="0.2">
      <c r="A5" s="610" t="s">
        <v>723</v>
      </c>
      <c r="D5" s="1575" t="s">
        <v>204</v>
      </c>
      <c r="E5" s="1576"/>
      <c r="F5" s="1576"/>
      <c r="G5" s="1576"/>
      <c r="H5" s="1576"/>
      <c r="I5" s="1576"/>
      <c r="J5" s="1576"/>
      <c r="K5" s="1576"/>
      <c r="L5" s="1576"/>
      <c r="M5" s="1576"/>
      <c r="N5" s="1576"/>
      <c r="O5" s="1576"/>
      <c r="P5" s="1576"/>
    </row>
    <row r="6" spans="1:29" x14ac:dyDescent="0.2">
      <c r="AC6" s="1002"/>
    </row>
    <row r="7" spans="1:29" s="614" customFormat="1" ht="37.5" customHeight="1" x14ac:dyDescent="0.2">
      <c r="A7" s="1565" t="s">
        <v>724</v>
      </c>
      <c r="B7" s="1566" t="s">
        <v>577</v>
      </c>
      <c r="C7" s="1566" t="s">
        <v>578</v>
      </c>
      <c r="D7" s="1566" t="s">
        <v>579</v>
      </c>
      <c r="E7" s="1567" t="s">
        <v>725</v>
      </c>
      <c r="F7" s="1567"/>
      <c r="G7" s="1567"/>
      <c r="H7" s="1567"/>
      <c r="I7" s="1567"/>
      <c r="J7" s="1567"/>
      <c r="K7" s="1567"/>
      <c r="L7" s="1567"/>
      <c r="M7" s="1567" t="s">
        <v>726</v>
      </c>
      <c r="N7" s="1567"/>
      <c r="O7" s="1567"/>
      <c r="P7" s="1567"/>
      <c r="Q7" s="1567"/>
      <c r="R7" s="1567"/>
      <c r="S7" s="1567"/>
      <c r="T7" s="1567"/>
      <c r="U7" s="1567" t="s">
        <v>727</v>
      </c>
      <c r="V7" s="1567"/>
      <c r="W7" s="1567"/>
      <c r="X7" s="1567"/>
      <c r="Y7" s="1567"/>
      <c r="Z7" s="1567"/>
      <c r="AA7" s="1567"/>
      <c r="AB7" s="1567"/>
      <c r="AC7" s="1577" t="s">
        <v>1178</v>
      </c>
    </row>
    <row r="8" spans="1:29" s="616" customFormat="1" ht="39.75" customHeight="1" x14ac:dyDescent="0.2">
      <c r="A8" s="1565"/>
      <c r="B8" s="1566"/>
      <c r="C8" s="1566"/>
      <c r="D8" s="1566"/>
      <c r="E8" s="1568" t="s">
        <v>6</v>
      </c>
      <c r="F8" s="1569" t="s">
        <v>52</v>
      </c>
      <c r="G8" s="1569"/>
      <c r="H8" s="1569"/>
      <c r="I8" s="1569"/>
      <c r="J8" s="1569"/>
      <c r="K8" s="1569"/>
      <c r="L8" s="1569"/>
      <c r="M8" s="1578" t="s">
        <v>6</v>
      </c>
      <c r="N8" s="1569" t="s">
        <v>52</v>
      </c>
      <c r="O8" s="1569"/>
      <c r="P8" s="1569"/>
      <c r="Q8" s="1569"/>
      <c r="R8" s="1569"/>
      <c r="S8" s="1569"/>
      <c r="T8" s="1569"/>
      <c r="U8" s="1578" t="s">
        <v>6</v>
      </c>
      <c r="V8" s="1569" t="s">
        <v>52</v>
      </c>
      <c r="W8" s="1569"/>
      <c r="X8" s="1569"/>
      <c r="Y8" s="1569"/>
      <c r="Z8" s="1569"/>
      <c r="AA8" s="1569"/>
      <c r="AB8" s="1569"/>
      <c r="AC8" s="1577"/>
    </row>
    <row r="9" spans="1:29" s="616" customFormat="1" ht="39.75" customHeight="1" x14ac:dyDescent="0.2">
      <c r="A9" s="1565"/>
      <c r="B9" s="1566"/>
      <c r="C9" s="1566"/>
      <c r="D9" s="1566"/>
      <c r="E9" s="1568"/>
      <c r="F9" s="1570" t="s">
        <v>35</v>
      </c>
      <c r="G9" s="1570"/>
      <c r="H9" s="1570"/>
      <c r="I9" s="1570" t="s">
        <v>45</v>
      </c>
      <c r="J9" s="1570"/>
      <c r="K9" s="1570"/>
      <c r="L9" s="1571" t="s">
        <v>46</v>
      </c>
      <c r="M9" s="1578"/>
      <c r="N9" s="1570" t="s">
        <v>35</v>
      </c>
      <c r="O9" s="1570"/>
      <c r="P9" s="1570"/>
      <c r="Q9" s="1570" t="s">
        <v>45</v>
      </c>
      <c r="R9" s="1570"/>
      <c r="S9" s="1570"/>
      <c r="T9" s="1571" t="s">
        <v>46</v>
      </c>
      <c r="U9" s="1578"/>
      <c r="V9" s="1570" t="s">
        <v>35</v>
      </c>
      <c r="W9" s="1570"/>
      <c r="X9" s="1570"/>
      <c r="Y9" s="1570" t="s">
        <v>45</v>
      </c>
      <c r="Z9" s="1570"/>
      <c r="AA9" s="1570"/>
      <c r="AB9" s="1571" t="s">
        <v>46</v>
      </c>
      <c r="AC9" s="1577"/>
    </row>
    <row r="10" spans="1:29" s="616" customFormat="1" ht="69" customHeight="1" x14ac:dyDescent="0.2">
      <c r="A10" s="1565"/>
      <c r="B10" s="1566"/>
      <c r="C10" s="1566"/>
      <c r="D10" s="1566"/>
      <c r="E10" s="1568"/>
      <c r="F10" s="642" t="s">
        <v>43</v>
      </c>
      <c r="G10" s="642" t="s">
        <v>592</v>
      </c>
      <c r="H10" s="642" t="s">
        <v>44</v>
      </c>
      <c r="I10" s="617" t="s">
        <v>55</v>
      </c>
      <c r="J10" s="642" t="s">
        <v>43</v>
      </c>
      <c r="K10" s="642" t="s">
        <v>44</v>
      </c>
      <c r="L10" s="1571"/>
      <c r="M10" s="1578"/>
      <c r="N10" s="642" t="s">
        <v>43</v>
      </c>
      <c r="O10" s="642" t="s">
        <v>592</v>
      </c>
      <c r="P10" s="642" t="s">
        <v>44</v>
      </c>
      <c r="Q10" s="617" t="s">
        <v>55</v>
      </c>
      <c r="R10" s="642" t="s">
        <v>43</v>
      </c>
      <c r="S10" s="642" t="s">
        <v>44</v>
      </c>
      <c r="T10" s="1571"/>
      <c r="U10" s="1578"/>
      <c r="V10" s="642" t="s">
        <v>43</v>
      </c>
      <c r="W10" s="642" t="s">
        <v>592</v>
      </c>
      <c r="X10" s="642" t="s">
        <v>44</v>
      </c>
      <c r="Y10" s="617" t="s">
        <v>55</v>
      </c>
      <c r="Z10" s="642" t="s">
        <v>43</v>
      </c>
      <c r="AA10" s="642" t="s">
        <v>44</v>
      </c>
      <c r="AB10" s="1571"/>
      <c r="AC10" s="1577"/>
    </row>
    <row r="11" spans="1:29" ht="31.5" x14ac:dyDescent="0.2">
      <c r="A11" s="618" t="s">
        <v>909</v>
      </c>
      <c r="B11" s="619" t="s">
        <v>747</v>
      </c>
      <c r="C11" s="620"/>
      <c r="D11" s="620">
        <v>510</v>
      </c>
      <c r="E11" s="596">
        <f>L11+K11+J11+H11+G11+F11</f>
        <v>332433.68</v>
      </c>
      <c r="F11" s="595">
        <f>'Прилож 4 24 (6)'!V11</f>
        <v>0</v>
      </c>
      <c r="G11" s="595">
        <f>'Прилож 4 24 (6)'!W11</f>
        <v>0</v>
      </c>
      <c r="H11" s="595">
        <f>'Прилож 4 24 (6)'!X11</f>
        <v>255285.97</v>
      </c>
      <c r="I11" s="621"/>
      <c r="J11" s="595">
        <f>'Прилож 4 24 (6)'!Z11</f>
        <v>0</v>
      </c>
      <c r="K11" s="595">
        <f>'Прилож 4 24 (6)'!AA11</f>
        <v>0</v>
      </c>
      <c r="L11" s="595">
        <f>'Прилож 4 24 (6)'!AB11</f>
        <v>77147.710000000006</v>
      </c>
      <c r="M11" s="596">
        <f>N11+P11+R11+S11+T11+O11</f>
        <v>0</v>
      </c>
      <c r="N11" s="595"/>
      <c r="O11" s="595"/>
      <c r="P11" s="595"/>
      <c r="Q11" s="621"/>
      <c r="R11" s="595"/>
      <c r="S11" s="595"/>
      <c r="T11" s="595"/>
      <c r="U11" s="999">
        <f>X11+AB11</f>
        <v>332433.68</v>
      </c>
      <c r="V11" s="835">
        <f>F11+N11</f>
        <v>0</v>
      </c>
      <c r="W11" s="835">
        <f>O11+G11</f>
        <v>0</v>
      </c>
      <c r="X11" s="835">
        <f>P11+H11</f>
        <v>255285.97</v>
      </c>
      <c r="Y11" s="1000"/>
      <c r="Z11" s="835">
        <f>R11+J11</f>
        <v>0</v>
      </c>
      <c r="AA11" s="835">
        <f>S11+K11</f>
        <v>0</v>
      </c>
      <c r="AB11" s="835">
        <f>T11+L11</f>
        <v>77147.710000000006</v>
      </c>
      <c r="AC11" s="1003"/>
    </row>
    <row r="12" spans="1:29" ht="109.5" customHeight="1" x14ac:dyDescent="0.2">
      <c r="A12" s="618" t="s">
        <v>728</v>
      </c>
      <c r="B12" s="619" t="s">
        <v>747</v>
      </c>
      <c r="C12" s="620">
        <v>130</v>
      </c>
      <c r="D12" s="620">
        <v>131</v>
      </c>
      <c r="E12" s="596">
        <f t="shared" ref="E12:E76" si="0">L12+K12+J12+H12+G12+F12</f>
        <v>23228700</v>
      </c>
      <c r="F12" s="595">
        <f>'Прилож 4 24 (6)'!V12</f>
        <v>16891100</v>
      </c>
      <c r="G12" s="595">
        <f>'Прилож 4 24 (6)'!W12</f>
        <v>0</v>
      </c>
      <c r="H12" s="595">
        <f>'Прилож 4 24 (6)'!X12</f>
        <v>6337600</v>
      </c>
      <c r="I12" s="621"/>
      <c r="J12" s="595">
        <f>'Прилож 4 24 (6)'!Z12</f>
        <v>0</v>
      </c>
      <c r="K12" s="595">
        <f>'Прилож 4 24 (6)'!AA12</f>
        <v>0</v>
      </c>
      <c r="L12" s="595">
        <f>'Прилож 4 24 (6)'!AB12</f>
        <v>0</v>
      </c>
      <c r="M12" s="596">
        <f t="shared" ref="M12:M27" si="1">N12+P12+R12+S12+T12+O12</f>
        <v>0</v>
      </c>
      <c r="N12" s="595"/>
      <c r="O12" s="595"/>
      <c r="P12" s="595"/>
      <c r="Q12" s="621"/>
      <c r="R12" s="595"/>
      <c r="S12" s="595"/>
      <c r="T12" s="595"/>
      <c r="U12" s="999">
        <f>V12+X12+Z12+AA12+AB12+W12</f>
        <v>23228700</v>
      </c>
      <c r="V12" s="835">
        <f t="shared" ref="V12:V29" si="2">F12+N12</f>
        <v>16891100</v>
      </c>
      <c r="W12" s="835">
        <f t="shared" ref="W12:X29" si="3">O12+G12</f>
        <v>0</v>
      </c>
      <c r="X12" s="835">
        <f t="shared" si="3"/>
        <v>6337600</v>
      </c>
      <c r="Y12" s="1000"/>
      <c r="Z12" s="835">
        <f t="shared" ref="Z12:AB79" si="4">R12+J12</f>
        <v>0</v>
      </c>
      <c r="AA12" s="835">
        <f t="shared" si="4"/>
        <v>0</v>
      </c>
      <c r="AB12" s="835">
        <f t="shared" si="4"/>
        <v>0</v>
      </c>
      <c r="AC12" s="1003"/>
    </row>
    <row r="13" spans="1:29" ht="58.5" customHeight="1" x14ac:dyDescent="0.2">
      <c r="A13" s="618" t="s">
        <v>580</v>
      </c>
      <c r="B13" s="619" t="s">
        <v>729</v>
      </c>
      <c r="C13" s="620">
        <v>130</v>
      </c>
      <c r="D13" s="620">
        <v>131</v>
      </c>
      <c r="E13" s="596">
        <f t="shared" si="0"/>
        <v>926500</v>
      </c>
      <c r="F13" s="595">
        <f>'Прилож 4 24 (6)'!V13</f>
        <v>0</v>
      </c>
      <c r="G13" s="595">
        <f>'Прилож 4 24 (6)'!W13</f>
        <v>0</v>
      </c>
      <c r="H13" s="595">
        <f>'Прилож 4 24 (6)'!X13</f>
        <v>926500</v>
      </c>
      <c r="I13" s="621"/>
      <c r="J13" s="595">
        <f>'Прилож 4 24 (6)'!Z13</f>
        <v>0</v>
      </c>
      <c r="K13" s="595">
        <f>'Прилож 4 24 (6)'!AA13</f>
        <v>0</v>
      </c>
      <c r="L13" s="595">
        <f>'Прилож 4 24 (6)'!AB13</f>
        <v>0</v>
      </c>
      <c r="M13" s="596">
        <f t="shared" si="1"/>
        <v>0</v>
      </c>
      <c r="N13" s="595"/>
      <c r="O13" s="595"/>
      <c r="P13" s="595"/>
      <c r="Q13" s="621"/>
      <c r="R13" s="595"/>
      <c r="S13" s="595"/>
      <c r="T13" s="595"/>
      <c r="U13" s="999">
        <f t="shared" ref="U13:U29" si="5">V13+X13+Z13+AA13+AB13+W13</f>
        <v>926500</v>
      </c>
      <c r="V13" s="835">
        <f t="shared" si="2"/>
        <v>0</v>
      </c>
      <c r="W13" s="835">
        <f t="shared" si="3"/>
        <v>0</v>
      </c>
      <c r="X13" s="835">
        <f t="shared" si="3"/>
        <v>926500</v>
      </c>
      <c r="Y13" s="1000"/>
      <c r="Z13" s="835">
        <f t="shared" si="4"/>
        <v>0</v>
      </c>
      <c r="AA13" s="835">
        <f t="shared" si="4"/>
        <v>0</v>
      </c>
      <c r="AB13" s="835">
        <f t="shared" si="4"/>
        <v>0</v>
      </c>
      <c r="AC13" s="1003"/>
    </row>
    <row r="14" spans="1:29" ht="106.5" customHeight="1" x14ac:dyDescent="0.2">
      <c r="A14" s="618" t="s">
        <v>728</v>
      </c>
      <c r="B14" s="619" t="s">
        <v>729</v>
      </c>
      <c r="C14" s="620">
        <v>130</v>
      </c>
      <c r="D14" s="620">
        <v>131</v>
      </c>
      <c r="E14" s="596">
        <f t="shared" si="0"/>
        <v>29472976</v>
      </c>
      <c r="F14" s="595">
        <f>'Прилож 4 24 (6)'!V14</f>
        <v>24547930</v>
      </c>
      <c r="G14" s="595">
        <f>'Прилож 4 24 (6)'!W14</f>
        <v>1304180</v>
      </c>
      <c r="H14" s="595">
        <f>'Прилож 4 24 (6)'!X14</f>
        <v>3620866</v>
      </c>
      <c r="I14" s="621"/>
      <c r="J14" s="595">
        <f>'Прилож 4 24 (6)'!Z14</f>
        <v>0</v>
      </c>
      <c r="K14" s="595">
        <f>'Прилож 4 24 (6)'!AA14</f>
        <v>0</v>
      </c>
      <c r="L14" s="595">
        <f>'Прилож 4 24 (6)'!AB14</f>
        <v>0</v>
      </c>
      <c r="M14" s="596">
        <f t="shared" si="1"/>
        <v>0</v>
      </c>
      <c r="N14" s="835"/>
      <c r="O14" s="595"/>
      <c r="P14" s="595"/>
      <c r="Q14" s="621"/>
      <c r="R14" s="595"/>
      <c r="S14" s="595"/>
      <c r="T14" s="595"/>
      <c r="U14" s="999">
        <f t="shared" si="5"/>
        <v>29472976</v>
      </c>
      <c r="V14" s="835">
        <f t="shared" si="2"/>
        <v>24547930</v>
      </c>
      <c r="W14" s="835">
        <f t="shared" si="3"/>
        <v>1304180</v>
      </c>
      <c r="X14" s="835">
        <f t="shared" si="3"/>
        <v>3620866</v>
      </c>
      <c r="Y14" s="1000"/>
      <c r="Z14" s="835">
        <f t="shared" si="4"/>
        <v>0</v>
      </c>
      <c r="AA14" s="835">
        <f t="shared" si="4"/>
        <v>0</v>
      </c>
      <c r="AB14" s="835">
        <f t="shared" si="4"/>
        <v>0</v>
      </c>
      <c r="AC14" s="1003"/>
    </row>
    <row r="15" spans="1:29" ht="118.5" customHeight="1" x14ac:dyDescent="0.2">
      <c r="A15" s="618" t="s">
        <v>945</v>
      </c>
      <c r="B15" s="619" t="s">
        <v>729</v>
      </c>
      <c r="C15" s="620">
        <v>130</v>
      </c>
      <c r="D15" s="620">
        <v>131</v>
      </c>
      <c r="E15" s="596">
        <f t="shared" si="0"/>
        <v>354251.13</v>
      </c>
      <c r="F15" s="595">
        <f>'Прилож 4 24 (6)'!V15</f>
        <v>116903.03999999999</v>
      </c>
      <c r="G15" s="595">
        <f>'Прилож 4 24 (6)'!W15</f>
        <v>237348.09</v>
      </c>
      <c r="H15" s="595">
        <f>'Прилож 4 24 (6)'!X15</f>
        <v>0</v>
      </c>
      <c r="I15" s="621"/>
      <c r="J15" s="595">
        <f>'Прилож 4 24 (6)'!Z15</f>
        <v>0</v>
      </c>
      <c r="K15" s="595">
        <f>'Прилож 4 24 (6)'!AA15</f>
        <v>0</v>
      </c>
      <c r="L15" s="595">
        <f>'Прилож 4 24 (6)'!AB15</f>
        <v>0</v>
      </c>
      <c r="M15" s="596">
        <f t="shared" si="1"/>
        <v>0</v>
      </c>
      <c r="N15" s="595"/>
      <c r="O15" s="595"/>
      <c r="P15" s="595"/>
      <c r="Q15" s="621"/>
      <c r="R15" s="595"/>
      <c r="S15" s="595"/>
      <c r="T15" s="595"/>
      <c r="U15" s="999">
        <f t="shared" si="5"/>
        <v>354251.13</v>
      </c>
      <c r="V15" s="835">
        <f t="shared" si="2"/>
        <v>116903.03999999999</v>
      </c>
      <c r="W15" s="835">
        <f t="shared" si="3"/>
        <v>237348.09</v>
      </c>
      <c r="X15" s="835">
        <f t="shared" si="3"/>
        <v>0</v>
      </c>
      <c r="Y15" s="1000"/>
      <c r="Z15" s="835">
        <f t="shared" si="4"/>
        <v>0</v>
      </c>
      <c r="AA15" s="835">
        <f t="shared" si="4"/>
        <v>0</v>
      </c>
      <c r="AB15" s="835">
        <f t="shared" si="4"/>
        <v>0</v>
      </c>
      <c r="AC15" s="1003"/>
    </row>
    <row r="16" spans="1:29" ht="57" customHeight="1" x14ac:dyDescent="0.2">
      <c r="A16" s="994" t="s">
        <v>582</v>
      </c>
      <c r="B16" s="995" t="s">
        <v>691</v>
      </c>
      <c r="C16" s="996">
        <v>130</v>
      </c>
      <c r="D16" s="996">
        <v>131</v>
      </c>
      <c r="E16" s="596">
        <f t="shared" si="0"/>
        <v>352345.7</v>
      </c>
      <c r="F16" s="595">
        <f>'Прилож 4 24 (6)'!V16</f>
        <v>32288.77</v>
      </c>
      <c r="G16" s="595">
        <f>'Прилож 4 24 (6)'!W16</f>
        <v>0</v>
      </c>
      <c r="H16" s="595">
        <f>'Прилож 4 24 (6)'!X16</f>
        <v>320056.93</v>
      </c>
      <c r="I16" s="993"/>
      <c r="J16" s="595">
        <f>'Прилож 4 24 (6)'!Z16</f>
        <v>0</v>
      </c>
      <c r="K16" s="595">
        <f>'Прилож 4 24 (6)'!AA16</f>
        <v>0</v>
      </c>
      <c r="L16" s="595">
        <f>'Прилож 4 24 (6)'!AB16</f>
        <v>0</v>
      </c>
      <c r="M16" s="991">
        <f t="shared" si="1"/>
        <v>0</v>
      </c>
      <c r="N16" s="992"/>
      <c r="O16" s="992"/>
      <c r="P16" s="992"/>
      <c r="R16" s="992"/>
      <c r="S16" s="992"/>
      <c r="T16" s="595"/>
      <c r="U16" s="999">
        <f t="shared" si="5"/>
        <v>352345.7</v>
      </c>
      <c r="V16" s="835">
        <f t="shared" si="2"/>
        <v>32288.77</v>
      </c>
      <c r="W16" s="835">
        <f t="shared" si="3"/>
        <v>0</v>
      </c>
      <c r="X16" s="835">
        <f t="shared" si="3"/>
        <v>320056.93</v>
      </c>
      <c r="Y16" s="1000"/>
      <c r="Z16" s="835">
        <f t="shared" si="4"/>
        <v>0</v>
      </c>
      <c r="AA16" s="835">
        <f t="shared" si="4"/>
        <v>0</v>
      </c>
      <c r="AB16" s="835">
        <f t="shared" si="4"/>
        <v>0</v>
      </c>
      <c r="AC16" s="1002"/>
    </row>
    <row r="17" spans="1:32" ht="62.25" customHeight="1" x14ac:dyDescent="0.2">
      <c r="A17" s="618" t="s">
        <v>283</v>
      </c>
      <c r="B17" s="619" t="s">
        <v>729</v>
      </c>
      <c r="C17" s="620">
        <v>130</v>
      </c>
      <c r="D17" s="620">
        <v>131</v>
      </c>
      <c r="E17" s="596">
        <f t="shared" si="0"/>
        <v>80080</v>
      </c>
      <c r="F17" s="595">
        <f>'Прилож 4 24 (6)'!V17</f>
        <v>0</v>
      </c>
      <c r="G17" s="595">
        <f>'Прилож 4 24 (6)'!W17</f>
        <v>0</v>
      </c>
      <c r="H17" s="595">
        <f>'Прилож 4 24 (6)'!X17</f>
        <v>0</v>
      </c>
      <c r="I17" s="621"/>
      <c r="J17" s="595">
        <f>'Прилож 4 24 (6)'!Z17</f>
        <v>0</v>
      </c>
      <c r="K17" s="595">
        <f>'Прилож 4 24 (6)'!AA17</f>
        <v>0</v>
      </c>
      <c r="L17" s="595">
        <f>'Прилож 4 24 (6)'!AB17</f>
        <v>80080</v>
      </c>
      <c r="M17" s="596">
        <f t="shared" si="1"/>
        <v>0</v>
      </c>
      <c r="N17" s="595"/>
      <c r="O17" s="595"/>
      <c r="P17" s="595"/>
      <c r="Q17" s="621"/>
      <c r="R17" s="595"/>
      <c r="S17" s="595"/>
      <c r="T17" s="595"/>
      <c r="U17" s="999">
        <f t="shared" si="5"/>
        <v>80080</v>
      </c>
      <c r="V17" s="835">
        <f t="shared" si="2"/>
        <v>0</v>
      </c>
      <c r="W17" s="835">
        <f t="shared" si="3"/>
        <v>0</v>
      </c>
      <c r="X17" s="835">
        <f t="shared" si="3"/>
        <v>0</v>
      </c>
      <c r="Y17" s="1000"/>
      <c r="Z17" s="835">
        <f t="shared" si="4"/>
        <v>0</v>
      </c>
      <c r="AA17" s="835">
        <f t="shared" si="4"/>
        <v>0</v>
      </c>
      <c r="AB17" s="835">
        <f t="shared" si="4"/>
        <v>80080</v>
      </c>
      <c r="AC17" s="1003"/>
    </row>
    <row r="18" spans="1:32" ht="63.75" customHeight="1" x14ac:dyDescent="0.2">
      <c r="A18" s="618" t="s">
        <v>282</v>
      </c>
      <c r="B18" s="619" t="s">
        <v>729</v>
      </c>
      <c r="C18" s="620">
        <v>130</v>
      </c>
      <c r="D18" s="620">
        <v>134</v>
      </c>
      <c r="E18" s="596">
        <f t="shared" si="0"/>
        <v>1214568.26</v>
      </c>
      <c r="F18" s="595">
        <f>'Прилож 4 24 (6)'!V18</f>
        <v>0</v>
      </c>
      <c r="G18" s="595">
        <f>'Прилож 4 24 (6)'!W18</f>
        <v>0</v>
      </c>
      <c r="H18" s="595">
        <f>'Прилож 4 24 (6)'!X18</f>
        <v>0</v>
      </c>
      <c r="I18" s="621"/>
      <c r="J18" s="595">
        <f>'Прилож 4 24 (6)'!Z18</f>
        <v>0</v>
      </c>
      <c r="K18" s="595">
        <f>'Прилож 4 24 (6)'!AA18</f>
        <v>0</v>
      </c>
      <c r="L18" s="595">
        <f>'Прилож 4 24 (6)'!AB18</f>
        <v>1214568.26</v>
      </c>
      <c r="M18" s="596"/>
      <c r="N18" s="595"/>
      <c r="O18" s="595"/>
      <c r="P18" s="595"/>
      <c r="Q18" s="621"/>
      <c r="R18" s="595"/>
      <c r="S18" s="595"/>
      <c r="T18" s="595"/>
      <c r="U18" s="999">
        <f t="shared" si="5"/>
        <v>1214568.26</v>
      </c>
      <c r="V18" s="835">
        <f t="shared" si="2"/>
        <v>0</v>
      </c>
      <c r="W18" s="835">
        <f t="shared" si="3"/>
        <v>0</v>
      </c>
      <c r="X18" s="835">
        <f t="shared" si="3"/>
        <v>0</v>
      </c>
      <c r="Y18" s="1000"/>
      <c r="Z18" s="835">
        <f t="shared" si="4"/>
        <v>0</v>
      </c>
      <c r="AA18" s="835">
        <f t="shared" si="4"/>
        <v>0</v>
      </c>
      <c r="AB18" s="835">
        <f t="shared" si="4"/>
        <v>1214568.26</v>
      </c>
      <c r="AC18" s="1003"/>
    </row>
    <row r="19" spans="1:32" ht="52.5" customHeight="1" x14ac:dyDescent="0.2">
      <c r="A19" s="1026" t="s">
        <v>273</v>
      </c>
      <c r="B19" s="1027" t="s">
        <v>729</v>
      </c>
      <c r="C19" s="1028">
        <v>130</v>
      </c>
      <c r="D19" s="620">
        <v>121</v>
      </c>
      <c r="E19" s="596">
        <f t="shared" si="0"/>
        <v>14510.07</v>
      </c>
      <c r="F19" s="595">
        <f>'Прилож 4 24 (6)'!V19</f>
        <v>0</v>
      </c>
      <c r="G19" s="595">
        <f>'Прилож 4 24 (6)'!W19</f>
        <v>0</v>
      </c>
      <c r="H19" s="595">
        <f>'Прилож 4 24 (6)'!X19</f>
        <v>0</v>
      </c>
      <c r="I19" s="621"/>
      <c r="J19" s="595">
        <f>'Прилож 4 24 (6)'!Z19</f>
        <v>0</v>
      </c>
      <c r="K19" s="595">
        <f>'Прилож 4 24 (6)'!AA19</f>
        <v>0</v>
      </c>
      <c r="L19" s="595">
        <f>'Прилож 4 24 (6)'!AB19</f>
        <v>14510.07</v>
      </c>
      <c r="M19" s="596"/>
      <c r="N19" s="595"/>
      <c r="O19" s="595"/>
      <c r="P19" s="595"/>
      <c r="Q19" s="621"/>
      <c r="R19" s="595"/>
      <c r="S19" s="595"/>
      <c r="T19" s="595"/>
      <c r="U19" s="999">
        <f t="shared" si="5"/>
        <v>14510.07</v>
      </c>
      <c r="V19" s="835">
        <f t="shared" si="2"/>
        <v>0</v>
      </c>
      <c r="W19" s="835">
        <f t="shared" si="3"/>
        <v>0</v>
      </c>
      <c r="X19" s="835">
        <f t="shared" si="3"/>
        <v>0</v>
      </c>
      <c r="Y19" s="1000"/>
      <c r="Z19" s="835">
        <f t="shared" si="4"/>
        <v>0</v>
      </c>
      <c r="AA19" s="835">
        <f t="shared" si="4"/>
        <v>0</v>
      </c>
      <c r="AB19" s="835">
        <f t="shared" si="4"/>
        <v>14510.07</v>
      </c>
      <c r="AC19" s="1003"/>
    </row>
    <row r="20" spans="1:32" ht="31.5" x14ac:dyDescent="0.2">
      <c r="A20" s="618" t="s">
        <v>789</v>
      </c>
      <c r="B20" s="619" t="s">
        <v>747</v>
      </c>
      <c r="C20" s="620">
        <v>130</v>
      </c>
      <c r="D20" s="620">
        <v>131</v>
      </c>
      <c r="E20" s="596">
        <f t="shared" si="0"/>
        <v>1170130</v>
      </c>
      <c r="F20" s="595">
        <f>'Прилож 4 24 (6)'!V20</f>
        <v>0</v>
      </c>
      <c r="G20" s="595">
        <f>'Прилож 4 24 (6)'!W20</f>
        <v>0</v>
      </c>
      <c r="H20" s="595">
        <f>'Прилож 4 24 (6)'!X20</f>
        <v>0</v>
      </c>
      <c r="I20" s="621"/>
      <c r="J20" s="595">
        <f>'Прилож 4 24 (6)'!Z20</f>
        <v>0</v>
      </c>
      <c r="K20" s="595">
        <f>'Прилож 4 24 (6)'!AA20</f>
        <v>0</v>
      </c>
      <c r="L20" s="595">
        <f>'Прилож 4 24 (6)'!AB20</f>
        <v>1170130</v>
      </c>
      <c r="M20" s="596">
        <f t="shared" si="1"/>
        <v>0</v>
      </c>
      <c r="N20" s="595"/>
      <c r="O20" s="595"/>
      <c r="P20" s="595"/>
      <c r="Q20" s="621"/>
      <c r="R20" s="595"/>
      <c r="S20" s="595"/>
      <c r="T20" s="595"/>
      <c r="U20" s="999">
        <f t="shared" si="5"/>
        <v>1170130</v>
      </c>
      <c r="V20" s="835">
        <f t="shared" si="2"/>
        <v>0</v>
      </c>
      <c r="W20" s="835">
        <f t="shared" si="3"/>
        <v>0</v>
      </c>
      <c r="X20" s="835">
        <f t="shared" si="3"/>
        <v>0</v>
      </c>
      <c r="Y20" s="1000"/>
      <c r="Z20" s="835">
        <f t="shared" si="4"/>
        <v>0</v>
      </c>
      <c r="AA20" s="835">
        <f t="shared" si="4"/>
        <v>0</v>
      </c>
      <c r="AB20" s="835">
        <f t="shared" si="4"/>
        <v>1170130</v>
      </c>
      <c r="AC20" s="1003"/>
    </row>
    <row r="21" spans="1:32" ht="111.75" customHeight="1" x14ac:dyDescent="0.2">
      <c r="A21" s="618" t="s">
        <v>1237</v>
      </c>
      <c r="B21" s="619" t="s">
        <v>747</v>
      </c>
      <c r="C21" s="620">
        <v>150</v>
      </c>
      <c r="D21" s="620">
        <v>152</v>
      </c>
      <c r="E21" s="596">
        <f t="shared" si="0"/>
        <v>0</v>
      </c>
      <c r="F21" s="595">
        <f>'Прилож 4 24 (6)'!V21</f>
        <v>0</v>
      </c>
      <c r="G21" s="595">
        <f>'Прилож 4 24 (6)'!W21</f>
        <v>0</v>
      </c>
      <c r="H21" s="595">
        <f>'Прилож 4 24 (6)'!X21</f>
        <v>0</v>
      </c>
      <c r="I21" s="621"/>
      <c r="J21" s="595">
        <f>'Прилож 4 24 (6)'!Z21</f>
        <v>0</v>
      </c>
      <c r="K21" s="595">
        <f>'Прилож 4 24 (6)'!AA21</f>
        <v>0</v>
      </c>
      <c r="L21" s="595">
        <f>'Прилож 4 24 (6)'!AB21</f>
        <v>0</v>
      </c>
      <c r="M21" s="596">
        <f t="shared" si="1"/>
        <v>0</v>
      </c>
      <c r="N21" s="595"/>
      <c r="O21" s="595"/>
      <c r="P21" s="595"/>
      <c r="Q21" s="621"/>
      <c r="R21" s="595"/>
      <c r="S21" s="595"/>
      <c r="T21" s="595"/>
      <c r="U21" s="999">
        <f t="shared" si="5"/>
        <v>0</v>
      </c>
      <c r="V21" s="835">
        <f t="shared" si="2"/>
        <v>0</v>
      </c>
      <c r="W21" s="835">
        <f t="shared" si="3"/>
        <v>0</v>
      </c>
      <c r="X21" s="835">
        <f t="shared" si="3"/>
        <v>0</v>
      </c>
      <c r="Y21" s="1000"/>
      <c r="Z21" s="835">
        <f t="shared" si="4"/>
        <v>0</v>
      </c>
      <c r="AA21" s="835">
        <f t="shared" si="4"/>
        <v>0</v>
      </c>
      <c r="AB21" s="835">
        <f t="shared" si="4"/>
        <v>0</v>
      </c>
      <c r="AC21" s="1003"/>
    </row>
    <row r="22" spans="1:32" ht="111.75" customHeight="1" x14ac:dyDescent="0.2">
      <c r="A22" s="618" t="s">
        <v>1321</v>
      </c>
      <c r="B22" s="619" t="s">
        <v>729</v>
      </c>
      <c r="C22" s="620">
        <v>150</v>
      </c>
      <c r="D22" s="620">
        <v>152</v>
      </c>
      <c r="E22" s="596">
        <f t="shared" si="0"/>
        <v>216466</v>
      </c>
      <c r="F22" s="595">
        <f>'Прилож 4 24 (6)'!V22</f>
        <v>0</v>
      </c>
      <c r="G22" s="595">
        <f>'Прилож 4 24 (6)'!W22</f>
        <v>0</v>
      </c>
      <c r="H22" s="595">
        <f>'Прилож 4 24 (6)'!X22</f>
        <v>0</v>
      </c>
      <c r="I22" s="621" t="s">
        <v>1226</v>
      </c>
      <c r="J22" s="595">
        <f>'Прилож 4 24 (6)'!Z22</f>
        <v>0</v>
      </c>
      <c r="K22" s="595">
        <f>'Прилож 4 24 (6)'!AA22</f>
        <v>216466</v>
      </c>
      <c r="L22" s="595">
        <f>'Прилож 4 24 (6)'!AB22</f>
        <v>0</v>
      </c>
      <c r="M22" s="596">
        <f t="shared" si="1"/>
        <v>0</v>
      </c>
      <c r="N22" s="595"/>
      <c r="O22" s="595"/>
      <c r="P22" s="595"/>
      <c r="Q22" s="621"/>
      <c r="R22" s="595"/>
      <c r="S22" s="595"/>
      <c r="T22" s="595"/>
      <c r="U22" s="999">
        <f t="shared" si="5"/>
        <v>216466</v>
      </c>
      <c r="V22" s="835">
        <f t="shared" si="2"/>
        <v>0</v>
      </c>
      <c r="W22" s="835">
        <f t="shared" si="3"/>
        <v>0</v>
      </c>
      <c r="X22" s="835">
        <f t="shared" si="3"/>
        <v>0</v>
      </c>
      <c r="Y22" s="1000" t="s">
        <v>1226</v>
      </c>
      <c r="Z22" s="835">
        <f t="shared" si="4"/>
        <v>0</v>
      </c>
      <c r="AA22" s="835">
        <f t="shared" si="4"/>
        <v>216466</v>
      </c>
      <c r="AB22" s="835">
        <f t="shared" si="4"/>
        <v>0</v>
      </c>
      <c r="AC22" s="1003"/>
    </row>
    <row r="23" spans="1:32" ht="111.75" customHeight="1" x14ac:dyDescent="0.2">
      <c r="A23" s="618" t="s">
        <v>297</v>
      </c>
      <c r="B23" s="619" t="s">
        <v>729</v>
      </c>
      <c r="C23" s="620">
        <v>150</v>
      </c>
      <c r="D23" s="620">
        <v>152</v>
      </c>
      <c r="E23" s="596">
        <f t="shared" si="0"/>
        <v>6089767.1999999993</v>
      </c>
      <c r="F23" s="595">
        <f>'Прилож 4 24 (6)'!V23</f>
        <v>0</v>
      </c>
      <c r="G23" s="595">
        <f>'Прилож 4 24 (6)'!W23</f>
        <v>0</v>
      </c>
      <c r="H23" s="595">
        <f>'Прилож 4 24 (6)'!X23</f>
        <v>0</v>
      </c>
      <c r="I23" s="621" t="s">
        <v>1314</v>
      </c>
      <c r="J23" s="595">
        <f>'Прилож 4 24 (6)'!Z23</f>
        <v>0</v>
      </c>
      <c r="K23" s="595">
        <f>'Прилож 4 24 (6)'!AA23</f>
        <v>6089767.1999999993</v>
      </c>
      <c r="L23" s="595">
        <f>'Прилож 4 24 (6)'!AB23</f>
        <v>0</v>
      </c>
      <c r="M23" s="596">
        <f t="shared" si="1"/>
        <v>164513.04999999996</v>
      </c>
      <c r="N23" s="595"/>
      <c r="O23" s="595"/>
      <c r="P23" s="595"/>
      <c r="Q23" s="621" t="s">
        <v>1314</v>
      </c>
      <c r="R23" s="595"/>
      <c r="S23" s="595">
        <f>-176896.81-333112.14+491120.73+183401.27</f>
        <v>164513.04999999996</v>
      </c>
      <c r="T23" s="595"/>
      <c r="U23" s="999">
        <f t="shared" si="5"/>
        <v>6254280.2499999991</v>
      </c>
      <c r="V23" s="835">
        <f t="shared" si="2"/>
        <v>0</v>
      </c>
      <c r="W23" s="835">
        <f t="shared" si="3"/>
        <v>0</v>
      </c>
      <c r="X23" s="835">
        <f t="shared" si="3"/>
        <v>0</v>
      </c>
      <c r="Y23" s="1000" t="s">
        <v>1314</v>
      </c>
      <c r="Z23" s="835">
        <f t="shared" si="4"/>
        <v>0</v>
      </c>
      <c r="AA23" s="835">
        <f t="shared" si="4"/>
        <v>6254280.2499999991</v>
      </c>
      <c r="AB23" s="835">
        <f t="shared" si="4"/>
        <v>0</v>
      </c>
      <c r="AC23" s="1003" t="s">
        <v>1479</v>
      </c>
    </row>
    <row r="24" spans="1:32" ht="111.75" customHeight="1" x14ac:dyDescent="0.2">
      <c r="A24" s="618" t="s">
        <v>1253</v>
      </c>
      <c r="B24" s="619" t="s">
        <v>747</v>
      </c>
      <c r="C24" s="620">
        <v>150</v>
      </c>
      <c r="D24" s="620">
        <v>152</v>
      </c>
      <c r="E24" s="596">
        <f t="shared" si="0"/>
        <v>1066891.6000000001</v>
      </c>
      <c r="F24" s="595">
        <f>'Прилож 4 24 (6)'!V24</f>
        <v>0</v>
      </c>
      <c r="G24" s="595">
        <f>'Прилож 4 24 (6)'!W24</f>
        <v>0</v>
      </c>
      <c r="H24" s="595">
        <f>'Прилож 4 24 (6)'!X24</f>
        <v>0</v>
      </c>
      <c r="I24" s="621" t="s">
        <v>1322</v>
      </c>
      <c r="J24" s="595">
        <f>'Прилож 4 24 (6)'!Z24</f>
        <v>0</v>
      </c>
      <c r="K24" s="595">
        <f>'Прилож 4 24 (6)'!AA24</f>
        <v>1066891.6000000001</v>
      </c>
      <c r="L24" s="595">
        <f>'Прилож 4 24 (6)'!AB24</f>
        <v>0</v>
      </c>
      <c r="M24" s="596">
        <f t="shared" si="1"/>
        <v>0</v>
      </c>
      <c r="N24" s="595"/>
      <c r="O24" s="595"/>
      <c r="P24" s="595"/>
      <c r="Q24" s="621"/>
      <c r="R24" s="595"/>
      <c r="S24" s="595"/>
      <c r="T24" s="595"/>
      <c r="U24" s="999">
        <f t="shared" si="5"/>
        <v>1066891.6000000001</v>
      </c>
      <c r="V24" s="835">
        <f t="shared" si="2"/>
        <v>0</v>
      </c>
      <c r="W24" s="835">
        <f t="shared" si="3"/>
        <v>0</v>
      </c>
      <c r="X24" s="835">
        <f t="shared" si="3"/>
        <v>0</v>
      </c>
      <c r="Y24" s="1000" t="s">
        <v>1322</v>
      </c>
      <c r="Z24" s="835">
        <f t="shared" si="4"/>
        <v>0</v>
      </c>
      <c r="AA24" s="835">
        <f t="shared" si="4"/>
        <v>1066891.6000000001</v>
      </c>
      <c r="AB24" s="835">
        <f t="shared" si="4"/>
        <v>0</v>
      </c>
      <c r="AC24" s="1003"/>
    </row>
    <row r="25" spans="1:32" ht="32.25" customHeight="1" x14ac:dyDescent="0.2">
      <c r="A25" s="618" t="s">
        <v>581</v>
      </c>
      <c r="B25" s="619" t="s">
        <v>64</v>
      </c>
      <c r="C25" s="620">
        <v>150</v>
      </c>
      <c r="D25" s="620">
        <v>152</v>
      </c>
      <c r="E25" s="596">
        <f t="shared" si="0"/>
        <v>87037.3</v>
      </c>
      <c r="F25" s="595">
        <f>'Прилож 4 24 (6)'!V25</f>
        <v>0</v>
      </c>
      <c r="G25" s="595">
        <f>'Прилож 4 24 (6)'!W25</f>
        <v>0</v>
      </c>
      <c r="H25" s="595">
        <f>'Прилож 4 24 (6)'!X25</f>
        <v>0</v>
      </c>
      <c r="I25" s="621" t="s">
        <v>1235</v>
      </c>
      <c r="J25" s="595">
        <f>'Прилож 4 24 (6)'!Z25</f>
        <v>0</v>
      </c>
      <c r="K25" s="595">
        <f>'Прилож 4 24 (6)'!AA25</f>
        <v>87037.3</v>
      </c>
      <c r="L25" s="595">
        <f>'Прилож 4 24 (6)'!AB25</f>
        <v>0</v>
      </c>
      <c r="M25" s="596">
        <f t="shared" si="1"/>
        <v>0</v>
      </c>
      <c r="N25" s="595"/>
      <c r="O25" s="595"/>
      <c r="P25" s="595"/>
      <c r="Q25" s="621"/>
      <c r="R25" s="595"/>
      <c r="S25" s="595"/>
      <c r="T25" s="595"/>
      <c r="U25" s="999">
        <f t="shared" si="5"/>
        <v>87037.3</v>
      </c>
      <c r="V25" s="835">
        <f t="shared" si="2"/>
        <v>0</v>
      </c>
      <c r="W25" s="835">
        <f t="shared" si="3"/>
        <v>0</v>
      </c>
      <c r="X25" s="835">
        <f t="shared" si="3"/>
        <v>0</v>
      </c>
      <c r="Y25" s="1000" t="s">
        <v>1235</v>
      </c>
      <c r="Z25" s="835">
        <f t="shared" si="4"/>
        <v>0</v>
      </c>
      <c r="AA25" s="835">
        <f t="shared" si="4"/>
        <v>87037.3</v>
      </c>
      <c r="AB25" s="835">
        <f t="shared" si="4"/>
        <v>0</v>
      </c>
      <c r="AC25" s="1003"/>
    </row>
    <row r="26" spans="1:32" ht="84" customHeight="1" x14ac:dyDescent="0.2">
      <c r="A26" s="618" t="s">
        <v>790</v>
      </c>
      <c r="B26" s="619" t="s">
        <v>791</v>
      </c>
      <c r="C26" s="620">
        <v>130</v>
      </c>
      <c r="D26" s="620">
        <v>131</v>
      </c>
      <c r="E26" s="596">
        <f t="shared" si="0"/>
        <v>600000</v>
      </c>
      <c r="F26" s="595">
        <f>'Прилож 4 24 (6)'!V26</f>
        <v>600000</v>
      </c>
      <c r="G26" s="595">
        <f>'Прилож 4 24 (6)'!W26</f>
        <v>0</v>
      </c>
      <c r="H26" s="595">
        <f>'Прилож 4 24 (6)'!X26</f>
        <v>0</v>
      </c>
      <c r="I26" s="621"/>
      <c r="J26" s="595">
        <f>'Прилож 4 24 (6)'!Z26</f>
        <v>0</v>
      </c>
      <c r="K26" s="595">
        <f>'Прилож 4 24 (6)'!AA26</f>
        <v>0</v>
      </c>
      <c r="L26" s="595">
        <f>'Прилож 4 24 (6)'!AB26</f>
        <v>0</v>
      </c>
      <c r="M26" s="596">
        <f t="shared" si="1"/>
        <v>0</v>
      </c>
      <c r="N26" s="595"/>
      <c r="O26" s="595"/>
      <c r="P26" s="595"/>
      <c r="Q26" s="621"/>
      <c r="R26" s="595"/>
      <c r="S26" s="595"/>
      <c r="T26" s="595"/>
      <c r="U26" s="999">
        <f t="shared" si="5"/>
        <v>600000</v>
      </c>
      <c r="V26" s="835">
        <f t="shared" si="2"/>
        <v>600000</v>
      </c>
      <c r="W26" s="835">
        <f t="shared" si="3"/>
        <v>0</v>
      </c>
      <c r="X26" s="835">
        <f t="shared" si="3"/>
        <v>0</v>
      </c>
      <c r="Y26" s="1000"/>
      <c r="Z26" s="835">
        <f t="shared" si="4"/>
        <v>0</v>
      </c>
      <c r="AA26" s="835">
        <f t="shared" si="4"/>
        <v>0</v>
      </c>
      <c r="AB26" s="835">
        <f t="shared" si="4"/>
        <v>0</v>
      </c>
      <c r="AC26" s="1003"/>
    </row>
    <row r="27" spans="1:32" ht="69" customHeight="1" x14ac:dyDescent="0.2">
      <c r="A27" s="618" t="s">
        <v>1236</v>
      </c>
      <c r="B27" s="619" t="s">
        <v>729</v>
      </c>
      <c r="C27" s="620">
        <v>150</v>
      </c>
      <c r="D27" s="620">
        <v>152</v>
      </c>
      <c r="E27" s="596">
        <f t="shared" si="0"/>
        <v>0</v>
      </c>
      <c r="F27" s="595">
        <f>'Прилож 4 24 (6)'!V27</f>
        <v>0</v>
      </c>
      <c r="G27" s="595">
        <f>'Прилож 4 24 (6)'!W27</f>
        <v>0</v>
      </c>
      <c r="H27" s="595">
        <f>'Прилож 4 24 (6)'!X27</f>
        <v>0</v>
      </c>
      <c r="I27" s="621"/>
      <c r="J27" s="595">
        <f>'Прилож 4 24 (6)'!Z27</f>
        <v>0</v>
      </c>
      <c r="K27" s="595">
        <f>'Прилож 4 24 (6)'!AA27</f>
        <v>0</v>
      </c>
      <c r="L27" s="595">
        <f>'Прилож 4 24 (6)'!AB27</f>
        <v>0</v>
      </c>
      <c r="M27" s="596">
        <f t="shared" si="1"/>
        <v>0</v>
      </c>
      <c r="N27" s="595"/>
      <c r="O27" s="595"/>
      <c r="P27" s="595"/>
      <c r="Q27" s="623"/>
      <c r="R27" s="595"/>
      <c r="S27" s="595"/>
      <c r="T27" s="595"/>
      <c r="U27" s="999">
        <f t="shared" si="5"/>
        <v>0</v>
      </c>
      <c r="V27" s="835">
        <f t="shared" si="2"/>
        <v>0</v>
      </c>
      <c r="W27" s="835">
        <f t="shared" si="3"/>
        <v>0</v>
      </c>
      <c r="X27" s="835">
        <f t="shared" si="3"/>
        <v>0</v>
      </c>
      <c r="Y27" s="1000"/>
      <c r="Z27" s="835">
        <f t="shared" si="4"/>
        <v>0</v>
      </c>
      <c r="AA27" s="835">
        <f t="shared" si="4"/>
        <v>0</v>
      </c>
      <c r="AB27" s="835">
        <f t="shared" si="4"/>
        <v>0</v>
      </c>
      <c r="AC27" s="1003"/>
    </row>
    <row r="28" spans="1:32" ht="93" customHeight="1" x14ac:dyDescent="0.2">
      <c r="A28" s="618" t="s">
        <v>1437</v>
      </c>
      <c r="B28" s="619" t="s">
        <v>691</v>
      </c>
      <c r="C28" s="620">
        <v>150</v>
      </c>
      <c r="D28" s="620">
        <v>152</v>
      </c>
      <c r="E28" s="596">
        <f t="shared" si="0"/>
        <v>31611</v>
      </c>
      <c r="F28" s="595">
        <f>'Прилож 4 24 (6)'!V28</f>
        <v>0</v>
      </c>
      <c r="G28" s="595">
        <f>'Прилож 4 24 (6)'!W28</f>
        <v>0</v>
      </c>
      <c r="H28" s="595">
        <f>'Прилож 4 24 (6)'!X28</f>
        <v>0</v>
      </c>
      <c r="I28" s="1020" t="s">
        <v>1440</v>
      </c>
      <c r="J28" s="595">
        <f>'Прилож 4 24 (6)'!Z28</f>
        <v>0</v>
      </c>
      <c r="K28" s="595">
        <f>'Прилож 4 24 (6)'!AA28</f>
        <v>31611</v>
      </c>
      <c r="L28" s="595">
        <f>'Прилож 4 24 (6)'!AB28</f>
        <v>0</v>
      </c>
      <c r="M28" s="596">
        <f>N28+O28+P28+R28+S28+T28</f>
        <v>0</v>
      </c>
      <c r="N28" s="595"/>
      <c r="O28" s="595"/>
      <c r="P28" s="595"/>
      <c r="Q28" s="993"/>
      <c r="R28" s="595"/>
      <c r="S28" s="595"/>
      <c r="T28" s="595"/>
      <c r="U28" s="876">
        <f t="shared" si="5"/>
        <v>31611</v>
      </c>
      <c r="V28" s="835"/>
      <c r="W28" s="835"/>
      <c r="X28" s="835"/>
      <c r="Y28" s="877" t="s">
        <v>1440</v>
      </c>
      <c r="Z28" s="835"/>
      <c r="AA28" s="835">
        <v>31611</v>
      </c>
      <c r="AB28" s="835"/>
      <c r="AC28" s="1003"/>
    </row>
    <row r="29" spans="1:32" ht="60" customHeight="1" x14ac:dyDescent="0.2">
      <c r="A29" s="618" t="s">
        <v>284</v>
      </c>
      <c r="B29" s="619" t="s">
        <v>691</v>
      </c>
      <c r="C29" s="620">
        <v>130</v>
      </c>
      <c r="D29" s="620">
        <v>134</v>
      </c>
      <c r="E29" s="596">
        <f t="shared" si="0"/>
        <v>1426.95</v>
      </c>
      <c r="F29" s="595">
        <f>'Прилож 4 24 (6)'!V29</f>
        <v>0</v>
      </c>
      <c r="G29" s="595">
        <f>'Прилож 4 24 (6)'!W29</f>
        <v>0</v>
      </c>
      <c r="H29" s="595">
        <f>'Прилож 4 24 (6)'!X29</f>
        <v>0</v>
      </c>
      <c r="I29" s="621"/>
      <c r="J29" s="595">
        <f>'Прилож 4 24 (6)'!Z29</f>
        <v>0</v>
      </c>
      <c r="K29" s="595">
        <f>'Прилож 4 24 (6)'!AA29</f>
        <v>0</v>
      </c>
      <c r="L29" s="595">
        <f>'Прилож 4 24 (6)'!AB29</f>
        <v>1426.95</v>
      </c>
      <c r="M29" s="876"/>
      <c r="N29" s="875"/>
      <c r="O29" s="875"/>
      <c r="P29" s="875"/>
      <c r="Q29" s="877"/>
      <c r="R29" s="875"/>
      <c r="S29" s="875"/>
      <c r="T29" s="875"/>
      <c r="U29" s="876">
        <f t="shared" si="5"/>
        <v>1426.95</v>
      </c>
      <c r="V29" s="875">
        <f t="shared" si="2"/>
        <v>0</v>
      </c>
      <c r="W29" s="875">
        <f t="shared" si="3"/>
        <v>0</v>
      </c>
      <c r="X29" s="875">
        <f t="shared" si="3"/>
        <v>0</v>
      </c>
      <c r="Y29" s="877"/>
      <c r="Z29" s="875">
        <f t="shared" si="4"/>
        <v>0</v>
      </c>
      <c r="AA29" s="875">
        <f t="shared" si="4"/>
        <v>0</v>
      </c>
      <c r="AB29" s="875">
        <f t="shared" si="4"/>
        <v>1426.95</v>
      </c>
      <c r="AC29" s="878"/>
    </row>
    <row r="30" spans="1:32" s="614" customFormat="1" ht="28.5" customHeight="1" x14ac:dyDescent="0.2">
      <c r="A30" s="624" t="s">
        <v>730</v>
      </c>
      <c r="B30" s="596">
        <f>SUM(B12:B29)</f>
        <v>0</v>
      </c>
      <c r="C30" s="596"/>
      <c r="D30" s="596"/>
      <c r="E30" s="596">
        <f t="shared" si="0"/>
        <v>64907261.210000001</v>
      </c>
      <c r="F30" s="595">
        <f>'Прилож 4 24 (6)'!V30</f>
        <v>42188221.810000002</v>
      </c>
      <c r="G30" s="595">
        <f>'Прилож 4 24 (6)'!W30</f>
        <v>1541528.09</v>
      </c>
      <c r="H30" s="595">
        <f>'Прилож 4 24 (6)'!X30</f>
        <v>11205022.93</v>
      </c>
      <c r="I30" s="596">
        <f t="shared" ref="I30" si="6">SUM(I12:I29)</f>
        <v>0</v>
      </c>
      <c r="J30" s="595">
        <f>'Прилож 4 24 (6)'!Z30</f>
        <v>0</v>
      </c>
      <c r="K30" s="595">
        <f>'Прилож 4 24 (6)'!AA30</f>
        <v>7491773.0999999996</v>
      </c>
      <c r="L30" s="595">
        <f>'Прилож 4 24 (6)'!AB30</f>
        <v>2480715.2800000003</v>
      </c>
      <c r="M30" s="876">
        <f>SUM(M12:M29)</f>
        <v>164513.04999999996</v>
      </c>
      <c r="N30" s="876">
        <f>SUM(N12:N29)</f>
        <v>0</v>
      </c>
      <c r="O30" s="876">
        <f t="shared" ref="O30:P30" si="7">SUM(O12:O29)</f>
        <v>0</v>
      </c>
      <c r="P30" s="876">
        <f t="shared" si="7"/>
        <v>0</v>
      </c>
      <c r="Q30" s="876"/>
      <c r="R30" s="876">
        <f t="shared" ref="R30" si="8">SUM(R12:R29)</f>
        <v>0</v>
      </c>
      <c r="S30" s="876">
        <f>SUM(S12:S29)</f>
        <v>164513.04999999996</v>
      </c>
      <c r="T30" s="876">
        <f>SUM(T12:T29)</f>
        <v>0</v>
      </c>
      <c r="U30" s="876">
        <f>E30+M30</f>
        <v>65071774.259999998</v>
      </c>
      <c r="V30" s="875">
        <f>F30+N30</f>
        <v>42188221.810000002</v>
      </c>
      <c r="W30" s="875">
        <f>O30+G30</f>
        <v>1541528.09</v>
      </c>
      <c r="X30" s="875">
        <f>P30+H30</f>
        <v>11205022.93</v>
      </c>
      <c r="Y30" s="876">
        <f t="shared" ref="Y30" si="9">SUM(Y12:Y29)</f>
        <v>0</v>
      </c>
      <c r="Z30" s="875">
        <f t="shared" si="4"/>
        <v>0</v>
      </c>
      <c r="AA30" s="875">
        <f>S30+K30</f>
        <v>7656286.1499999994</v>
      </c>
      <c r="AB30" s="875">
        <f t="shared" si="4"/>
        <v>2480715.2800000003</v>
      </c>
      <c r="AC30" s="879"/>
      <c r="AD30" s="818">
        <f>V30+W30+X30</f>
        <v>54934772.830000006</v>
      </c>
    </row>
    <row r="31" spans="1:32" x14ac:dyDescent="0.2">
      <c r="A31" s="620" t="s">
        <v>731</v>
      </c>
      <c r="B31" s="619" t="s">
        <v>747</v>
      </c>
      <c r="C31" s="620">
        <v>111</v>
      </c>
      <c r="D31" s="620">
        <v>211</v>
      </c>
      <c r="E31" s="596">
        <f t="shared" si="0"/>
        <v>13902087.85</v>
      </c>
      <c r="F31" s="595">
        <f>'Прилож 4 24 (6)'!V31</f>
        <v>11657879.389999999</v>
      </c>
      <c r="G31" s="595">
        <f>'Прилож 4 24 (6)'!W31</f>
        <v>0</v>
      </c>
      <c r="H31" s="595">
        <f>'Прилож 4 24 (6)'!X31</f>
        <v>2244208.4600000004</v>
      </c>
      <c r="I31" s="621"/>
      <c r="J31" s="595">
        <f>'Прилож 4 24 (6)'!Z31</f>
        <v>0</v>
      </c>
      <c r="K31" s="595">
        <f>'Прилож 4 24 (6)'!AA31</f>
        <v>0</v>
      </c>
      <c r="L31" s="595">
        <f>'Прилож 4 24 (6)'!AB31</f>
        <v>0</v>
      </c>
      <c r="M31" s="876">
        <f>N31+P31+R31+S31+T31+O31</f>
        <v>0</v>
      </c>
      <c r="N31" s="875"/>
      <c r="O31" s="875"/>
      <c r="P31" s="875"/>
      <c r="Q31" s="877"/>
      <c r="R31" s="875"/>
      <c r="S31" s="875"/>
      <c r="T31" s="875"/>
      <c r="U31" s="876">
        <f>E31+M31</f>
        <v>13902087.85</v>
      </c>
      <c r="V31" s="875">
        <f t="shared" ref="V31:V95" si="10">F31+N31</f>
        <v>11657879.389999999</v>
      </c>
      <c r="W31" s="875">
        <f t="shared" ref="W31:X95" si="11">O31+G31</f>
        <v>0</v>
      </c>
      <c r="X31" s="875">
        <f t="shared" si="11"/>
        <v>2244208.4600000004</v>
      </c>
      <c r="Y31" s="877"/>
      <c r="Z31" s="875">
        <f t="shared" si="4"/>
        <v>0</v>
      </c>
      <c r="AA31" s="875">
        <f t="shared" si="4"/>
        <v>0</v>
      </c>
      <c r="AB31" s="875">
        <f t="shared" si="4"/>
        <v>0</v>
      </c>
      <c r="AC31" s="878"/>
      <c r="AD31" s="820"/>
      <c r="AF31" s="820">
        <f>X31+X32+X35</f>
        <v>3003367.0600000005</v>
      </c>
    </row>
    <row r="32" spans="1:32" ht="52.5" customHeight="1" x14ac:dyDescent="0.2">
      <c r="A32" s="620" t="s">
        <v>731</v>
      </c>
      <c r="B32" s="619" t="s">
        <v>729</v>
      </c>
      <c r="C32" s="620">
        <v>111</v>
      </c>
      <c r="D32" s="620">
        <v>211</v>
      </c>
      <c r="E32" s="596">
        <f t="shared" si="0"/>
        <v>19521296.150000002</v>
      </c>
      <c r="F32" s="595">
        <f>'Прилож 4 24 (6)'!V32</f>
        <v>17808021.800000001</v>
      </c>
      <c r="G32" s="595">
        <f>'Прилож 4 24 (6)'!W32</f>
        <v>1001674.35</v>
      </c>
      <c r="H32" s="595">
        <f>'Прилож 4 24 (6)'!X32</f>
        <v>711600</v>
      </c>
      <c r="I32" s="621"/>
      <c r="J32" s="595">
        <f>'Прилож 4 24 (6)'!Z32</f>
        <v>0</v>
      </c>
      <c r="K32" s="595">
        <f>'Прилож 4 24 (6)'!AA32</f>
        <v>0</v>
      </c>
      <c r="L32" s="595">
        <f>'Прилож 4 24 (6)'!AB32</f>
        <v>0</v>
      </c>
      <c r="M32" s="876">
        <f>N32+P32+R32+S32+T32+O32</f>
        <v>0</v>
      </c>
      <c r="N32" s="875"/>
      <c r="O32" s="875"/>
      <c r="P32" s="875"/>
      <c r="Q32" s="877"/>
      <c r="R32" s="875"/>
      <c r="S32" s="875"/>
      <c r="T32" s="875"/>
      <c r="U32" s="876">
        <f t="shared" ref="U32:V96" si="12">E32+M32</f>
        <v>19521296.150000002</v>
      </c>
      <c r="V32" s="875">
        <f t="shared" si="10"/>
        <v>17808021.800000001</v>
      </c>
      <c r="W32" s="875">
        <f t="shared" si="11"/>
        <v>1001674.35</v>
      </c>
      <c r="X32" s="875">
        <f t="shared" si="11"/>
        <v>711600</v>
      </c>
      <c r="Y32" s="877"/>
      <c r="Z32" s="875">
        <f t="shared" si="4"/>
        <v>0</v>
      </c>
      <c r="AA32" s="875">
        <f t="shared" si="4"/>
        <v>0</v>
      </c>
      <c r="AB32" s="875">
        <f t="shared" si="4"/>
        <v>0</v>
      </c>
      <c r="AC32" s="1003"/>
      <c r="AD32" s="820"/>
    </row>
    <row r="33" spans="1:30" x14ac:dyDescent="0.2">
      <c r="A33" s="620" t="s">
        <v>943</v>
      </c>
      <c r="B33" s="619" t="s">
        <v>729</v>
      </c>
      <c r="C33" s="620">
        <v>111</v>
      </c>
      <c r="D33" s="620">
        <v>211</v>
      </c>
      <c r="E33" s="596">
        <f t="shared" si="0"/>
        <v>272082.28000000003</v>
      </c>
      <c r="F33" s="595">
        <f>'Прилож 4 24 (6)'!V33</f>
        <v>89787.28</v>
      </c>
      <c r="G33" s="595">
        <f>'Прилож 4 24 (6)'!W33</f>
        <v>182295</v>
      </c>
      <c r="H33" s="595">
        <f>'Прилож 4 24 (6)'!X33</f>
        <v>0</v>
      </c>
      <c r="I33" s="621"/>
      <c r="J33" s="595">
        <f>'Прилож 4 24 (6)'!Z33</f>
        <v>0</v>
      </c>
      <c r="K33" s="595">
        <f>'Прилож 4 24 (6)'!AA33</f>
        <v>0</v>
      </c>
      <c r="L33" s="595">
        <f>'Прилож 4 24 (6)'!AB33</f>
        <v>0</v>
      </c>
      <c r="M33" s="876">
        <f t="shared" ref="M33:M97" si="13">N33+P33+R33+S33+T33+O33</f>
        <v>0</v>
      </c>
      <c r="N33" s="875"/>
      <c r="O33" s="875"/>
      <c r="P33" s="875"/>
      <c r="Q33" s="877"/>
      <c r="R33" s="875"/>
      <c r="S33" s="875"/>
      <c r="T33" s="875"/>
      <c r="U33" s="876">
        <f t="shared" si="12"/>
        <v>272082.28000000003</v>
      </c>
      <c r="V33" s="875">
        <f t="shared" si="10"/>
        <v>89787.28</v>
      </c>
      <c r="W33" s="875">
        <f t="shared" si="11"/>
        <v>182295</v>
      </c>
      <c r="X33" s="875">
        <f t="shared" si="11"/>
        <v>0</v>
      </c>
      <c r="Y33" s="877"/>
      <c r="Z33" s="875">
        <f t="shared" si="4"/>
        <v>0</v>
      </c>
      <c r="AA33" s="875">
        <f t="shared" si="4"/>
        <v>0</v>
      </c>
      <c r="AB33" s="875">
        <f t="shared" si="4"/>
        <v>0</v>
      </c>
      <c r="AC33" s="878"/>
      <c r="AD33" s="820"/>
    </row>
    <row r="34" spans="1:30" x14ac:dyDescent="0.2">
      <c r="A34" s="620" t="s">
        <v>731</v>
      </c>
      <c r="B34" s="619" t="s">
        <v>64</v>
      </c>
      <c r="C34" s="620">
        <v>111</v>
      </c>
      <c r="D34" s="620">
        <v>211</v>
      </c>
      <c r="E34" s="596">
        <f t="shared" si="0"/>
        <v>64391.3</v>
      </c>
      <c r="F34" s="595">
        <f>'Прилож 4 24 (6)'!V34</f>
        <v>0</v>
      </c>
      <c r="G34" s="595">
        <f>'Прилож 4 24 (6)'!W34</f>
        <v>0</v>
      </c>
      <c r="H34" s="595">
        <f>'Прилож 4 24 (6)'!X34</f>
        <v>0</v>
      </c>
      <c r="I34" s="621" t="s">
        <v>1235</v>
      </c>
      <c r="J34" s="595">
        <f>'Прилож 4 24 (6)'!Z34</f>
        <v>0</v>
      </c>
      <c r="K34" s="595">
        <f>'Прилож 4 24 (6)'!AA34</f>
        <v>64391.3</v>
      </c>
      <c r="L34" s="595">
        <f>'Прилож 4 24 (6)'!AB34</f>
        <v>0</v>
      </c>
      <c r="M34" s="876">
        <f t="shared" si="13"/>
        <v>0</v>
      </c>
      <c r="N34" s="875"/>
      <c r="O34" s="875"/>
      <c r="P34" s="875"/>
      <c r="Q34" s="877"/>
      <c r="R34" s="875"/>
      <c r="S34" s="875"/>
      <c r="T34" s="875"/>
      <c r="U34" s="876">
        <f t="shared" si="12"/>
        <v>64391.3</v>
      </c>
      <c r="V34" s="875">
        <f t="shared" si="10"/>
        <v>0</v>
      </c>
      <c r="W34" s="875">
        <f t="shared" si="11"/>
        <v>0</v>
      </c>
      <c r="X34" s="875">
        <f t="shared" si="11"/>
        <v>0</v>
      </c>
      <c r="Y34" s="621" t="s">
        <v>1235</v>
      </c>
      <c r="Z34" s="875">
        <f t="shared" si="4"/>
        <v>0</v>
      </c>
      <c r="AA34" s="875">
        <f t="shared" si="4"/>
        <v>64391.3</v>
      </c>
      <c r="AB34" s="875">
        <f t="shared" si="4"/>
        <v>0</v>
      </c>
      <c r="AC34" s="878"/>
      <c r="AD34" s="820"/>
    </row>
    <row r="35" spans="1:30" x14ac:dyDescent="0.2">
      <c r="A35" s="620" t="s">
        <v>731</v>
      </c>
      <c r="B35" s="619" t="s">
        <v>691</v>
      </c>
      <c r="C35" s="620">
        <v>111</v>
      </c>
      <c r="D35" s="620">
        <v>211</v>
      </c>
      <c r="E35" s="596">
        <f t="shared" si="0"/>
        <v>56017.74</v>
      </c>
      <c r="F35" s="595">
        <f>'Прилож 4 24 (6)'!V35</f>
        <v>0</v>
      </c>
      <c r="G35" s="595">
        <f>'Прилож 4 24 (6)'!W35</f>
        <v>0</v>
      </c>
      <c r="H35" s="595">
        <f>'Прилож 4 24 (6)'!X35</f>
        <v>47558.6</v>
      </c>
      <c r="I35" s="621"/>
      <c r="J35" s="595">
        <f>'Прилож 4 24 (6)'!Z35</f>
        <v>0</v>
      </c>
      <c r="K35" s="595">
        <f>'Прилож 4 24 (6)'!AA35</f>
        <v>0</v>
      </c>
      <c r="L35" s="595">
        <f>'Прилож 4 24 (6)'!AB35</f>
        <v>8459.14</v>
      </c>
      <c r="M35" s="876">
        <f t="shared" si="13"/>
        <v>0</v>
      </c>
      <c r="N35" s="875"/>
      <c r="O35" s="875"/>
      <c r="P35" s="875"/>
      <c r="Q35" s="877"/>
      <c r="R35" s="875"/>
      <c r="S35" s="875"/>
      <c r="T35" s="875"/>
      <c r="U35" s="876">
        <f t="shared" si="12"/>
        <v>56017.74</v>
      </c>
      <c r="V35" s="875">
        <f t="shared" si="10"/>
        <v>0</v>
      </c>
      <c r="W35" s="875">
        <f t="shared" si="11"/>
        <v>0</v>
      </c>
      <c r="X35" s="875">
        <f t="shared" si="11"/>
        <v>47558.6</v>
      </c>
      <c r="Y35" s="877"/>
      <c r="Z35" s="875">
        <f t="shared" si="4"/>
        <v>0</v>
      </c>
      <c r="AA35" s="875">
        <f t="shared" si="4"/>
        <v>0</v>
      </c>
      <c r="AB35" s="875">
        <f t="shared" si="4"/>
        <v>8459.14</v>
      </c>
      <c r="AC35" s="878"/>
      <c r="AD35" s="820"/>
    </row>
    <row r="36" spans="1:30" s="614" customFormat="1" x14ac:dyDescent="0.2">
      <c r="A36" s="624" t="s">
        <v>732</v>
      </c>
      <c r="B36" s="624"/>
      <c r="C36" s="624"/>
      <c r="D36" s="624"/>
      <c r="E36" s="596">
        <f t="shared" si="0"/>
        <v>33815875.32</v>
      </c>
      <c r="F36" s="595">
        <f>'Прилож 4 24 (6)'!V36</f>
        <v>29555688.470000003</v>
      </c>
      <c r="G36" s="595">
        <f>'Прилож 4 24 (6)'!W36</f>
        <v>1183969.3500000001</v>
      </c>
      <c r="H36" s="595">
        <f>'Прилож 4 24 (6)'!X36</f>
        <v>3003367.0600000005</v>
      </c>
      <c r="I36" s="626"/>
      <c r="J36" s="595">
        <f>'Прилож 4 24 (6)'!Z36</f>
        <v>0</v>
      </c>
      <c r="K36" s="595">
        <f>'Прилож 4 24 (6)'!AA36</f>
        <v>64391.3</v>
      </c>
      <c r="L36" s="595">
        <f>'Прилож 4 24 (6)'!AB36</f>
        <v>8459.14</v>
      </c>
      <c r="M36" s="876">
        <f t="shared" si="13"/>
        <v>0</v>
      </c>
      <c r="N36" s="876">
        <f>SUM(N31:N35)</f>
        <v>0</v>
      </c>
      <c r="O36" s="876">
        <f>SUM(O31:O35)</f>
        <v>0</v>
      </c>
      <c r="P36" s="876">
        <f>SUM(P31:P35)</f>
        <v>0</v>
      </c>
      <c r="Q36" s="881"/>
      <c r="R36" s="876"/>
      <c r="S36" s="876"/>
      <c r="T36" s="876"/>
      <c r="U36" s="876">
        <f t="shared" si="12"/>
        <v>33815875.32</v>
      </c>
      <c r="V36" s="875">
        <f t="shared" si="10"/>
        <v>29555688.470000003</v>
      </c>
      <c r="W36" s="875">
        <f t="shared" si="11"/>
        <v>1183969.3500000001</v>
      </c>
      <c r="X36" s="875">
        <f t="shared" si="11"/>
        <v>3003367.0600000005</v>
      </c>
      <c r="Y36" s="881"/>
      <c r="Z36" s="875">
        <f t="shared" si="4"/>
        <v>0</v>
      </c>
      <c r="AA36" s="875">
        <f t="shared" si="4"/>
        <v>64391.3</v>
      </c>
      <c r="AB36" s="875">
        <f t="shared" si="4"/>
        <v>8459.14</v>
      </c>
      <c r="AC36" s="879"/>
      <c r="AD36" s="820"/>
    </row>
    <row r="37" spans="1:30" s="614" customFormat="1" ht="57.75" customHeight="1" x14ac:dyDescent="0.2">
      <c r="A37" s="618" t="s">
        <v>1339</v>
      </c>
      <c r="B37" s="620">
        <v>701</v>
      </c>
      <c r="C37" s="620">
        <v>321</v>
      </c>
      <c r="D37" s="620">
        <v>264</v>
      </c>
      <c r="E37" s="596">
        <f t="shared" si="0"/>
        <v>88171.02</v>
      </c>
      <c r="F37" s="595">
        <f>'Прилож 4 24 (6)'!V37</f>
        <v>88171.02</v>
      </c>
      <c r="G37" s="595">
        <f>'Прилож 4 24 (6)'!W37</f>
        <v>0</v>
      </c>
      <c r="H37" s="595">
        <f>'Прилож 4 24 (6)'!X37</f>
        <v>0</v>
      </c>
      <c r="I37" s="625"/>
      <c r="J37" s="595">
        <f>'Прилож 4 24 (6)'!Z37</f>
        <v>0</v>
      </c>
      <c r="K37" s="595">
        <f>'Прилож 4 24 (6)'!AA37</f>
        <v>0</v>
      </c>
      <c r="L37" s="595">
        <f>'Прилож 4 24 (6)'!AB37</f>
        <v>0</v>
      </c>
      <c r="M37" s="876">
        <f t="shared" si="13"/>
        <v>0</v>
      </c>
      <c r="N37" s="875"/>
      <c r="O37" s="875"/>
      <c r="P37" s="875"/>
      <c r="Q37" s="882"/>
      <c r="R37" s="875"/>
      <c r="S37" s="875"/>
      <c r="T37" s="875"/>
      <c r="U37" s="876">
        <f t="shared" si="12"/>
        <v>88171.02</v>
      </c>
      <c r="V37" s="875">
        <f t="shared" si="10"/>
        <v>88171.02</v>
      </c>
      <c r="W37" s="875">
        <f t="shared" si="11"/>
        <v>0</v>
      </c>
      <c r="X37" s="875">
        <f t="shared" si="11"/>
        <v>0</v>
      </c>
      <c r="Y37" s="882"/>
      <c r="Z37" s="875">
        <f t="shared" si="4"/>
        <v>0</v>
      </c>
      <c r="AA37" s="875">
        <f t="shared" si="4"/>
        <v>0</v>
      </c>
      <c r="AB37" s="875">
        <f t="shared" si="4"/>
        <v>0</v>
      </c>
      <c r="AC37" s="878"/>
      <c r="AD37" s="820"/>
    </row>
    <row r="38" spans="1:30" s="614" customFormat="1" x14ac:dyDescent="0.2">
      <c r="A38" s="624" t="s">
        <v>1342</v>
      </c>
      <c r="B38" s="624"/>
      <c r="C38" s="624"/>
      <c r="D38" s="624"/>
      <c r="E38" s="596">
        <f t="shared" si="0"/>
        <v>88171.02</v>
      </c>
      <c r="F38" s="595">
        <f>'Прилож 4 24 (6)'!V38</f>
        <v>88171.02</v>
      </c>
      <c r="G38" s="595">
        <f>'Прилож 4 24 (6)'!W38</f>
        <v>0</v>
      </c>
      <c r="H38" s="595">
        <f>'Прилож 4 24 (6)'!X38</f>
        <v>0</v>
      </c>
      <c r="I38" s="626"/>
      <c r="J38" s="595">
        <f>'Прилож 4 24 (6)'!Z38</f>
        <v>0</v>
      </c>
      <c r="K38" s="595">
        <f>'Прилож 4 24 (6)'!AA38</f>
        <v>0</v>
      </c>
      <c r="L38" s="595">
        <f>'Прилож 4 24 (6)'!AB38</f>
        <v>0</v>
      </c>
      <c r="M38" s="876">
        <f t="shared" si="13"/>
        <v>0</v>
      </c>
      <c r="N38" s="876"/>
      <c r="O38" s="876"/>
      <c r="P38" s="876"/>
      <c r="Q38" s="881"/>
      <c r="R38" s="876"/>
      <c r="S38" s="876"/>
      <c r="T38" s="876"/>
      <c r="U38" s="876">
        <f t="shared" si="12"/>
        <v>88171.02</v>
      </c>
      <c r="V38" s="875">
        <f t="shared" si="10"/>
        <v>88171.02</v>
      </c>
      <c r="W38" s="875">
        <f t="shared" si="11"/>
        <v>0</v>
      </c>
      <c r="X38" s="875">
        <f t="shared" si="11"/>
        <v>0</v>
      </c>
      <c r="Y38" s="881"/>
      <c r="Z38" s="875">
        <f t="shared" si="4"/>
        <v>0</v>
      </c>
      <c r="AA38" s="875">
        <f t="shared" si="4"/>
        <v>0</v>
      </c>
      <c r="AB38" s="875">
        <f t="shared" si="4"/>
        <v>0</v>
      </c>
      <c r="AC38" s="879"/>
      <c r="AD38" s="820"/>
    </row>
    <row r="39" spans="1:30" ht="74.45" customHeight="1" x14ac:dyDescent="0.2">
      <c r="A39" s="618" t="s">
        <v>845</v>
      </c>
      <c r="B39" s="619" t="s">
        <v>747</v>
      </c>
      <c r="C39" s="620">
        <v>111</v>
      </c>
      <c r="D39" s="620">
        <v>266</v>
      </c>
      <c r="E39" s="596">
        <f t="shared" si="0"/>
        <v>100000</v>
      </c>
      <c r="F39" s="595">
        <f>'Прилож 4 24 (6)'!V39</f>
        <v>100000</v>
      </c>
      <c r="G39" s="595">
        <f>'Прилож 4 24 (6)'!W39</f>
        <v>0</v>
      </c>
      <c r="H39" s="595">
        <f>'Прилож 4 24 (6)'!X39</f>
        <v>0</v>
      </c>
      <c r="I39" s="621"/>
      <c r="J39" s="595">
        <f>'Прилож 4 24 (6)'!Z39</f>
        <v>0</v>
      </c>
      <c r="K39" s="595">
        <f>'Прилож 4 24 (6)'!AA39</f>
        <v>0</v>
      </c>
      <c r="L39" s="595">
        <f>'Прилож 4 24 (6)'!AB39</f>
        <v>0</v>
      </c>
      <c r="M39" s="876">
        <f t="shared" si="13"/>
        <v>0</v>
      </c>
      <c r="N39" s="875"/>
      <c r="O39" s="875"/>
      <c r="P39" s="875"/>
      <c r="Q39" s="877"/>
      <c r="R39" s="875"/>
      <c r="S39" s="875"/>
      <c r="T39" s="875"/>
      <c r="U39" s="876">
        <f t="shared" si="12"/>
        <v>100000</v>
      </c>
      <c r="V39" s="875">
        <f t="shared" si="10"/>
        <v>100000</v>
      </c>
      <c r="W39" s="875">
        <f t="shared" si="11"/>
        <v>0</v>
      </c>
      <c r="X39" s="875">
        <f t="shared" si="11"/>
        <v>0</v>
      </c>
      <c r="Y39" s="877"/>
      <c r="Z39" s="875">
        <f t="shared" si="4"/>
        <v>0</v>
      </c>
      <c r="AA39" s="875">
        <f t="shared" si="4"/>
        <v>0</v>
      </c>
      <c r="AB39" s="875">
        <f t="shared" si="4"/>
        <v>0</v>
      </c>
      <c r="AC39" s="878"/>
    </row>
    <row r="40" spans="1:30" ht="51.75" customHeight="1" x14ac:dyDescent="0.2">
      <c r="A40" s="618" t="s">
        <v>845</v>
      </c>
      <c r="B40" s="619" t="s">
        <v>729</v>
      </c>
      <c r="C40" s="620">
        <v>111</v>
      </c>
      <c r="D40" s="620">
        <v>266</v>
      </c>
      <c r="E40" s="596">
        <f t="shared" si="0"/>
        <v>80000</v>
      </c>
      <c r="F40" s="595">
        <f>'Прилож 4 24 (6)'!V40</f>
        <v>80000</v>
      </c>
      <c r="G40" s="595">
        <f>'Прилож 4 24 (6)'!W40</f>
        <v>0</v>
      </c>
      <c r="H40" s="595">
        <f>'Прилож 4 24 (6)'!X40</f>
        <v>0</v>
      </c>
      <c r="I40" s="621"/>
      <c r="J40" s="595">
        <f>'Прилож 4 24 (6)'!Z40</f>
        <v>0</v>
      </c>
      <c r="K40" s="595">
        <f>'Прилож 4 24 (6)'!AA40</f>
        <v>0</v>
      </c>
      <c r="L40" s="595">
        <f>'Прилож 4 24 (6)'!AB40</f>
        <v>0</v>
      </c>
      <c r="M40" s="876">
        <f t="shared" si="13"/>
        <v>0</v>
      </c>
      <c r="N40" s="875"/>
      <c r="O40" s="875"/>
      <c r="P40" s="875"/>
      <c r="Q40" s="877"/>
      <c r="R40" s="875"/>
      <c r="S40" s="875"/>
      <c r="T40" s="875"/>
      <c r="U40" s="876">
        <f t="shared" si="12"/>
        <v>80000</v>
      </c>
      <c r="V40" s="875">
        <f t="shared" si="10"/>
        <v>80000</v>
      </c>
      <c r="W40" s="875">
        <f t="shared" si="11"/>
        <v>0</v>
      </c>
      <c r="X40" s="875">
        <f t="shared" si="11"/>
        <v>0</v>
      </c>
      <c r="Y40" s="877"/>
      <c r="Z40" s="875">
        <f t="shared" si="4"/>
        <v>0</v>
      </c>
      <c r="AA40" s="875">
        <f t="shared" si="4"/>
        <v>0</v>
      </c>
      <c r="AB40" s="875">
        <f t="shared" si="4"/>
        <v>0</v>
      </c>
      <c r="AC40" s="878"/>
    </row>
    <row r="41" spans="1:30" s="614" customFormat="1" x14ac:dyDescent="0.2">
      <c r="A41" s="624" t="s">
        <v>847</v>
      </c>
      <c r="B41" s="624"/>
      <c r="C41" s="624"/>
      <c r="D41" s="624"/>
      <c r="E41" s="596">
        <f t="shared" si="0"/>
        <v>180000</v>
      </c>
      <c r="F41" s="595">
        <f>'Прилож 4 24 (6)'!V41</f>
        <v>180000</v>
      </c>
      <c r="G41" s="595">
        <f>'Прилож 4 24 (6)'!W41</f>
        <v>0</v>
      </c>
      <c r="H41" s="595">
        <f>'Прилож 4 24 (6)'!X41</f>
        <v>0</v>
      </c>
      <c r="I41" s="626">
        <f t="shared" ref="I41:I43" si="14">SUM(I39:I40)</f>
        <v>0</v>
      </c>
      <c r="J41" s="595">
        <f>'Прилож 4 24 (6)'!Z41</f>
        <v>0</v>
      </c>
      <c r="K41" s="595">
        <f>'Прилож 4 24 (6)'!AA41</f>
        <v>0</v>
      </c>
      <c r="L41" s="595">
        <f>'Прилож 4 24 (6)'!AB41</f>
        <v>0</v>
      </c>
      <c r="M41" s="876">
        <f t="shared" si="13"/>
        <v>0</v>
      </c>
      <c r="N41" s="876"/>
      <c r="O41" s="876"/>
      <c r="P41" s="876"/>
      <c r="Q41" s="881"/>
      <c r="R41" s="876"/>
      <c r="S41" s="876"/>
      <c r="T41" s="876"/>
      <c r="U41" s="876">
        <f t="shared" si="12"/>
        <v>180000</v>
      </c>
      <c r="V41" s="875">
        <f t="shared" si="10"/>
        <v>180000</v>
      </c>
      <c r="W41" s="875">
        <f t="shared" si="11"/>
        <v>0</v>
      </c>
      <c r="X41" s="875">
        <f t="shared" si="11"/>
        <v>0</v>
      </c>
      <c r="Y41" s="881">
        <f t="shared" ref="Y41:Y43" si="15">SUM(Y39:Y40)</f>
        <v>0</v>
      </c>
      <c r="Z41" s="875">
        <f t="shared" si="4"/>
        <v>0</v>
      </c>
      <c r="AA41" s="875">
        <f t="shared" si="4"/>
        <v>0</v>
      </c>
      <c r="AB41" s="875">
        <f t="shared" si="4"/>
        <v>0</v>
      </c>
      <c r="AC41" s="879"/>
    </row>
    <row r="42" spans="1:30" ht="66.75" customHeight="1" x14ac:dyDescent="0.2">
      <c r="A42" s="618" t="s">
        <v>1270</v>
      </c>
      <c r="B42" s="619" t="s">
        <v>691</v>
      </c>
      <c r="C42" s="620">
        <v>112</v>
      </c>
      <c r="D42" s="620">
        <v>222</v>
      </c>
      <c r="E42" s="596">
        <f t="shared" si="0"/>
        <v>0</v>
      </c>
      <c r="F42" s="595">
        <f>'Прилож 4 24 (6)'!V42</f>
        <v>0</v>
      </c>
      <c r="G42" s="595">
        <f>'Прилож 4 24 (6)'!W42</f>
        <v>0</v>
      </c>
      <c r="H42" s="595">
        <f>'Прилож 4 24 (6)'!X42</f>
        <v>0</v>
      </c>
      <c r="I42" s="621"/>
      <c r="J42" s="595">
        <f>'Прилож 4 24 (6)'!Z42</f>
        <v>0</v>
      </c>
      <c r="K42" s="595">
        <f>'Прилож 4 24 (6)'!AA42</f>
        <v>0</v>
      </c>
      <c r="L42" s="595">
        <f>'Прилож 4 24 (6)'!AB42</f>
        <v>0</v>
      </c>
      <c r="M42" s="876"/>
      <c r="N42" s="875"/>
      <c r="O42" s="875"/>
      <c r="P42" s="875"/>
      <c r="Q42" s="877"/>
      <c r="R42" s="875"/>
      <c r="S42" s="875"/>
      <c r="T42" s="875"/>
      <c r="U42" s="876">
        <f t="shared" si="12"/>
        <v>0</v>
      </c>
      <c r="V42" s="875">
        <f t="shared" si="10"/>
        <v>0</v>
      </c>
      <c r="W42" s="875">
        <f t="shared" si="11"/>
        <v>0</v>
      </c>
      <c r="X42" s="875">
        <f t="shared" si="11"/>
        <v>0</v>
      </c>
      <c r="Y42" s="877"/>
      <c r="Z42" s="875">
        <f t="shared" si="4"/>
        <v>0</v>
      </c>
      <c r="AA42" s="875">
        <f t="shared" si="4"/>
        <v>0</v>
      </c>
      <c r="AB42" s="875">
        <f t="shared" si="4"/>
        <v>0</v>
      </c>
      <c r="AC42" s="878"/>
    </row>
    <row r="43" spans="1:30" s="614" customFormat="1" x14ac:dyDescent="0.2">
      <c r="A43" s="624" t="s">
        <v>1264</v>
      </c>
      <c r="B43" s="624"/>
      <c r="C43" s="624"/>
      <c r="D43" s="624"/>
      <c r="E43" s="596">
        <f t="shared" si="0"/>
        <v>0</v>
      </c>
      <c r="F43" s="595">
        <f>'Прилож 4 24 (6)'!V43</f>
        <v>0</v>
      </c>
      <c r="G43" s="595">
        <f>'Прилож 4 24 (6)'!W43</f>
        <v>0</v>
      </c>
      <c r="H43" s="595">
        <f>'Прилож 4 24 (6)'!X43</f>
        <v>0</v>
      </c>
      <c r="I43" s="626">
        <f t="shared" si="14"/>
        <v>0</v>
      </c>
      <c r="J43" s="595">
        <f>'Прилож 4 24 (6)'!Z43</f>
        <v>0</v>
      </c>
      <c r="K43" s="595">
        <f>'Прилож 4 24 (6)'!AA43</f>
        <v>0</v>
      </c>
      <c r="L43" s="595">
        <f>'Прилож 4 24 (6)'!AB43</f>
        <v>0</v>
      </c>
      <c r="M43" s="876">
        <f t="shared" si="13"/>
        <v>0</v>
      </c>
      <c r="N43" s="876"/>
      <c r="O43" s="876"/>
      <c r="P43" s="876">
        <f>SUM(P42)</f>
        <v>0</v>
      </c>
      <c r="Q43" s="881"/>
      <c r="R43" s="876"/>
      <c r="S43" s="876">
        <f>SUM(S42)</f>
        <v>0</v>
      </c>
      <c r="T43" s="876">
        <f>SUM(T42)</f>
        <v>0</v>
      </c>
      <c r="U43" s="876">
        <f t="shared" si="12"/>
        <v>0</v>
      </c>
      <c r="V43" s="875">
        <f t="shared" si="10"/>
        <v>0</v>
      </c>
      <c r="W43" s="875">
        <f t="shared" si="11"/>
        <v>0</v>
      </c>
      <c r="X43" s="875">
        <f t="shared" si="11"/>
        <v>0</v>
      </c>
      <c r="Y43" s="881">
        <f t="shared" si="15"/>
        <v>0</v>
      </c>
      <c r="Z43" s="875">
        <f t="shared" si="4"/>
        <v>0</v>
      </c>
      <c r="AA43" s="875">
        <f t="shared" si="4"/>
        <v>0</v>
      </c>
      <c r="AB43" s="875">
        <f t="shared" si="4"/>
        <v>0</v>
      </c>
      <c r="AC43" s="879"/>
    </row>
    <row r="44" spans="1:30" s="614" customFormat="1" ht="78.75" x14ac:dyDescent="0.2">
      <c r="A44" s="618" t="s">
        <v>748</v>
      </c>
      <c r="B44" s="619" t="s">
        <v>747</v>
      </c>
      <c r="C44" s="620">
        <v>119</v>
      </c>
      <c r="D44" s="620">
        <v>213</v>
      </c>
      <c r="E44" s="596">
        <f t="shared" si="0"/>
        <v>4198430.53</v>
      </c>
      <c r="F44" s="595">
        <f>'Прилож 4 24 (6)'!V44</f>
        <v>3520679.58</v>
      </c>
      <c r="G44" s="595">
        <f>'Прилож 4 24 (6)'!W44</f>
        <v>0</v>
      </c>
      <c r="H44" s="595">
        <f>'Прилож 4 24 (6)'!X44</f>
        <v>677750.95</v>
      </c>
      <c r="I44" s="628"/>
      <c r="J44" s="595">
        <f>'Прилож 4 24 (6)'!Z44</f>
        <v>0</v>
      </c>
      <c r="K44" s="595">
        <f>'Прилож 4 24 (6)'!AA44</f>
        <v>0</v>
      </c>
      <c r="L44" s="595">
        <f>'Прилож 4 24 (6)'!AB44</f>
        <v>0</v>
      </c>
      <c r="M44" s="876">
        <f t="shared" si="13"/>
        <v>0</v>
      </c>
      <c r="N44" s="875"/>
      <c r="O44" s="875"/>
      <c r="P44" s="875"/>
      <c r="Q44" s="883"/>
      <c r="R44" s="875"/>
      <c r="S44" s="875"/>
      <c r="T44" s="875"/>
      <c r="U44" s="876">
        <f t="shared" si="12"/>
        <v>4198430.53</v>
      </c>
      <c r="V44" s="875">
        <f t="shared" si="10"/>
        <v>3520679.58</v>
      </c>
      <c r="W44" s="875">
        <f t="shared" si="11"/>
        <v>0</v>
      </c>
      <c r="X44" s="875">
        <f t="shared" si="11"/>
        <v>677750.95</v>
      </c>
      <c r="Y44" s="883"/>
      <c r="Z44" s="875">
        <f t="shared" si="4"/>
        <v>0</v>
      </c>
      <c r="AA44" s="875">
        <f t="shared" si="4"/>
        <v>0</v>
      </c>
      <c r="AB44" s="875">
        <f t="shared" si="4"/>
        <v>0</v>
      </c>
      <c r="AC44" s="878"/>
    </row>
    <row r="45" spans="1:30" s="614" customFormat="1" ht="78.75" x14ac:dyDescent="0.2">
      <c r="A45" s="618" t="s">
        <v>748</v>
      </c>
      <c r="B45" s="619" t="s">
        <v>729</v>
      </c>
      <c r="C45" s="620">
        <v>119</v>
      </c>
      <c r="D45" s="620">
        <v>213</v>
      </c>
      <c r="E45" s="596">
        <f t="shared" si="0"/>
        <v>5895428.2300000004</v>
      </c>
      <c r="F45" s="595">
        <f>'Прилож 4 24 (6)'!V45</f>
        <v>5378022.5800000001</v>
      </c>
      <c r="G45" s="595">
        <f>'Прилож 4 24 (6)'!W45</f>
        <v>302505.65000000002</v>
      </c>
      <c r="H45" s="595">
        <f>'Прилож 4 24 (6)'!X45</f>
        <v>214900</v>
      </c>
      <c r="I45" s="628"/>
      <c r="J45" s="595">
        <f>'Прилож 4 24 (6)'!Z45</f>
        <v>0</v>
      </c>
      <c r="K45" s="595">
        <f>'Прилож 4 24 (6)'!AA45</f>
        <v>0</v>
      </c>
      <c r="L45" s="595">
        <f>'Прилож 4 24 (6)'!AB45</f>
        <v>0</v>
      </c>
      <c r="M45" s="876">
        <f t="shared" si="13"/>
        <v>0</v>
      </c>
      <c r="N45" s="875"/>
      <c r="O45" s="875"/>
      <c r="P45" s="875"/>
      <c r="Q45" s="883"/>
      <c r="R45" s="875"/>
      <c r="S45" s="875"/>
      <c r="T45" s="875"/>
      <c r="U45" s="876">
        <f t="shared" si="12"/>
        <v>5895428.2300000004</v>
      </c>
      <c r="V45" s="875">
        <f t="shared" si="10"/>
        <v>5378022.5800000001</v>
      </c>
      <c r="W45" s="875">
        <f t="shared" si="11"/>
        <v>302505.65000000002</v>
      </c>
      <c r="X45" s="875">
        <f t="shared" si="11"/>
        <v>214900</v>
      </c>
      <c r="Y45" s="883"/>
      <c r="Z45" s="875">
        <f t="shared" si="4"/>
        <v>0</v>
      </c>
      <c r="AA45" s="875">
        <f t="shared" si="4"/>
        <v>0</v>
      </c>
      <c r="AB45" s="875">
        <f t="shared" si="4"/>
        <v>0</v>
      </c>
      <c r="AC45" s="1003"/>
    </row>
    <row r="46" spans="1:30" s="614" customFormat="1" ht="78.75" x14ac:dyDescent="0.2">
      <c r="A46" s="618" t="s">
        <v>944</v>
      </c>
      <c r="B46" s="619" t="s">
        <v>729</v>
      </c>
      <c r="C46" s="620">
        <v>119</v>
      </c>
      <c r="D46" s="620">
        <v>213</v>
      </c>
      <c r="E46" s="596">
        <f t="shared" si="0"/>
        <v>82168.849999999991</v>
      </c>
      <c r="F46" s="595">
        <f>'Прилож 4 24 (6)'!V46</f>
        <v>27115.759999999998</v>
      </c>
      <c r="G46" s="595">
        <f>'Прилож 4 24 (6)'!W46</f>
        <v>55053.09</v>
      </c>
      <c r="H46" s="595">
        <f>'Прилож 4 24 (6)'!X46</f>
        <v>0</v>
      </c>
      <c r="I46" s="628"/>
      <c r="J46" s="595">
        <f>'Прилож 4 24 (6)'!Z46</f>
        <v>0</v>
      </c>
      <c r="K46" s="595">
        <f>'Прилож 4 24 (6)'!AA46</f>
        <v>0</v>
      </c>
      <c r="L46" s="595">
        <f>'Прилож 4 24 (6)'!AB46</f>
        <v>0</v>
      </c>
      <c r="M46" s="876">
        <f t="shared" si="13"/>
        <v>0</v>
      </c>
      <c r="N46" s="875"/>
      <c r="O46" s="875"/>
      <c r="P46" s="875"/>
      <c r="Q46" s="883"/>
      <c r="R46" s="875"/>
      <c r="S46" s="875"/>
      <c r="T46" s="875"/>
      <c r="U46" s="876">
        <f t="shared" si="12"/>
        <v>82168.849999999991</v>
      </c>
      <c r="V46" s="875">
        <f t="shared" si="10"/>
        <v>27115.759999999998</v>
      </c>
      <c r="W46" s="875">
        <f t="shared" si="11"/>
        <v>55053.09</v>
      </c>
      <c r="X46" s="875">
        <f t="shared" si="11"/>
        <v>0</v>
      </c>
      <c r="Y46" s="883"/>
      <c r="Z46" s="875">
        <f t="shared" si="4"/>
        <v>0</v>
      </c>
      <c r="AA46" s="875">
        <f t="shared" si="4"/>
        <v>0</v>
      </c>
      <c r="AB46" s="875">
        <f t="shared" si="4"/>
        <v>0</v>
      </c>
      <c r="AC46" s="878"/>
    </row>
    <row r="47" spans="1:30" s="614" customFormat="1" ht="78.75" x14ac:dyDescent="0.2">
      <c r="A47" s="618" t="s">
        <v>748</v>
      </c>
      <c r="B47" s="619" t="s">
        <v>64</v>
      </c>
      <c r="C47" s="620">
        <v>119</v>
      </c>
      <c r="D47" s="620">
        <v>213</v>
      </c>
      <c r="E47" s="596">
        <f t="shared" si="0"/>
        <v>19446</v>
      </c>
      <c r="F47" s="595">
        <f>'Прилож 4 24 (6)'!V47</f>
        <v>0</v>
      </c>
      <c r="G47" s="595">
        <f>'Прилож 4 24 (6)'!W47</f>
        <v>0</v>
      </c>
      <c r="H47" s="595">
        <f>'Прилож 4 24 (6)'!X47</f>
        <v>0</v>
      </c>
      <c r="I47" s="621" t="s">
        <v>1235</v>
      </c>
      <c r="J47" s="595">
        <f>'Прилож 4 24 (6)'!Z47</f>
        <v>0</v>
      </c>
      <c r="K47" s="595">
        <f>'Прилож 4 24 (6)'!AA47</f>
        <v>19446</v>
      </c>
      <c r="L47" s="595">
        <f>'Прилож 4 24 (6)'!AB47</f>
        <v>0</v>
      </c>
      <c r="M47" s="876">
        <f t="shared" si="13"/>
        <v>0</v>
      </c>
      <c r="N47" s="875"/>
      <c r="O47" s="875"/>
      <c r="P47" s="875"/>
      <c r="Q47" s="883"/>
      <c r="R47" s="875"/>
      <c r="S47" s="875"/>
      <c r="T47" s="875"/>
      <c r="U47" s="876">
        <f t="shared" si="12"/>
        <v>19446</v>
      </c>
      <c r="V47" s="875">
        <f t="shared" si="10"/>
        <v>0</v>
      </c>
      <c r="W47" s="875">
        <f t="shared" si="11"/>
        <v>0</v>
      </c>
      <c r="X47" s="875">
        <f t="shared" si="11"/>
        <v>0</v>
      </c>
      <c r="Y47" s="877" t="s">
        <v>1235</v>
      </c>
      <c r="Z47" s="875">
        <f t="shared" si="4"/>
        <v>0</v>
      </c>
      <c r="AA47" s="875">
        <f t="shared" si="4"/>
        <v>19446</v>
      </c>
      <c r="AB47" s="875">
        <f t="shared" si="4"/>
        <v>0</v>
      </c>
      <c r="AC47" s="878"/>
    </row>
    <row r="48" spans="1:30" s="614" customFormat="1" ht="78.75" x14ac:dyDescent="0.2">
      <c r="A48" s="618" t="s">
        <v>748</v>
      </c>
      <c r="B48" s="619" t="s">
        <v>691</v>
      </c>
      <c r="C48" s="620">
        <v>119</v>
      </c>
      <c r="D48" s="620">
        <v>213</v>
      </c>
      <c r="E48" s="596">
        <f t="shared" si="0"/>
        <v>16917.36</v>
      </c>
      <c r="F48" s="595">
        <f>'Прилож 4 24 (6)'!V48</f>
        <v>0</v>
      </c>
      <c r="G48" s="595">
        <f>'Прилож 4 24 (6)'!W48</f>
        <v>0</v>
      </c>
      <c r="H48" s="595">
        <f>'Прилож 4 24 (6)'!X48</f>
        <v>14362.7</v>
      </c>
      <c r="I48" s="628"/>
      <c r="J48" s="595">
        <f>'Прилож 4 24 (6)'!Z48</f>
        <v>0</v>
      </c>
      <c r="K48" s="595">
        <f>'Прилож 4 24 (6)'!AA48</f>
        <v>0</v>
      </c>
      <c r="L48" s="595">
        <f>'Прилож 4 24 (6)'!AB48</f>
        <v>2554.66</v>
      </c>
      <c r="M48" s="876">
        <f t="shared" si="13"/>
        <v>0</v>
      </c>
      <c r="N48" s="875"/>
      <c r="O48" s="875"/>
      <c r="P48" s="875"/>
      <c r="Q48" s="883"/>
      <c r="R48" s="875"/>
      <c r="S48" s="875"/>
      <c r="T48" s="875"/>
      <c r="U48" s="876">
        <f t="shared" si="12"/>
        <v>16917.36</v>
      </c>
      <c r="V48" s="875">
        <f t="shared" si="10"/>
        <v>0</v>
      </c>
      <c r="W48" s="875">
        <f t="shared" si="11"/>
        <v>0</v>
      </c>
      <c r="X48" s="875">
        <f t="shared" si="11"/>
        <v>14362.7</v>
      </c>
      <c r="Y48" s="883"/>
      <c r="Z48" s="875">
        <f t="shared" si="4"/>
        <v>0</v>
      </c>
      <c r="AA48" s="875">
        <f t="shared" si="4"/>
        <v>0</v>
      </c>
      <c r="AB48" s="875">
        <f t="shared" si="4"/>
        <v>2554.66</v>
      </c>
      <c r="AC48" s="878"/>
    </row>
    <row r="49" spans="1:30" s="614" customFormat="1" ht="110.25" x14ac:dyDescent="0.2">
      <c r="A49" s="618" t="s">
        <v>1468</v>
      </c>
      <c r="B49" s="619" t="s">
        <v>729</v>
      </c>
      <c r="C49" s="620">
        <v>119</v>
      </c>
      <c r="D49" s="620">
        <v>265</v>
      </c>
      <c r="E49" s="596">
        <v>8370.2000000000007</v>
      </c>
      <c r="F49" s="595">
        <f>'Прилож 4 24 (6)'!V49</f>
        <v>8370.2000000000007</v>
      </c>
      <c r="G49" s="595">
        <f>'Прилож 4 24 (6)'!W49</f>
        <v>0</v>
      </c>
      <c r="H49" s="595">
        <f>'Прилож 4 24 (6)'!X49</f>
        <v>0</v>
      </c>
      <c r="I49" s="628"/>
      <c r="J49" s="595">
        <f>'Прилож 4 24 (6)'!Z49</f>
        <v>0</v>
      </c>
      <c r="K49" s="595">
        <f>'Прилож 4 24 (6)'!AA49</f>
        <v>0</v>
      </c>
      <c r="L49" s="595">
        <f>'Прилож 4 24 (6)'!AB49</f>
        <v>0</v>
      </c>
      <c r="M49" s="876">
        <f t="shared" si="13"/>
        <v>0</v>
      </c>
      <c r="N49" s="875"/>
      <c r="O49" s="875"/>
      <c r="P49" s="875"/>
      <c r="Q49" s="883"/>
      <c r="R49" s="875"/>
      <c r="S49" s="875"/>
      <c r="T49" s="875"/>
      <c r="U49" s="876">
        <v>8370.2000000000007</v>
      </c>
      <c r="V49" s="875">
        <f t="shared" si="10"/>
        <v>8370.2000000000007</v>
      </c>
      <c r="W49" s="875">
        <f t="shared" si="11"/>
        <v>0</v>
      </c>
      <c r="X49" s="875">
        <f t="shared" si="11"/>
        <v>0</v>
      </c>
      <c r="Y49" s="883"/>
      <c r="Z49" s="875">
        <f t="shared" si="4"/>
        <v>0</v>
      </c>
      <c r="AA49" s="875">
        <f t="shared" si="4"/>
        <v>0</v>
      </c>
      <c r="AB49" s="875">
        <f t="shared" si="4"/>
        <v>0</v>
      </c>
      <c r="AC49" s="878"/>
    </row>
    <row r="50" spans="1:30" s="614" customFormat="1" x14ac:dyDescent="0.2">
      <c r="A50" s="630" t="s">
        <v>733</v>
      </c>
      <c r="B50" s="631"/>
      <c r="C50" s="624"/>
      <c r="D50" s="624"/>
      <c r="E50" s="596">
        <f>L50+K50+J50+H50+G50+F50</f>
        <v>10220761.169999998</v>
      </c>
      <c r="F50" s="595">
        <f>'Прилож 4 24 (6)'!V50</f>
        <v>8934188.1199999992</v>
      </c>
      <c r="G50" s="595">
        <f>'Прилож 4 24 (6)'!W50</f>
        <v>357558.74</v>
      </c>
      <c r="H50" s="595">
        <f>'Прилож 4 24 (6)'!X50</f>
        <v>907013.64999999991</v>
      </c>
      <c r="I50" s="626"/>
      <c r="J50" s="595">
        <f>'Прилож 4 24 (6)'!Z50</f>
        <v>0</v>
      </c>
      <c r="K50" s="595">
        <f>'Прилож 4 24 (6)'!AA50</f>
        <v>19446</v>
      </c>
      <c r="L50" s="595">
        <f>'Прилож 4 24 (6)'!AB50</f>
        <v>2554.66</v>
      </c>
      <c r="M50" s="876">
        <f>N50+P50+R50+S50+T50+O50</f>
        <v>0</v>
      </c>
      <c r="N50" s="876">
        <f>SUM(N44:N49)</f>
        <v>0</v>
      </c>
      <c r="O50" s="876">
        <f>SUM(O44:O48)</f>
        <v>0</v>
      </c>
      <c r="P50" s="876">
        <f>SUM(P44:P48)</f>
        <v>0</v>
      </c>
      <c r="Q50" s="881"/>
      <c r="R50" s="876"/>
      <c r="S50" s="876"/>
      <c r="T50" s="876"/>
      <c r="U50" s="876">
        <f>E50+M50</f>
        <v>10220761.169999998</v>
      </c>
      <c r="V50" s="875">
        <f t="shared" si="10"/>
        <v>8934188.1199999992</v>
      </c>
      <c r="W50" s="875">
        <f t="shared" si="11"/>
        <v>357558.74</v>
      </c>
      <c r="X50" s="875">
        <f t="shared" si="11"/>
        <v>907013.64999999991</v>
      </c>
      <c r="Y50" s="881"/>
      <c r="Z50" s="875">
        <f t="shared" si="4"/>
        <v>0</v>
      </c>
      <c r="AA50" s="875">
        <f t="shared" si="4"/>
        <v>19446</v>
      </c>
      <c r="AB50" s="875">
        <f t="shared" si="4"/>
        <v>2554.66</v>
      </c>
      <c r="AC50" s="879"/>
      <c r="AD50" s="818"/>
    </row>
    <row r="51" spans="1:30" ht="31.5" x14ac:dyDescent="0.2">
      <c r="A51" s="618" t="s">
        <v>1183</v>
      </c>
      <c r="B51" s="619" t="s">
        <v>747</v>
      </c>
      <c r="C51" s="620">
        <v>244</v>
      </c>
      <c r="D51" s="620">
        <v>221</v>
      </c>
      <c r="E51" s="596">
        <f t="shared" si="0"/>
        <v>14452.3</v>
      </c>
      <c r="F51" s="595">
        <f>'Прилож 4 24 (6)'!V51</f>
        <v>0</v>
      </c>
      <c r="G51" s="595">
        <f>'Прилож 4 24 (6)'!W51</f>
        <v>0</v>
      </c>
      <c r="H51" s="595">
        <f>'Прилож 4 24 (6)'!X51</f>
        <v>14452.3</v>
      </c>
      <c r="I51" s="628"/>
      <c r="J51" s="595">
        <f>'Прилож 4 24 (6)'!Z51</f>
        <v>0</v>
      </c>
      <c r="K51" s="595">
        <f>'Прилож 4 24 (6)'!AA51</f>
        <v>0</v>
      </c>
      <c r="L51" s="595">
        <f>'Прилож 4 24 (6)'!AB51</f>
        <v>0</v>
      </c>
      <c r="M51" s="876">
        <f t="shared" si="13"/>
        <v>0</v>
      </c>
      <c r="N51" s="875"/>
      <c r="O51" s="875"/>
      <c r="P51" s="875"/>
      <c r="Q51" s="877"/>
      <c r="R51" s="875"/>
      <c r="S51" s="875"/>
      <c r="T51" s="875"/>
      <c r="U51" s="876">
        <f t="shared" si="12"/>
        <v>14452.3</v>
      </c>
      <c r="V51" s="875">
        <f t="shared" si="10"/>
        <v>0</v>
      </c>
      <c r="W51" s="875">
        <f t="shared" si="11"/>
        <v>0</v>
      </c>
      <c r="X51" s="875">
        <f t="shared" si="11"/>
        <v>14452.3</v>
      </c>
      <c r="Y51" s="883"/>
      <c r="Z51" s="875">
        <f t="shared" si="4"/>
        <v>0</v>
      </c>
      <c r="AA51" s="875">
        <f t="shared" si="4"/>
        <v>0</v>
      </c>
      <c r="AB51" s="875">
        <f t="shared" si="4"/>
        <v>0</v>
      </c>
      <c r="AC51" s="878"/>
    </row>
    <row r="52" spans="1:30" x14ac:dyDescent="0.2">
      <c r="A52" s="618" t="s">
        <v>1184</v>
      </c>
      <c r="B52" s="619" t="s">
        <v>747</v>
      </c>
      <c r="C52" s="620">
        <v>244</v>
      </c>
      <c r="D52" s="620">
        <v>221</v>
      </c>
      <c r="E52" s="596">
        <f t="shared" si="0"/>
        <v>36000</v>
      </c>
      <c r="F52" s="595">
        <f>'Прилож 4 24 (6)'!V52</f>
        <v>0</v>
      </c>
      <c r="G52" s="595">
        <f>'Прилож 4 24 (6)'!W52</f>
        <v>0</v>
      </c>
      <c r="H52" s="595">
        <f>'Прилож 4 24 (6)'!X52</f>
        <v>36000</v>
      </c>
      <c r="I52" s="628"/>
      <c r="J52" s="595">
        <f>'Прилож 4 24 (6)'!Z52</f>
        <v>0</v>
      </c>
      <c r="K52" s="595">
        <f>'Прилож 4 24 (6)'!AA52</f>
        <v>0</v>
      </c>
      <c r="L52" s="595">
        <f>'Прилож 4 24 (6)'!AB52</f>
        <v>0</v>
      </c>
      <c r="M52" s="876">
        <f t="shared" si="13"/>
        <v>0</v>
      </c>
      <c r="N52" s="875"/>
      <c r="O52" s="875"/>
      <c r="P52" s="875"/>
      <c r="Q52" s="877"/>
      <c r="R52" s="875"/>
      <c r="S52" s="875"/>
      <c r="T52" s="875"/>
      <c r="U52" s="876">
        <f t="shared" si="12"/>
        <v>36000</v>
      </c>
      <c r="V52" s="875">
        <f t="shared" si="10"/>
        <v>0</v>
      </c>
      <c r="W52" s="875">
        <f t="shared" si="11"/>
        <v>0</v>
      </c>
      <c r="X52" s="875">
        <f t="shared" si="11"/>
        <v>36000</v>
      </c>
      <c r="Y52" s="883"/>
      <c r="Z52" s="875">
        <f t="shared" si="4"/>
        <v>0</v>
      </c>
      <c r="AA52" s="875">
        <f t="shared" si="4"/>
        <v>0</v>
      </c>
      <c r="AB52" s="875">
        <f t="shared" si="4"/>
        <v>0</v>
      </c>
      <c r="AC52" s="878"/>
    </row>
    <row r="53" spans="1:30" x14ac:dyDescent="0.2">
      <c r="A53" s="618" t="s">
        <v>158</v>
      </c>
      <c r="B53" s="619" t="s">
        <v>747</v>
      </c>
      <c r="C53" s="620">
        <v>244</v>
      </c>
      <c r="D53" s="620">
        <v>221</v>
      </c>
      <c r="E53" s="596">
        <f t="shared" si="0"/>
        <v>6600</v>
      </c>
      <c r="F53" s="595">
        <f>'Прилож 4 24 (6)'!V53</f>
        <v>0</v>
      </c>
      <c r="G53" s="595">
        <f>'Прилож 4 24 (6)'!W53</f>
        <v>0</v>
      </c>
      <c r="H53" s="595">
        <f>'Прилож 4 24 (6)'!X53</f>
        <v>6600</v>
      </c>
      <c r="I53" s="628"/>
      <c r="J53" s="595">
        <f>'Прилож 4 24 (6)'!Z53</f>
        <v>0</v>
      </c>
      <c r="K53" s="595">
        <f>'Прилож 4 24 (6)'!AA53</f>
        <v>0</v>
      </c>
      <c r="L53" s="595">
        <f>'Прилож 4 24 (6)'!AB53</f>
        <v>0</v>
      </c>
      <c r="M53" s="876">
        <f t="shared" si="13"/>
        <v>0</v>
      </c>
      <c r="N53" s="875"/>
      <c r="O53" s="875"/>
      <c r="P53" s="875"/>
      <c r="Q53" s="877"/>
      <c r="R53" s="875"/>
      <c r="S53" s="875"/>
      <c r="T53" s="875"/>
      <c r="U53" s="876">
        <f t="shared" si="12"/>
        <v>6600</v>
      </c>
      <c r="V53" s="875">
        <f t="shared" si="10"/>
        <v>0</v>
      </c>
      <c r="W53" s="875">
        <f t="shared" si="11"/>
        <v>0</v>
      </c>
      <c r="X53" s="875">
        <f t="shared" si="11"/>
        <v>6600</v>
      </c>
      <c r="Y53" s="883"/>
      <c r="Z53" s="875">
        <f t="shared" si="4"/>
        <v>0</v>
      </c>
      <c r="AA53" s="875">
        <f t="shared" si="4"/>
        <v>0</v>
      </c>
      <c r="AB53" s="875">
        <f t="shared" si="4"/>
        <v>0</v>
      </c>
      <c r="AC53" s="878"/>
    </row>
    <row r="54" spans="1:30" s="637" customFormat="1" x14ac:dyDescent="0.2">
      <c r="A54" s="632" t="s">
        <v>1143</v>
      </c>
      <c r="B54" s="633" t="s">
        <v>747</v>
      </c>
      <c r="C54" s="634">
        <v>244</v>
      </c>
      <c r="D54" s="634">
        <v>221</v>
      </c>
      <c r="E54" s="596">
        <f t="shared" si="0"/>
        <v>57052.3</v>
      </c>
      <c r="F54" s="595">
        <f>'Прилож 4 24 (6)'!V54</f>
        <v>0</v>
      </c>
      <c r="G54" s="595">
        <f>'Прилож 4 24 (6)'!W54</f>
        <v>0</v>
      </c>
      <c r="H54" s="595">
        <f>'Прилож 4 24 (6)'!X54</f>
        <v>57052.3</v>
      </c>
      <c r="I54" s="635"/>
      <c r="J54" s="595">
        <f>'Прилож 4 24 (6)'!Z54</f>
        <v>0</v>
      </c>
      <c r="K54" s="595">
        <f>'Прилож 4 24 (6)'!AA54</f>
        <v>0</v>
      </c>
      <c r="L54" s="595">
        <f>'Прилож 4 24 (6)'!AB54</f>
        <v>0</v>
      </c>
      <c r="M54" s="876">
        <f t="shared" si="13"/>
        <v>0</v>
      </c>
      <c r="N54" s="884"/>
      <c r="O54" s="884"/>
      <c r="P54" s="884"/>
      <c r="Q54" s="885"/>
      <c r="R54" s="884"/>
      <c r="S54" s="884"/>
      <c r="T54" s="884"/>
      <c r="U54" s="876">
        <f t="shared" si="12"/>
        <v>57052.3</v>
      </c>
      <c r="V54" s="875">
        <f t="shared" si="10"/>
        <v>0</v>
      </c>
      <c r="W54" s="875">
        <f t="shared" si="11"/>
        <v>0</v>
      </c>
      <c r="X54" s="875">
        <f t="shared" si="11"/>
        <v>57052.3</v>
      </c>
      <c r="Y54" s="885"/>
      <c r="Z54" s="875">
        <f t="shared" si="4"/>
        <v>0</v>
      </c>
      <c r="AA54" s="875">
        <f t="shared" si="4"/>
        <v>0</v>
      </c>
      <c r="AB54" s="875">
        <f t="shared" si="4"/>
        <v>0</v>
      </c>
      <c r="AC54" s="886"/>
    </row>
    <row r="55" spans="1:30" ht="31.5" x14ac:dyDescent="0.2">
      <c r="A55" s="618" t="s">
        <v>1183</v>
      </c>
      <c r="B55" s="619" t="s">
        <v>729</v>
      </c>
      <c r="C55" s="620">
        <v>244</v>
      </c>
      <c r="D55" s="620">
        <v>221</v>
      </c>
      <c r="E55" s="596">
        <f t="shared" si="0"/>
        <v>44560.93</v>
      </c>
      <c r="F55" s="595">
        <f>'Прилож 4 24 (6)'!V55</f>
        <v>0</v>
      </c>
      <c r="G55" s="595">
        <f>'Прилож 4 24 (6)'!W55</f>
        <v>0</v>
      </c>
      <c r="H55" s="595">
        <f>'Прилож 4 24 (6)'!X55</f>
        <v>44560.93</v>
      </c>
      <c r="I55" s="628"/>
      <c r="J55" s="595">
        <f>'Прилож 4 24 (6)'!Z55</f>
        <v>0</v>
      </c>
      <c r="K55" s="595">
        <f>'Прилож 4 24 (6)'!AA55</f>
        <v>0</v>
      </c>
      <c r="L55" s="595">
        <f>'Прилож 4 24 (6)'!AB55</f>
        <v>0</v>
      </c>
      <c r="M55" s="876">
        <f t="shared" si="13"/>
        <v>0</v>
      </c>
      <c r="N55" s="875"/>
      <c r="O55" s="875"/>
      <c r="P55" s="875"/>
      <c r="Q55" s="877"/>
      <c r="R55" s="875"/>
      <c r="S55" s="875"/>
      <c r="T55" s="875"/>
      <c r="U55" s="876">
        <f t="shared" si="12"/>
        <v>44560.93</v>
      </c>
      <c r="V55" s="875">
        <f t="shared" si="10"/>
        <v>0</v>
      </c>
      <c r="W55" s="875">
        <f t="shared" si="11"/>
        <v>0</v>
      </c>
      <c r="X55" s="875">
        <f t="shared" si="11"/>
        <v>44560.93</v>
      </c>
      <c r="Y55" s="883"/>
      <c r="Z55" s="875">
        <f t="shared" si="4"/>
        <v>0</v>
      </c>
      <c r="AA55" s="875">
        <f t="shared" si="4"/>
        <v>0</v>
      </c>
      <c r="AB55" s="875">
        <f t="shared" si="4"/>
        <v>0</v>
      </c>
      <c r="AC55" s="878"/>
    </row>
    <row r="56" spans="1:30" ht="53.25" customHeight="1" x14ac:dyDescent="0.2">
      <c r="A56" s="618" t="s">
        <v>597</v>
      </c>
      <c r="B56" s="619" t="s">
        <v>729</v>
      </c>
      <c r="C56" s="620">
        <v>244</v>
      </c>
      <c r="D56" s="620">
        <v>221</v>
      </c>
      <c r="E56" s="596">
        <f t="shared" si="0"/>
        <v>11360</v>
      </c>
      <c r="F56" s="595">
        <f>'Прилож 4 24 (6)'!V56</f>
        <v>0</v>
      </c>
      <c r="G56" s="595">
        <f>'Прилож 4 24 (6)'!W56</f>
        <v>0</v>
      </c>
      <c r="H56" s="595">
        <f>'Прилож 4 24 (6)'!X56</f>
        <v>11360</v>
      </c>
      <c r="I56" s="628"/>
      <c r="J56" s="595">
        <f>'Прилож 4 24 (6)'!Z56</f>
        <v>0</v>
      </c>
      <c r="K56" s="595">
        <f>'Прилож 4 24 (6)'!AA56</f>
        <v>0</v>
      </c>
      <c r="L56" s="595">
        <f>'Прилож 4 24 (6)'!AB56</f>
        <v>0</v>
      </c>
      <c r="M56" s="876">
        <f t="shared" si="13"/>
        <v>0</v>
      </c>
      <c r="N56" s="875"/>
      <c r="O56" s="875"/>
      <c r="P56" s="875"/>
      <c r="Q56" s="877"/>
      <c r="R56" s="875"/>
      <c r="S56" s="875"/>
      <c r="T56" s="875"/>
      <c r="U56" s="876">
        <f t="shared" si="12"/>
        <v>11360</v>
      </c>
      <c r="V56" s="875">
        <f t="shared" si="10"/>
        <v>0</v>
      </c>
      <c r="W56" s="875">
        <f t="shared" si="11"/>
        <v>0</v>
      </c>
      <c r="X56" s="875">
        <f t="shared" si="11"/>
        <v>11360</v>
      </c>
      <c r="Y56" s="883"/>
      <c r="Z56" s="875">
        <f t="shared" si="4"/>
        <v>0</v>
      </c>
      <c r="AA56" s="875">
        <f t="shared" si="4"/>
        <v>0</v>
      </c>
      <c r="AB56" s="875">
        <f t="shared" si="4"/>
        <v>0</v>
      </c>
      <c r="AC56" s="878"/>
    </row>
    <row r="57" spans="1:30" x14ac:dyDescent="0.2">
      <c r="A57" s="618" t="s">
        <v>158</v>
      </c>
      <c r="B57" s="619" t="s">
        <v>729</v>
      </c>
      <c r="C57" s="620">
        <v>244</v>
      </c>
      <c r="D57" s="620">
        <v>221</v>
      </c>
      <c r="E57" s="596">
        <f t="shared" si="0"/>
        <v>6600</v>
      </c>
      <c r="F57" s="595">
        <f>'Прилож 4 24 (6)'!V57</f>
        <v>0</v>
      </c>
      <c r="G57" s="595">
        <f>'Прилож 4 24 (6)'!W57</f>
        <v>0</v>
      </c>
      <c r="H57" s="595">
        <f>'Прилож 4 24 (6)'!X57</f>
        <v>6600</v>
      </c>
      <c r="I57" s="628"/>
      <c r="J57" s="595">
        <f>'Прилож 4 24 (6)'!Z57</f>
        <v>0</v>
      </c>
      <c r="K57" s="595">
        <f>'Прилож 4 24 (6)'!AA57</f>
        <v>0</v>
      </c>
      <c r="L57" s="595">
        <f>'Прилож 4 24 (6)'!AB57</f>
        <v>0</v>
      </c>
      <c r="M57" s="876">
        <f t="shared" si="13"/>
        <v>0</v>
      </c>
      <c r="N57" s="875"/>
      <c r="O57" s="875"/>
      <c r="P57" s="875"/>
      <c r="Q57" s="877"/>
      <c r="R57" s="875"/>
      <c r="S57" s="875"/>
      <c r="T57" s="875"/>
      <c r="U57" s="876">
        <f t="shared" si="12"/>
        <v>6600</v>
      </c>
      <c r="V57" s="875">
        <f t="shared" si="10"/>
        <v>0</v>
      </c>
      <c r="W57" s="875">
        <f t="shared" si="11"/>
        <v>0</v>
      </c>
      <c r="X57" s="875">
        <f t="shared" si="11"/>
        <v>6600</v>
      </c>
      <c r="Y57" s="883"/>
      <c r="Z57" s="875">
        <f t="shared" si="4"/>
        <v>0</v>
      </c>
      <c r="AA57" s="875">
        <f t="shared" si="4"/>
        <v>0</v>
      </c>
      <c r="AB57" s="875">
        <f t="shared" si="4"/>
        <v>0</v>
      </c>
      <c r="AC57" s="878"/>
    </row>
    <row r="58" spans="1:30" s="637" customFormat="1" x14ac:dyDescent="0.2">
      <c r="A58" s="632" t="s">
        <v>1143</v>
      </c>
      <c r="B58" s="633" t="s">
        <v>729</v>
      </c>
      <c r="C58" s="634">
        <v>244</v>
      </c>
      <c r="D58" s="634">
        <v>221</v>
      </c>
      <c r="E58" s="596">
        <f t="shared" si="0"/>
        <v>62520.929999999993</v>
      </c>
      <c r="F58" s="595">
        <f>'Прилож 4 24 (6)'!V58</f>
        <v>0</v>
      </c>
      <c r="G58" s="595">
        <f>'Прилож 4 24 (6)'!W58</f>
        <v>0</v>
      </c>
      <c r="H58" s="595">
        <f>'Прилож 4 24 (6)'!X58</f>
        <v>62520.929999999993</v>
      </c>
      <c r="I58" s="635"/>
      <c r="J58" s="595">
        <f>'Прилож 4 24 (6)'!Z58</f>
        <v>0</v>
      </c>
      <c r="K58" s="595">
        <f>'Прилож 4 24 (6)'!AA58</f>
        <v>0</v>
      </c>
      <c r="L58" s="595">
        <f>'Прилож 4 24 (6)'!AB58</f>
        <v>0</v>
      </c>
      <c r="M58" s="876">
        <f t="shared" si="13"/>
        <v>0</v>
      </c>
      <c r="N58" s="884"/>
      <c r="O58" s="884"/>
      <c r="P58" s="884">
        <f>SUM(P55:P57)</f>
        <v>0</v>
      </c>
      <c r="Q58" s="885"/>
      <c r="R58" s="884"/>
      <c r="S58" s="884"/>
      <c r="T58" s="884"/>
      <c r="U58" s="876">
        <f t="shared" si="12"/>
        <v>62520.929999999993</v>
      </c>
      <c r="V58" s="875">
        <f t="shared" si="10"/>
        <v>0</v>
      </c>
      <c r="W58" s="875">
        <f t="shared" si="11"/>
        <v>0</v>
      </c>
      <c r="X58" s="875">
        <f t="shared" si="11"/>
        <v>62520.929999999993</v>
      </c>
      <c r="Y58" s="885"/>
      <c r="Z58" s="875">
        <f t="shared" si="4"/>
        <v>0</v>
      </c>
      <c r="AA58" s="875">
        <f t="shared" si="4"/>
        <v>0</v>
      </c>
      <c r="AB58" s="875">
        <f t="shared" si="4"/>
        <v>0</v>
      </c>
      <c r="AC58" s="886"/>
    </row>
    <row r="59" spans="1:30" s="614" customFormat="1" x14ac:dyDescent="0.2">
      <c r="A59" s="630" t="s">
        <v>734</v>
      </c>
      <c r="B59" s="631"/>
      <c r="C59" s="624"/>
      <c r="D59" s="624"/>
      <c r="E59" s="596">
        <f t="shared" si="0"/>
        <v>119573.22999999998</v>
      </c>
      <c r="F59" s="595">
        <f>'Прилож 4 24 (6)'!V59</f>
        <v>0</v>
      </c>
      <c r="G59" s="595">
        <f>'Прилож 4 24 (6)'!W59</f>
        <v>0</v>
      </c>
      <c r="H59" s="595">
        <f>'Прилож 4 24 (6)'!X59</f>
        <v>119573.22999999998</v>
      </c>
      <c r="I59" s="626"/>
      <c r="J59" s="595">
        <f>'Прилож 4 24 (6)'!Z59</f>
        <v>0</v>
      </c>
      <c r="K59" s="595">
        <f>'Прилож 4 24 (6)'!AA59</f>
        <v>0</v>
      </c>
      <c r="L59" s="595">
        <f>'Прилож 4 24 (6)'!AB59</f>
        <v>0</v>
      </c>
      <c r="M59" s="876">
        <f t="shared" si="13"/>
        <v>0</v>
      </c>
      <c r="N59" s="876"/>
      <c r="O59" s="876"/>
      <c r="P59" s="876">
        <f>P58+P54</f>
        <v>0</v>
      </c>
      <c r="Q59" s="881"/>
      <c r="R59" s="876"/>
      <c r="S59" s="876"/>
      <c r="T59" s="876"/>
      <c r="U59" s="876">
        <f t="shared" si="12"/>
        <v>119573.22999999998</v>
      </c>
      <c r="V59" s="875">
        <f t="shared" si="10"/>
        <v>0</v>
      </c>
      <c r="W59" s="875">
        <f t="shared" si="11"/>
        <v>0</v>
      </c>
      <c r="X59" s="875">
        <f t="shared" si="11"/>
        <v>119573.22999999998</v>
      </c>
      <c r="Y59" s="881"/>
      <c r="Z59" s="875">
        <f t="shared" si="4"/>
        <v>0</v>
      </c>
      <c r="AA59" s="875">
        <f t="shared" si="4"/>
        <v>0</v>
      </c>
      <c r="AB59" s="875">
        <f t="shared" si="4"/>
        <v>0</v>
      </c>
      <c r="AC59" s="879"/>
    </row>
    <row r="60" spans="1:30" x14ac:dyDescent="0.2">
      <c r="A60" s="618" t="s">
        <v>126</v>
      </c>
      <c r="B60" s="619" t="s">
        <v>747</v>
      </c>
      <c r="C60" s="620">
        <v>244</v>
      </c>
      <c r="D60" s="620">
        <v>223</v>
      </c>
      <c r="E60" s="596">
        <f t="shared" si="0"/>
        <v>30113.4</v>
      </c>
      <c r="F60" s="595">
        <f>'Прилож 4 24 (6)'!V60</f>
        <v>0</v>
      </c>
      <c r="G60" s="595">
        <f>'Прилож 4 24 (6)'!W60</f>
        <v>0</v>
      </c>
      <c r="H60" s="595">
        <f>'Прилож 4 24 (6)'!X60</f>
        <v>30113.4</v>
      </c>
      <c r="I60" s="628"/>
      <c r="J60" s="595">
        <f>'Прилож 4 24 (6)'!Z60</f>
        <v>0</v>
      </c>
      <c r="K60" s="595">
        <f>'Прилож 4 24 (6)'!AA60</f>
        <v>0</v>
      </c>
      <c r="L60" s="595">
        <f>'Прилож 4 24 (6)'!AB60</f>
        <v>0</v>
      </c>
      <c r="M60" s="876">
        <f t="shared" si="13"/>
        <v>0</v>
      </c>
      <c r="N60" s="875"/>
      <c r="O60" s="875"/>
      <c r="P60" s="875"/>
      <c r="Q60" s="877"/>
      <c r="R60" s="875"/>
      <c r="S60" s="875"/>
      <c r="T60" s="875"/>
      <c r="U60" s="876">
        <f t="shared" si="12"/>
        <v>30113.4</v>
      </c>
      <c r="V60" s="875">
        <f t="shared" si="10"/>
        <v>0</v>
      </c>
      <c r="W60" s="875">
        <f t="shared" si="11"/>
        <v>0</v>
      </c>
      <c r="X60" s="875">
        <f t="shared" si="11"/>
        <v>30113.4</v>
      </c>
      <c r="Y60" s="883"/>
      <c r="Z60" s="875">
        <f t="shared" si="4"/>
        <v>0</v>
      </c>
      <c r="AA60" s="875">
        <f t="shared" si="4"/>
        <v>0</v>
      </c>
      <c r="AB60" s="875">
        <f t="shared" si="4"/>
        <v>0</v>
      </c>
      <c r="AC60" s="878"/>
    </row>
    <row r="61" spans="1:30" x14ac:dyDescent="0.2">
      <c r="A61" s="618" t="s">
        <v>1261</v>
      </c>
      <c r="B61" s="619" t="s">
        <v>747</v>
      </c>
      <c r="C61" s="620">
        <v>244</v>
      </c>
      <c r="D61" s="620">
        <v>223</v>
      </c>
      <c r="E61" s="596">
        <f t="shared" si="0"/>
        <v>40636.9</v>
      </c>
      <c r="F61" s="595">
        <f>'Прилож 4 24 (6)'!V61</f>
        <v>0</v>
      </c>
      <c r="G61" s="595">
        <f>'Прилож 4 24 (6)'!W61</f>
        <v>0</v>
      </c>
      <c r="H61" s="595">
        <f>'Прилож 4 24 (6)'!X61</f>
        <v>40636.9</v>
      </c>
      <c r="I61" s="628"/>
      <c r="J61" s="595">
        <f>'Прилож 4 24 (6)'!Z61</f>
        <v>0</v>
      </c>
      <c r="K61" s="595">
        <f>'Прилож 4 24 (6)'!AA61</f>
        <v>0</v>
      </c>
      <c r="L61" s="595">
        <f>'Прилож 4 24 (6)'!AB61</f>
        <v>0</v>
      </c>
      <c r="M61" s="876">
        <f t="shared" si="13"/>
        <v>0</v>
      </c>
      <c r="N61" s="875"/>
      <c r="O61" s="875"/>
      <c r="P61" s="875"/>
      <c r="Q61" s="877"/>
      <c r="R61" s="875"/>
      <c r="S61" s="875"/>
      <c r="T61" s="875"/>
      <c r="U61" s="876">
        <f t="shared" si="12"/>
        <v>40636.9</v>
      </c>
      <c r="V61" s="875">
        <f t="shared" si="10"/>
        <v>0</v>
      </c>
      <c r="W61" s="875">
        <f t="shared" si="11"/>
        <v>0</v>
      </c>
      <c r="X61" s="875">
        <f t="shared" si="11"/>
        <v>40636.9</v>
      </c>
      <c r="Y61" s="883"/>
      <c r="Z61" s="875">
        <f t="shared" si="4"/>
        <v>0</v>
      </c>
      <c r="AA61" s="875">
        <f t="shared" si="4"/>
        <v>0</v>
      </c>
      <c r="AB61" s="875">
        <f t="shared" si="4"/>
        <v>0</v>
      </c>
      <c r="AC61" s="878"/>
    </row>
    <row r="62" spans="1:30" x14ac:dyDescent="0.2">
      <c r="A62" s="618" t="s">
        <v>128</v>
      </c>
      <c r="B62" s="619" t="s">
        <v>747</v>
      </c>
      <c r="C62" s="620">
        <v>244</v>
      </c>
      <c r="D62" s="620">
        <v>223</v>
      </c>
      <c r="E62" s="596">
        <f t="shared" si="0"/>
        <v>75941.84</v>
      </c>
      <c r="F62" s="595">
        <f>'Прилож 4 24 (6)'!V62</f>
        <v>0</v>
      </c>
      <c r="G62" s="595">
        <f>'Прилож 4 24 (6)'!W62</f>
        <v>0</v>
      </c>
      <c r="H62" s="595">
        <f>'Прилож 4 24 (6)'!X62</f>
        <v>75941.84</v>
      </c>
      <c r="I62" s="628"/>
      <c r="J62" s="595">
        <f>'Прилож 4 24 (6)'!Z62</f>
        <v>0</v>
      </c>
      <c r="K62" s="595">
        <f>'Прилож 4 24 (6)'!AA62</f>
        <v>0</v>
      </c>
      <c r="L62" s="595">
        <f>'Прилож 4 24 (6)'!AB62</f>
        <v>0</v>
      </c>
      <c r="M62" s="876">
        <f t="shared" si="13"/>
        <v>0</v>
      </c>
      <c r="N62" s="875"/>
      <c r="O62" s="875"/>
      <c r="P62" s="875"/>
      <c r="Q62" s="877"/>
      <c r="R62" s="875"/>
      <c r="S62" s="875"/>
      <c r="T62" s="875"/>
      <c r="U62" s="876">
        <f t="shared" si="12"/>
        <v>75941.84</v>
      </c>
      <c r="V62" s="875">
        <f t="shared" si="10"/>
        <v>0</v>
      </c>
      <c r="W62" s="875">
        <f t="shared" si="11"/>
        <v>0</v>
      </c>
      <c r="X62" s="875">
        <f t="shared" si="11"/>
        <v>75941.84</v>
      </c>
      <c r="Y62" s="883"/>
      <c r="Z62" s="875">
        <f t="shared" si="4"/>
        <v>0</v>
      </c>
      <c r="AA62" s="875">
        <f t="shared" si="4"/>
        <v>0</v>
      </c>
      <c r="AB62" s="875">
        <f t="shared" si="4"/>
        <v>0</v>
      </c>
      <c r="AC62" s="878"/>
    </row>
    <row r="63" spans="1:30" x14ac:dyDescent="0.2">
      <c r="A63" s="618" t="s">
        <v>1259</v>
      </c>
      <c r="B63" s="619" t="s">
        <v>747</v>
      </c>
      <c r="C63" s="620">
        <v>244</v>
      </c>
      <c r="D63" s="620">
        <v>223</v>
      </c>
      <c r="E63" s="596">
        <f t="shared" si="0"/>
        <v>78343.55</v>
      </c>
      <c r="F63" s="595">
        <f>'Прилож 4 24 (6)'!V63</f>
        <v>0</v>
      </c>
      <c r="G63" s="595">
        <f>'Прилож 4 24 (6)'!W63</f>
        <v>0</v>
      </c>
      <c r="H63" s="595">
        <f>'Прилож 4 24 (6)'!X63</f>
        <v>78343.55</v>
      </c>
      <c r="I63" s="628"/>
      <c r="J63" s="595">
        <f>'Прилож 4 24 (6)'!Z63</f>
        <v>0</v>
      </c>
      <c r="K63" s="595">
        <f>'Прилож 4 24 (6)'!AA63</f>
        <v>0</v>
      </c>
      <c r="L63" s="595">
        <f>'Прилож 4 24 (6)'!AB63</f>
        <v>0</v>
      </c>
      <c r="M63" s="876">
        <f t="shared" si="13"/>
        <v>0</v>
      </c>
      <c r="N63" s="875"/>
      <c r="O63" s="875"/>
      <c r="P63" s="875"/>
      <c r="Q63" s="877"/>
      <c r="R63" s="875"/>
      <c r="S63" s="875"/>
      <c r="T63" s="875"/>
      <c r="U63" s="876">
        <f t="shared" si="12"/>
        <v>78343.55</v>
      </c>
      <c r="V63" s="875">
        <f t="shared" si="10"/>
        <v>0</v>
      </c>
      <c r="W63" s="875">
        <f t="shared" si="11"/>
        <v>0</v>
      </c>
      <c r="X63" s="875">
        <f t="shared" si="11"/>
        <v>78343.55</v>
      </c>
      <c r="Y63" s="883"/>
      <c r="Z63" s="875">
        <f t="shared" si="4"/>
        <v>0</v>
      </c>
      <c r="AA63" s="875">
        <f t="shared" si="4"/>
        <v>0</v>
      </c>
      <c r="AB63" s="875">
        <f t="shared" si="4"/>
        <v>0</v>
      </c>
      <c r="AC63" s="878"/>
    </row>
    <row r="64" spans="1:30" ht="31.5" x14ac:dyDescent="0.2">
      <c r="A64" s="618" t="s">
        <v>1238</v>
      </c>
      <c r="B64" s="619" t="s">
        <v>747</v>
      </c>
      <c r="C64" s="620">
        <v>244</v>
      </c>
      <c r="D64" s="620">
        <v>223</v>
      </c>
      <c r="E64" s="596">
        <f t="shared" si="0"/>
        <v>37970.92</v>
      </c>
      <c r="F64" s="595">
        <f>'Прилож 4 24 (6)'!V64</f>
        <v>0</v>
      </c>
      <c r="G64" s="595">
        <f>'Прилож 4 24 (6)'!W64</f>
        <v>0</v>
      </c>
      <c r="H64" s="595">
        <f>'Прилож 4 24 (6)'!X64</f>
        <v>37970.92</v>
      </c>
      <c r="I64" s="628"/>
      <c r="J64" s="595">
        <f>'Прилож 4 24 (6)'!Z64</f>
        <v>0</v>
      </c>
      <c r="K64" s="595">
        <f>'Прилож 4 24 (6)'!AA64</f>
        <v>0</v>
      </c>
      <c r="L64" s="595">
        <f>'Прилож 4 24 (6)'!AB64</f>
        <v>0</v>
      </c>
      <c r="M64" s="876">
        <f t="shared" si="13"/>
        <v>0</v>
      </c>
      <c r="N64" s="875"/>
      <c r="O64" s="875"/>
      <c r="P64" s="875"/>
      <c r="Q64" s="877"/>
      <c r="R64" s="875"/>
      <c r="S64" s="875"/>
      <c r="T64" s="875"/>
      <c r="U64" s="876">
        <f t="shared" si="12"/>
        <v>37970.92</v>
      </c>
      <c r="V64" s="875">
        <f t="shared" si="10"/>
        <v>0</v>
      </c>
      <c r="W64" s="875">
        <f t="shared" si="11"/>
        <v>0</v>
      </c>
      <c r="X64" s="875">
        <f t="shared" si="11"/>
        <v>37970.92</v>
      </c>
      <c r="Y64" s="883"/>
      <c r="Z64" s="875">
        <f t="shared" si="4"/>
        <v>0</v>
      </c>
      <c r="AA64" s="875">
        <f t="shared" si="4"/>
        <v>0</v>
      </c>
      <c r="AB64" s="875">
        <f t="shared" si="4"/>
        <v>0</v>
      </c>
      <c r="AC64" s="878"/>
    </row>
    <row r="65" spans="1:29" ht="31.5" x14ac:dyDescent="0.2">
      <c r="A65" s="618" t="s">
        <v>1262</v>
      </c>
      <c r="B65" s="619" t="s">
        <v>747</v>
      </c>
      <c r="C65" s="620">
        <v>244</v>
      </c>
      <c r="D65" s="620">
        <v>223</v>
      </c>
      <c r="E65" s="596">
        <f t="shared" si="0"/>
        <v>39171.78</v>
      </c>
      <c r="F65" s="595">
        <f>'Прилож 4 24 (6)'!V65</f>
        <v>0</v>
      </c>
      <c r="G65" s="595">
        <f>'Прилож 4 24 (6)'!W65</f>
        <v>0</v>
      </c>
      <c r="H65" s="595">
        <f>'Прилож 4 24 (6)'!X65</f>
        <v>39171.78</v>
      </c>
      <c r="I65" s="628"/>
      <c r="J65" s="595">
        <f>'Прилож 4 24 (6)'!Z65</f>
        <v>0</v>
      </c>
      <c r="K65" s="595">
        <f>'Прилож 4 24 (6)'!AA65</f>
        <v>0</v>
      </c>
      <c r="L65" s="595">
        <f>'Прилож 4 24 (6)'!AB65</f>
        <v>0</v>
      </c>
      <c r="M65" s="876">
        <f t="shared" si="13"/>
        <v>0</v>
      </c>
      <c r="N65" s="875"/>
      <c r="O65" s="875"/>
      <c r="P65" s="875"/>
      <c r="Q65" s="877"/>
      <c r="R65" s="875"/>
      <c r="S65" s="875"/>
      <c r="T65" s="875"/>
      <c r="U65" s="876">
        <f t="shared" si="12"/>
        <v>39171.78</v>
      </c>
      <c r="V65" s="875">
        <f t="shared" si="10"/>
        <v>0</v>
      </c>
      <c r="W65" s="875">
        <f t="shared" si="11"/>
        <v>0</v>
      </c>
      <c r="X65" s="875">
        <f t="shared" si="11"/>
        <v>39171.78</v>
      </c>
      <c r="Y65" s="883"/>
      <c r="Z65" s="875">
        <f t="shared" si="4"/>
        <v>0</v>
      </c>
      <c r="AA65" s="875">
        <f t="shared" si="4"/>
        <v>0</v>
      </c>
      <c r="AB65" s="875">
        <f t="shared" si="4"/>
        <v>0</v>
      </c>
      <c r="AC65" s="878"/>
    </row>
    <row r="66" spans="1:29" ht="31.5" x14ac:dyDescent="0.2">
      <c r="A66" s="618" t="s">
        <v>1140</v>
      </c>
      <c r="B66" s="619" t="s">
        <v>747</v>
      </c>
      <c r="C66" s="620">
        <v>244</v>
      </c>
      <c r="D66" s="620">
        <v>223</v>
      </c>
      <c r="E66" s="596">
        <f t="shared" si="0"/>
        <v>9612.2000000000007</v>
      </c>
      <c r="F66" s="595">
        <f>'Прилож 4 24 (6)'!V66</f>
        <v>0</v>
      </c>
      <c r="G66" s="595">
        <f>'Прилож 4 24 (6)'!W66</f>
        <v>0</v>
      </c>
      <c r="H66" s="595">
        <f>'Прилож 4 24 (6)'!X66</f>
        <v>9612.2000000000007</v>
      </c>
      <c r="I66" s="628"/>
      <c r="J66" s="595">
        <f>'Прилож 4 24 (6)'!Z66</f>
        <v>0</v>
      </c>
      <c r="K66" s="595">
        <f>'Прилож 4 24 (6)'!AA66</f>
        <v>0</v>
      </c>
      <c r="L66" s="595">
        <f>'Прилож 4 24 (6)'!AB66</f>
        <v>0</v>
      </c>
      <c r="M66" s="876">
        <f t="shared" si="13"/>
        <v>0</v>
      </c>
      <c r="N66" s="875"/>
      <c r="O66" s="875"/>
      <c r="P66" s="875"/>
      <c r="Q66" s="877"/>
      <c r="R66" s="875"/>
      <c r="S66" s="875"/>
      <c r="T66" s="875"/>
      <c r="U66" s="876">
        <f t="shared" si="12"/>
        <v>9612.2000000000007</v>
      </c>
      <c r="V66" s="875">
        <f t="shared" si="10"/>
        <v>0</v>
      </c>
      <c r="W66" s="875">
        <f t="shared" si="11"/>
        <v>0</v>
      </c>
      <c r="X66" s="875">
        <f t="shared" si="11"/>
        <v>9612.2000000000007</v>
      </c>
      <c r="Y66" s="883"/>
      <c r="Z66" s="875">
        <f t="shared" si="4"/>
        <v>0</v>
      </c>
      <c r="AA66" s="875">
        <f t="shared" si="4"/>
        <v>0</v>
      </c>
      <c r="AB66" s="875">
        <f t="shared" si="4"/>
        <v>0</v>
      </c>
      <c r="AC66" s="878"/>
    </row>
    <row r="67" spans="1:29" ht="48.75" customHeight="1" x14ac:dyDescent="0.2">
      <c r="A67" s="618" t="s">
        <v>1141</v>
      </c>
      <c r="B67" s="619" t="s">
        <v>747</v>
      </c>
      <c r="C67" s="620">
        <v>244</v>
      </c>
      <c r="D67" s="620">
        <v>223</v>
      </c>
      <c r="E67" s="596">
        <f t="shared" si="0"/>
        <v>9008.24</v>
      </c>
      <c r="F67" s="595">
        <f>'Прилож 4 24 (6)'!V67</f>
        <v>0</v>
      </c>
      <c r="G67" s="595">
        <f>'Прилож 4 24 (6)'!W67</f>
        <v>0</v>
      </c>
      <c r="H67" s="595">
        <f>'Прилож 4 24 (6)'!X67</f>
        <v>9008.24</v>
      </c>
      <c r="I67" s="628"/>
      <c r="J67" s="595">
        <f>'Прилож 4 24 (6)'!Z67</f>
        <v>0</v>
      </c>
      <c r="K67" s="595">
        <f>'Прилож 4 24 (6)'!AA67</f>
        <v>0</v>
      </c>
      <c r="L67" s="595">
        <f>'Прилож 4 24 (6)'!AB67</f>
        <v>0</v>
      </c>
      <c r="M67" s="876">
        <f t="shared" si="13"/>
        <v>0</v>
      </c>
      <c r="N67" s="875"/>
      <c r="O67" s="875"/>
      <c r="P67" s="875"/>
      <c r="Q67" s="877"/>
      <c r="R67" s="875"/>
      <c r="S67" s="875"/>
      <c r="T67" s="875"/>
      <c r="U67" s="876">
        <f t="shared" si="12"/>
        <v>9008.24</v>
      </c>
      <c r="V67" s="875">
        <f t="shared" si="10"/>
        <v>0</v>
      </c>
      <c r="W67" s="875">
        <f t="shared" si="11"/>
        <v>0</v>
      </c>
      <c r="X67" s="875">
        <f t="shared" si="11"/>
        <v>9008.24</v>
      </c>
      <c r="Y67" s="883"/>
      <c r="Z67" s="875">
        <f t="shared" si="4"/>
        <v>0</v>
      </c>
      <c r="AA67" s="875">
        <f t="shared" si="4"/>
        <v>0</v>
      </c>
      <c r="AB67" s="875">
        <f t="shared" si="4"/>
        <v>0</v>
      </c>
      <c r="AC67" s="878"/>
    </row>
    <row r="68" spans="1:29" ht="48.75" customHeight="1" x14ac:dyDescent="0.2">
      <c r="A68" s="618" t="s">
        <v>130</v>
      </c>
      <c r="B68" s="619" t="s">
        <v>747</v>
      </c>
      <c r="C68" s="620">
        <v>244</v>
      </c>
      <c r="D68" s="620">
        <v>223</v>
      </c>
      <c r="E68" s="596">
        <f t="shared" si="0"/>
        <v>50838.7</v>
      </c>
      <c r="F68" s="595">
        <f>'Прилож 4 24 (6)'!V68</f>
        <v>0</v>
      </c>
      <c r="G68" s="595">
        <f>'Прилож 4 24 (6)'!W68</f>
        <v>0</v>
      </c>
      <c r="H68" s="595">
        <f>'Прилож 4 24 (6)'!X68</f>
        <v>50838.7</v>
      </c>
      <c r="I68" s="628"/>
      <c r="J68" s="595">
        <f>'Прилож 4 24 (6)'!Z68</f>
        <v>0</v>
      </c>
      <c r="K68" s="595">
        <f>'Прилож 4 24 (6)'!AA68</f>
        <v>0</v>
      </c>
      <c r="L68" s="595">
        <f>'Прилож 4 24 (6)'!AB68</f>
        <v>0</v>
      </c>
      <c r="M68" s="876">
        <f t="shared" si="13"/>
        <v>0</v>
      </c>
      <c r="N68" s="875"/>
      <c r="O68" s="875"/>
      <c r="P68" s="875"/>
      <c r="Q68" s="877"/>
      <c r="R68" s="875"/>
      <c r="S68" s="875"/>
      <c r="T68" s="875"/>
      <c r="U68" s="876">
        <f t="shared" si="12"/>
        <v>50838.7</v>
      </c>
      <c r="V68" s="875">
        <f t="shared" si="10"/>
        <v>0</v>
      </c>
      <c r="W68" s="875">
        <f t="shared" si="11"/>
        <v>0</v>
      </c>
      <c r="X68" s="875">
        <f t="shared" si="11"/>
        <v>50838.7</v>
      </c>
      <c r="Y68" s="883"/>
      <c r="Z68" s="875">
        <f t="shared" si="4"/>
        <v>0</v>
      </c>
      <c r="AA68" s="875">
        <f t="shared" si="4"/>
        <v>0</v>
      </c>
      <c r="AB68" s="875">
        <f t="shared" si="4"/>
        <v>0</v>
      </c>
      <c r="AC68" s="878"/>
    </row>
    <row r="69" spans="1:29" s="637" customFormat="1" ht="16.5" customHeight="1" x14ac:dyDescent="0.2">
      <c r="A69" s="632" t="s">
        <v>1143</v>
      </c>
      <c r="B69" s="633" t="s">
        <v>747</v>
      </c>
      <c r="C69" s="634">
        <v>244</v>
      </c>
      <c r="D69" s="634">
        <v>223</v>
      </c>
      <c r="E69" s="596">
        <f t="shared" si="0"/>
        <v>371637.53</v>
      </c>
      <c r="F69" s="595">
        <f>'Прилож 4 24 (6)'!V69</f>
        <v>0</v>
      </c>
      <c r="G69" s="595">
        <f>'Прилож 4 24 (6)'!W69</f>
        <v>0</v>
      </c>
      <c r="H69" s="595">
        <f>'Прилож 4 24 (6)'!X69</f>
        <v>371637.53</v>
      </c>
      <c r="I69" s="639"/>
      <c r="J69" s="595">
        <f>'Прилож 4 24 (6)'!Z69</f>
        <v>0</v>
      </c>
      <c r="K69" s="595">
        <f>'Прилож 4 24 (6)'!AA69</f>
        <v>0</v>
      </c>
      <c r="L69" s="595">
        <f>'Прилож 4 24 (6)'!AB69</f>
        <v>0</v>
      </c>
      <c r="M69" s="876">
        <f t="shared" si="13"/>
        <v>0</v>
      </c>
      <c r="N69" s="887"/>
      <c r="O69" s="887"/>
      <c r="P69" s="887"/>
      <c r="Q69" s="888"/>
      <c r="R69" s="887"/>
      <c r="S69" s="887"/>
      <c r="T69" s="887"/>
      <c r="U69" s="876">
        <f t="shared" si="12"/>
        <v>371637.53</v>
      </c>
      <c r="V69" s="875">
        <f t="shared" si="10"/>
        <v>0</v>
      </c>
      <c r="W69" s="875">
        <f t="shared" si="11"/>
        <v>0</v>
      </c>
      <c r="X69" s="875">
        <f t="shared" si="11"/>
        <v>371637.53</v>
      </c>
      <c r="Y69" s="889"/>
      <c r="Z69" s="875">
        <f t="shared" si="4"/>
        <v>0</v>
      </c>
      <c r="AA69" s="875">
        <f t="shared" si="4"/>
        <v>0</v>
      </c>
      <c r="AB69" s="875">
        <f t="shared" si="4"/>
        <v>0</v>
      </c>
      <c r="AC69" s="886"/>
    </row>
    <row r="70" spans="1:29" x14ac:dyDescent="0.2">
      <c r="A70" s="618" t="s">
        <v>126</v>
      </c>
      <c r="B70" s="619" t="s">
        <v>729</v>
      </c>
      <c r="C70" s="620">
        <v>244</v>
      </c>
      <c r="D70" s="620">
        <v>223</v>
      </c>
      <c r="E70" s="596">
        <f t="shared" si="0"/>
        <v>17818.059999999998</v>
      </c>
      <c r="F70" s="595">
        <f>'Прилож 4 24 (6)'!V70</f>
        <v>0</v>
      </c>
      <c r="G70" s="595">
        <f>'Прилож 4 24 (6)'!W70</f>
        <v>0</v>
      </c>
      <c r="H70" s="595">
        <f>'Прилож 4 24 (6)'!X70</f>
        <v>9511.2999999999993</v>
      </c>
      <c r="I70" s="628"/>
      <c r="J70" s="595">
        <f>'Прилож 4 24 (6)'!Z70</f>
        <v>0</v>
      </c>
      <c r="K70" s="595">
        <f>'Прилож 4 24 (6)'!AA70</f>
        <v>0</v>
      </c>
      <c r="L70" s="595">
        <f>'Прилож 4 24 (6)'!AB70</f>
        <v>8306.76</v>
      </c>
      <c r="M70" s="876">
        <f t="shared" si="13"/>
        <v>0</v>
      </c>
      <c r="N70" s="875"/>
      <c r="O70" s="875"/>
      <c r="P70" s="875"/>
      <c r="Q70" s="877"/>
      <c r="R70" s="875"/>
      <c r="S70" s="875"/>
      <c r="T70" s="875"/>
      <c r="U70" s="876">
        <f t="shared" si="12"/>
        <v>17818.059999999998</v>
      </c>
      <c r="V70" s="875">
        <f t="shared" si="10"/>
        <v>0</v>
      </c>
      <c r="W70" s="875">
        <f t="shared" si="11"/>
        <v>0</v>
      </c>
      <c r="X70" s="875">
        <f t="shared" si="11"/>
        <v>9511.2999999999993</v>
      </c>
      <c r="Y70" s="883"/>
      <c r="Z70" s="875">
        <f t="shared" si="4"/>
        <v>0</v>
      </c>
      <c r="AA70" s="875">
        <f t="shared" si="4"/>
        <v>0</v>
      </c>
      <c r="AB70" s="875">
        <f t="shared" si="4"/>
        <v>8306.76</v>
      </c>
      <c r="AC70" s="878"/>
    </row>
    <row r="71" spans="1:29" x14ac:dyDescent="0.2">
      <c r="A71" s="618" t="s">
        <v>127</v>
      </c>
      <c r="B71" s="619" t="s">
        <v>729</v>
      </c>
      <c r="C71" s="620">
        <v>244</v>
      </c>
      <c r="D71" s="620">
        <v>223</v>
      </c>
      <c r="E71" s="596">
        <f t="shared" si="0"/>
        <v>10576.599999999999</v>
      </c>
      <c r="F71" s="595">
        <f>'Прилож 4 24 (6)'!V71</f>
        <v>0</v>
      </c>
      <c r="G71" s="595">
        <f>'Прилож 4 24 (6)'!W71</f>
        <v>0</v>
      </c>
      <c r="H71" s="595">
        <f>'Прилож 4 24 (6)'!X71</f>
        <v>4191.91</v>
      </c>
      <c r="I71" s="628"/>
      <c r="J71" s="595">
        <f>'Прилож 4 24 (6)'!Z71</f>
        <v>0</v>
      </c>
      <c r="K71" s="595">
        <f>'Прилож 4 24 (6)'!AA71</f>
        <v>0</v>
      </c>
      <c r="L71" s="595">
        <f>'Прилож 4 24 (6)'!AB71</f>
        <v>6384.69</v>
      </c>
      <c r="M71" s="876">
        <f t="shared" si="13"/>
        <v>0</v>
      </c>
      <c r="N71" s="875"/>
      <c r="O71" s="875"/>
      <c r="P71" s="875"/>
      <c r="Q71" s="877"/>
      <c r="R71" s="875"/>
      <c r="S71" s="875"/>
      <c r="T71" s="875"/>
      <c r="U71" s="876">
        <f t="shared" si="12"/>
        <v>10576.599999999999</v>
      </c>
      <c r="V71" s="875">
        <f t="shared" si="10"/>
        <v>0</v>
      </c>
      <c r="W71" s="875">
        <f t="shared" si="11"/>
        <v>0</v>
      </c>
      <c r="X71" s="875">
        <f t="shared" si="11"/>
        <v>4191.91</v>
      </c>
      <c r="Y71" s="883"/>
      <c r="Z71" s="875">
        <f t="shared" si="4"/>
        <v>0</v>
      </c>
      <c r="AA71" s="875">
        <f t="shared" si="4"/>
        <v>0</v>
      </c>
      <c r="AB71" s="875">
        <f t="shared" si="4"/>
        <v>6384.69</v>
      </c>
      <c r="AC71" s="878"/>
    </row>
    <row r="72" spans="1:29" x14ac:dyDescent="0.2">
      <c r="A72" s="618" t="s">
        <v>128</v>
      </c>
      <c r="B72" s="619" t="s">
        <v>729</v>
      </c>
      <c r="C72" s="620">
        <v>244</v>
      </c>
      <c r="D72" s="620">
        <v>223</v>
      </c>
      <c r="E72" s="596">
        <f t="shared" si="0"/>
        <v>36541.259999999995</v>
      </c>
      <c r="F72" s="595">
        <f>'Прилож 4 24 (6)'!V72</f>
        <v>0</v>
      </c>
      <c r="G72" s="595">
        <f>'Прилож 4 24 (6)'!W72</f>
        <v>0</v>
      </c>
      <c r="H72" s="595">
        <f>'Прилож 4 24 (6)'!X72</f>
        <v>19267.8</v>
      </c>
      <c r="I72" s="628"/>
      <c r="J72" s="595">
        <f>'Прилож 4 24 (6)'!Z72</f>
        <v>0</v>
      </c>
      <c r="K72" s="595">
        <f>'Прилож 4 24 (6)'!AA72</f>
        <v>0</v>
      </c>
      <c r="L72" s="595">
        <f>'Прилож 4 24 (6)'!AB72</f>
        <v>17273.46</v>
      </c>
      <c r="M72" s="876">
        <f t="shared" si="13"/>
        <v>0</v>
      </c>
      <c r="N72" s="875"/>
      <c r="O72" s="875"/>
      <c r="P72" s="875"/>
      <c r="Q72" s="877"/>
      <c r="R72" s="875"/>
      <c r="S72" s="875"/>
      <c r="T72" s="875"/>
      <c r="U72" s="876">
        <f t="shared" si="12"/>
        <v>36541.259999999995</v>
      </c>
      <c r="V72" s="875">
        <f t="shared" si="10"/>
        <v>0</v>
      </c>
      <c r="W72" s="875">
        <f t="shared" si="11"/>
        <v>0</v>
      </c>
      <c r="X72" s="875">
        <f t="shared" si="11"/>
        <v>19267.8</v>
      </c>
      <c r="Y72" s="883"/>
      <c r="Z72" s="875">
        <f t="shared" si="4"/>
        <v>0</v>
      </c>
      <c r="AA72" s="875">
        <f t="shared" si="4"/>
        <v>0</v>
      </c>
      <c r="AB72" s="875">
        <f t="shared" si="4"/>
        <v>17273.46</v>
      </c>
      <c r="AC72" s="878"/>
    </row>
    <row r="73" spans="1:29" x14ac:dyDescent="0.2">
      <c r="A73" s="618" t="s">
        <v>129</v>
      </c>
      <c r="B73" s="619" t="s">
        <v>729</v>
      </c>
      <c r="C73" s="620">
        <v>244</v>
      </c>
      <c r="D73" s="620">
        <v>223</v>
      </c>
      <c r="E73" s="596">
        <f t="shared" si="0"/>
        <v>26001.4</v>
      </c>
      <c r="F73" s="595">
        <f>'Прилож 4 24 (6)'!V73</f>
        <v>0</v>
      </c>
      <c r="G73" s="595">
        <f>'Прилож 4 24 (6)'!W73</f>
        <v>0</v>
      </c>
      <c r="H73" s="595">
        <f>'Прилож 4 24 (6)'!X73</f>
        <v>12829.48</v>
      </c>
      <c r="I73" s="628"/>
      <c r="J73" s="595">
        <f>'Прилож 4 24 (6)'!Z73</f>
        <v>0</v>
      </c>
      <c r="K73" s="595">
        <f>'Прилож 4 24 (6)'!AA73</f>
        <v>0</v>
      </c>
      <c r="L73" s="595">
        <f>'Прилож 4 24 (6)'!AB73</f>
        <v>13171.92</v>
      </c>
      <c r="M73" s="876">
        <f t="shared" si="13"/>
        <v>0</v>
      </c>
      <c r="N73" s="875"/>
      <c r="O73" s="875"/>
      <c r="P73" s="875"/>
      <c r="Q73" s="877"/>
      <c r="R73" s="875"/>
      <c r="S73" s="875"/>
      <c r="T73" s="875"/>
      <c r="U73" s="876">
        <f t="shared" si="12"/>
        <v>26001.4</v>
      </c>
      <c r="V73" s="875">
        <f t="shared" si="10"/>
        <v>0</v>
      </c>
      <c r="W73" s="875">
        <f t="shared" si="11"/>
        <v>0</v>
      </c>
      <c r="X73" s="875">
        <f t="shared" si="11"/>
        <v>12829.48</v>
      </c>
      <c r="Y73" s="883"/>
      <c r="Z73" s="875">
        <f t="shared" si="4"/>
        <v>0</v>
      </c>
      <c r="AA73" s="875">
        <f t="shared" si="4"/>
        <v>0</v>
      </c>
      <c r="AB73" s="875">
        <f t="shared" si="4"/>
        <v>13171.92</v>
      </c>
      <c r="AC73" s="878"/>
    </row>
    <row r="74" spans="1:29" ht="31.5" x14ac:dyDescent="0.2">
      <c r="A74" s="618" t="s">
        <v>1238</v>
      </c>
      <c r="B74" s="619" t="s">
        <v>729</v>
      </c>
      <c r="C74" s="620">
        <v>244</v>
      </c>
      <c r="D74" s="620">
        <v>223</v>
      </c>
      <c r="E74" s="596">
        <f t="shared" si="0"/>
        <v>18270.629999999997</v>
      </c>
      <c r="F74" s="595">
        <f>'Прилож 4 24 (6)'!V74</f>
        <v>0</v>
      </c>
      <c r="G74" s="595">
        <f>'Прилож 4 24 (6)'!W74</f>
        <v>0</v>
      </c>
      <c r="H74" s="595">
        <f>'Прилож 4 24 (6)'!X74</f>
        <v>9633.9</v>
      </c>
      <c r="I74" s="628"/>
      <c r="J74" s="595">
        <f>'Прилож 4 24 (6)'!Z74</f>
        <v>0</v>
      </c>
      <c r="K74" s="595">
        <f>'Прилож 4 24 (6)'!AA74</f>
        <v>0</v>
      </c>
      <c r="L74" s="595">
        <f>'Прилож 4 24 (6)'!AB74</f>
        <v>8636.73</v>
      </c>
      <c r="M74" s="876">
        <f t="shared" si="13"/>
        <v>0</v>
      </c>
      <c r="N74" s="875"/>
      <c r="O74" s="875"/>
      <c r="P74" s="875"/>
      <c r="Q74" s="877"/>
      <c r="R74" s="875"/>
      <c r="S74" s="875"/>
      <c r="T74" s="875"/>
      <c r="U74" s="876">
        <f t="shared" si="12"/>
        <v>18270.629999999997</v>
      </c>
      <c r="V74" s="875">
        <f t="shared" si="10"/>
        <v>0</v>
      </c>
      <c r="W74" s="875">
        <f t="shared" si="11"/>
        <v>0</v>
      </c>
      <c r="X74" s="875">
        <f t="shared" si="11"/>
        <v>9633.9</v>
      </c>
      <c r="Y74" s="883"/>
      <c r="Z74" s="875">
        <f t="shared" si="4"/>
        <v>0</v>
      </c>
      <c r="AA74" s="875">
        <f t="shared" si="4"/>
        <v>0</v>
      </c>
      <c r="AB74" s="875">
        <f t="shared" si="4"/>
        <v>8636.73</v>
      </c>
      <c r="AC74" s="878"/>
    </row>
    <row r="75" spans="1:29" ht="31.5" x14ac:dyDescent="0.2">
      <c r="A75" s="618" t="s">
        <v>1239</v>
      </c>
      <c r="B75" s="619" t="s">
        <v>729</v>
      </c>
      <c r="C75" s="620">
        <v>244</v>
      </c>
      <c r="D75" s="620">
        <v>223</v>
      </c>
      <c r="E75" s="596">
        <f t="shared" si="0"/>
        <v>13000.7</v>
      </c>
      <c r="F75" s="595">
        <f>'Прилож 4 24 (6)'!V75</f>
        <v>0</v>
      </c>
      <c r="G75" s="595">
        <f>'Прилож 4 24 (6)'!W75</f>
        <v>0</v>
      </c>
      <c r="H75" s="595">
        <f>'Прилож 4 24 (6)'!X75</f>
        <v>6414.74</v>
      </c>
      <c r="I75" s="628"/>
      <c r="J75" s="595">
        <f>'Прилож 4 24 (6)'!Z75</f>
        <v>0</v>
      </c>
      <c r="K75" s="595">
        <f>'Прилож 4 24 (6)'!AA75</f>
        <v>0</v>
      </c>
      <c r="L75" s="595">
        <f>'Прилож 4 24 (6)'!AB75</f>
        <v>6585.96</v>
      </c>
      <c r="M75" s="876">
        <f t="shared" si="13"/>
        <v>0</v>
      </c>
      <c r="N75" s="875"/>
      <c r="O75" s="875"/>
      <c r="P75" s="875"/>
      <c r="Q75" s="877"/>
      <c r="R75" s="875"/>
      <c r="S75" s="875"/>
      <c r="T75" s="875"/>
      <c r="U75" s="876">
        <f t="shared" si="12"/>
        <v>13000.7</v>
      </c>
      <c r="V75" s="875">
        <f t="shared" si="10"/>
        <v>0</v>
      </c>
      <c r="W75" s="875">
        <f t="shared" si="11"/>
        <v>0</v>
      </c>
      <c r="X75" s="875">
        <f t="shared" si="11"/>
        <v>6414.74</v>
      </c>
      <c r="Y75" s="883"/>
      <c r="Z75" s="875">
        <f t="shared" si="4"/>
        <v>0</v>
      </c>
      <c r="AA75" s="875">
        <f t="shared" si="4"/>
        <v>0</v>
      </c>
      <c r="AB75" s="875">
        <f t="shared" si="4"/>
        <v>6585.96</v>
      </c>
      <c r="AC75" s="878"/>
    </row>
    <row r="76" spans="1:29" ht="31.5" x14ac:dyDescent="0.2">
      <c r="A76" s="618" t="s">
        <v>1140</v>
      </c>
      <c r="B76" s="619" t="s">
        <v>729</v>
      </c>
      <c r="C76" s="620">
        <v>244</v>
      </c>
      <c r="D76" s="620">
        <v>223</v>
      </c>
      <c r="E76" s="596">
        <f t="shared" si="0"/>
        <v>30788.12</v>
      </c>
      <c r="F76" s="595">
        <f>'Прилож 4 24 (6)'!V76</f>
        <v>0</v>
      </c>
      <c r="G76" s="595">
        <f>'Прилож 4 24 (6)'!W76</f>
        <v>0</v>
      </c>
      <c r="H76" s="595">
        <f>'Прилож 4 24 (6)'!X76</f>
        <v>30788.12</v>
      </c>
      <c r="I76" s="628"/>
      <c r="J76" s="595">
        <f>'Прилож 4 24 (6)'!Z76</f>
        <v>0</v>
      </c>
      <c r="K76" s="595">
        <f>'Прилож 4 24 (6)'!AA76</f>
        <v>0</v>
      </c>
      <c r="L76" s="595">
        <f>'Прилож 4 24 (6)'!AB76</f>
        <v>0</v>
      </c>
      <c r="M76" s="876">
        <f t="shared" si="13"/>
        <v>0</v>
      </c>
      <c r="N76" s="875"/>
      <c r="O76" s="875"/>
      <c r="P76" s="875"/>
      <c r="Q76" s="877"/>
      <c r="R76" s="875"/>
      <c r="S76" s="875"/>
      <c r="T76" s="875"/>
      <c r="U76" s="876">
        <f t="shared" si="12"/>
        <v>30788.12</v>
      </c>
      <c r="V76" s="875">
        <f t="shared" si="10"/>
        <v>0</v>
      </c>
      <c r="W76" s="875">
        <f t="shared" si="11"/>
        <v>0</v>
      </c>
      <c r="X76" s="875">
        <f t="shared" si="11"/>
        <v>30788.12</v>
      </c>
      <c r="Y76" s="883"/>
      <c r="Z76" s="875">
        <f t="shared" si="4"/>
        <v>0</v>
      </c>
      <c r="AA76" s="875">
        <f t="shared" si="4"/>
        <v>0</v>
      </c>
      <c r="AB76" s="875">
        <f t="shared" si="4"/>
        <v>0</v>
      </c>
      <c r="AC76" s="878"/>
    </row>
    <row r="77" spans="1:29" ht="31.5" x14ac:dyDescent="0.2">
      <c r="A77" s="618" t="s">
        <v>1141</v>
      </c>
      <c r="B77" s="619" t="s">
        <v>729</v>
      </c>
      <c r="C77" s="620">
        <v>244</v>
      </c>
      <c r="D77" s="620">
        <v>223</v>
      </c>
      <c r="E77" s="596">
        <f t="shared" ref="E77:E140" si="16">L77+K77+J77+H77+G77+F77</f>
        <v>28826.37</v>
      </c>
      <c r="F77" s="595">
        <f>'Прилож 4 24 (6)'!V77</f>
        <v>0</v>
      </c>
      <c r="G77" s="595">
        <f>'Прилож 4 24 (6)'!W77</f>
        <v>0</v>
      </c>
      <c r="H77" s="595">
        <f>'Прилож 4 24 (6)'!X77</f>
        <v>28826.37</v>
      </c>
      <c r="I77" s="628"/>
      <c r="J77" s="595">
        <f>'Прилож 4 24 (6)'!Z77</f>
        <v>0</v>
      </c>
      <c r="K77" s="595">
        <f>'Прилож 4 24 (6)'!AA77</f>
        <v>0</v>
      </c>
      <c r="L77" s="595">
        <f>'Прилож 4 24 (6)'!AB77</f>
        <v>0</v>
      </c>
      <c r="M77" s="876">
        <f t="shared" si="13"/>
        <v>0</v>
      </c>
      <c r="N77" s="875"/>
      <c r="O77" s="875"/>
      <c r="P77" s="875"/>
      <c r="Q77" s="877"/>
      <c r="R77" s="875"/>
      <c r="S77" s="875"/>
      <c r="T77" s="875"/>
      <c r="U77" s="876">
        <f t="shared" si="12"/>
        <v>28826.37</v>
      </c>
      <c r="V77" s="875">
        <f t="shared" si="10"/>
        <v>0</v>
      </c>
      <c r="W77" s="875">
        <f t="shared" si="11"/>
        <v>0</v>
      </c>
      <c r="X77" s="875">
        <f t="shared" si="11"/>
        <v>28826.37</v>
      </c>
      <c r="Y77" s="883"/>
      <c r="Z77" s="875">
        <f t="shared" si="4"/>
        <v>0</v>
      </c>
      <c r="AA77" s="875">
        <f t="shared" si="4"/>
        <v>0</v>
      </c>
      <c r="AB77" s="875">
        <f t="shared" si="4"/>
        <v>0</v>
      </c>
      <c r="AC77" s="878"/>
    </row>
    <row r="78" spans="1:29" ht="44.25" customHeight="1" x14ac:dyDescent="0.2">
      <c r="A78" s="618" t="s">
        <v>130</v>
      </c>
      <c r="B78" s="619" t="s">
        <v>729</v>
      </c>
      <c r="C78" s="620">
        <v>244</v>
      </c>
      <c r="D78" s="620">
        <v>223</v>
      </c>
      <c r="E78" s="596">
        <f t="shared" si="16"/>
        <v>51300</v>
      </c>
      <c r="F78" s="595">
        <f>'Прилож 4 24 (6)'!V78</f>
        <v>0</v>
      </c>
      <c r="G78" s="595">
        <f>'Прилож 4 24 (6)'!W78</f>
        <v>0</v>
      </c>
      <c r="H78" s="595">
        <f>'Прилож 4 24 (6)'!X78</f>
        <v>51300</v>
      </c>
      <c r="I78" s="628"/>
      <c r="J78" s="595">
        <f>'Прилож 4 24 (6)'!Z78</f>
        <v>0</v>
      </c>
      <c r="K78" s="595">
        <f>'Прилож 4 24 (6)'!AA78</f>
        <v>0</v>
      </c>
      <c r="L78" s="595">
        <f>'Прилож 4 24 (6)'!AB78</f>
        <v>0</v>
      </c>
      <c r="M78" s="876">
        <f t="shared" si="13"/>
        <v>0</v>
      </c>
      <c r="N78" s="875"/>
      <c r="O78" s="875"/>
      <c r="P78" s="875"/>
      <c r="Q78" s="877"/>
      <c r="R78" s="875"/>
      <c r="S78" s="875"/>
      <c r="T78" s="875"/>
      <c r="U78" s="876">
        <f t="shared" si="12"/>
        <v>51300</v>
      </c>
      <c r="V78" s="875">
        <f t="shared" si="10"/>
        <v>0</v>
      </c>
      <c r="W78" s="875">
        <f t="shared" si="11"/>
        <v>0</v>
      </c>
      <c r="X78" s="875">
        <f t="shared" si="11"/>
        <v>51300</v>
      </c>
      <c r="Y78" s="883"/>
      <c r="Z78" s="875">
        <f t="shared" si="4"/>
        <v>0</v>
      </c>
      <c r="AA78" s="875">
        <f t="shared" si="4"/>
        <v>0</v>
      </c>
      <c r="AB78" s="875">
        <f t="shared" si="4"/>
        <v>0</v>
      </c>
      <c r="AC78" s="878"/>
    </row>
    <row r="79" spans="1:29" s="637" customFormat="1" ht="35.25" customHeight="1" x14ac:dyDescent="0.2">
      <c r="A79" s="632" t="s">
        <v>1143</v>
      </c>
      <c r="B79" s="633" t="s">
        <v>729</v>
      </c>
      <c r="C79" s="634">
        <v>244</v>
      </c>
      <c r="D79" s="634">
        <v>223</v>
      </c>
      <c r="E79" s="596">
        <f t="shared" si="16"/>
        <v>233123.13999999998</v>
      </c>
      <c r="F79" s="595">
        <f>'Прилож 4 24 (6)'!V79</f>
        <v>0</v>
      </c>
      <c r="G79" s="595">
        <f>'Прилож 4 24 (6)'!W79</f>
        <v>0</v>
      </c>
      <c r="H79" s="595">
        <f>'Прилож 4 24 (6)'!X79</f>
        <v>172763.62</v>
      </c>
      <c r="I79" s="635"/>
      <c r="J79" s="595">
        <f>'Прилож 4 24 (6)'!Z79</f>
        <v>0</v>
      </c>
      <c r="K79" s="595">
        <f>'Прилож 4 24 (6)'!AA79</f>
        <v>0</v>
      </c>
      <c r="L79" s="595">
        <f>'Прилож 4 24 (6)'!AB79</f>
        <v>60359.519999999997</v>
      </c>
      <c r="M79" s="876">
        <f t="shared" si="13"/>
        <v>0</v>
      </c>
      <c r="N79" s="884"/>
      <c r="O79" s="884"/>
      <c r="P79" s="884">
        <f>SUM(P70:P78)</f>
        <v>0</v>
      </c>
      <c r="Q79" s="885"/>
      <c r="R79" s="884"/>
      <c r="S79" s="884"/>
      <c r="T79" s="884">
        <f>SUM(T70:T78)</f>
        <v>0</v>
      </c>
      <c r="U79" s="876">
        <f t="shared" si="12"/>
        <v>233123.13999999998</v>
      </c>
      <c r="V79" s="875">
        <f t="shared" si="10"/>
        <v>0</v>
      </c>
      <c r="W79" s="875">
        <f t="shared" si="11"/>
        <v>0</v>
      </c>
      <c r="X79" s="875">
        <f t="shared" si="11"/>
        <v>172763.62</v>
      </c>
      <c r="Y79" s="885"/>
      <c r="Z79" s="875">
        <f t="shared" si="4"/>
        <v>0</v>
      </c>
      <c r="AA79" s="875">
        <f t="shared" si="4"/>
        <v>0</v>
      </c>
      <c r="AB79" s="875">
        <f t="shared" si="4"/>
        <v>60359.519999999997</v>
      </c>
      <c r="AC79" s="878"/>
    </row>
    <row r="80" spans="1:29" s="614" customFormat="1" x14ac:dyDescent="0.2">
      <c r="A80" s="630" t="s">
        <v>736</v>
      </c>
      <c r="B80" s="631"/>
      <c r="C80" s="624"/>
      <c r="D80" s="624"/>
      <c r="E80" s="596">
        <f t="shared" si="16"/>
        <v>604760.67000000004</v>
      </c>
      <c r="F80" s="595">
        <f>'Прилож 4 24 (6)'!V80</f>
        <v>0</v>
      </c>
      <c r="G80" s="595">
        <f>'Прилож 4 24 (6)'!W80</f>
        <v>0</v>
      </c>
      <c r="H80" s="595">
        <f>'Прилож 4 24 (6)'!X80</f>
        <v>544401.15</v>
      </c>
      <c r="I80" s="626"/>
      <c r="J80" s="595">
        <f>'Прилож 4 24 (6)'!Z80</f>
        <v>0</v>
      </c>
      <c r="K80" s="595">
        <f>'Прилож 4 24 (6)'!AA80</f>
        <v>0</v>
      </c>
      <c r="L80" s="595">
        <f>'Прилож 4 24 (6)'!AB80</f>
        <v>60359.519999999997</v>
      </c>
      <c r="M80" s="876">
        <f t="shared" si="13"/>
        <v>0</v>
      </c>
      <c r="N80" s="876"/>
      <c r="O80" s="876"/>
      <c r="P80" s="876">
        <f>P79+P69</f>
        <v>0</v>
      </c>
      <c r="Q80" s="881"/>
      <c r="R80" s="876"/>
      <c r="S80" s="876"/>
      <c r="T80" s="876">
        <f>T69+T79</f>
        <v>0</v>
      </c>
      <c r="U80" s="876">
        <f t="shared" si="12"/>
        <v>604760.67000000004</v>
      </c>
      <c r="V80" s="875">
        <f t="shared" si="10"/>
        <v>0</v>
      </c>
      <c r="W80" s="875">
        <f t="shared" si="11"/>
        <v>0</v>
      </c>
      <c r="X80" s="875">
        <f t="shared" si="11"/>
        <v>544401.15</v>
      </c>
      <c r="Y80" s="881"/>
      <c r="Z80" s="875">
        <f t="shared" ref="Z80:AB148" si="17">R80+J80</f>
        <v>0</v>
      </c>
      <c r="AA80" s="875">
        <f t="shared" si="17"/>
        <v>0</v>
      </c>
      <c r="AB80" s="875">
        <f t="shared" si="17"/>
        <v>60359.519999999997</v>
      </c>
      <c r="AC80" s="878"/>
    </row>
    <row r="81" spans="1:29" x14ac:dyDescent="0.2">
      <c r="A81" s="618" t="s">
        <v>131</v>
      </c>
      <c r="B81" s="619" t="s">
        <v>747</v>
      </c>
      <c r="C81" s="620">
        <v>247</v>
      </c>
      <c r="D81" s="620">
        <v>223</v>
      </c>
      <c r="E81" s="596">
        <f t="shared" si="16"/>
        <v>546600</v>
      </c>
      <c r="F81" s="595">
        <f>'Прилож 4 24 (6)'!V81</f>
        <v>0</v>
      </c>
      <c r="G81" s="595">
        <f>'Прилож 4 24 (6)'!W81</f>
        <v>0</v>
      </c>
      <c r="H81" s="595">
        <f>'Прилож 4 24 (6)'!X81</f>
        <v>546600</v>
      </c>
      <c r="I81" s="621"/>
      <c r="J81" s="595">
        <f>'Прилож 4 24 (6)'!Z81</f>
        <v>0</v>
      </c>
      <c r="K81" s="595">
        <f>'Прилож 4 24 (6)'!AA81</f>
        <v>0</v>
      </c>
      <c r="L81" s="595">
        <f>'Прилож 4 24 (6)'!AB81</f>
        <v>0</v>
      </c>
      <c r="M81" s="876">
        <f t="shared" si="13"/>
        <v>0</v>
      </c>
      <c r="N81" s="875"/>
      <c r="O81" s="875"/>
      <c r="P81" s="875"/>
      <c r="Q81" s="877"/>
      <c r="R81" s="875"/>
      <c r="S81" s="875"/>
      <c r="T81" s="875"/>
      <c r="U81" s="876">
        <f t="shared" si="12"/>
        <v>546600</v>
      </c>
      <c r="V81" s="875">
        <f t="shared" si="10"/>
        <v>0</v>
      </c>
      <c r="W81" s="875">
        <f t="shared" si="11"/>
        <v>0</v>
      </c>
      <c r="X81" s="875">
        <f t="shared" si="11"/>
        <v>546600</v>
      </c>
      <c r="Y81" s="877"/>
      <c r="Z81" s="875">
        <f t="shared" si="17"/>
        <v>0</v>
      </c>
      <c r="AA81" s="875">
        <f t="shared" si="17"/>
        <v>0</v>
      </c>
      <c r="AB81" s="875">
        <f t="shared" si="17"/>
        <v>0</v>
      </c>
      <c r="AC81" s="878"/>
    </row>
    <row r="82" spans="1:29" ht="16.5" customHeight="1" x14ac:dyDescent="0.2">
      <c r="A82" s="618" t="s">
        <v>133</v>
      </c>
      <c r="B82" s="619" t="s">
        <v>747</v>
      </c>
      <c r="C82" s="620">
        <v>247</v>
      </c>
      <c r="D82" s="620">
        <v>223</v>
      </c>
      <c r="E82" s="596">
        <f t="shared" si="16"/>
        <v>465510.83</v>
      </c>
      <c r="F82" s="595">
        <f>'Прилож 4 24 (6)'!V82</f>
        <v>0</v>
      </c>
      <c r="G82" s="595">
        <f>'Прилож 4 24 (6)'!W82</f>
        <v>0</v>
      </c>
      <c r="H82" s="595">
        <f>'Прилож 4 24 (6)'!X82</f>
        <v>465510.83</v>
      </c>
      <c r="I82" s="621"/>
      <c r="J82" s="595">
        <f>'Прилож 4 24 (6)'!Z82</f>
        <v>0</v>
      </c>
      <c r="K82" s="595">
        <f>'Прилож 4 24 (6)'!AA82</f>
        <v>0</v>
      </c>
      <c r="L82" s="595">
        <f>'Прилож 4 24 (6)'!AB82</f>
        <v>0</v>
      </c>
      <c r="M82" s="876">
        <f t="shared" si="13"/>
        <v>0</v>
      </c>
      <c r="N82" s="875"/>
      <c r="O82" s="875"/>
      <c r="P82" s="875"/>
      <c r="Q82" s="877"/>
      <c r="R82" s="875"/>
      <c r="S82" s="875"/>
      <c r="T82" s="875"/>
      <c r="U82" s="876">
        <f t="shared" si="12"/>
        <v>465510.83</v>
      </c>
      <c r="V82" s="875">
        <f t="shared" si="10"/>
        <v>0</v>
      </c>
      <c r="W82" s="875">
        <f t="shared" si="11"/>
        <v>0</v>
      </c>
      <c r="X82" s="875">
        <f t="shared" si="11"/>
        <v>465510.83</v>
      </c>
      <c r="Y82" s="877"/>
      <c r="Z82" s="875">
        <f t="shared" si="17"/>
        <v>0</v>
      </c>
      <c r="AA82" s="875">
        <f t="shared" si="17"/>
        <v>0</v>
      </c>
      <c r="AB82" s="875">
        <f t="shared" si="17"/>
        <v>0</v>
      </c>
      <c r="AC82" s="878"/>
    </row>
    <row r="83" spans="1:29" ht="16.5" customHeight="1" x14ac:dyDescent="0.2">
      <c r="A83" s="618" t="s">
        <v>1260</v>
      </c>
      <c r="B83" s="619" t="s">
        <v>747</v>
      </c>
      <c r="C83" s="620">
        <v>247</v>
      </c>
      <c r="D83" s="620">
        <v>223</v>
      </c>
      <c r="E83" s="596">
        <f t="shared" si="16"/>
        <v>318968.24</v>
      </c>
      <c r="F83" s="595">
        <f>'Прилож 4 24 (6)'!V83</f>
        <v>0</v>
      </c>
      <c r="G83" s="595">
        <f>'Прилож 4 24 (6)'!W83</f>
        <v>0</v>
      </c>
      <c r="H83" s="595">
        <f>'Прилож 4 24 (6)'!X83</f>
        <v>318968.24</v>
      </c>
      <c r="I83" s="621"/>
      <c r="J83" s="595">
        <f>'Прилож 4 24 (6)'!Z83</f>
        <v>0</v>
      </c>
      <c r="K83" s="595">
        <f>'Прилож 4 24 (6)'!AA83</f>
        <v>0</v>
      </c>
      <c r="L83" s="595">
        <f>'Прилож 4 24 (6)'!AB83</f>
        <v>0</v>
      </c>
      <c r="M83" s="876">
        <f t="shared" si="13"/>
        <v>0</v>
      </c>
      <c r="N83" s="875"/>
      <c r="O83" s="875"/>
      <c r="P83" s="875"/>
      <c r="Q83" s="877"/>
      <c r="R83" s="875"/>
      <c r="S83" s="875"/>
      <c r="T83" s="875"/>
      <c r="U83" s="876">
        <f t="shared" si="12"/>
        <v>318968.24</v>
      </c>
      <c r="V83" s="875">
        <f t="shared" si="10"/>
        <v>0</v>
      </c>
      <c r="W83" s="875">
        <f t="shared" si="11"/>
        <v>0</v>
      </c>
      <c r="X83" s="875">
        <f t="shared" si="11"/>
        <v>318968.24</v>
      </c>
      <c r="Y83" s="877"/>
      <c r="Z83" s="875">
        <f t="shared" si="17"/>
        <v>0</v>
      </c>
      <c r="AA83" s="875">
        <f t="shared" si="17"/>
        <v>0</v>
      </c>
      <c r="AB83" s="875">
        <f t="shared" si="17"/>
        <v>0</v>
      </c>
      <c r="AC83" s="878"/>
    </row>
    <row r="84" spans="1:29" ht="31.5" x14ac:dyDescent="0.2">
      <c r="A84" s="618" t="s">
        <v>1240</v>
      </c>
      <c r="B84" s="619" t="s">
        <v>747</v>
      </c>
      <c r="C84" s="620">
        <v>247</v>
      </c>
      <c r="D84" s="620">
        <v>223</v>
      </c>
      <c r="E84" s="596">
        <f t="shared" si="16"/>
        <v>63447.51</v>
      </c>
      <c r="F84" s="595">
        <f>'Прилож 4 24 (6)'!V84</f>
        <v>0</v>
      </c>
      <c r="G84" s="595">
        <f>'Прилож 4 24 (6)'!W84</f>
        <v>0</v>
      </c>
      <c r="H84" s="595">
        <f>'Прилож 4 24 (6)'!X84</f>
        <v>63447.51</v>
      </c>
      <c r="I84" s="621"/>
      <c r="J84" s="595">
        <f>'Прилож 4 24 (6)'!Z84</f>
        <v>0</v>
      </c>
      <c r="K84" s="595">
        <f>'Прилож 4 24 (6)'!AA84</f>
        <v>0</v>
      </c>
      <c r="L84" s="595">
        <f>'Прилож 4 24 (6)'!AB84</f>
        <v>0</v>
      </c>
      <c r="M84" s="876">
        <f t="shared" si="13"/>
        <v>0</v>
      </c>
      <c r="N84" s="875"/>
      <c r="O84" s="875"/>
      <c r="P84" s="875"/>
      <c r="Q84" s="877"/>
      <c r="R84" s="875"/>
      <c r="S84" s="875"/>
      <c r="T84" s="875"/>
      <c r="U84" s="876">
        <f t="shared" si="12"/>
        <v>63447.51</v>
      </c>
      <c r="V84" s="875">
        <f t="shared" si="10"/>
        <v>0</v>
      </c>
      <c r="W84" s="875">
        <f t="shared" si="11"/>
        <v>0</v>
      </c>
      <c r="X84" s="875">
        <f t="shared" si="11"/>
        <v>63447.51</v>
      </c>
      <c r="Y84" s="877"/>
      <c r="Z84" s="875">
        <f t="shared" si="17"/>
        <v>0</v>
      </c>
      <c r="AA84" s="875">
        <f t="shared" si="17"/>
        <v>0</v>
      </c>
      <c r="AB84" s="875">
        <f t="shared" si="17"/>
        <v>0</v>
      </c>
      <c r="AC84" s="878"/>
    </row>
    <row r="85" spans="1:29" ht="31.5" x14ac:dyDescent="0.2">
      <c r="A85" s="618" t="s">
        <v>1241</v>
      </c>
      <c r="B85" s="619" t="s">
        <v>747</v>
      </c>
      <c r="C85" s="620">
        <v>247</v>
      </c>
      <c r="D85" s="620">
        <v>223</v>
      </c>
      <c r="E85" s="596">
        <f t="shared" si="16"/>
        <v>52047.07</v>
      </c>
      <c r="F85" s="595">
        <f>'Прилож 4 24 (6)'!V85</f>
        <v>0</v>
      </c>
      <c r="G85" s="595">
        <f>'Прилож 4 24 (6)'!W85</f>
        <v>0</v>
      </c>
      <c r="H85" s="595">
        <f>'Прилож 4 24 (6)'!X85</f>
        <v>52047.07</v>
      </c>
      <c r="I85" s="621"/>
      <c r="J85" s="595">
        <f>'Прилож 4 24 (6)'!Z85</f>
        <v>0</v>
      </c>
      <c r="K85" s="595">
        <f>'Прилож 4 24 (6)'!AA85</f>
        <v>0</v>
      </c>
      <c r="L85" s="595">
        <f>'Прилож 4 24 (6)'!AB85</f>
        <v>0</v>
      </c>
      <c r="M85" s="876">
        <f t="shared" si="13"/>
        <v>0</v>
      </c>
      <c r="N85" s="875"/>
      <c r="O85" s="875"/>
      <c r="P85" s="875"/>
      <c r="Q85" s="877"/>
      <c r="R85" s="875"/>
      <c r="S85" s="875"/>
      <c r="T85" s="875"/>
      <c r="U85" s="876">
        <f t="shared" si="12"/>
        <v>52047.07</v>
      </c>
      <c r="V85" s="875">
        <f t="shared" si="10"/>
        <v>0</v>
      </c>
      <c r="W85" s="875">
        <f t="shared" si="11"/>
        <v>0</v>
      </c>
      <c r="X85" s="875">
        <f t="shared" si="11"/>
        <v>52047.07</v>
      </c>
      <c r="Y85" s="877"/>
      <c r="Z85" s="875">
        <f t="shared" si="17"/>
        <v>0</v>
      </c>
      <c r="AA85" s="875">
        <f t="shared" si="17"/>
        <v>0</v>
      </c>
      <c r="AB85" s="875">
        <f t="shared" si="17"/>
        <v>0</v>
      </c>
      <c r="AC85" s="878"/>
    </row>
    <row r="86" spans="1:29" ht="31.5" x14ac:dyDescent="0.2">
      <c r="A86" s="618" t="s">
        <v>1242</v>
      </c>
      <c r="B86" s="619" t="s">
        <v>747</v>
      </c>
      <c r="C86" s="620">
        <v>247</v>
      </c>
      <c r="D86" s="620">
        <v>223</v>
      </c>
      <c r="E86" s="596">
        <f t="shared" si="16"/>
        <v>40719.379999999997</v>
      </c>
      <c r="F86" s="595">
        <f>'Прилож 4 24 (6)'!V86</f>
        <v>0</v>
      </c>
      <c r="G86" s="595">
        <f>'Прилож 4 24 (6)'!W86</f>
        <v>0</v>
      </c>
      <c r="H86" s="595">
        <f>'Прилож 4 24 (6)'!X86</f>
        <v>40719.379999999997</v>
      </c>
      <c r="I86" s="621"/>
      <c r="J86" s="595">
        <f>'Прилож 4 24 (6)'!Z86</f>
        <v>0</v>
      </c>
      <c r="K86" s="595">
        <f>'Прилож 4 24 (6)'!AA86</f>
        <v>0</v>
      </c>
      <c r="L86" s="595">
        <f>'Прилож 4 24 (6)'!AB86</f>
        <v>0</v>
      </c>
      <c r="M86" s="876">
        <f t="shared" si="13"/>
        <v>0</v>
      </c>
      <c r="N86" s="875"/>
      <c r="O86" s="875"/>
      <c r="P86" s="875"/>
      <c r="Q86" s="877"/>
      <c r="R86" s="875"/>
      <c r="S86" s="875"/>
      <c r="T86" s="875"/>
      <c r="U86" s="876">
        <f t="shared" si="12"/>
        <v>40719.379999999997</v>
      </c>
      <c r="V86" s="875">
        <f t="shared" si="10"/>
        <v>0</v>
      </c>
      <c r="W86" s="875">
        <f t="shared" si="11"/>
        <v>0</v>
      </c>
      <c r="X86" s="875">
        <f t="shared" si="11"/>
        <v>40719.379999999997</v>
      </c>
      <c r="Y86" s="877"/>
      <c r="Z86" s="875">
        <f t="shared" si="17"/>
        <v>0</v>
      </c>
      <c r="AA86" s="875">
        <f t="shared" si="17"/>
        <v>0</v>
      </c>
      <c r="AB86" s="875">
        <f t="shared" si="17"/>
        <v>0</v>
      </c>
      <c r="AC86" s="878"/>
    </row>
    <row r="87" spans="1:29" ht="31.5" x14ac:dyDescent="0.2">
      <c r="A87" s="618" t="s">
        <v>1242</v>
      </c>
      <c r="B87" s="619" t="s">
        <v>747</v>
      </c>
      <c r="C87" s="620">
        <v>247</v>
      </c>
      <c r="D87" s="620">
        <v>223</v>
      </c>
      <c r="E87" s="596">
        <f t="shared" si="16"/>
        <v>52360.07</v>
      </c>
      <c r="F87" s="595">
        <f>'Прилож 4 24 (6)'!V87</f>
        <v>0</v>
      </c>
      <c r="G87" s="595">
        <f>'Прилож 4 24 (6)'!W87</f>
        <v>0</v>
      </c>
      <c r="H87" s="595">
        <f>'Прилож 4 24 (6)'!X87</f>
        <v>52360.07</v>
      </c>
      <c r="I87" s="621"/>
      <c r="J87" s="595">
        <f>'Прилож 4 24 (6)'!Z87</f>
        <v>0</v>
      </c>
      <c r="K87" s="595">
        <f>'Прилож 4 24 (6)'!AA87</f>
        <v>0</v>
      </c>
      <c r="L87" s="595">
        <f>'Прилож 4 24 (6)'!AB87</f>
        <v>0</v>
      </c>
      <c r="M87" s="876">
        <f t="shared" si="13"/>
        <v>0</v>
      </c>
      <c r="N87" s="875"/>
      <c r="O87" s="875"/>
      <c r="P87" s="875"/>
      <c r="Q87" s="877"/>
      <c r="R87" s="875"/>
      <c r="S87" s="875"/>
      <c r="T87" s="875"/>
      <c r="U87" s="876">
        <f t="shared" si="12"/>
        <v>52360.07</v>
      </c>
      <c r="V87" s="875">
        <f t="shared" si="10"/>
        <v>0</v>
      </c>
      <c r="W87" s="875">
        <f t="shared" si="11"/>
        <v>0</v>
      </c>
      <c r="X87" s="875">
        <f t="shared" si="11"/>
        <v>52360.07</v>
      </c>
      <c r="Y87" s="877"/>
      <c r="Z87" s="875">
        <f t="shared" si="17"/>
        <v>0</v>
      </c>
      <c r="AA87" s="875">
        <f t="shared" si="17"/>
        <v>0</v>
      </c>
      <c r="AB87" s="875">
        <f t="shared" si="17"/>
        <v>0</v>
      </c>
      <c r="AC87" s="878"/>
    </row>
    <row r="88" spans="1:29" s="637" customFormat="1" x14ac:dyDescent="0.2">
      <c r="A88" s="632" t="s">
        <v>1143</v>
      </c>
      <c r="B88" s="633" t="s">
        <v>747</v>
      </c>
      <c r="C88" s="634">
        <v>247</v>
      </c>
      <c r="D88" s="634">
        <v>223</v>
      </c>
      <c r="E88" s="596">
        <f t="shared" si="16"/>
        <v>1539653.1</v>
      </c>
      <c r="F88" s="595">
        <f>'Прилож 4 24 (6)'!V88</f>
        <v>0</v>
      </c>
      <c r="G88" s="595">
        <f>'Прилож 4 24 (6)'!W88</f>
        <v>0</v>
      </c>
      <c r="H88" s="595">
        <f>'Прилож 4 24 (6)'!X88</f>
        <v>1539653.1</v>
      </c>
      <c r="I88" s="635"/>
      <c r="J88" s="595">
        <f>'Прилож 4 24 (6)'!Z88</f>
        <v>0</v>
      </c>
      <c r="K88" s="595">
        <f>'Прилож 4 24 (6)'!AA88</f>
        <v>0</v>
      </c>
      <c r="L88" s="595">
        <f>'Прилож 4 24 (6)'!AB88</f>
        <v>0</v>
      </c>
      <c r="M88" s="876">
        <f t="shared" si="13"/>
        <v>0</v>
      </c>
      <c r="N88" s="884"/>
      <c r="O88" s="884"/>
      <c r="P88" s="884"/>
      <c r="Q88" s="885"/>
      <c r="R88" s="884"/>
      <c r="S88" s="884"/>
      <c r="T88" s="884"/>
      <c r="U88" s="876">
        <f t="shared" si="12"/>
        <v>1539653.1</v>
      </c>
      <c r="V88" s="875">
        <f t="shared" si="10"/>
        <v>0</v>
      </c>
      <c r="W88" s="875">
        <f t="shared" si="11"/>
        <v>0</v>
      </c>
      <c r="X88" s="875">
        <f t="shared" si="11"/>
        <v>1539653.1</v>
      </c>
      <c r="Y88" s="885"/>
      <c r="Z88" s="875">
        <f t="shared" si="17"/>
        <v>0</v>
      </c>
      <c r="AA88" s="875">
        <f t="shared" si="17"/>
        <v>0</v>
      </c>
      <c r="AB88" s="875">
        <f t="shared" si="17"/>
        <v>0</v>
      </c>
      <c r="AC88" s="886"/>
    </row>
    <row r="89" spans="1:29" x14ac:dyDescent="0.2">
      <c r="A89" s="618" t="s">
        <v>131</v>
      </c>
      <c r="B89" s="619" t="s">
        <v>729</v>
      </c>
      <c r="C89" s="620">
        <v>247</v>
      </c>
      <c r="D89" s="620">
        <v>223</v>
      </c>
      <c r="E89" s="596">
        <f t="shared" si="16"/>
        <v>939599.21</v>
      </c>
      <c r="F89" s="595">
        <f>'Прилож 4 24 (6)'!V89</f>
        <v>0</v>
      </c>
      <c r="G89" s="595">
        <f>'Прилож 4 24 (6)'!W89</f>
        <v>0</v>
      </c>
      <c r="H89" s="595">
        <f>'Прилож 4 24 (6)'!X89</f>
        <v>446000</v>
      </c>
      <c r="I89" s="621"/>
      <c r="J89" s="595">
        <f>'Прилож 4 24 (6)'!Z89</f>
        <v>0</v>
      </c>
      <c r="K89" s="595">
        <f>'Прилож 4 24 (6)'!AA89</f>
        <v>0</v>
      </c>
      <c r="L89" s="595">
        <f>'Прилож 4 24 (6)'!AB89</f>
        <v>493599.21</v>
      </c>
      <c r="M89" s="876">
        <f t="shared" si="13"/>
        <v>0</v>
      </c>
      <c r="N89" s="875"/>
      <c r="O89" s="875"/>
      <c r="P89" s="875"/>
      <c r="Q89" s="877"/>
      <c r="R89" s="875"/>
      <c r="S89" s="875"/>
      <c r="T89" s="875"/>
      <c r="U89" s="876">
        <f t="shared" si="12"/>
        <v>939599.21</v>
      </c>
      <c r="V89" s="875">
        <f t="shared" si="10"/>
        <v>0</v>
      </c>
      <c r="W89" s="875">
        <f t="shared" si="11"/>
        <v>0</v>
      </c>
      <c r="X89" s="875">
        <f t="shared" si="11"/>
        <v>446000</v>
      </c>
      <c r="Y89" s="877"/>
      <c r="Z89" s="875">
        <f t="shared" si="17"/>
        <v>0</v>
      </c>
      <c r="AA89" s="875">
        <f t="shared" si="17"/>
        <v>0</v>
      </c>
      <c r="AB89" s="875">
        <f t="shared" si="17"/>
        <v>493599.21</v>
      </c>
      <c r="AC89" s="878"/>
    </row>
    <row r="90" spans="1:29" ht="30" customHeight="1" x14ac:dyDescent="0.2">
      <c r="A90" s="618" t="s">
        <v>133</v>
      </c>
      <c r="B90" s="619" t="s">
        <v>729</v>
      </c>
      <c r="C90" s="620">
        <v>247</v>
      </c>
      <c r="D90" s="620">
        <v>223</v>
      </c>
      <c r="E90" s="596">
        <f t="shared" si="16"/>
        <v>1433105.62</v>
      </c>
      <c r="F90" s="595">
        <f>'Прилож 4 24 (6)'!V90</f>
        <v>0</v>
      </c>
      <c r="G90" s="595">
        <f>'Прилож 4 24 (6)'!W90</f>
        <v>0</v>
      </c>
      <c r="H90" s="595">
        <f>'Прилож 4 24 (6)'!X90</f>
        <v>1088533.3600000001</v>
      </c>
      <c r="I90" s="621"/>
      <c r="J90" s="595">
        <f>'Прилож 4 24 (6)'!Z90</f>
        <v>0</v>
      </c>
      <c r="K90" s="595">
        <f>'Прилож 4 24 (6)'!AA90</f>
        <v>0</v>
      </c>
      <c r="L90" s="595">
        <f>'Прилож 4 24 (6)'!AB90</f>
        <v>344572.26</v>
      </c>
      <c r="M90" s="876">
        <f t="shared" si="13"/>
        <v>0</v>
      </c>
      <c r="N90" s="875"/>
      <c r="O90" s="875"/>
      <c r="P90" s="875"/>
      <c r="Q90" s="877"/>
      <c r="R90" s="875"/>
      <c r="S90" s="875"/>
      <c r="T90" s="875"/>
      <c r="U90" s="876">
        <f t="shared" si="12"/>
        <v>1433105.62</v>
      </c>
      <c r="V90" s="875">
        <f t="shared" si="10"/>
        <v>0</v>
      </c>
      <c r="W90" s="875">
        <f t="shared" si="11"/>
        <v>0</v>
      </c>
      <c r="X90" s="875">
        <f t="shared" si="11"/>
        <v>1088533.3600000001</v>
      </c>
      <c r="Y90" s="877"/>
      <c r="Z90" s="875">
        <f t="shared" si="17"/>
        <v>0</v>
      </c>
      <c r="AA90" s="875">
        <f t="shared" si="17"/>
        <v>0</v>
      </c>
      <c r="AB90" s="875">
        <f t="shared" si="17"/>
        <v>344572.26</v>
      </c>
      <c r="AC90" s="878"/>
    </row>
    <row r="91" spans="1:29" ht="34.5" customHeight="1" x14ac:dyDescent="0.2">
      <c r="A91" s="618" t="s">
        <v>1260</v>
      </c>
      <c r="B91" s="619" t="s">
        <v>729</v>
      </c>
      <c r="C91" s="620">
        <v>247</v>
      </c>
      <c r="D91" s="620">
        <v>223</v>
      </c>
      <c r="E91" s="596">
        <f t="shared" si="16"/>
        <v>899813.5</v>
      </c>
      <c r="F91" s="595">
        <f>'Прилож 4 24 (6)'!V91</f>
        <v>0</v>
      </c>
      <c r="G91" s="595">
        <f>'Прилож 4 24 (6)'!W91</f>
        <v>0</v>
      </c>
      <c r="H91" s="595">
        <f>'Прилож 4 24 (6)'!X91</f>
        <v>618609.81999999995</v>
      </c>
      <c r="I91" s="621"/>
      <c r="J91" s="595">
        <f>'Прилож 4 24 (6)'!Z91</f>
        <v>0</v>
      </c>
      <c r="K91" s="595">
        <f>'Прилож 4 24 (6)'!AA91</f>
        <v>0</v>
      </c>
      <c r="L91" s="595">
        <f>'Прилож 4 24 (6)'!AB91</f>
        <v>281203.68</v>
      </c>
      <c r="M91" s="876">
        <f t="shared" si="13"/>
        <v>0</v>
      </c>
      <c r="N91" s="875"/>
      <c r="O91" s="875"/>
      <c r="P91" s="875"/>
      <c r="Q91" s="877"/>
      <c r="R91" s="875"/>
      <c r="S91" s="875"/>
      <c r="T91" s="875"/>
      <c r="U91" s="876">
        <f t="shared" si="12"/>
        <v>899813.5</v>
      </c>
      <c r="V91" s="875">
        <f t="shared" si="10"/>
        <v>0</v>
      </c>
      <c r="W91" s="875">
        <f t="shared" si="11"/>
        <v>0</v>
      </c>
      <c r="X91" s="875">
        <f t="shared" si="11"/>
        <v>618609.81999999995</v>
      </c>
      <c r="Y91" s="877"/>
      <c r="Z91" s="875">
        <f t="shared" si="17"/>
        <v>0</v>
      </c>
      <c r="AA91" s="875">
        <f t="shared" si="17"/>
        <v>0</v>
      </c>
      <c r="AB91" s="875">
        <f t="shared" si="17"/>
        <v>281203.68</v>
      </c>
      <c r="AC91" s="878"/>
    </row>
    <row r="92" spans="1:29" ht="31.5" x14ac:dyDescent="0.2">
      <c r="A92" s="618" t="s">
        <v>1240</v>
      </c>
      <c r="B92" s="619" t="s">
        <v>729</v>
      </c>
      <c r="C92" s="620">
        <v>247</v>
      </c>
      <c r="D92" s="620">
        <v>223</v>
      </c>
      <c r="E92" s="596">
        <f t="shared" si="16"/>
        <v>26226.5</v>
      </c>
      <c r="F92" s="595">
        <f>'Прилож 4 24 (6)'!V92</f>
        <v>0</v>
      </c>
      <c r="G92" s="595">
        <f>'Прилож 4 24 (6)'!W92</f>
        <v>0</v>
      </c>
      <c r="H92" s="595">
        <f>'Прилож 4 24 (6)'!X92</f>
        <v>15346.51</v>
      </c>
      <c r="I92" s="621"/>
      <c r="J92" s="595">
        <f>'Прилож 4 24 (6)'!Z92</f>
        <v>0</v>
      </c>
      <c r="K92" s="595">
        <f>'Прилож 4 24 (6)'!AA92</f>
        <v>0</v>
      </c>
      <c r="L92" s="595">
        <f>'Прилож 4 24 (6)'!AB92</f>
        <v>10879.99</v>
      </c>
      <c r="M92" s="876">
        <f t="shared" si="13"/>
        <v>0</v>
      </c>
      <c r="N92" s="875"/>
      <c r="O92" s="875"/>
      <c r="P92" s="875"/>
      <c r="Q92" s="877"/>
      <c r="R92" s="875"/>
      <c r="S92" s="875"/>
      <c r="T92" s="875"/>
      <c r="U92" s="876">
        <f t="shared" si="12"/>
        <v>26226.5</v>
      </c>
      <c r="V92" s="875">
        <f t="shared" si="10"/>
        <v>0</v>
      </c>
      <c r="W92" s="875">
        <f t="shared" si="11"/>
        <v>0</v>
      </c>
      <c r="X92" s="875">
        <f t="shared" si="11"/>
        <v>15346.51</v>
      </c>
      <c r="Y92" s="877"/>
      <c r="Z92" s="875">
        <f t="shared" si="17"/>
        <v>0</v>
      </c>
      <c r="AA92" s="875">
        <f t="shared" si="17"/>
        <v>0</v>
      </c>
      <c r="AB92" s="875">
        <f t="shared" si="17"/>
        <v>10879.99</v>
      </c>
      <c r="AC92" s="878"/>
    </row>
    <row r="93" spans="1:29" ht="31.5" x14ac:dyDescent="0.2">
      <c r="A93" s="618" t="s">
        <v>1241</v>
      </c>
      <c r="B93" s="619" t="s">
        <v>729</v>
      </c>
      <c r="C93" s="620">
        <v>247</v>
      </c>
      <c r="D93" s="620">
        <v>223</v>
      </c>
      <c r="E93" s="596">
        <f t="shared" si="16"/>
        <v>22442.33</v>
      </c>
      <c r="F93" s="595">
        <f>'Прилож 4 24 (6)'!V93</f>
        <v>0</v>
      </c>
      <c r="G93" s="595">
        <f>'Прилож 4 24 (6)'!W93</f>
        <v>0</v>
      </c>
      <c r="H93" s="595">
        <f>'Прилож 4 24 (6)'!X93</f>
        <v>13515.22</v>
      </c>
      <c r="I93" s="621"/>
      <c r="J93" s="595">
        <f>'Прилож 4 24 (6)'!Z93</f>
        <v>0</v>
      </c>
      <c r="K93" s="595">
        <f>'Прилож 4 24 (6)'!AA93</f>
        <v>0</v>
      </c>
      <c r="L93" s="595">
        <f>'Прилож 4 24 (6)'!AB93</f>
        <v>8927.11</v>
      </c>
      <c r="M93" s="876">
        <f t="shared" si="13"/>
        <v>0</v>
      </c>
      <c r="N93" s="875"/>
      <c r="O93" s="875"/>
      <c r="P93" s="875"/>
      <c r="Q93" s="877"/>
      <c r="R93" s="875"/>
      <c r="S93" s="875"/>
      <c r="T93" s="875"/>
      <c r="U93" s="876">
        <f t="shared" si="12"/>
        <v>22442.33</v>
      </c>
      <c r="V93" s="875">
        <f t="shared" si="10"/>
        <v>0</v>
      </c>
      <c r="W93" s="875">
        <f t="shared" si="11"/>
        <v>0</v>
      </c>
      <c r="X93" s="875">
        <f t="shared" si="11"/>
        <v>13515.22</v>
      </c>
      <c r="Y93" s="877"/>
      <c r="Z93" s="875">
        <f t="shared" si="17"/>
        <v>0</v>
      </c>
      <c r="AA93" s="875">
        <f t="shared" si="17"/>
        <v>0</v>
      </c>
      <c r="AB93" s="875">
        <f t="shared" si="17"/>
        <v>8927.11</v>
      </c>
      <c r="AC93" s="878"/>
    </row>
    <row r="94" spans="1:29" ht="31.5" x14ac:dyDescent="0.2">
      <c r="A94" s="618" t="s">
        <v>1242</v>
      </c>
      <c r="B94" s="619" t="s">
        <v>729</v>
      </c>
      <c r="C94" s="620">
        <v>247</v>
      </c>
      <c r="D94" s="620">
        <v>223</v>
      </c>
      <c r="E94" s="596">
        <f t="shared" si="16"/>
        <v>17091.29</v>
      </c>
      <c r="F94" s="595">
        <f>'Прилож 4 24 (6)'!V94</f>
        <v>0</v>
      </c>
      <c r="G94" s="595">
        <f>'Прилож 4 24 (6)'!W94</f>
        <v>0</v>
      </c>
      <c r="H94" s="595">
        <f>'Прилож 4 24 (6)'!X94</f>
        <v>9599.83</v>
      </c>
      <c r="I94" s="621"/>
      <c r="J94" s="595">
        <f>'Прилож 4 24 (6)'!Z94</f>
        <v>0</v>
      </c>
      <c r="K94" s="595">
        <f>'Прилож 4 24 (6)'!AA94</f>
        <v>0</v>
      </c>
      <c r="L94" s="595">
        <f>'Прилож 4 24 (6)'!AB94</f>
        <v>7491.46</v>
      </c>
      <c r="M94" s="876">
        <f t="shared" si="13"/>
        <v>0</v>
      </c>
      <c r="N94" s="875"/>
      <c r="O94" s="875"/>
      <c r="P94" s="875"/>
      <c r="Q94" s="877"/>
      <c r="R94" s="875"/>
      <c r="S94" s="875"/>
      <c r="T94" s="875"/>
      <c r="U94" s="876">
        <f t="shared" si="12"/>
        <v>17091.29</v>
      </c>
      <c r="V94" s="875">
        <f t="shared" si="10"/>
        <v>0</v>
      </c>
      <c r="W94" s="875">
        <f t="shared" si="11"/>
        <v>0</v>
      </c>
      <c r="X94" s="875">
        <f t="shared" si="11"/>
        <v>9599.83</v>
      </c>
      <c r="Y94" s="877"/>
      <c r="Z94" s="875">
        <f t="shared" si="17"/>
        <v>0</v>
      </c>
      <c r="AA94" s="875">
        <f t="shared" si="17"/>
        <v>0</v>
      </c>
      <c r="AB94" s="875">
        <f t="shared" si="17"/>
        <v>7491.46</v>
      </c>
      <c r="AC94" s="878"/>
    </row>
    <row r="95" spans="1:29" ht="31.5" x14ac:dyDescent="0.2">
      <c r="A95" s="618" t="s">
        <v>1242</v>
      </c>
      <c r="B95" s="619" t="s">
        <v>729</v>
      </c>
      <c r="C95" s="620">
        <v>247</v>
      </c>
      <c r="D95" s="620">
        <v>223</v>
      </c>
      <c r="E95" s="596">
        <f t="shared" si="16"/>
        <v>18156.04</v>
      </c>
      <c r="F95" s="595">
        <f>'Прилож 4 24 (6)'!V95</f>
        <v>0</v>
      </c>
      <c r="G95" s="595">
        <f>'Прилож 4 24 (6)'!W95</f>
        <v>0</v>
      </c>
      <c r="H95" s="595">
        <f>'Прилож 4 24 (6)'!X95</f>
        <v>10621.01</v>
      </c>
      <c r="I95" s="621"/>
      <c r="J95" s="595">
        <f>'Прилож 4 24 (6)'!Z95</f>
        <v>0</v>
      </c>
      <c r="K95" s="595">
        <f>'Прилож 4 24 (6)'!AA95</f>
        <v>0</v>
      </c>
      <c r="L95" s="595">
        <f>'Прилож 4 24 (6)'!AB95</f>
        <v>7535.03</v>
      </c>
      <c r="M95" s="876">
        <f t="shared" si="13"/>
        <v>0</v>
      </c>
      <c r="N95" s="875"/>
      <c r="O95" s="875"/>
      <c r="P95" s="875"/>
      <c r="Q95" s="877"/>
      <c r="R95" s="875"/>
      <c r="S95" s="875"/>
      <c r="T95" s="875"/>
      <c r="U95" s="876">
        <f t="shared" si="12"/>
        <v>18156.04</v>
      </c>
      <c r="V95" s="875">
        <f t="shared" si="10"/>
        <v>0</v>
      </c>
      <c r="W95" s="875">
        <f t="shared" si="11"/>
        <v>0</v>
      </c>
      <c r="X95" s="875">
        <f t="shared" si="11"/>
        <v>10621.01</v>
      </c>
      <c r="Y95" s="877"/>
      <c r="Z95" s="875">
        <f t="shared" si="17"/>
        <v>0</v>
      </c>
      <c r="AA95" s="875">
        <f t="shared" si="17"/>
        <v>0</v>
      </c>
      <c r="AB95" s="875">
        <f t="shared" si="17"/>
        <v>7535.03</v>
      </c>
      <c r="AC95" s="878"/>
    </row>
    <row r="96" spans="1:29" s="637" customFormat="1" x14ac:dyDescent="0.2">
      <c r="A96" s="632" t="s">
        <v>1143</v>
      </c>
      <c r="B96" s="633" t="s">
        <v>729</v>
      </c>
      <c r="C96" s="634">
        <v>247</v>
      </c>
      <c r="D96" s="634">
        <v>223</v>
      </c>
      <c r="E96" s="596">
        <f t="shared" si="16"/>
        <v>3356434.49</v>
      </c>
      <c r="F96" s="595">
        <f>'Прилож 4 24 (6)'!V96</f>
        <v>0</v>
      </c>
      <c r="G96" s="595">
        <f>'Прилож 4 24 (6)'!W96</f>
        <v>0</v>
      </c>
      <c r="H96" s="595">
        <f>'Прилож 4 24 (6)'!X96</f>
        <v>2202225.75</v>
      </c>
      <c r="I96" s="635"/>
      <c r="J96" s="595">
        <f>'Прилож 4 24 (6)'!Z96</f>
        <v>0</v>
      </c>
      <c r="K96" s="595">
        <f>'Прилож 4 24 (6)'!AA96</f>
        <v>0</v>
      </c>
      <c r="L96" s="595">
        <f>'Прилож 4 24 (6)'!AB96</f>
        <v>1154208.74</v>
      </c>
      <c r="M96" s="876">
        <f t="shared" si="13"/>
        <v>0</v>
      </c>
      <c r="N96" s="884"/>
      <c r="O96" s="884"/>
      <c r="P96" s="884"/>
      <c r="Q96" s="885"/>
      <c r="R96" s="884"/>
      <c r="S96" s="884"/>
      <c r="T96" s="884">
        <f>SUM(T89:T95)</f>
        <v>0</v>
      </c>
      <c r="U96" s="876">
        <f t="shared" si="12"/>
        <v>3356434.49</v>
      </c>
      <c r="V96" s="875">
        <f t="shared" si="12"/>
        <v>0</v>
      </c>
      <c r="W96" s="875">
        <f t="shared" ref="W96:X167" si="18">O96+G96</f>
        <v>0</v>
      </c>
      <c r="X96" s="875">
        <f t="shared" si="18"/>
        <v>2202225.75</v>
      </c>
      <c r="Y96" s="885"/>
      <c r="Z96" s="875">
        <f t="shared" si="17"/>
        <v>0</v>
      </c>
      <c r="AA96" s="875">
        <f t="shared" si="17"/>
        <v>0</v>
      </c>
      <c r="AB96" s="875">
        <f t="shared" si="17"/>
        <v>1154208.74</v>
      </c>
      <c r="AC96" s="878"/>
    </row>
    <row r="97" spans="1:29" s="614" customFormat="1" x14ac:dyDescent="0.2">
      <c r="A97" s="630" t="s">
        <v>737</v>
      </c>
      <c r="B97" s="631"/>
      <c r="C97" s="624"/>
      <c r="D97" s="624"/>
      <c r="E97" s="596">
        <f t="shared" si="16"/>
        <v>4896087.59</v>
      </c>
      <c r="F97" s="595">
        <f>'Прилож 4 24 (6)'!V97</f>
        <v>0</v>
      </c>
      <c r="G97" s="595">
        <f>'Прилож 4 24 (6)'!W97</f>
        <v>0</v>
      </c>
      <c r="H97" s="595">
        <f>'Прилож 4 24 (6)'!X97</f>
        <v>3741878.85</v>
      </c>
      <c r="I97" s="626"/>
      <c r="J97" s="595">
        <f>'Прилож 4 24 (6)'!Z97</f>
        <v>0</v>
      </c>
      <c r="K97" s="595">
        <f>'Прилож 4 24 (6)'!AA97</f>
        <v>0</v>
      </c>
      <c r="L97" s="595">
        <f>'Прилож 4 24 (6)'!AB97</f>
        <v>1154208.74</v>
      </c>
      <c r="M97" s="876">
        <f t="shared" si="13"/>
        <v>0</v>
      </c>
      <c r="N97" s="876"/>
      <c r="O97" s="876"/>
      <c r="P97" s="876"/>
      <c r="Q97" s="881"/>
      <c r="R97" s="876"/>
      <c r="S97" s="876"/>
      <c r="T97" s="876">
        <f>T88+T96</f>
        <v>0</v>
      </c>
      <c r="U97" s="876">
        <f t="shared" ref="U97:V168" si="19">E97+M97</f>
        <v>4896087.59</v>
      </c>
      <c r="V97" s="875">
        <f t="shared" si="19"/>
        <v>0</v>
      </c>
      <c r="W97" s="875">
        <f t="shared" si="18"/>
        <v>0</v>
      </c>
      <c r="X97" s="875">
        <f t="shared" si="18"/>
        <v>3741878.85</v>
      </c>
      <c r="Y97" s="881"/>
      <c r="Z97" s="875">
        <f t="shared" si="17"/>
        <v>0</v>
      </c>
      <c r="AA97" s="875">
        <f t="shared" si="17"/>
        <v>0</v>
      </c>
      <c r="AB97" s="875">
        <f t="shared" si="17"/>
        <v>1154208.74</v>
      </c>
      <c r="AC97" s="879"/>
    </row>
    <row r="98" spans="1:29" ht="31.5" x14ac:dyDescent="0.2">
      <c r="A98" s="618" t="s">
        <v>1230</v>
      </c>
      <c r="B98" s="619" t="s">
        <v>729</v>
      </c>
      <c r="C98" s="620">
        <v>243</v>
      </c>
      <c r="D98" s="620">
        <v>225</v>
      </c>
      <c r="E98" s="596">
        <f t="shared" si="16"/>
        <v>0</v>
      </c>
      <c r="F98" s="595">
        <f>'Прилож 4 24 (6)'!V98</f>
        <v>0</v>
      </c>
      <c r="G98" s="595">
        <f>'Прилож 4 24 (6)'!W98</f>
        <v>0</v>
      </c>
      <c r="H98" s="595">
        <f>'Прилож 4 24 (6)'!X98</f>
        <v>0</v>
      </c>
      <c r="I98" s="621"/>
      <c r="J98" s="595">
        <f>'Прилож 4 24 (6)'!Z98</f>
        <v>0</v>
      </c>
      <c r="K98" s="595">
        <f>'Прилож 4 24 (6)'!AA98</f>
        <v>0</v>
      </c>
      <c r="L98" s="595">
        <f>'Прилож 4 24 (6)'!AB98</f>
        <v>0</v>
      </c>
      <c r="M98" s="876">
        <f t="shared" ref="M98:M169" si="20">N98+P98+R98+S98+T98+O98</f>
        <v>0</v>
      </c>
      <c r="N98" s="875"/>
      <c r="O98" s="875"/>
      <c r="P98" s="875"/>
      <c r="Q98" s="890"/>
      <c r="R98" s="875"/>
      <c r="S98" s="875"/>
      <c r="T98" s="875"/>
      <c r="U98" s="876">
        <f t="shared" si="19"/>
        <v>0</v>
      </c>
      <c r="V98" s="875">
        <f t="shared" si="19"/>
        <v>0</v>
      </c>
      <c r="W98" s="875">
        <f t="shared" si="18"/>
        <v>0</v>
      </c>
      <c r="X98" s="875">
        <f t="shared" si="18"/>
        <v>0</v>
      </c>
      <c r="Y98" s="877"/>
      <c r="Z98" s="875">
        <f t="shared" si="17"/>
        <v>0</v>
      </c>
      <c r="AA98" s="875">
        <f t="shared" si="17"/>
        <v>0</v>
      </c>
      <c r="AB98" s="875">
        <f t="shared" si="17"/>
        <v>0</v>
      </c>
      <c r="AC98" s="878"/>
    </row>
    <row r="99" spans="1:29" s="614" customFormat="1" ht="28.5" customHeight="1" x14ac:dyDescent="0.2">
      <c r="A99" s="630" t="s">
        <v>1312</v>
      </c>
      <c r="B99" s="631" t="s">
        <v>729</v>
      </c>
      <c r="C99" s="624">
        <v>243</v>
      </c>
      <c r="D99" s="624">
        <v>225</v>
      </c>
      <c r="E99" s="596">
        <f t="shared" si="16"/>
        <v>0</v>
      </c>
      <c r="F99" s="595">
        <f>'Прилож 4 24 (6)'!V99</f>
        <v>0</v>
      </c>
      <c r="G99" s="595">
        <f>'Прилож 4 24 (6)'!W99</f>
        <v>0</v>
      </c>
      <c r="H99" s="595">
        <f>'Прилож 4 24 (6)'!X99</f>
        <v>0</v>
      </c>
      <c r="I99" s="626"/>
      <c r="J99" s="595">
        <f>'Прилож 4 24 (6)'!Z99</f>
        <v>0</v>
      </c>
      <c r="K99" s="595">
        <f>'Прилож 4 24 (6)'!AA99</f>
        <v>0</v>
      </c>
      <c r="L99" s="595">
        <f>'Прилож 4 24 (6)'!AB99</f>
        <v>0</v>
      </c>
      <c r="M99" s="876">
        <f t="shared" si="20"/>
        <v>0</v>
      </c>
      <c r="N99" s="876"/>
      <c r="O99" s="876"/>
      <c r="P99" s="876"/>
      <c r="Q99" s="881"/>
      <c r="R99" s="876"/>
      <c r="S99" s="876"/>
      <c r="T99" s="876"/>
      <c r="U99" s="876">
        <f t="shared" si="19"/>
        <v>0</v>
      </c>
      <c r="V99" s="875">
        <f t="shared" si="19"/>
        <v>0</v>
      </c>
      <c r="W99" s="875">
        <f t="shared" si="18"/>
        <v>0</v>
      </c>
      <c r="X99" s="875">
        <f t="shared" si="18"/>
        <v>0</v>
      </c>
      <c r="Y99" s="881"/>
      <c r="Z99" s="875">
        <f t="shared" si="17"/>
        <v>0</v>
      </c>
      <c r="AA99" s="875">
        <f t="shared" si="17"/>
        <v>0</v>
      </c>
      <c r="AB99" s="875">
        <f t="shared" si="17"/>
        <v>0</v>
      </c>
      <c r="AC99" s="879"/>
    </row>
    <row r="100" spans="1:29" ht="77.45" customHeight="1" x14ac:dyDescent="0.2">
      <c r="A100" s="618" t="s">
        <v>1188</v>
      </c>
      <c r="B100" s="619" t="s">
        <v>747</v>
      </c>
      <c r="C100" s="620">
        <v>244</v>
      </c>
      <c r="D100" s="620">
        <v>225</v>
      </c>
      <c r="E100" s="596">
        <f t="shared" si="16"/>
        <v>50400</v>
      </c>
      <c r="F100" s="595">
        <f>'Прилож 4 24 (6)'!V100</f>
        <v>0</v>
      </c>
      <c r="G100" s="595">
        <f>'Прилож 4 24 (6)'!W100</f>
        <v>0</v>
      </c>
      <c r="H100" s="595">
        <f>'Прилож 4 24 (6)'!X100</f>
        <v>50400</v>
      </c>
      <c r="I100" s="628"/>
      <c r="J100" s="595">
        <f>'Прилож 4 24 (6)'!Z100</f>
        <v>0</v>
      </c>
      <c r="K100" s="595">
        <f>'Прилож 4 24 (6)'!AA100</f>
        <v>0</v>
      </c>
      <c r="L100" s="595">
        <f>'Прилож 4 24 (6)'!AB100</f>
        <v>0</v>
      </c>
      <c r="M100" s="876">
        <f t="shared" si="20"/>
        <v>0</v>
      </c>
      <c r="N100" s="875"/>
      <c r="O100" s="875"/>
      <c r="P100" s="875"/>
      <c r="Q100" s="877"/>
      <c r="R100" s="875"/>
      <c r="S100" s="875"/>
      <c r="T100" s="875"/>
      <c r="U100" s="876">
        <f t="shared" si="19"/>
        <v>50400</v>
      </c>
      <c r="V100" s="875">
        <f t="shared" si="19"/>
        <v>0</v>
      </c>
      <c r="W100" s="875">
        <f t="shared" si="18"/>
        <v>0</v>
      </c>
      <c r="X100" s="875">
        <f t="shared" si="18"/>
        <v>50400</v>
      </c>
      <c r="Y100" s="883"/>
      <c r="Z100" s="875">
        <f t="shared" si="17"/>
        <v>0</v>
      </c>
      <c r="AA100" s="875">
        <f t="shared" si="17"/>
        <v>0</v>
      </c>
      <c r="AB100" s="875">
        <f t="shared" si="17"/>
        <v>0</v>
      </c>
      <c r="AC100" s="878"/>
    </row>
    <row r="101" spans="1:29" x14ac:dyDescent="0.2">
      <c r="A101" s="618" t="s">
        <v>1193</v>
      </c>
      <c r="B101" s="619" t="s">
        <v>747</v>
      </c>
      <c r="C101" s="620">
        <v>244</v>
      </c>
      <c r="D101" s="620">
        <v>225</v>
      </c>
      <c r="E101" s="596">
        <f t="shared" si="16"/>
        <v>49836</v>
      </c>
      <c r="F101" s="595">
        <f>'Прилож 4 24 (6)'!V101</f>
        <v>0</v>
      </c>
      <c r="G101" s="595">
        <f>'Прилож 4 24 (6)'!W101</f>
        <v>0</v>
      </c>
      <c r="H101" s="595">
        <f>'Прилож 4 24 (6)'!X101</f>
        <v>49836</v>
      </c>
      <c r="I101" s="628"/>
      <c r="J101" s="595">
        <f>'Прилож 4 24 (6)'!Z101</f>
        <v>0</v>
      </c>
      <c r="K101" s="595">
        <f>'Прилож 4 24 (6)'!AA101</f>
        <v>0</v>
      </c>
      <c r="L101" s="595">
        <f>'Прилож 4 24 (6)'!AB101</f>
        <v>0</v>
      </c>
      <c r="M101" s="876">
        <f t="shared" si="20"/>
        <v>0</v>
      </c>
      <c r="N101" s="875"/>
      <c r="O101" s="875"/>
      <c r="P101" s="875"/>
      <c r="Q101" s="877"/>
      <c r="R101" s="875"/>
      <c r="S101" s="875"/>
      <c r="T101" s="875"/>
      <c r="U101" s="876">
        <f t="shared" si="19"/>
        <v>49836</v>
      </c>
      <c r="V101" s="875">
        <f t="shared" si="19"/>
        <v>0</v>
      </c>
      <c r="W101" s="875">
        <f t="shared" si="18"/>
        <v>0</v>
      </c>
      <c r="X101" s="875">
        <f t="shared" si="18"/>
        <v>49836</v>
      </c>
      <c r="Y101" s="883"/>
      <c r="Z101" s="875">
        <f t="shared" si="17"/>
        <v>0</v>
      </c>
      <c r="AA101" s="875">
        <f t="shared" si="17"/>
        <v>0</v>
      </c>
      <c r="AB101" s="875">
        <f t="shared" si="17"/>
        <v>0</v>
      </c>
      <c r="AC101" s="878"/>
    </row>
    <row r="102" spans="1:29" ht="54" customHeight="1" x14ac:dyDescent="0.2">
      <c r="A102" s="618" t="s">
        <v>1192</v>
      </c>
      <c r="B102" s="619" t="s">
        <v>747</v>
      </c>
      <c r="C102" s="620">
        <v>244</v>
      </c>
      <c r="D102" s="620">
        <v>225</v>
      </c>
      <c r="E102" s="596">
        <f t="shared" si="16"/>
        <v>3859</v>
      </c>
      <c r="F102" s="595">
        <f>'Прилож 4 24 (6)'!V102</f>
        <v>0</v>
      </c>
      <c r="G102" s="595">
        <f>'Прилож 4 24 (6)'!W102</f>
        <v>0</v>
      </c>
      <c r="H102" s="595">
        <f>'Прилож 4 24 (6)'!X102</f>
        <v>3859</v>
      </c>
      <c r="I102" s="628"/>
      <c r="J102" s="595">
        <f>'Прилож 4 24 (6)'!Z102</f>
        <v>0</v>
      </c>
      <c r="K102" s="595">
        <f>'Прилож 4 24 (6)'!AA102</f>
        <v>0</v>
      </c>
      <c r="L102" s="595">
        <f>'Прилож 4 24 (6)'!AB102</f>
        <v>0</v>
      </c>
      <c r="M102" s="876">
        <f t="shared" si="20"/>
        <v>0</v>
      </c>
      <c r="N102" s="875"/>
      <c r="O102" s="875"/>
      <c r="P102" s="875"/>
      <c r="Q102" s="877"/>
      <c r="R102" s="875"/>
      <c r="S102" s="875"/>
      <c r="T102" s="875"/>
      <c r="U102" s="876">
        <f t="shared" si="19"/>
        <v>3859</v>
      </c>
      <c r="V102" s="875">
        <f t="shared" si="19"/>
        <v>0</v>
      </c>
      <c r="W102" s="875">
        <f t="shared" si="18"/>
        <v>0</v>
      </c>
      <c r="X102" s="875">
        <f t="shared" si="18"/>
        <v>3859</v>
      </c>
      <c r="Y102" s="883"/>
      <c r="Z102" s="875">
        <f t="shared" si="17"/>
        <v>0</v>
      </c>
      <c r="AA102" s="875">
        <f t="shared" si="17"/>
        <v>0</v>
      </c>
      <c r="AB102" s="875">
        <f t="shared" si="17"/>
        <v>0</v>
      </c>
      <c r="AC102" s="878"/>
    </row>
    <row r="103" spans="1:29" ht="31.5" x14ac:dyDescent="0.2">
      <c r="A103" s="618" t="s">
        <v>1187</v>
      </c>
      <c r="B103" s="619" t="s">
        <v>747</v>
      </c>
      <c r="C103" s="620">
        <v>244</v>
      </c>
      <c r="D103" s="620">
        <v>225</v>
      </c>
      <c r="E103" s="596">
        <f t="shared" si="16"/>
        <v>21600</v>
      </c>
      <c r="F103" s="595">
        <f>'Прилож 4 24 (6)'!V103</f>
        <v>0</v>
      </c>
      <c r="G103" s="595">
        <f>'Прилож 4 24 (6)'!W103</f>
        <v>0</v>
      </c>
      <c r="H103" s="595">
        <f>'Прилож 4 24 (6)'!X103</f>
        <v>21600</v>
      </c>
      <c r="I103" s="628"/>
      <c r="J103" s="595">
        <f>'Прилож 4 24 (6)'!Z103</f>
        <v>0</v>
      </c>
      <c r="K103" s="595">
        <f>'Прилож 4 24 (6)'!AA103</f>
        <v>0</v>
      </c>
      <c r="L103" s="595">
        <f>'Прилож 4 24 (6)'!AB103</f>
        <v>0</v>
      </c>
      <c r="M103" s="876">
        <f t="shared" si="20"/>
        <v>0</v>
      </c>
      <c r="N103" s="875"/>
      <c r="O103" s="875"/>
      <c r="P103" s="875"/>
      <c r="Q103" s="877"/>
      <c r="R103" s="875"/>
      <c r="S103" s="875"/>
      <c r="T103" s="875"/>
      <c r="U103" s="876">
        <f t="shared" si="19"/>
        <v>21600</v>
      </c>
      <c r="V103" s="875">
        <f t="shared" si="19"/>
        <v>0</v>
      </c>
      <c r="W103" s="875">
        <f t="shared" si="18"/>
        <v>0</v>
      </c>
      <c r="X103" s="875">
        <f t="shared" si="18"/>
        <v>21600</v>
      </c>
      <c r="Y103" s="883"/>
      <c r="Z103" s="875">
        <f t="shared" si="17"/>
        <v>0</v>
      </c>
      <c r="AA103" s="875">
        <f t="shared" si="17"/>
        <v>0</v>
      </c>
      <c r="AB103" s="875">
        <f t="shared" si="17"/>
        <v>0</v>
      </c>
      <c r="AC103" s="878"/>
    </row>
    <row r="104" spans="1:29" s="612" customFormat="1" ht="31.5" x14ac:dyDescent="0.2">
      <c r="A104" s="618" t="s">
        <v>1203</v>
      </c>
      <c r="B104" s="619" t="s">
        <v>747</v>
      </c>
      <c r="C104" s="620">
        <v>244</v>
      </c>
      <c r="D104" s="620">
        <v>225</v>
      </c>
      <c r="E104" s="596">
        <f t="shared" si="16"/>
        <v>16551.099999999999</v>
      </c>
      <c r="F104" s="595">
        <f>'Прилож 4 24 (6)'!V104</f>
        <v>0</v>
      </c>
      <c r="G104" s="595">
        <f>'Прилож 4 24 (6)'!W104</f>
        <v>0</v>
      </c>
      <c r="H104" s="595">
        <f>'Прилож 4 24 (6)'!X104</f>
        <v>16551.099999999999</v>
      </c>
      <c r="I104" s="628"/>
      <c r="J104" s="595">
        <f>'Прилож 4 24 (6)'!Z104</f>
        <v>0</v>
      </c>
      <c r="K104" s="595">
        <f>'Прилож 4 24 (6)'!AA104</f>
        <v>0</v>
      </c>
      <c r="L104" s="595">
        <f>'Прилож 4 24 (6)'!AB104</f>
        <v>0</v>
      </c>
      <c r="M104" s="876">
        <f t="shared" si="20"/>
        <v>0</v>
      </c>
      <c r="N104" s="875"/>
      <c r="O104" s="875"/>
      <c r="P104" s="875"/>
      <c r="Q104" s="877"/>
      <c r="R104" s="875"/>
      <c r="S104" s="875"/>
      <c r="T104" s="875"/>
      <c r="U104" s="876">
        <f t="shared" si="19"/>
        <v>16551.099999999999</v>
      </c>
      <c r="V104" s="875">
        <f t="shared" si="19"/>
        <v>0</v>
      </c>
      <c r="W104" s="875">
        <f t="shared" si="18"/>
        <v>0</v>
      </c>
      <c r="X104" s="875">
        <f t="shared" si="18"/>
        <v>16551.099999999999</v>
      </c>
      <c r="Y104" s="883"/>
      <c r="Z104" s="875">
        <f t="shared" si="17"/>
        <v>0</v>
      </c>
      <c r="AA104" s="875">
        <f t="shared" si="17"/>
        <v>0</v>
      </c>
      <c r="AB104" s="875">
        <f t="shared" si="17"/>
        <v>0</v>
      </c>
      <c r="AC104" s="878"/>
    </row>
    <row r="105" spans="1:29" s="612" customFormat="1" ht="32.25" customHeight="1" x14ac:dyDescent="0.2">
      <c r="A105" s="618" t="s">
        <v>583</v>
      </c>
      <c r="B105" s="619" t="s">
        <v>747</v>
      </c>
      <c r="C105" s="620">
        <v>244</v>
      </c>
      <c r="D105" s="620">
        <v>225</v>
      </c>
      <c r="E105" s="596">
        <f t="shared" si="16"/>
        <v>8330</v>
      </c>
      <c r="F105" s="595">
        <f>'Прилож 4 24 (6)'!V105</f>
        <v>0</v>
      </c>
      <c r="G105" s="595">
        <f>'Прилож 4 24 (6)'!W105</f>
        <v>0</v>
      </c>
      <c r="H105" s="595">
        <f>'Прилож 4 24 (6)'!X105</f>
        <v>8330</v>
      </c>
      <c r="I105" s="628"/>
      <c r="J105" s="595">
        <f>'Прилож 4 24 (6)'!Z105</f>
        <v>0</v>
      </c>
      <c r="K105" s="595">
        <f>'Прилож 4 24 (6)'!AA105</f>
        <v>0</v>
      </c>
      <c r="L105" s="595">
        <f>'Прилож 4 24 (6)'!AB105</f>
        <v>0</v>
      </c>
      <c r="M105" s="876">
        <f t="shared" si="20"/>
        <v>0</v>
      </c>
      <c r="N105" s="875"/>
      <c r="O105" s="875"/>
      <c r="P105" s="875"/>
      <c r="Q105" s="877"/>
      <c r="R105" s="875"/>
      <c r="S105" s="875"/>
      <c r="T105" s="875"/>
      <c r="U105" s="876">
        <f t="shared" si="19"/>
        <v>8330</v>
      </c>
      <c r="V105" s="875">
        <f t="shared" si="19"/>
        <v>0</v>
      </c>
      <c r="W105" s="875">
        <f t="shared" si="18"/>
        <v>0</v>
      </c>
      <c r="X105" s="875">
        <f t="shared" si="18"/>
        <v>8330</v>
      </c>
      <c r="Y105" s="883"/>
      <c r="Z105" s="875">
        <f t="shared" si="17"/>
        <v>0</v>
      </c>
      <c r="AA105" s="875">
        <f t="shared" si="17"/>
        <v>0</v>
      </c>
      <c r="AB105" s="875">
        <f t="shared" si="17"/>
        <v>0</v>
      </c>
      <c r="AC105" s="878"/>
    </row>
    <row r="106" spans="1:29" s="612" customFormat="1" x14ac:dyDescent="0.2">
      <c r="A106" s="618" t="s">
        <v>1297</v>
      </c>
      <c r="B106" s="619" t="s">
        <v>747</v>
      </c>
      <c r="C106" s="620">
        <v>244</v>
      </c>
      <c r="D106" s="620">
        <v>225</v>
      </c>
      <c r="E106" s="596">
        <f t="shared" si="16"/>
        <v>4000</v>
      </c>
      <c r="F106" s="595">
        <f>'Прилож 4 24 (6)'!V106</f>
        <v>0</v>
      </c>
      <c r="G106" s="595">
        <f>'Прилож 4 24 (6)'!W106</f>
        <v>0</v>
      </c>
      <c r="H106" s="595">
        <f>'Прилож 4 24 (6)'!X106</f>
        <v>4000</v>
      </c>
      <c r="I106" s="628"/>
      <c r="J106" s="595">
        <f>'Прилож 4 24 (6)'!Z106</f>
        <v>0</v>
      </c>
      <c r="K106" s="595">
        <f>'Прилож 4 24 (6)'!AA106</f>
        <v>0</v>
      </c>
      <c r="L106" s="595">
        <f>'Прилож 4 24 (6)'!AB106</f>
        <v>0</v>
      </c>
      <c r="M106" s="876">
        <f t="shared" si="20"/>
        <v>0</v>
      </c>
      <c r="N106" s="875"/>
      <c r="O106" s="875"/>
      <c r="P106" s="875"/>
      <c r="Q106" s="877"/>
      <c r="R106" s="875"/>
      <c r="S106" s="875"/>
      <c r="T106" s="875"/>
      <c r="U106" s="876">
        <f t="shared" si="19"/>
        <v>4000</v>
      </c>
      <c r="V106" s="875">
        <f t="shared" si="19"/>
        <v>0</v>
      </c>
      <c r="W106" s="875">
        <f t="shared" si="18"/>
        <v>0</v>
      </c>
      <c r="X106" s="875">
        <f t="shared" si="18"/>
        <v>4000</v>
      </c>
      <c r="Y106" s="883"/>
      <c r="Z106" s="875">
        <f t="shared" si="17"/>
        <v>0</v>
      </c>
      <c r="AA106" s="875">
        <f t="shared" si="17"/>
        <v>0</v>
      </c>
      <c r="AB106" s="875">
        <f t="shared" si="17"/>
        <v>0</v>
      </c>
      <c r="AC106" s="878"/>
    </row>
    <row r="107" spans="1:29" s="612" customFormat="1" x14ac:dyDescent="0.2">
      <c r="A107" s="618" t="s">
        <v>1204</v>
      </c>
      <c r="B107" s="619" t="s">
        <v>747</v>
      </c>
      <c r="C107" s="620">
        <v>244</v>
      </c>
      <c r="D107" s="620">
        <v>225</v>
      </c>
      <c r="E107" s="596">
        <f t="shared" si="16"/>
        <v>20000</v>
      </c>
      <c r="F107" s="595">
        <f>'Прилож 4 24 (6)'!V107</f>
        <v>0</v>
      </c>
      <c r="G107" s="595">
        <f>'Прилож 4 24 (6)'!W107</f>
        <v>0</v>
      </c>
      <c r="H107" s="595">
        <f>'Прилож 4 24 (6)'!X107</f>
        <v>20000</v>
      </c>
      <c r="I107" s="628"/>
      <c r="J107" s="595">
        <f>'Прилож 4 24 (6)'!Z107</f>
        <v>0</v>
      </c>
      <c r="K107" s="595">
        <f>'Прилож 4 24 (6)'!AA107</f>
        <v>0</v>
      </c>
      <c r="L107" s="595">
        <f>'Прилож 4 24 (6)'!AB107</f>
        <v>0</v>
      </c>
      <c r="M107" s="876">
        <f t="shared" si="20"/>
        <v>0</v>
      </c>
      <c r="N107" s="875"/>
      <c r="O107" s="875"/>
      <c r="P107" s="875"/>
      <c r="Q107" s="877"/>
      <c r="R107" s="875"/>
      <c r="S107" s="875"/>
      <c r="T107" s="875"/>
      <c r="U107" s="876">
        <f t="shared" si="19"/>
        <v>20000</v>
      </c>
      <c r="V107" s="875">
        <f t="shared" si="19"/>
        <v>0</v>
      </c>
      <c r="W107" s="875">
        <f t="shared" si="18"/>
        <v>0</v>
      </c>
      <c r="X107" s="875">
        <f t="shared" si="18"/>
        <v>20000</v>
      </c>
      <c r="Y107" s="883"/>
      <c r="Z107" s="875">
        <f t="shared" si="17"/>
        <v>0</v>
      </c>
      <c r="AA107" s="875">
        <f t="shared" si="17"/>
        <v>0</v>
      </c>
      <c r="AB107" s="875">
        <f t="shared" si="17"/>
        <v>0</v>
      </c>
      <c r="AC107" s="878"/>
    </row>
    <row r="108" spans="1:29" s="612" customFormat="1" ht="31.5" customHeight="1" x14ac:dyDescent="0.2">
      <c r="A108" s="618" t="s">
        <v>143</v>
      </c>
      <c r="B108" s="619" t="s">
        <v>747</v>
      </c>
      <c r="C108" s="620">
        <v>244</v>
      </c>
      <c r="D108" s="620">
        <v>225</v>
      </c>
      <c r="E108" s="596">
        <f t="shared" si="16"/>
        <v>12104.58</v>
      </c>
      <c r="F108" s="595">
        <f>'Прилож 4 24 (6)'!V108</f>
        <v>0</v>
      </c>
      <c r="G108" s="595">
        <f>'Прилож 4 24 (6)'!W108</f>
        <v>0</v>
      </c>
      <c r="H108" s="595">
        <f>'Прилож 4 24 (6)'!X108</f>
        <v>12104.58</v>
      </c>
      <c r="I108" s="628"/>
      <c r="J108" s="595">
        <f>'Прилож 4 24 (6)'!Z108</f>
        <v>0</v>
      </c>
      <c r="K108" s="595">
        <f>'Прилож 4 24 (6)'!AA108</f>
        <v>0</v>
      </c>
      <c r="L108" s="595">
        <f>'Прилож 4 24 (6)'!AB108</f>
        <v>0</v>
      </c>
      <c r="M108" s="876">
        <f t="shared" si="20"/>
        <v>0</v>
      </c>
      <c r="N108" s="875"/>
      <c r="O108" s="875"/>
      <c r="P108" s="875"/>
      <c r="Q108" s="877"/>
      <c r="R108" s="875"/>
      <c r="S108" s="875"/>
      <c r="T108" s="875"/>
      <c r="U108" s="876">
        <f t="shared" si="19"/>
        <v>12104.58</v>
      </c>
      <c r="V108" s="875">
        <f t="shared" si="19"/>
        <v>0</v>
      </c>
      <c r="W108" s="875">
        <f t="shared" si="18"/>
        <v>0</v>
      </c>
      <c r="X108" s="875">
        <f t="shared" si="18"/>
        <v>12104.58</v>
      </c>
      <c r="Y108" s="883"/>
      <c r="Z108" s="875">
        <f t="shared" si="17"/>
        <v>0</v>
      </c>
      <c r="AA108" s="875">
        <f t="shared" si="17"/>
        <v>0</v>
      </c>
      <c r="AB108" s="875">
        <f t="shared" si="17"/>
        <v>0</v>
      </c>
      <c r="AC108" s="878"/>
    </row>
    <row r="109" spans="1:29" s="612" customFormat="1" ht="31.5" x14ac:dyDescent="0.2">
      <c r="A109" s="618" t="s">
        <v>645</v>
      </c>
      <c r="B109" s="619" t="s">
        <v>747</v>
      </c>
      <c r="C109" s="620">
        <v>244</v>
      </c>
      <c r="D109" s="620">
        <v>225</v>
      </c>
      <c r="E109" s="596">
        <f t="shared" si="16"/>
        <v>0</v>
      </c>
      <c r="F109" s="595">
        <f>'Прилож 4 24 (6)'!V109</f>
        <v>0</v>
      </c>
      <c r="G109" s="595">
        <f>'Прилож 4 24 (6)'!W109</f>
        <v>0</v>
      </c>
      <c r="H109" s="595">
        <f>'Прилож 4 24 (6)'!X109</f>
        <v>0</v>
      </c>
      <c r="I109" s="628"/>
      <c r="J109" s="595">
        <f>'Прилож 4 24 (6)'!Z109</f>
        <v>0</v>
      </c>
      <c r="K109" s="595">
        <f>'Прилож 4 24 (6)'!AA109</f>
        <v>0</v>
      </c>
      <c r="L109" s="595">
        <f>'Прилож 4 24 (6)'!AB109</f>
        <v>0</v>
      </c>
      <c r="M109" s="876">
        <f t="shared" si="20"/>
        <v>0</v>
      </c>
      <c r="N109" s="875"/>
      <c r="O109" s="875"/>
      <c r="P109" s="875"/>
      <c r="Q109" s="877"/>
      <c r="R109" s="875"/>
      <c r="S109" s="875"/>
      <c r="T109" s="875"/>
      <c r="U109" s="876">
        <f t="shared" si="19"/>
        <v>0</v>
      </c>
      <c r="V109" s="875">
        <f t="shared" si="19"/>
        <v>0</v>
      </c>
      <c r="W109" s="875">
        <f t="shared" si="18"/>
        <v>0</v>
      </c>
      <c r="X109" s="875">
        <f t="shared" si="18"/>
        <v>0</v>
      </c>
      <c r="Y109" s="883"/>
      <c r="Z109" s="875">
        <f t="shared" si="17"/>
        <v>0</v>
      </c>
      <c r="AA109" s="875">
        <f t="shared" si="17"/>
        <v>0</v>
      </c>
      <c r="AB109" s="875">
        <f t="shared" si="17"/>
        <v>0</v>
      </c>
      <c r="AC109" s="878"/>
    </row>
    <row r="110" spans="1:29" s="612" customFormat="1" ht="31.5" x14ac:dyDescent="0.2">
      <c r="A110" s="618" t="s">
        <v>646</v>
      </c>
      <c r="B110" s="619" t="s">
        <v>747</v>
      </c>
      <c r="C110" s="620">
        <v>244</v>
      </c>
      <c r="D110" s="620">
        <v>225</v>
      </c>
      <c r="E110" s="596">
        <f t="shared" si="16"/>
        <v>44200</v>
      </c>
      <c r="F110" s="595">
        <f>'Прилож 4 24 (6)'!V110</f>
        <v>0</v>
      </c>
      <c r="G110" s="595">
        <f>'Прилож 4 24 (6)'!W110</f>
        <v>0</v>
      </c>
      <c r="H110" s="595">
        <f>'Прилож 4 24 (6)'!X110</f>
        <v>44200</v>
      </c>
      <c r="I110" s="628"/>
      <c r="J110" s="595">
        <f>'Прилож 4 24 (6)'!Z110</f>
        <v>0</v>
      </c>
      <c r="K110" s="595">
        <f>'Прилож 4 24 (6)'!AA110</f>
        <v>0</v>
      </c>
      <c r="L110" s="595">
        <f>'Прилож 4 24 (6)'!AB110</f>
        <v>0</v>
      </c>
      <c r="M110" s="876">
        <f t="shared" si="20"/>
        <v>0</v>
      </c>
      <c r="N110" s="875"/>
      <c r="O110" s="875"/>
      <c r="P110" s="875"/>
      <c r="Q110" s="877"/>
      <c r="R110" s="875"/>
      <c r="S110" s="875"/>
      <c r="T110" s="875"/>
      <c r="U110" s="876">
        <f t="shared" si="19"/>
        <v>44200</v>
      </c>
      <c r="V110" s="875">
        <f t="shared" si="19"/>
        <v>0</v>
      </c>
      <c r="W110" s="875">
        <f t="shared" si="18"/>
        <v>0</v>
      </c>
      <c r="X110" s="875">
        <f t="shared" si="18"/>
        <v>44200</v>
      </c>
      <c r="Y110" s="883"/>
      <c r="Z110" s="875">
        <f t="shared" si="17"/>
        <v>0</v>
      </c>
      <c r="AA110" s="875">
        <f t="shared" si="17"/>
        <v>0</v>
      </c>
      <c r="AB110" s="875">
        <f t="shared" si="17"/>
        <v>0</v>
      </c>
      <c r="AC110" s="878"/>
    </row>
    <row r="111" spans="1:29" s="612" customFormat="1" ht="38.25" customHeight="1" x14ac:dyDescent="0.2">
      <c r="A111" s="618" t="s">
        <v>146</v>
      </c>
      <c r="B111" s="619" t="s">
        <v>747</v>
      </c>
      <c r="C111" s="620">
        <v>244</v>
      </c>
      <c r="D111" s="620">
        <v>225</v>
      </c>
      <c r="E111" s="596">
        <f t="shared" si="16"/>
        <v>20000</v>
      </c>
      <c r="F111" s="595">
        <f>'Прилож 4 24 (6)'!V111</f>
        <v>0</v>
      </c>
      <c r="G111" s="595">
        <f>'Прилож 4 24 (6)'!W111</f>
        <v>0</v>
      </c>
      <c r="H111" s="595">
        <f>'Прилож 4 24 (6)'!X111</f>
        <v>20000</v>
      </c>
      <c r="I111" s="628"/>
      <c r="J111" s="595">
        <f>'Прилож 4 24 (6)'!Z111</f>
        <v>0</v>
      </c>
      <c r="K111" s="595">
        <f>'Прилож 4 24 (6)'!AA111</f>
        <v>0</v>
      </c>
      <c r="L111" s="595">
        <f>'Прилож 4 24 (6)'!AB111</f>
        <v>0</v>
      </c>
      <c r="M111" s="876">
        <f t="shared" si="20"/>
        <v>0</v>
      </c>
      <c r="N111" s="875"/>
      <c r="O111" s="875"/>
      <c r="P111" s="875"/>
      <c r="Q111" s="877"/>
      <c r="R111" s="875"/>
      <c r="S111" s="875"/>
      <c r="T111" s="875"/>
      <c r="U111" s="876">
        <f t="shared" si="19"/>
        <v>20000</v>
      </c>
      <c r="V111" s="875">
        <f t="shared" si="19"/>
        <v>0</v>
      </c>
      <c r="W111" s="875">
        <f t="shared" si="18"/>
        <v>0</v>
      </c>
      <c r="X111" s="875">
        <f t="shared" si="18"/>
        <v>20000</v>
      </c>
      <c r="Y111" s="883"/>
      <c r="Z111" s="875">
        <f t="shared" si="17"/>
        <v>0</v>
      </c>
      <c r="AA111" s="875">
        <f t="shared" si="17"/>
        <v>0</v>
      </c>
      <c r="AB111" s="875">
        <f t="shared" si="17"/>
        <v>0</v>
      </c>
      <c r="AC111" s="878"/>
    </row>
    <row r="112" spans="1:29" s="612" customFormat="1" ht="47.25" x14ac:dyDescent="0.2">
      <c r="A112" s="618" t="s">
        <v>148</v>
      </c>
      <c r="B112" s="619" t="s">
        <v>747</v>
      </c>
      <c r="C112" s="620">
        <v>244</v>
      </c>
      <c r="D112" s="620">
        <v>225</v>
      </c>
      <c r="E112" s="596">
        <f t="shared" si="16"/>
        <v>12000</v>
      </c>
      <c r="F112" s="595">
        <f>'Прилож 4 24 (6)'!V112</f>
        <v>0</v>
      </c>
      <c r="G112" s="595">
        <f>'Прилож 4 24 (6)'!W112</f>
        <v>0</v>
      </c>
      <c r="H112" s="595">
        <f>'Прилож 4 24 (6)'!X112</f>
        <v>12000</v>
      </c>
      <c r="I112" s="628"/>
      <c r="J112" s="595">
        <f>'Прилож 4 24 (6)'!Z112</f>
        <v>0</v>
      </c>
      <c r="K112" s="595">
        <f>'Прилож 4 24 (6)'!AA112</f>
        <v>0</v>
      </c>
      <c r="L112" s="595">
        <f>'Прилож 4 24 (6)'!AB112</f>
        <v>0</v>
      </c>
      <c r="M112" s="876">
        <f t="shared" si="20"/>
        <v>0</v>
      </c>
      <c r="N112" s="875"/>
      <c r="O112" s="875"/>
      <c r="P112" s="875"/>
      <c r="Q112" s="877"/>
      <c r="R112" s="875"/>
      <c r="S112" s="875"/>
      <c r="T112" s="875"/>
      <c r="U112" s="876">
        <f t="shared" si="19"/>
        <v>12000</v>
      </c>
      <c r="V112" s="875">
        <f t="shared" si="19"/>
        <v>0</v>
      </c>
      <c r="W112" s="875">
        <f t="shared" si="18"/>
        <v>0</v>
      </c>
      <c r="X112" s="875">
        <f t="shared" si="18"/>
        <v>12000</v>
      </c>
      <c r="Y112" s="883"/>
      <c r="Z112" s="875">
        <f t="shared" si="17"/>
        <v>0</v>
      </c>
      <c r="AA112" s="875">
        <f t="shared" si="17"/>
        <v>0</v>
      </c>
      <c r="AB112" s="875">
        <f t="shared" si="17"/>
        <v>0</v>
      </c>
      <c r="AC112" s="878"/>
    </row>
    <row r="113" spans="1:29" s="612" customFormat="1" ht="42" customHeight="1" x14ac:dyDescent="0.2">
      <c r="A113" s="618" t="s">
        <v>149</v>
      </c>
      <c r="B113" s="619" t="s">
        <v>747</v>
      </c>
      <c r="C113" s="620">
        <v>244</v>
      </c>
      <c r="D113" s="620">
        <v>225</v>
      </c>
      <c r="E113" s="596">
        <f t="shared" si="16"/>
        <v>3033.2200000000003</v>
      </c>
      <c r="F113" s="595">
        <f>'Прилож 4 24 (6)'!V113</f>
        <v>0</v>
      </c>
      <c r="G113" s="595">
        <f>'Прилож 4 24 (6)'!W113</f>
        <v>0</v>
      </c>
      <c r="H113" s="595">
        <f>'Прилож 4 24 (6)'!X113</f>
        <v>3033.2200000000003</v>
      </c>
      <c r="I113" s="628"/>
      <c r="J113" s="595">
        <f>'Прилож 4 24 (6)'!Z113</f>
        <v>0</v>
      </c>
      <c r="K113" s="595">
        <f>'Прилож 4 24 (6)'!AA113</f>
        <v>0</v>
      </c>
      <c r="L113" s="595">
        <f>'Прилож 4 24 (6)'!AB113</f>
        <v>0</v>
      </c>
      <c r="M113" s="876">
        <f t="shared" si="20"/>
        <v>0</v>
      </c>
      <c r="N113" s="875"/>
      <c r="O113" s="875"/>
      <c r="P113" s="875"/>
      <c r="Q113" s="877"/>
      <c r="R113" s="875"/>
      <c r="S113" s="875"/>
      <c r="T113" s="875"/>
      <c r="U113" s="876">
        <f t="shared" si="19"/>
        <v>3033.2200000000003</v>
      </c>
      <c r="V113" s="875">
        <f t="shared" si="19"/>
        <v>0</v>
      </c>
      <c r="W113" s="875">
        <f t="shared" si="18"/>
        <v>0</v>
      </c>
      <c r="X113" s="875">
        <f t="shared" si="18"/>
        <v>3033.2200000000003</v>
      </c>
      <c r="Y113" s="883"/>
      <c r="Z113" s="875">
        <f t="shared" si="17"/>
        <v>0</v>
      </c>
      <c r="AA113" s="875">
        <f t="shared" si="17"/>
        <v>0</v>
      </c>
      <c r="AB113" s="875">
        <f t="shared" si="17"/>
        <v>0</v>
      </c>
      <c r="AC113" s="878"/>
    </row>
    <row r="114" spans="1:29" s="612" customFormat="1" x14ac:dyDescent="0.2">
      <c r="A114" s="618" t="s">
        <v>647</v>
      </c>
      <c r="B114" s="619" t="s">
        <v>747</v>
      </c>
      <c r="C114" s="620">
        <v>244</v>
      </c>
      <c r="D114" s="620">
        <v>225</v>
      </c>
      <c r="E114" s="596">
        <f t="shared" si="16"/>
        <v>10000</v>
      </c>
      <c r="F114" s="595">
        <f>'Прилож 4 24 (6)'!V114</f>
        <v>0</v>
      </c>
      <c r="G114" s="595">
        <f>'Прилож 4 24 (6)'!W114</f>
        <v>0</v>
      </c>
      <c r="H114" s="595">
        <f>'Прилож 4 24 (6)'!X114</f>
        <v>10000</v>
      </c>
      <c r="I114" s="628"/>
      <c r="J114" s="595">
        <f>'Прилож 4 24 (6)'!Z114</f>
        <v>0</v>
      </c>
      <c r="K114" s="595">
        <f>'Прилож 4 24 (6)'!AA114</f>
        <v>0</v>
      </c>
      <c r="L114" s="595">
        <f>'Прилож 4 24 (6)'!AB114</f>
        <v>0</v>
      </c>
      <c r="M114" s="876">
        <f t="shared" si="20"/>
        <v>0</v>
      </c>
      <c r="N114" s="875"/>
      <c r="O114" s="875"/>
      <c r="P114" s="875"/>
      <c r="Q114" s="877"/>
      <c r="R114" s="875"/>
      <c r="S114" s="875"/>
      <c r="T114" s="875"/>
      <c r="U114" s="876">
        <f t="shared" si="19"/>
        <v>10000</v>
      </c>
      <c r="V114" s="875">
        <f t="shared" si="19"/>
        <v>0</v>
      </c>
      <c r="W114" s="875">
        <f t="shared" si="18"/>
        <v>0</v>
      </c>
      <c r="X114" s="875">
        <f t="shared" si="18"/>
        <v>10000</v>
      </c>
      <c r="Y114" s="883"/>
      <c r="Z114" s="875">
        <f t="shared" si="17"/>
        <v>0</v>
      </c>
      <c r="AA114" s="875">
        <f t="shared" si="17"/>
        <v>0</v>
      </c>
      <c r="AB114" s="875">
        <f t="shared" si="17"/>
        <v>0</v>
      </c>
      <c r="AC114" s="878"/>
    </row>
    <row r="115" spans="1:29" s="612" customFormat="1" ht="31.5" x14ac:dyDescent="0.2">
      <c r="A115" s="618" t="s">
        <v>1185</v>
      </c>
      <c r="B115" s="619" t="s">
        <v>747</v>
      </c>
      <c r="C115" s="620">
        <v>244</v>
      </c>
      <c r="D115" s="620">
        <v>225</v>
      </c>
      <c r="E115" s="596">
        <f t="shared" si="16"/>
        <v>19716</v>
      </c>
      <c r="F115" s="595">
        <f>'Прилож 4 24 (6)'!V115</f>
        <v>0</v>
      </c>
      <c r="G115" s="595">
        <f>'Прилож 4 24 (6)'!W115</f>
        <v>0</v>
      </c>
      <c r="H115" s="595">
        <f>'Прилож 4 24 (6)'!X115</f>
        <v>19716</v>
      </c>
      <c r="I115" s="628"/>
      <c r="J115" s="595">
        <f>'Прилож 4 24 (6)'!Z115</f>
        <v>0</v>
      </c>
      <c r="K115" s="595">
        <f>'Прилож 4 24 (6)'!AA115</f>
        <v>0</v>
      </c>
      <c r="L115" s="595">
        <f>'Прилож 4 24 (6)'!AB115</f>
        <v>0</v>
      </c>
      <c r="M115" s="876">
        <f t="shared" si="20"/>
        <v>0</v>
      </c>
      <c r="N115" s="875"/>
      <c r="O115" s="875"/>
      <c r="P115" s="875"/>
      <c r="Q115" s="877"/>
      <c r="R115" s="875"/>
      <c r="S115" s="875"/>
      <c r="T115" s="875"/>
      <c r="U115" s="876">
        <f t="shared" si="19"/>
        <v>19716</v>
      </c>
      <c r="V115" s="875">
        <f t="shared" si="19"/>
        <v>0</v>
      </c>
      <c r="W115" s="875">
        <f t="shared" si="18"/>
        <v>0</v>
      </c>
      <c r="X115" s="875">
        <f t="shared" si="18"/>
        <v>19716</v>
      </c>
      <c r="Y115" s="883"/>
      <c r="Z115" s="875">
        <f t="shared" si="17"/>
        <v>0</v>
      </c>
      <c r="AA115" s="875">
        <f t="shared" si="17"/>
        <v>0</v>
      </c>
      <c r="AB115" s="875">
        <f t="shared" si="17"/>
        <v>0</v>
      </c>
      <c r="AC115" s="878"/>
    </row>
    <row r="116" spans="1:29" s="612" customFormat="1" ht="31.5" x14ac:dyDescent="0.2">
      <c r="A116" s="618" t="s">
        <v>587</v>
      </c>
      <c r="B116" s="619" t="s">
        <v>747</v>
      </c>
      <c r="C116" s="620">
        <v>244</v>
      </c>
      <c r="D116" s="620">
        <v>225</v>
      </c>
      <c r="E116" s="596">
        <f t="shared" si="16"/>
        <v>14952</v>
      </c>
      <c r="F116" s="595">
        <f>'Прилож 4 24 (6)'!V116</f>
        <v>0</v>
      </c>
      <c r="G116" s="595">
        <f>'Прилож 4 24 (6)'!W116</f>
        <v>0</v>
      </c>
      <c r="H116" s="595">
        <f>'Прилож 4 24 (6)'!X116</f>
        <v>14952</v>
      </c>
      <c r="I116" s="628"/>
      <c r="J116" s="595">
        <f>'Прилож 4 24 (6)'!Z116</f>
        <v>0</v>
      </c>
      <c r="K116" s="595">
        <f>'Прилож 4 24 (6)'!AA116</f>
        <v>0</v>
      </c>
      <c r="L116" s="595">
        <f>'Прилож 4 24 (6)'!AB116</f>
        <v>0</v>
      </c>
      <c r="M116" s="876">
        <f t="shared" si="20"/>
        <v>0</v>
      </c>
      <c r="N116" s="875"/>
      <c r="O116" s="875"/>
      <c r="P116" s="875"/>
      <c r="Q116" s="877"/>
      <c r="R116" s="875"/>
      <c r="S116" s="875"/>
      <c r="T116" s="875"/>
      <c r="U116" s="876">
        <f t="shared" si="19"/>
        <v>14952</v>
      </c>
      <c r="V116" s="875">
        <f t="shared" si="19"/>
        <v>0</v>
      </c>
      <c r="W116" s="875">
        <f t="shared" si="18"/>
        <v>0</v>
      </c>
      <c r="X116" s="875">
        <f t="shared" si="18"/>
        <v>14952</v>
      </c>
      <c r="Y116" s="883"/>
      <c r="Z116" s="875">
        <f t="shared" si="17"/>
        <v>0</v>
      </c>
      <c r="AA116" s="875">
        <f t="shared" si="17"/>
        <v>0</v>
      </c>
      <c r="AB116" s="875">
        <f t="shared" si="17"/>
        <v>0</v>
      </c>
      <c r="AC116" s="878"/>
    </row>
    <row r="117" spans="1:29" s="612" customFormat="1" x14ac:dyDescent="0.2">
      <c r="A117" s="618" t="s">
        <v>1109</v>
      </c>
      <c r="B117" s="619" t="s">
        <v>747</v>
      </c>
      <c r="C117" s="620">
        <v>244</v>
      </c>
      <c r="D117" s="620">
        <v>225</v>
      </c>
      <c r="E117" s="596">
        <f t="shared" si="16"/>
        <v>45398.879999999997</v>
      </c>
      <c r="F117" s="595">
        <f>'Прилож 4 24 (6)'!V117</f>
        <v>0</v>
      </c>
      <c r="G117" s="595">
        <f>'Прилож 4 24 (6)'!W117</f>
        <v>0</v>
      </c>
      <c r="H117" s="595">
        <f>'Прилож 4 24 (6)'!X117</f>
        <v>45398.879999999997</v>
      </c>
      <c r="I117" s="621"/>
      <c r="J117" s="595">
        <f>'Прилож 4 24 (6)'!Z117</f>
        <v>0</v>
      </c>
      <c r="K117" s="595">
        <f>'Прилож 4 24 (6)'!AA117</f>
        <v>0</v>
      </c>
      <c r="L117" s="595">
        <f>'Прилож 4 24 (6)'!AB117</f>
        <v>0</v>
      </c>
      <c r="M117" s="876">
        <f t="shared" si="20"/>
        <v>0</v>
      </c>
      <c r="N117" s="875"/>
      <c r="O117" s="875"/>
      <c r="P117" s="875"/>
      <c r="Q117" s="877"/>
      <c r="R117" s="875"/>
      <c r="S117" s="875"/>
      <c r="T117" s="875"/>
      <c r="U117" s="876">
        <f t="shared" si="19"/>
        <v>45398.879999999997</v>
      </c>
      <c r="V117" s="875">
        <f t="shared" si="19"/>
        <v>0</v>
      </c>
      <c r="W117" s="875">
        <f t="shared" si="18"/>
        <v>0</v>
      </c>
      <c r="X117" s="875">
        <f t="shared" si="18"/>
        <v>45398.879999999997</v>
      </c>
      <c r="Y117" s="877"/>
      <c r="Z117" s="875">
        <f t="shared" si="17"/>
        <v>0</v>
      </c>
      <c r="AA117" s="875">
        <f t="shared" si="17"/>
        <v>0</v>
      </c>
      <c r="AB117" s="875">
        <f t="shared" si="17"/>
        <v>0</v>
      </c>
      <c r="AC117" s="878"/>
    </row>
    <row r="118" spans="1:29" ht="31.5" x14ac:dyDescent="0.2">
      <c r="A118" s="618" t="s">
        <v>157</v>
      </c>
      <c r="B118" s="619" t="s">
        <v>747</v>
      </c>
      <c r="C118" s="620">
        <v>244</v>
      </c>
      <c r="D118" s="620">
        <v>225</v>
      </c>
      <c r="E118" s="596">
        <f t="shared" si="16"/>
        <v>10000</v>
      </c>
      <c r="F118" s="595">
        <f>'Прилож 4 24 (6)'!V118</f>
        <v>0</v>
      </c>
      <c r="G118" s="595">
        <f>'Прилож 4 24 (6)'!W118</f>
        <v>0</v>
      </c>
      <c r="H118" s="595">
        <f>'Прилож 4 24 (6)'!X118</f>
        <v>10000</v>
      </c>
      <c r="I118" s="628"/>
      <c r="J118" s="595">
        <f>'Прилож 4 24 (6)'!Z118</f>
        <v>0</v>
      </c>
      <c r="K118" s="595">
        <f>'Прилож 4 24 (6)'!AA118</f>
        <v>0</v>
      </c>
      <c r="L118" s="595">
        <f>'Прилож 4 24 (6)'!AB118</f>
        <v>0</v>
      </c>
      <c r="M118" s="876">
        <f t="shared" si="20"/>
        <v>0</v>
      </c>
      <c r="N118" s="875"/>
      <c r="O118" s="875"/>
      <c r="P118" s="875"/>
      <c r="Q118" s="877"/>
      <c r="R118" s="875"/>
      <c r="S118" s="875"/>
      <c r="T118" s="875"/>
      <c r="U118" s="876">
        <f t="shared" si="19"/>
        <v>10000</v>
      </c>
      <c r="V118" s="875">
        <f t="shared" si="19"/>
        <v>0</v>
      </c>
      <c r="W118" s="875">
        <f t="shared" si="18"/>
        <v>0</v>
      </c>
      <c r="X118" s="875">
        <f t="shared" si="18"/>
        <v>10000</v>
      </c>
      <c r="Y118" s="883"/>
      <c r="Z118" s="875">
        <f t="shared" si="17"/>
        <v>0</v>
      </c>
      <c r="AA118" s="875">
        <f t="shared" si="17"/>
        <v>0</v>
      </c>
      <c r="AB118" s="875">
        <f t="shared" si="17"/>
        <v>0</v>
      </c>
      <c r="AC118" s="878"/>
    </row>
    <row r="119" spans="1:29" ht="34.15" customHeight="1" x14ac:dyDescent="0.2">
      <c r="A119" s="618" t="s">
        <v>1317</v>
      </c>
      <c r="B119" s="619" t="s">
        <v>747</v>
      </c>
      <c r="C119" s="620">
        <v>244</v>
      </c>
      <c r="D119" s="620">
        <v>225</v>
      </c>
      <c r="E119" s="596">
        <f t="shared" si="16"/>
        <v>202823.2</v>
      </c>
      <c r="F119" s="595">
        <f>'Прилож 4 24 (6)'!V119</f>
        <v>0</v>
      </c>
      <c r="G119" s="595">
        <f>'Прилож 4 24 (6)'!W119</f>
        <v>0</v>
      </c>
      <c r="H119" s="595">
        <f>'Прилож 4 24 (6)'!X119</f>
        <v>0</v>
      </c>
      <c r="I119" s="621" t="s">
        <v>1322</v>
      </c>
      <c r="J119" s="595">
        <f>'Прилож 4 24 (6)'!Z119</f>
        <v>0</v>
      </c>
      <c r="K119" s="595">
        <f>'Прилож 4 24 (6)'!AA119</f>
        <v>202823.2</v>
      </c>
      <c r="L119" s="595">
        <f>'Прилож 4 24 (6)'!AB119</f>
        <v>0</v>
      </c>
      <c r="M119" s="876">
        <f t="shared" si="20"/>
        <v>0</v>
      </c>
      <c r="N119" s="875"/>
      <c r="O119" s="875"/>
      <c r="P119" s="875"/>
      <c r="Q119" s="877"/>
      <c r="R119" s="875"/>
      <c r="S119" s="875"/>
      <c r="T119" s="875"/>
      <c r="U119" s="876">
        <f t="shared" si="19"/>
        <v>202823.2</v>
      </c>
      <c r="V119" s="875">
        <f t="shared" si="19"/>
        <v>0</v>
      </c>
      <c r="W119" s="875">
        <f t="shared" si="18"/>
        <v>0</v>
      </c>
      <c r="X119" s="875">
        <f t="shared" si="18"/>
        <v>0</v>
      </c>
      <c r="Y119" s="877" t="s">
        <v>1322</v>
      </c>
      <c r="Z119" s="875">
        <f t="shared" si="17"/>
        <v>0</v>
      </c>
      <c r="AA119" s="875">
        <f t="shared" si="17"/>
        <v>202823.2</v>
      </c>
      <c r="AB119" s="875">
        <f t="shared" si="17"/>
        <v>0</v>
      </c>
      <c r="AC119" s="878"/>
    </row>
    <row r="120" spans="1:29" ht="34.15" customHeight="1" x14ac:dyDescent="0.2">
      <c r="A120" s="618" t="s">
        <v>1319</v>
      </c>
      <c r="B120" s="619" t="s">
        <v>747</v>
      </c>
      <c r="C120" s="620">
        <v>244</v>
      </c>
      <c r="D120" s="620">
        <v>225</v>
      </c>
      <c r="E120" s="596">
        <f t="shared" si="16"/>
        <v>271171.20000000001</v>
      </c>
      <c r="F120" s="595">
        <f>'Прилож 4 24 (6)'!V120</f>
        <v>0</v>
      </c>
      <c r="G120" s="595">
        <f>'Прилож 4 24 (6)'!W120</f>
        <v>0</v>
      </c>
      <c r="H120" s="595">
        <f>'Прилож 4 24 (6)'!X120</f>
        <v>0</v>
      </c>
      <c r="I120" s="621" t="s">
        <v>1322</v>
      </c>
      <c r="J120" s="595">
        <f>'Прилож 4 24 (6)'!Z120</f>
        <v>0</v>
      </c>
      <c r="K120" s="595">
        <f>'Прилож 4 24 (6)'!AA120</f>
        <v>271171.20000000001</v>
      </c>
      <c r="L120" s="595">
        <f>'Прилож 4 24 (6)'!AB120</f>
        <v>0</v>
      </c>
      <c r="M120" s="876">
        <f t="shared" si="20"/>
        <v>0</v>
      </c>
      <c r="N120" s="875"/>
      <c r="O120" s="875"/>
      <c r="P120" s="875"/>
      <c r="Q120" s="877"/>
      <c r="R120" s="875"/>
      <c r="S120" s="875"/>
      <c r="T120" s="875"/>
      <c r="U120" s="876">
        <f t="shared" si="19"/>
        <v>271171.20000000001</v>
      </c>
      <c r="V120" s="875">
        <f t="shared" si="19"/>
        <v>0</v>
      </c>
      <c r="W120" s="875">
        <f t="shared" si="18"/>
        <v>0</v>
      </c>
      <c r="X120" s="875">
        <f t="shared" si="18"/>
        <v>0</v>
      </c>
      <c r="Y120" s="877" t="s">
        <v>1322</v>
      </c>
      <c r="Z120" s="875">
        <f t="shared" si="17"/>
        <v>0</v>
      </c>
      <c r="AA120" s="875">
        <f t="shared" si="17"/>
        <v>271171.20000000001</v>
      </c>
      <c r="AB120" s="875">
        <f t="shared" si="17"/>
        <v>0</v>
      </c>
      <c r="AC120" s="878"/>
    </row>
    <row r="121" spans="1:29" ht="47.25" x14ac:dyDescent="0.2">
      <c r="A121" s="618" t="s">
        <v>1320</v>
      </c>
      <c r="B121" s="619" t="s">
        <v>747</v>
      </c>
      <c r="C121" s="620">
        <v>244</v>
      </c>
      <c r="D121" s="620">
        <v>225</v>
      </c>
      <c r="E121" s="596">
        <f t="shared" si="16"/>
        <v>340128</v>
      </c>
      <c r="F121" s="595">
        <f>'Прилож 4 24 (6)'!V121</f>
        <v>0</v>
      </c>
      <c r="G121" s="595">
        <f>'Прилож 4 24 (6)'!W121</f>
        <v>0</v>
      </c>
      <c r="H121" s="595">
        <f>'Прилож 4 24 (6)'!X121</f>
        <v>0</v>
      </c>
      <c r="I121" s="621" t="s">
        <v>1322</v>
      </c>
      <c r="J121" s="595">
        <f>'Прилож 4 24 (6)'!Z121</f>
        <v>0</v>
      </c>
      <c r="K121" s="595">
        <f>'Прилож 4 24 (6)'!AA121</f>
        <v>340128</v>
      </c>
      <c r="L121" s="595">
        <f>'Прилож 4 24 (6)'!AB121</f>
        <v>0</v>
      </c>
      <c r="M121" s="876">
        <f t="shared" si="20"/>
        <v>0</v>
      </c>
      <c r="N121" s="875"/>
      <c r="O121" s="875"/>
      <c r="P121" s="875"/>
      <c r="Q121" s="877"/>
      <c r="R121" s="875"/>
      <c r="S121" s="875"/>
      <c r="T121" s="875"/>
      <c r="U121" s="876">
        <f t="shared" si="19"/>
        <v>340128</v>
      </c>
      <c r="V121" s="875">
        <f t="shared" si="19"/>
        <v>0</v>
      </c>
      <c r="W121" s="875">
        <f t="shared" si="18"/>
        <v>0</v>
      </c>
      <c r="X121" s="875">
        <f t="shared" si="18"/>
        <v>0</v>
      </c>
      <c r="Y121" s="877" t="s">
        <v>1322</v>
      </c>
      <c r="Z121" s="875">
        <f t="shared" si="17"/>
        <v>0</v>
      </c>
      <c r="AA121" s="875">
        <f t="shared" si="17"/>
        <v>340128</v>
      </c>
      <c r="AB121" s="875">
        <f t="shared" si="17"/>
        <v>0</v>
      </c>
      <c r="AC121" s="878"/>
    </row>
    <row r="122" spans="1:29" s="637" customFormat="1" x14ac:dyDescent="0.2">
      <c r="A122" s="632" t="s">
        <v>1143</v>
      </c>
      <c r="B122" s="633" t="s">
        <v>747</v>
      </c>
      <c r="C122" s="634">
        <v>244</v>
      </c>
      <c r="D122" s="634">
        <v>225</v>
      </c>
      <c r="E122" s="596">
        <f t="shared" si="16"/>
        <v>1180103.18</v>
      </c>
      <c r="F122" s="595">
        <f>'Прилож 4 24 (6)'!V122</f>
        <v>0</v>
      </c>
      <c r="G122" s="595">
        <f>'Прилож 4 24 (6)'!W122</f>
        <v>0</v>
      </c>
      <c r="H122" s="595">
        <f>'Прилож 4 24 (6)'!X122</f>
        <v>365980.77999999997</v>
      </c>
      <c r="I122" s="635"/>
      <c r="J122" s="595">
        <f>'Прилож 4 24 (6)'!Z122</f>
        <v>0</v>
      </c>
      <c r="K122" s="595">
        <f>'Прилож 4 24 (6)'!AA122</f>
        <v>814122.4</v>
      </c>
      <c r="L122" s="595">
        <f>'Прилож 4 24 (6)'!AB122</f>
        <v>0</v>
      </c>
      <c r="M122" s="876">
        <f t="shared" si="20"/>
        <v>0</v>
      </c>
      <c r="N122" s="884">
        <f>SUM(N100:N121)</f>
        <v>0</v>
      </c>
      <c r="O122" s="884"/>
      <c r="P122" s="884">
        <f>SUM(P100:P121)</f>
        <v>0</v>
      </c>
      <c r="Q122" s="885"/>
      <c r="R122" s="884"/>
      <c r="S122" s="884"/>
      <c r="T122" s="884"/>
      <c r="U122" s="876">
        <f t="shared" si="19"/>
        <v>1180103.18</v>
      </c>
      <c r="V122" s="875">
        <f t="shared" si="19"/>
        <v>0</v>
      </c>
      <c r="W122" s="875">
        <f t="shared" si="18"/>
        <v>0</v>
      </c>
      <c r="X122" s="875">
        <f t="shared" si="18"/>
        <v>365980.77999999997</v>
      </c>
      <c r="Y122" s="885"/>
      <c r="Z122" s="875">
        <f t="shared" si="17"/>
        <v>0</v>
      </c>
      <c r="AA122" s="875">
        <f t="shared" si="17"/>
        <v>814122.4</v>
      </c>
      <c r="AB122" s="875">
        <f t="shared" si="17"/>
        <v>0</v>
      </c>
      <c r="AC122" s="886"/>
    </row>
    <row r="123" spans="1:29" ht="66.75" customHeight="1" x14ac:dyDescent="0.2">
      <c r="A123" s="618" t="s">
        <v>1188</v>
      </c>
      <c r="B123" s="619" t="s">
        <v>729</v>
      </c>
      <c r="C123" s="620">
        <v>244</v>
      </c>
      <c r="D123" s="620">
        <v>225</v>
      </c>
      <c r="E123" s="596">
        <f t="shared" si="16"/>
        <v>50400</v>
      </c>
      <c r="F123" s="595">
        <f>'Прилож 4 24 (6)'!V123</f>
        <v>0</v>
      </c>
      <c r="G123" s="595">
        <f>'Прилож 4 24 (6)'!W123</f>
        <v>0</v>
      </c>
      <c r="H123" s="595">
        <f>'Прилож 4 24 (6)'!X123</f>
        <v>50400</v>
      </c>
      <c r="I123" s="628"/>
      <c r="J123" s="595">
        <f>'Прилож 4 24 (6)'!Z123</f>
        <v>0</v>
      </c>
      <c r="K123" s="595">
        <f>'Прилож 4 24 (6)'!AA123</f>
        <v>0</v>
      </c>
      <c r="L123" s="595">
        <f>'Прилож 4 24 (6)'!AB123</f>
        <v>0</v>
      </c>
      <c r="M123" s="876">
        <f t="shared" si="20"/>
        <v>0</v>
      </c>
      <c r="N123" s="875"/>
      <c r="O123" s="875"/>
      <c r="P123" s="875"/>
      <c r="Q123" s="877"/>
      <c r="R123" s="875"/>
      <c r="S123" s="875"/>
      <c r="T123" s="875"/>
      <c r="U123" s="876">
        <f t="shared" si="19"/>
        <v>50400</v>
      </c>
      <c r="V123" s="875">
        <f t="shared" si="19"/>
        <v>0</v>
      </c>
      <c r="W123" s="875">
        <f t="shared" si="18"/>
        <v>0</v>
      </c>
      <c r="X123" s="875">
        <f t="shared" si="18"/>
        <v>50400</v>
      </c>
      <c r="Y123" s="883"/>
      <c r="Z123" s="875">
        <f t="shared" si="17"/>
        <v>0</v>
      </c>
      <c r="AA123" s="875">
        <f t="shared" si="17"/>
        <v>0</v>
      </c>
      <c r="AB123" s="875">
        <f t="shared" si="17"/>
        <v>0</v>
      </c>
      <c r="AC123" s="878"/>
    </row>
    <row r="124" spans="1:29" x14ac:dyDescent="0.2">
      <c r="A124" s="618" t="s">
        <v>1193</v>
      </c>
      <c r="B124" s="619" t="s">
        <v>729</v>
      </c>
      <c r="C124" s="620">
        <v>244</v>
      </c>
      <c r="D124" s="620">
        <v>225</v>
      </c>
      <c r="E124" s="596">
        <f t="shared" si="16"/>
        <v>73152</v>
      </c>
      <c r="F124" s="595">
        <f>'Прилож 4 24 (6)'!V124</f>
        <v>0</v>
      </c>
      <c r="G124" s="595">
        <f>'Прилож 4 24 (6)'!W124</f>
        <v>0</v>
      </c>
      <c r="H124" s="595">
        <f>'Прилож 4 24 (6)'!X124</f>
        <v>73152</v>
      </c>
      <c r="I124" s="628"/>
      <c r="J124" s="595">
        <f>'Прилож 4 24 (6)'!Z124</f>
        <v>0</v>
      </c>
      <c r="K124" s="595">
        <f>'Прилож 4 24 (6)'!AA124</f>
        <v>0</v>
      </c>
      <c r="L124" s="595">
        <f>'Прилож 4 24 (6)'!AB124</f>
        <v>0</v>
      </c>
      <c r="M124" s="876">
        <f t="shared" si="20"/>
        <v>0</v>
      </c>
      <c r="N124" s="875"/>
      <c r="O124" s="875"/>
      <c r="P124" s="875"/>
      <c r="Q124" s="877"/>
      <c r="R124" s="875"/>
      <c r="S124" s="875"/>
      <c r="T124" s="875"/>
      <c r="U124" s="876">
        <f t="shared" si="19"/>
        <v>73152</v>
      </c>
      <c r="V124" s="875">
        <f t="shared" si="19"/>
        <v>0</v>
      </c>
      <c r="W124" s="875">
        <f t="shared" si="18"/>
        <v>0</v>
      </c>
      <c r="X124" s="875">
        <f t="shared" si="18"/>
        <v>73152</v>
      </c>
      <c r="Y124" s="883"/>
      <c r="Z124" s="875">
        <f t="shared" si="17"/>
        <v>0</v>
      </c>
      <c r="AA124" s="875">
        <f t="shared" si="17"/>
        <v>0</v>
      </c>
      <c r="AB124" s="875">
        <f t="shared" si="17"/>
        <v>0</v>
      </c>
      <c r="AC124" s="878"/>
    </row>
    <row r="125" spans="1:29" ht="36.75" customHeight="1" x14ac:dyDescent="0.2">
      <c r="A125" s="618" t="s">
        <v>1192</v>
      </c>
      <c r="B125" s="619" t="s">
        <v>729</v>
      </c>
      <c r="C125" s="620">
        <v>244</v>
      </c>
      <c r="D125" s="620">
        <v>225</v>
      </c>
      <c r="E125" s="596">
        <f t="shared" si="16"/>
        <v>3859</v>
      </c>
      <c r="F125" s="595">
        <f>'Прилож 4 24 (6)'!V125</f>
        <v>0</v>
      </c>
      <c r="G125" s="595">
        <f>'Прилож 4 24 (6)'!W125</f>
        <v>0</v>
      </c>
      <c r="H125" s="595">
        <f>'Прилож 4 24 (6)'!X125</f>
        <v>3859</v>
      </c>
      <c r="I125" s="628"/>
      <c r="J125" s="595">
        <f>'Прилож 4 24 (6)'!Z125</f>
        <v>0</v>
      </c>
      <c r="K125" s="595">
        <f>'Прилож 4 24 (6)'!AA125</f>
        <v>0</v>
      </c>
      <c r="L125" s="595">
        <f>'Прилож 4 24 (6)'!AB125</f>
        <v>0</v>
      </c>
      <c r="M125" s="876">
        <f t="shared" si="20"/>
        <v>0</v>
      </c>
      <c r="N125" s="875"/>
      <c r="O125" s="875"/>
      <c r="P125" s="875"/>
      <c r="Q125" s="877"/>
      <c r="R125" s="875"/>
      <c r="S125" s="875"/>
      <c r="T125" s="875"/>
      <c r="U125" s="876">
        <f t="shared" si="19"/>
        <v>3859</v>
      </c>
      <c r="V125" s="875">
        <f t="shared" si="19"/>
        <v>0</v>
      </c>
      <c r="W125" s="875">
        <f t="shared" si="18"/>
        <v>0</v>
      </c>
      <c r="X125" s="875">
        <f t="shared" si="18"/>
        <v>3859</v>
      </c>
      <c r="Y125" s="883"/>
      <c r="Z125" s="875">
        <f t="shared" si="17"/>
        <v>0</v>
      </c>
      <c r="AA125" s="875">
        <f t="shared" si="17"/>
        <v>0</v>
      </c>
      <c r="AB125" s="875">
        <f t="shared" si="17"/>
        <v>0</v>
      </c>
      <c r="AC125" s="878"/>
    </row>
    <row r="126" spans="1:29" ht="31.5" x14ac:dyDescent="0.2">
      <c r="A126" s="618" t="s">
        <v>1186</v>
      </c>
      <c r="B126" s="619" t="s">
        <v>729</v>
      </c>
      <c r="C126" s="620">
        <v>244</v>
      </c>
      <c r="D126" s="620">
        <v>225</v>
      </c>
      <c r="E126" s="596">
        <f t="shared" si="16"/>
        <v>23457.360000000001</v>
      </c>
      <c r="F126" s="595">
        <f>'Прилож 4 24 (6)'!V126</f>
        <v>0</v>
      </c>
      <c r="G126" s="595">
        <f>'Прилож 4 24 (6)'!W126</f>
        <v>0</v>
      </c>
      <c r="H126" s="595">
        <f>'Прилож 4 24 (6)'!X126</f>
        <v>23457.360000000001</v>
      </c>
      <c r="I126" s="628"/>
      <c r="J126" s="595">
        <f>'Прилож 4 24 (6)'!Z126</f>
        <v>0</v>
      </c>
      <c r="K126" s="595">
        <f>'Прилож 4 24 (6)'!AA126</f>
        <v>0</v>
      </c>
      <c r="L126" s="595">
        <f>'Прилож 4 24 (6)'!AB126</f>
        <v>0</v>
      </c>
      <c r="M126" s="876">
        <f t="shared" si="20"/>
        <v>0</v>
      </c>
      <c r="N126" s="875"/>
      <c r="O126" s="875"/>
      <c r="P126" s="875"/>
      <c r="Q126" s="877"/>
      <c r="R126" s="875"/>
      <c r="S126" s="875"/>
      <c r="T126" s="875"/>
      <c r="U126" s="876">
        <f t="shared" si="19"/>
        <v>23457.360000000001</v>
      </c>
      <c r="V126" s="875">
        <f t="shared" si="19"/>
        <v>0</v>
      </c>
      <c r="W126" s="875">
        <f t="shared" si="18"/>
        <v>0</v>
      </c>
      <c r="X126" s="875">
        <f t="shared" si="18"/>
        <v>23457.360000000001</v>
      </c>
      <c r="Y126" s="883"/>
      <c r="Z126" s="875">
        <f t="shared" si="17"/>
        <v>0</v>
      </c>
      <c r="AA126" s="875">
        <f t="shared" si="17"/>
        <v>0</v>
      </c>
      <c r="AB126" s="875">
        <f t="shared" si="17"/>
        <v>0</v>
      </c>
      <c r="AC126" s="878"/>
    </row>
    <row r="127" spans="1:29" ht="55.5" customHeight="1" x14ac:dyDescent="0.2">
      <c r="A127" s="618" t="s">
        <v>148</v>
      </c>
      <c r="B127" s="619" t="s">
        <v>729</v>
      </c>
      <c r="C127" s="620">
        <v>244</v>
      </c>
      <c r="D127" s="620">
        <v>225</v>
      </c>
      <c r="E127" s="596">
        <f t="shared" si="16"/>
        <v>4000</v>
      </c>
      <c r="F127" s="595">
        <f>'Прилож 4 24 (6)'!V127</f>
        <v>0</v>
      </c>
      <c r="G127" s="595">
        <f>'Прилож 4 24 (6)'!W127</f>
        <v>0</v>
      </c>
      <c r="H127" s="595">
        <f>'Прилож 4 24 (6)'!X127</f>
        <v>4000</v>
      </c>
      <c r="I127" s="628"/>
      <c r="J127" s="595">
        <f>'Прилож 4 24 (6)'!Z127</f>
        <v>0</v>
      </c>
      <c r="K127" s="595">
        <f>'Прилож 4 24 (6)'!AA127</f>
        <v>0</v>
      </c>
      <c r="L127" s="595">
        <f>'Прилож 4 24 (6)'!AB127</f>
        <v>0</v>
      </c>
      <c r="M127" s="876">
        <f t="shared" si="20"/>
        <v>0</v>
      </c>
      <c r="N127" s="875"/>
      <c r="O127" s="875"/>
      <c r="P127" s="875"/>
      <c r="Q127" s="877"/>
      <c r="R127" s="875"/>
      <c r="S127" s="875"/>
      <c r="T127" s="875"/>
      <c r="U127" s="876">
        <f t="shared" si="19"/>
        <v>4000</v>
      </c>
      <c r="V127" s="875">
        <f t="shared" si="19"/>
        <v>0</v>
      </c>
      <c r="W127" s="875">
        <f t="shared" si="18"/>
        <v>0</v>
      </c>
      <c r="X127" s="875">
        <f t="shared" si="18"/>
        <v>4000</v>
      </c>
      <c r="Y127" s="883"/>
      <c r="Z127" s="875">
        <f t="shared" si="17"/>
        <v>0</v>
      </c>
      <c r="AA127" s="875">
        <f t="shared" si="17"/>
        <v>0</v>
      </c>
      <c r="AB127" s="875">
        <f t="shared" si="17"/>
        <v>0</v>
      </c>
      <c r="AC127" s="878"/>
    </row>
    <row r="128" spans="1:29" x14ac:dyDescent="0.2">
      <c r="A128" s="618" t="s">
        <v>627</v>
      </c>
      <c r="B128" s="619" t="s">
        <v>729</v>
      </c>
      <c r="C128" s="620">
        <v>244</v>
      </c>
      <c r="D128" s="620">
        <v>225</v>
      </c>
      <c r="E128" s="596">
        <f t="shared" si="16"/>
        <v>126092.16</v>
      </c>
      <c r="F128" s="595">
        <f>'Прилож 4 24 (6)'!V128</f>
        <v>0</v>
      </c>
      <c r="G128" s="595">
        <f>'Прилож 4 24 (6)'!W128</f>
        <v>0</v>
      </c>
      <c r="H128" s="595">
        <f>'Прилож 4 24 (6)'!X128</f>
        <v>126092.16</v>
      </c>
      <c r="I128" s="628"/>
      <c r="J128" s="595">
        <f>'Прилож 4 24 (6)'!Z128</f>
        <v>0</v>
      </c>
      <c r="K128" s="595">
        <f>'Прилож 4 24 (6)'!AA128</f>
        <v>0</v>
      </c>
      <c r="L128" s="595">
        <f>'Прилож 4 24 (6)'!AB128</f>
        <v>0</v>
      </c>
      <c r="M128" s="876">
        <f t="shared" si="20"/>
        <v>0</v>
      </c>
      <c r="N128" s="875"/>
      <c r="O128" s="875"/>
      <c r="P128" s="875"/>
      <c r="Q128" s="877"/>
      <c r="R128" s="875"/>
      <c r="S128" s="875"/>
      <c r="T128" s="875"/>
      <c r="U128" s="876">
        <f t="shared" si="19"/>
        <v>126092.16</v>
      </c>
      <c r="V128" s="875">
        <f t="shared" si="19"/>
        <v>0</v>
      </c>
      <c r="W128" s="875">
        <f t="shared" si="18"/>
        <v>0</v>
      </c>
      <c r="X128" s="875">
        <f t="shared" si="18"/>
        <v>126092.16</v>
      </c>
      <c r="Y128" s="883"/>
      <c r="Z128" s="875">
        <f t="shared" si="17"/>
        <v>0</v>
      </c>
      <c r="AA128" s="875">
        <f t="shared" si="17"/>
        <v>0</v>
      </c>
      <c r="AB128" s="875">
        <f t="shared" si="17"/>
        <v>0</v>
      </c>
      <c r="AC128" s="878"/>
    </row>
    <row r="129" spans="1:29" ht="34.5" customHeight="1" x14ac:dyDescent="0.2">
      <c r="A129" s="618" t="s">
        <v>759</v>
      </c>
      <c r="B129" s="619" t="s">
        <v>729</v>
      </c>
      <c r="C129" s="620">
        <v>244</v>
      </c>
      <c r="D129" s="620">
        <v>225</v>
      </c>
      <c r="E129" s="596">
        <f t="shared" si="16"/>
        <v>0</v>
      </c>
      <c r="F129" s="595">
        <f>'Прилож 4 24 (6)'!V129</f>
        <v>0</v>
      </c>
      <c r="G129" s="595">
        <f>'Прилож 4 24 (6)'!W129</f>
        <v>0</v>
      </c>
      <c r="H129" s="595">
        <f>'Прилож 4 24 (6)'!X129</f>
        <v>0</v>
      </c>
      <c r="I129" s="628"/>
      <c r="J129" s="595">
        <f>'Прилож 4 24 (6)'!Z129</f>
        <v>0</v>
      </c>
      <c r="K129" s="595">
        <f>'Прилож 4 24 (6)'!AA129</f>
        <v>0</v>
      </c>
      <c r="L129" s="595">
        <f>'Прилож 4 24 (6)'!AB129</f>
        <v>0</v>
      </c>
      <c r="M129" s="876">
        <f t="shared" si="20"/>
        <v>0</v>
      </c>
      <c r="N129" s="875"/>
      <c r="O129" s="875"/>
      <c r="P129" s="875"/>
      <c r="Q129" s="877"/>
      <c r="R129" s="875"/>
      <c r="S129" s="875"/>
      <c r="T129" s="875"/>
      <c r="U129" s="876">
        <f t="shared" si="19"/>
        <v>0</v>
      </c>
      <c r="V129" s="875">
        <f t="shared" si="19"/>
        <v>0</v>
      </c>
      <c r="W129" s="875">
        <f t="shared" si="18"/>
        <v>0</v>
      </c>
      <c r="X129" s="875">
        <f t="shared" si="18"/>
        <v>0</v>
      </c>
      <c r="Y129" s="883"/>
      <c r="Z129" s="875">
        <f t="shared" si="17"/>
        <v>0</v>
      </c>
      <c r="AA129" s="875">
        <f t="shared" si="17"/>
        <v>0</v>
      </c>
      <c r="AB129" s="875">
        <f t="shared" si="17"/>
        <v>0</v>
      </c>
      <c r="AC129" s="878"/>
    </row>
    <row r="130" spans="1:29" ht="28.5" customHeight="1" x14ac:dyDescent="0.2">
      <c r="A130" s="618" t="s">
        <v>143</v>
      </c>
      <c r="B130" s="619" t="s">
        <v>729</v>
      </c>
      <c r="C130" s="620">
        <v>244</v>
      </c>
      <c r="D130" s="620">
        <v>225</v>
      </c>
      <c r="E130" s="596">
        <f t="shared" si="16"/>
        <v>43576.47</v>
      </c>
      <c r="F130" s="595">
        <f>'Прилож 4 24 (6)'!V130</f>
        <v>0</v>
      </c>
      <c r="G130" s="595">
        <f>'Прилож 4 24 (6)'!W130</f>
        <v>0</v>
      </c>
      <c r="H130" s="595">
        <f>'Прилож 4 24 (6)'!X130</f>
        <v>43576.47</v>
      </c>
      <c r="I130" s="628"/>
      <c r="J130" s="595">
        <f>'Прилож 4 24 (6)'!Z130</f>
        <v>0</v>
      </c>
      <c r="K130" s="595">
        <f>'Прилож 4 24 (6)'!AA130</f>
        <v>0</v>
      </c>
      <c r="L130" s="595">
        <f>'Прилож 4 24 (6)'!AB130</f>
        <v>0</v>
      </c>
      <c r="M130" s="876">
        <f t="shared" si="20"/>
        <v>0</v>
      </c>
      <c r="N130" s="875"/>
      <c r="O130" s="875"/>
      <c r="P130" s="875"/>
      <c r="Q130" s="877"/>
      <c r="R130" s="875"/>
      <c r="S130" s="875"/>
      <c r="T130" s="875"/>
      <c r="U130" s="876">
        <f t="shared" si="19"/>
        <v>43576.47</v>
      </c>
      <c r="V130" s="875">
        <f t="shared" si="19"/>
        <v>0</v>
      </c>
      <c r="W130" s="875">
        <f t="shared" si="18"/>
        <v>0</v>
      </c>
      <c r="X130" s="875">
        <f t="shared" si="18"/>
        <v>43576.47</v>
      </c>
      <c r="Y130" s="883"/>
      <c r="Z130" s="875">
        <f t="shared" si="17"/>
        <v>0</v>
      </c>
      <c r="AA130" s="875">
        <f t="shared" si="17"/>
        <v>0</v>
      </c>
      <c r="AB130" s="875">
        <f t="shared" si="17"/>
        <v>0</v>
      </c>
      <c r="AC130" s="878"/>
    </row>
    <row r="131" spans="1:29" ht="39" customHeight="1" x14ac:dyDescent="0.2">
      <c r="A131" s="618" t="s">
        <v>635</v>
      </c>
      <c r="B131" s="619" t="s">
        <v>729</v>
      </c>
      <c r="C131" s="620">
        <v>244</v>
      </c>
      <c r="D131" s="620">
        <v>225</v>
      </c>
      <c r="E131" s="596">
        <f t="shared" si="16"/>
        <v>70000</v>
      </c>
      <c r="F131" s="595">
        <f>'Прилож 4 24 (6)'!V131</f>
        <v>0</v>
      </c>
      <c r="G131" s="595">
        <f>'Прилож 4 24 (6)'!W131</f>
        <v>0</v>
      </c>
      <c r="H131" s="595">
        <f>'Прилож 4 24 (6)'!X131</f>
        <v>70000</v>
      </c>
      <c r="I131" s="628"/>
      <c r="J131" s="595">
        <f>'Прилож 4 24 (6)'!Z131</f>
        <v>0</v>
      </c>
      <c r="K131" s="595">
        <f>'Прилож 4 24 (6)'!AA131</f>
        <v>0</v>
      </c>
      <c r="L131" s="595">
        <f>'Прилож 4 24 (6)'!AB131</f>
        <v>0</v>
      </c>
      <c r="M131" s="876">
        <f t="shared" si="20"/>
        <v>0</v>
      </c>
      <c r="N131" s="875"/>
      <c r="O131" s="875"/>
      <c r="P131" s="875"/>
      <c r="Q131" s="877"/>
      <c r="R131" s="875"/>
      <c r="S131" s="875"/>
      <c r="T131" s="875"/>
      <c r="U131" s="876">
        <f t="shared" si="19"/>
        <v>70000</v>
      </c>
      <c r="V131" s="875">
        <f t="shared" si="19"/>
        <v>0</v>
      </c>
      <c r="W131" s="875">
        <f t="shared" si="18"/>
        <v>0</v>
      </c>
      <c r="X131" s="875">
        <f t="shared" si="18"/>
        <v>70000</v>
      </c>
      <c r="Y131" s="883"/>
      <c r="Z131" s="875">
        <f t="shared" si="17"/>
        <v>0</v>
      </c>
      <c r="AA131" s="875">
        <f t="shared" si="17"/>
        <v>0</v>
      </c>
      <c r="AB131" s="875">
        <f t="shared" si="17"/>
        <v>0</v>
      </c>
      <c r="AC131" s="878"/>
    </row>
    <row r="132" spans="1:29" ht="36.75" customHeight="1" x14ac:dyDescent="0.2">
      <c r="A132" s="618" t="s">
        <v>951</v>
      </c>
      <c r="B132" s="619" t="s">
        <v>729</v>
      </c>
      <c r="C132" s="620">
        <v>244</v>
      </c>
      <c r="D132" s="620">
        <v>225</v>
      </c>
      <c r="E132" s="596">
        <f t="shared" si="16"/>
        <v>24062.89</v>
      </c>
      <c r="F132" s="595">
        <f>'Прилож 4 24 (6)'!V132</f>
        <v>0</v>
      </c>
      <c r="G132" s="595">
        <f>'Прилож 4 24 (6)'!W132</f>
        <v>0</v>
      </c>
      <c r="H132" s="595">
        <f>'Прилож 4 24 (6)'!X132</f>
        <v>24062.89</v>
      </c>
      <c r="I132" s="628"/>
      <c r="J132" s="595">
        <f>'Прилож 4 24 (6)'!Z132</f>
        <v>0</v>
      </c>
      <c r="K132" s="595">
        <f>'Прилож 4 24 (6)'!AA132</f>
        <v>0</v>
      </c>
      <c r="L132" s="595">
        <f>'Прилож 4 24 (6)'!AB132</f>
        <v>0</v>
      </c>
      <c r="M132" s="876">
        <f t="shared" si="20"/>
        <v>0</v>
      </c>
      <c r="N132" s="875"/>
      <c r="O132" s="875"/>
      <c r="P132" s="875"/>
      <c r="Q132" s="877"/>
      <c r="R132" s="875"/>
      <c r="S132" s="875"/>
      <c r="T132" s="875"/>
      <c r="U132" s="876">
        <f t="shared" si="19"/>
        <v>24062.89</v>
      </c>
      <c r="V132" s="875">
        <f t="shared" si="19"/>
        <v>0</v>
      </c>
      <c r="W132" s="875">
        <f t="shared" si="18"/>
        <v>0</v>
      </c>
      <c r="X132" s="875">
        <f t="shared" si="18"/>
        <v>24062.89</v>
      </c>
      <c r="Y132" s="883"/>
      <c r="Z132" s="875">
        <f t="shared" si="17"/>
        <v>0</v>
      </c>
      <c r="AA132" s="875">
        <f t="shared" si="17"/>
        <v>0</v>
      </c>
      <c r="AB132" s="875">
        <f t="shared" si="17"/>
        <v>0</v>
      </c>
      <c r="AC132" s="878"/>
    </row>
    <row r="133" spans="1:29" ht="34.5" customHeight="1" x14ac:dyDescent="0.2">
      <c r="A133" s="618" t="s">
        <v>150</v>
      </c>
      <c r="B133" s="619" t="s">
        <v>729</v>
      </c>
      <c r="C133" s="620">
        <v>244</v>
      </c>
      <c r="D133" s="620">
        <v>225</v>
      </c>
      <c r="E133" s="596">
        <f t="shared" si="16"/>
        <v>0</v>
      </c>
      <c r="F133" s="595">
        <f>'Прилож 4 24 (6)'!V133</f>
        <v>0</v>
      </c>
      <c r="G133" s="595">
        <f>'Прилож 4 24 (6)'!W133</f>
        <v>0</v>
      </c>
      <c r="H133" s="595">
        <f>'Прилож 4 24 (6)'!X133</f>
        <v>0</v>
      </c>
      <c r="I133" s="628"/>
      <c r="J133" s="595">
        <f>'Прилож 4 24 (6)'!Z133</f>
        <v>0</v>
      </c>
      <c r="K133" s="595">
        <f>'Прилож 4 24 (6)'!AA133</f>
        <v>0</v>
      </c>
      <c r="L133" s="595">
        <f>'Прилож 4 24 (6)'!AB133</f>
        <v>0</v>
      </c>
      <c r="M133" s="876">
        <f t="shared" si="20"/>
        <v>0</v>
      </c>
      <c r="N133" s="875"/>
      <c r="O133" s="875"/>
      <c r="P133" s="875"/>
      <c r="Q133" s="877"/>
      <c r="R133" s="875"/>
      <c r="S133" s="875"/>
      <c r="T133" s="875"/>
      <c r="U133" s="876">
        <f t="shared" si="19"/>
        <v>0</v>
      </c>
      <c r="V133" s="875">
        <f t="shared" si="19"/>
        <v>0</v>
      </c>
      <c r="W133" s="875">
        <f t="shared" si="18"/>
        <v>0</v>
      </c>
      <c r="X133" s="875">
        <f t="shared" si="18"/>
        <v>0</v>
      </c>
      <c r="Y133" s="883"/>
      <c r="Z133" s="875">
        <f t="shared" si="17"/>
        <v>0</v>
      </c>
      <c r="AA133" s="875">
        <f t="shared" si="17"/>
        <v>0</v>
      </c>
      <c r="AB133" s="875">
        <f t="shared" si="17"/>
        <v>0</v>
      </c>
      <c r="AC133" s="878"/>
    </row>
    <row r="134" spans="1:29" ht="41.25" customHeight="1" x14ac:dyDescent="0.2">
      <c r="A134" s="618" t="s">
        <v>952</v>
      </c>
      <c r="B134" s="619" t="s">
        <v>729</v>
      </c>
      <c r="C134" s="620">
        <v>244</v>
      </c>
      <c r="D134" s="620">
        <v>225</v>
      </c>
      <c r="E134" s="596">
        <f t="shared" si="16"/>
        <v>21188</v>
      </c>
      <c r="F134" s="595">
        <f>'Прилож 4 24 (6)'!V134</f>
        <v>0</v>
      </c>
      <c r="G134" s="595">
        <f>'Прилож 4 24 (6)'!W134</f>
        <v>0</v>
      </c>
      <c r="H134" s="595">
        <f>'Прилож 4 24 (6)'!X134</f>
        <v>21188</v>
      </c>
      <c r="I134" s="628"/>
      <c r="J134" s="595">
        <f>'Прилож 4 24 (6)'!Z134</f>
        <v>0</v>
      </c>
      <c r="K134" s="595">
        <f>'Прилож 4 24 (6)'!AA134</f>
        <v>0</v>
      </c>
      <c r="L134" s="595">
        <f>'Прилож 4 24 (6)'!AB134</f>
        <v>0</v>
      </c>
      <c r="M134" s="876">
        <f t="shared" si="20"/>
        <v>0</v>
      </c>
      <c r="N134" s="875"/>
      <c r="O134" s="875"/>
      <c r="P134" s="875"/>
      <c r="Q134" s="877"/>
      <c r="R134" s="875"/>
      <c r="S134" s="875"/>
      <c r="T134" s="875"/>
      <c r="U134" s="876">
        <f t="shared" si="19"/>
        <v>21188</v>
      </c>
      <c r="V134" s="875">
        <f t="shared" si="19"/>
        <v>0</v>
      </c>
      <c r="W134" s="875">
        <f t="shared" si="18"/>
        <v>0</v>
      </c>
      <c r="X134" s="875">
        <f t="shared" si="18"/>
        <v>21188</v>
      </c>
      <c r="Y134" s="883"/>
      <c r="Z134" s="875">
        <f t="shared" si="17"/>
        <v>0</v>
      </c>
      <c r="AA134" s="875">
        <f t="shared" si="17"/>
        <v>0</v>
      </c>
      <c r="AB134" s="875">
        <f t="shared" si="17"/>
        <v>0</v>
      </c>
      <c r="AC134" s="878"/>
    </row>
    <row r="135" spans="1:29" ht="39.75" customHeight="1" x14ac:dyDescent="0.2">
      <c r="A135" s="618" t="s">
        <v>149</v>
      </c>
      <c r="B135" s="619" t="s">
        <v>729</v>
      </c>
      <c r="C135" s="620">
        <v>244</v>
      </c>
      <c r="D135" s="620">
        <v>225</v>
      </c>
      <c r="E135" s="596">
        <f t="shared" si="16"/>
        <v>2652</v>
      </c>
      <c r="F135" s="595">
        <f>'Прилож 4 24 (6)'!V135</f>
        <v>0</v>
      </c>
      <c r="G135" s="595">
        <f>'Прилож 4 24 (6)'!W135</f>
        <v>0</v>
      </c>
      <c r="H135" s="595">
        <f>'Прилож 4 24 (6)'!X135</f>
        <v>2652</v>
      </c>
      <c r="I135" s="628"/>
      <c r="J135" s="595">
        <f>'Прилож 4 24 (6)'!Z135</f>
        <v>0</v>
      </c>
      <c r="K135" s="595">
        <f>'Прилож 4 24 (6)'!AA135</f>
        <v>0</v>
      </c>
      <c r="L135" s="595">
        <f>'Прилож 4 24 (6)'!AB135</f>
        <v>0</v>
      </c>
      <c r="M135" s="876">
        <f t="shared" si="20"/>
        <v>0</v>
      </c>
      <c r="N135" s="875"/>
      <c r="O135" s="875"/>
      <c r="P135" s="875"/>
      <c r="Q135" s="877"/>
      <c r="R135" s="875"/>
      <c r="S135" s="875"/>
      <c r="T135" s="875"/>
      <c r="U135" s="876">
        <f t="shared" si="19"/>
        <v>2652</v>
      </c>
      <c r="V135" s="875">
        <f t="shared" si="19"/>
        <v>0</v>
      </c>
      <c r="W135" s="875">
        <f t="shared" si="18"/>
        <v>0</v>
      </c>
      <c r="X135" s="875">
        <f t="shared" si="18"/>
        <v>2652</v>
      </c>
      <c r="Y135" s="883"/>
      <c r="Z135" s="875">
        <f t="shared" si="17"/>
        <v>0</v>
      </c>
      <c r="AA135" s="875">
        <f t="shared" si="17"/>
        <v>0</v>
      </c>
      <c r="AB135" s="875">
        <f t="shared" si="17"/>
        <v>0</v>
      </c>
      <c r="AC135" s="878"/>
    </row>
    <row r="136" spans="1:29" ht="31.5" x14ac:dyDescent="0.2">
      <c r="A136" s="618" t="s">
        <v>644</v>
      </c>
      <c r="B136" s="619" t="s">
        <v>729</v>
      </c>
      <c r="C136" s="620">
        <v>244</v>
      </c>
      <c r="D136" s="620">
        <v>225</v>
      </c>
      <c r="E136" s="596">
        <f t="shared" si="16"/>
        <v>15000</v>
      </c>
      <c r="F136" s="595">
        <f>'Прилож 4 24 (6)'!V136</f>
        <v>0</v>
      </c>
      <c r="G136" s="595">
        <f>'Прилож 4 24 (6)'!W136</f>
        <v>0</v>
      </c>
      <c r="H136" s="595">
        <f>'Прилож 4 24 (6)'!X136</f>
        <v>15000</v>
      </c>
      <c r="I136" s="628"/>
      <c r="J136" s="595">
        <f>'Прилож 4 24 (6)'!Z136</f>
        <v>0</v>
      </c>
      <c r="K136" s="595">
        <f>'Прилож 4 24 (6)'!AA136</f>
        <v>0</v>
      </c>
      <c r="L136" s="595">
        <f>'Прилож 4 24 (6)'!AB136</f>
        <v>0</v>
      </c>
      <c r="M136" s="876">
        <f t="shared" si="20"/>
        <v>0</v>
      </c>
      <c r="N136" s="875"/>
      <c r="O136" s="875"/>
      <c r="P136" s="875"/>
      <c r="Q136" s="877"/>
      <c r="R136" s="875"/>
      <c r="S136" s="875"/>
      <c r="T136" s="875"/>
      <c r="U136" s="876">
        <f t="shared" si="19"/>
        <v>15000</v>
      </c>
      <c r="V136" s="875">
        <f t="shared" si="19"/>
        <v>0</v>
      </c>
      <c r="W136" s="875">
        <f t="shared" si="18"/>
        <v>0</v>
      </c>
      <c r="X136" s="875">
        <f t="shared" si="18"/>
        <v>15000</v>
      </c>
      <c r="Y136" s="883"/>
      <c r="Z136" s="875">
        <f t="shared" si="17"/>
        <v>0</v>
      </c>
      <c r="AA136" s="875">
        <f t="shared" si="17"/>
        <v>0</v>
      </c>
      <c r="AB136" s="875">
        <f t="shared" si="17"/>
        <v>0</v>
      </c>
      <c r="AC136" s="878"/>
    </row>
    <row r="137" spans="1:29" ht="31.5" x14ac:dyDescent="0.2">
      <c r="A137" s="618" t="s">
        <v>587</v>
      </c>
      <c r="B137" s="619" t="s">
        <v>729</v>
      </c>
      <c r="C137" s="620">
        <v>244</v>
      </c>
      <c r="D137" s="620">
        <v>225</v>
      </c>
      <c r="E137" s="596">
        <f t="shared" si="16"/>
        <v>15624</v>
      </c>
      <c r="F137" s="595">
        <f>'Прилож 4 24 (6)'!V137</f>
        <v>0</v>
      </c>
      <c r="G137" s="595">
        <f>'Прилож 4 24 (6)'!W137</f>
        <v>0</v>
      </c>
      <c r="H137" s="595">
        <f>'Прилож 4 24 (6)'!X137</f>
        <v>15624</v>
      </c>
      <c r="I137" s="628"/>
      <c r="J137" s="595">
        <f>'Прилож 4 24 (6)'!Z137</f>
        <v>0</v>
      </c>
      <c r="K137" s="595">
        <f>'Прилож 4 24 (6)'!AA137</f>
        <v>0</v>
      </c>
      <c r="L137" s="595">
        <f>'Прилож 4 24 (6)'!AB137</f>
        <v>0</v>
      </c>
      <c r="M137" s="876">
        <f t="shared" si="20"/>
        <v>0</v>
      </c>
      <c r="N137" s="875"/>
      <c r="O137" s="875"/>
      <c r="P137" s="875"/>
      <c r="Q137" s="877"/>
      <c r="R137" s="875"/>
      <c r="S137" s="875"/>
      <c r="T137" s="875"/>
      <c r="U137" s="876">
        <f t="shared" si="19"/>
        <v>15624</v>
      </c>
      <c r="V137" s="875">
        <f t="shared" si="19"/>
        <v>0</v>
      </c>
      <c r="W137" s="875">
        <f t="shared" si="18"/>
        <v>0</v>
      </c>
      <c r="X137" s="875">
        <f t="shared" si="18"/>
        <v>15624</v>
      </c>
      <c r="Y137" s="883"/>
      <c r="Z137" s="875">
        <f t="shared" si="17"/>
        <v>0</v>
      </c>
      <c r="AA137" s="875">
        <f t="shared" si="17"/>
        <v>0</v>
      </c>
      <c r="AB137" s="875">
        <f t="shared" si="17"/>
        <v>0</v>
      </c>
      <c r="AC137" s="878"/>
    </row>
    <row r="138" spans="1:29" ht="28.5" customHeight="1" x14ac:dyDescent="0.2">
      <c r="A138" s="618" t="s">
        <v>1208</v>
      </c>
      <c r="B138" s="619" t="s">
        <v>729</v>
      </c>
      <c r="C138" s="620">
        <v>244</v>
      </c>
      <c r="D138" s="620">
        <v>225</v>
      </c>
      <c r="E138" s="596">
        <f t="shared" si="16"/>
        <v>0</v>
      </c>
      <c r="F138" s="595">
        <f>'Прилож 4 24 (6)'!V138</f>
        <v>0</v>
      </c>
      <c r="G138" s="595">
        <f>'Прилож 4 24 (6)'!W138</f>
        <v>0</v>
      </c>
      <c r="H138" s="595">
        <f>'Прилож 4 24 (6)'!X138</f>
        <v>0</v>
      </c>
      <c r="I138" s="628"/>
      <c r="J138" s="595">
        <f>'Прилож 4 24 (6)'!Z138</f>
        <v>0</v>
      </c>
      <c r="K138" s="595">
        <f>'Прилож 4 24 (6)'!AA138</f>
        <v>0</v>
      </c>
      <c r="L138" s="595">
        <f>'Прилож 4 24 (6)'!AB138</f>
        <v>0</v>
      </c>
      <c r="M138" s="876">
        <f t="shared" si="20"/>
        <v>0</v>
      </c>
      <c r="N138" s="875"/>
      <c r="O138" s="875"/>
      <c r="P138" s="875"/>
      <c r="Q138" s="877"/>
      <c r="R138" s="875"/>
      <c r="S138" s="875"/>
      <c r="T138" s="875"/>
      <c r="U138" s="876">
        <f t="shared" si="19"/>
        <v>0</v>
      </c>
      <c r="V138" s="875">
        <f t="shared" si="19"/>
        <v>0</v>
      </c>
      <c r="W138" s="875">
        <f t="shared" si="18"/>
        <v>0</v>
      </c>
      <c r="X138" s="875">
        <f t="shared" si="18"/>
        <v>0</v>
      </c>
      <c r="Y138" s="883"/>
      <c r="Z138" s="875">
        <f t="shared" si="17"/>
        <v>0</v>
      </c>
      <c r="AA138" s="875">
        <f t="shared" si="17"/>
        <v>0</v>
      </c>
      <c r="AB138" s="875">
        <f t="shared" si="17"/>
        <v>0</v>
      </c>
      <c r="AC138" s="878"/>
    </row>
    <row r="139" spans="1:29" ht="31.5" x14ac:dyDescent="0.2">
      <c r="A139" s="618" t="s">
        <v>157</v>
      </c>
      <c r="B139" s="619" t="s">
        <v>729</v>
      </c>
      <c r="C139" s="620">
        <v>244</v>
      </c>
      <c r="D139" s="620">
        <v>225</v>
      </c>
      <c r="E139" s="596">
        <f t="shared" si="16"/>
        <v>10000</v>
      </c>
      <c r="F139" s="595">
        <f>'Прилож 4 24 (6)'!V139</f>
        <v>0</v>
      </c>
      <c r="G139" s="595">
        <f>'Прилож 4 24 (6)'!W139</f>
        <v>0</v>
      </c>
      <c r="H139" s="595">
        <f>'Прилож 4 24 (6)'!X139</f>
        <v>10000</v>
      </c>
      <c r="I139" s="628"/>
      <c r="J139" s="595">
        <f>'Прилож 4 24 (6)'!Z139</f>
        <v>0</v>
      </c>
      <c r="K139" s="595">
        <f>'Прилож 4 24 (6)'!AA139</f>
        <v>0</v>
      </c>
      <c r="L139" s="595">
        <f>'Прилож 4 24 (6)'!AB139</f>
        <v>0</v>
      </c>
      <c r="M139" s="876">
        <f t="shared" si="20"/>
        <v>0</v>
      </c>
      <c r="N139" s="875"/>
      <c r="O139" s="875"/>
      <c r="P139" s="875"/>
      <c r="Q139" s="877"/>
      <c r="R139" s="875"/>
      <c r="S139" s="875"/>
      <c r="T139" s="875"/>
      <c r="U139" s="876">
        <f t="shared" si="19"/>
        <v>10000</v>
      </c>
      <c r="V139" s="875">
        <f t="shared" si="19"/>
        <v>0</v>
      </c>
      <c r="W139" s="875">
        <f t="shared" si="18"/>
        <v>0</v>
      </c>
      <c r="X139" s="875">
        <f t="shared" si="18"/>
        <v>10000</v>
      </c>
      <c r="Y139" s="883"/>
      <c r="Z139" s="875">
        <f t="shared" si="17"/>
        <v>0</v>
      </c>
      <c r="AA139" s="875">
        <f t="shared" si="17"/>
        <v>0</v>
      </c>
      <c r="AB139" s="875">
        <f t="shared" si="17"/>
        <v>0</v>
      </c>
      <c r="AC139" s="878"/>
    </row>
    <row r="140" spans="1:29" ht="30" customHeight="1" x14ac:dyDescent="0.2">
      <c r="A140" s="618" t="s">
        <v>583</v>
      </c>
      <c r="B140" s="619" t="s">
        <v>729</v>
      </c>
      <c r="C140" s="620">
        <v>244</v>
      </c>
      <c r="D140" s="620">
        <v>225</v>
      </c>
      <c r="E140" s="596">
        <f t="shared" si="16"/>
        <v>10310</v>
      </c>
      <c r="F140" s="595">
        <f>'Прилож 4 24 (6)'!V140</f>
        <v>0</v>
      </c>
      <c r="G140" s="595">
        <f>'Прилож 4 24 (6)'!W140</f>
        <v>0</v>
      </c>
      <c r="H140" s="595">
        <f>'Прилож 4 24 (6)'!X140</f>
        <v>10310</v>
      </c>
      <c r="I140" s="628"/>
      <c r="J140" s="595">
        <f>'Прилож 4 24 (6)'!Z140</f>
        <v>0</v>
      </c>
      <c r="K140" s="595">
        <f>'Прилож 4 24 (6)'!AA140</f>
        <v>0</v>
      </c>
      <c r="L140" s="595">
        <f>'Прилож 4 24 (6)'!AB140</f>
        <v>0</v>
      </c>
      <c r="M140" s="876">
        <f t="shared" si="20"/>
        <v>0</v>
      </c>
      <c r="N140" s="875"/>
      <c r="O140" s="875"/>
      <c r="P140" s="875"/>
      <c r="Q140" s="877"/>
      <c r="R140" s="875"/>
      <c r="S140" s="875"/>
      <c r="T140" s="875"/>
      <c r="U140" s="876">
        <f t="shared" si="19"/>
        <v>10310</v>
      </c>
      <c r="V140" s="875">
        <f t="shared" si="19"/>
        <v>0</v>
      </c>
      <c r="W140" s="875">
        <f t="shared" si="18"/>
        <v>0</v>
      </c>
      <c r="X140" s="875">
        <f t="shared" si="18"/>
        <v>10310</v>
      </c>
      <c r="Y140" s="883"/>
      <c r="Z140" s="875">
        <f t="shared" si="17"/>
        <v>0</v>
      </c>
      <c r="AA140" s="875">
        <f t="shared" si="17"/>
        <v>0</v>
      </c>
      <c r="AB140" s="875">
        <f t="shared" si="17"/>
        <v>0</v>
      </c>
      <c r="AC140" s="878"/>
    </row>
    <row r="141" spans="1:29" ht="31.5" customHeight="1" x14ac:dyDescent="0.2">
      <c r="A141" s="618" t="s">
        <v>1204</v>
      </c>
      <c r="B141" s="619" t="s">
        <v>729</v>
      </c>
      <c r="C141" s="620">
        <v>244</v>
      </c>
      <c r="D141" s="620">
        <v>225</v>
      </c>
      <c r="E141" s="596">
        <f t="shared" ref="E141:E208" si="21">L141+K141+J141+H141+G141+F141</f>
        <v>36178</v>
      </c>
      <c r="F141" s="595">
        <f>'Прилож 4 24 (6)'!V141</f>
        <v>0</v>
      </c>
      <c r="G141" s="595">
        <f>'Прилож 4 24 (6)'!W141</f>
        <v>0</v>
      </c>
      <c r="H141" s="595">
        <f>'Прилож 4 24 (6)'!X141</f>
        <v>36178</v>
      </c>
      <c r="I141" s="628"/>
      <c r="J141" s="595">
        <f>'Прилож 4 24 (6)'!Z141</f>
        <v>0</v>
      </c>
      <c r="K141" s="595">
        <f>'Прилож 4 24 (6)'!AA141</f>
        <v>0</v>
      </c>
      <c r="L141" s="595">
        <f>'Прилож 4 24 (6)'!AB141</f>
        <v>0</v>
      </c>
      <c r="M141" s="876">
        <f t="shared" si="20"/>
        <v>0</v>
      </c>
      <c r="N141" s="875"/>
      <c r="O141" s="875"/>
      <c r="P141" s="875"/>
      <c r="Q141" s="877"/>
      <c r="R141" s="875"/>
      <c r="S141" s="875"/>
      <c r="T141" s="875"/>
      <c r="U141" s="876">
        <f t="shared" si="19"/>
        <v>36178</v>
      </c>
      <c r="V141" s="875">
        <f t="shared" si="19"/>
        <v>0</v>
      </c>
      <c r="W141" s="875">
        <f t="shared" si="18"/>
        <v>0</v>
      </c>
      <c r="X141" s="875">
        <f t="shared" si="18"/>
        <v>36178</v>
      </c>
      <c r="Y141" s="883"/>
      <c r="Z141" s="875">
        <f t="shared" si="17"/>
        <v>0</v>
      </c>
      <c r="AA141" s="875">
        <f t="shared" si="17"/>
        <v>0</v>
      </c>
      <c r="AB141" s="875">
        <f t="shared" si="17"/>
        <v>0</v>
      </c>
      <c r="AC141" s="878"/>
    </row>
    <row r="142" spans="1:29" ht="47.25" x14ac:dyDescent="0.2">
      <c r="A142" s="618" t="s">
        <v>1327</v>
      </c>
      <c r="B142" s="619" t="s">
        <v>729</v>
      </c>
      <c r="C142" s="620">
        <v>244</v>
      </c>
      <c r="D142" s="620">
        <v>225</v>
      </c>
      <c r="E142" s="596">
        <f t="shared" si="21"/>
        <v>0</v>
      </c>
      <c r="F142" s="595">
        <f>'Прилож 4 24 (6)'!V142</f>
        <v>0</v>
      </c>
      <c r="G142" s="595">
        <f>'Прилож 4 24 (6)'!W142</f>
        <v>0</v>
      </c>
      <c r="H142" s="595">
        <f>'Прилож 4 24 (6)'!X142</f>
        <v>0</v>
      </c>
      <c r="I142" s="621" t="s">
        <v>1314</v>
      </c>
      <c r="J142" s="595">
        <f>'Прилож 4 24 (6)'!Z142</f>
        <v>0</v>
      </c>
      <c r="K142" s="595">
        <f>'Прилож 4 24 (6)'!AA142</f>
        <v>0</v>
      </c>
      <c r="L142" s="595">
        <f>'Прилож 4 24 (6)'!AB142</f>
        <v>0</v>
      </c>
      <c r="M142" s="876">
        <f t="shared" si="20"/>
        <v>0</v>
      </c>
      <c r="N142" s="875"/>
      <c r="O142" s="875"/>
      <c r="P142" s="875"/>
      <c r="Q142" s="621"/>
      <c r="R142" s="875"/>
      <c r="S142" s="875"/>
      <c r="T142" s="875"/>
      <c r="U142" s="876">
        <f t="shared" si="19"/>
        <v>0</v>
      </c>
      <c r="V142" s="875">
        <f t="shared" si="19"/>
        <v>0</v>
      </c>
      <c r="W142" s="875">
        <f t="shared" si="18"/>
        <v>0</v>
      </c>
      <c r="X142" s="875">
        <f t="shared" si="18"/>
        <v>0</v>
      </c>
      <c r="Y142" s="877" t="s">
        <v>1314</v>
      </c>
      <c r="Z142" s="875">
        <f t="shared" si="17"/>
        <v>0</v>
      </c>
      <c r="AA142" s="875">
        <f t="shared" si="17"/>
        <v>0</v>
      </c>
      <c r="AB142" s="875">
        <f t="shared" si="17"/>
        <v>0</v>
      </c>
      <c r="AC142" s="878"/>
    </row>
    <row r="143" spans="1:29" ht="37.5" customHeight="1" x14ac:dyDescent="0.2">
      <c r="A143" s="994" t="s">
        <v>1446</v>
      </c>
      <c r="B143" s="619" t="s">
        <v>729</v>
      </c>
      <c r="C143" s="620">
        <v>244</v>
      </c>
      <c r="D143" s="620">
        <v>225</v>
      </c>
      <c r="E143" s="596">
        <f t="shared" si="21"/>
        <v>249291.8</v>
      </c>
      <c r="F143" s="595">
        <f>'Прилож 4 24 (6)'!V143</f>
        <v>0</v>
      </c>
      <c r="G143" s="595">
        <f>'Прилож 4 24 (6)'!W143</f>
        <v>0</v>
      </c>
      <c r="H143" s="595">
        <f>'Прилож 4 24 (6)'!X143</f>
        <v>0</v>
      </c>
      <c r="I143" s="621" t="s">
        <v>1314</v>
      </c>
      <c r="J143" s="595">
        <f>'Прилож 4 24 (6)'!Z143</f>
        <v>0</v>
      </c>
      <c r="K143" s="595">
        <f>'Прилож 4 24 (6)'!AA143</f>
        <v>249291.8</v>
      </c>
      <c r="L143" s="595">
        <f>'Прилож 4 24 (6)'!AB143</f>
        <v>0</v>
      </c>
      <c r="M143" s="876">
        <f t="shared" si="20"/>
        <v>0</v>
      </c>
      <c r="N143" s="875"/>
      <c r="O143" s="875"/>
      <c r="P143" s="875"/>
      <c r="Q143" s="621"/>
      <c r="R143" s="875"/>
      <c r="S143" s="875"/>
      <c r="T143" s="875"/>
      <c r="U143" s="876">
        <f t="shared" si="19"/>
        <v>249291.8</v>
      </c>
      <c r="V143" s="875">
        <f t="shared" si="19"/>
        <v>0</v>
      </c>
      <c r="W143" s="875">
        <f t="shared" si="18"/>
        <v>0</v>
      </c>
      <c r="X143" s="875">
        <f t="shared" si="18"/>
        <v>0</v>
      </c>
      <c r="Y143" s="877" t="s">
        <v>1314</v>
      </c>
      <c r="Z143" s="875">
        <f t="shared" si="17"/>
        <v>0</v>
      </c>
      <c r="AA143" s="875">
        <f t="shared" si="17"/>
        <v>249291.8</v>
      </c>
      <c r="AB143" s="875">
        <f t="shared" si="17"/>
        <v>0</v>
      </c>
      <c r="AC143" s="878"/>
    </row>
    <row r="144" spans="1:29" ht="38.25" customHeight="1" x14ac:dyDescent="0.2">
      <c r="A144" s="994" t="s">
        <v>1447</v>
      </c>
      <c r="B144" s="619" t="s">
        <v>729</v>
      </c>
      <c r="C144" s="620">
        <v>244</v>
      </c>
      <c r="D144" s="620">
        <v>225</v>
      </c>
      <c r="E144" s="596">
        <f t="shared" si="21"/>
        <v>601984.80000000005</v>
      </c>
      <c r="F144" s="595">
        <f>'Прилож 4 24 (6)'!V144</f>
        <v>0</v>
      </c>
      <c r="G144" s="595">
        <f>'Прилож 4 24 (6)'!W144</f>
        <v>0</v>
      </c>
      <c r="H144" s="595">
        <f>'Прилож 4 24 (6)'!X144</f>
        <v>0</v>
      </c>
      <c r="I144" s="621" t="s">
        <v>1314</v>
      </c>
      <c r="J144" s="595">
        <f>'Прилож 4 24 (6)'!Z144</f>
        <v>0</v>
      </c>
      <c r="K144" s="595">
        <f>'Прилож 4 24 (6)'!AA144</f>
        <v>601984.80000000005</v>
      </c>
      <c r="L144" s="595">
        <f>'Прилож 4 24 (6)'!AB144</f>
        <v>0</v>
      </c>
      <c r="M144" s="876">
        <f t="shared" si="20"/>
        <v>-333112.14</v>
      </c>
      <c r="N144" s="875"/>
      <c r="O144" s="875"/>
      <c r="P144" s="875"/>
      <c r="Q144" s="621" t="s">
        <v>1314</v>
      </c>
      <c r="R144" s="875"/>
      <c r="S144" s="875">
        <v>-333112.14</v>
      </c>
      <c r="T144" s="875"/>
      <c r="U144" s="876">
        <f t="shared" si="19"/>
        <v>268872.66000000003</v>
      </c>
      <c r="V144" s="875">
        <f t="shared" si="19"/>
        <v>0</v>
      </c>
      <c r="W144" s="875">
        <f t="shared" si="18"/>
        <v>0</v>
      </c>
      <c r="X144" s="875">
        <f t="shared" si="18"/>
        <v>0</v>
      </c>
      <c r="Y144" s="877" t="s">
        <v>1314</v>
      </c>
      <c r="Z144" s="875">
        <f t="shared" si="17"/>
        <v>0</v>
      </c>
      <c r="AA144" s="875">
        <f t="shared" si="17"/>
        <v>268872.66000000003</v>
      </c>
      <c r="AB144" s="875">
        <f t="shared" si="17"/>
        <v>0</v>
      </c>
      <c r="AC144" s="878" t="s">
        <v>1476</v>
      </c>
    </row>
    <row r="145" spans="1:30" ht="38.25" customHeight="1" x14ac:dyDescent="0.2">
      <c r="A145" s="994" t="s">
        <v>1460</v>
      </c>
      <c r="B145" s="619" t="s">
        <v>729</v>
      </c>
      <c r="C145" s="620">
        <v>244</v>
      </c>
      <c r="D145" s="620">
        <v>225</v>
      </c>
      <c r="E145" s="596"/>
      <c r="F145" s="595">
        <f>'Прилож 4 24 (6)'!V145</f>
        <v>0</v>
      </c>
      <c r="G145" s="595">
        <f>'Прилож 4 24 (6)'!W145</f>
        <v>0</v>
      </c>
      <c r="H145" s="595">
        <f>'Прилож 4 24 (6)'!X145</f>
        <v>18000</v>
      </c>
      <c r="I145" s="621"/>
      <c r="J145" s="595">
        <f>'Прилож 4 24 (6)'!Z145</f>
        <v>0</v>
      </c>
      <c r="K145" s="595">
        <f>'Прилож 4 24 (6)'!AA145</f>
        <v>0</v>
      </c>
      <c r="L145" s="595">
        <f>'Прилож 4 24 (6)'!AB145</f>
        <v>0</v>
      </c>
      <c r="M145" s="876">
        <f t="shared" si="20"/>
        <v>0</v>
      </c>
      <c r="N145" s="875"/>
      <c r="O145" s="875"/>
      <c r="P145" s="875"/>
      <c r="Q145" s="621"/>
      <c r="R145" s="875"/>
      <c r="S145" s="875"/>
      <c r="T145" s="875"/>
      <c r="U145" s="876">
        <f t="shared" si="19"/>
        <v>0</v>
      </c>
      <c r="V145" s="875">
        <f t="shared" si="19"/>
        <v>0</v>
      </c>
      <c r="W145" s="875">
        <f t="shared" si="18"/>
        <v>0</v>
      </c>
      <c r="X145" s="875">
        <f t="shared" si="18"/>
        <v>18000</v>
      </c>
      <c r="Y145" s="877"/>
      <c r="Z145" s="875">
        <f t="shared" si="17"/>
        <v>0</v>
      </c>
      <c r="AA145" s="875">
        <f t="shared" si="17"/>
        <v>0</v>
      </c>
      <c r="AB145" s="875">
        <f t="shared" si="17"/>
        <v>0</v>
      </c>
      <c r="AC145" s="878"/>
    </row>
    <row r="146" spans="1:30" ht="38.25" customHeight="1" x14ac:dyDescent="0.2">
      <c r="A146" s="994" t="s">
        <v>1474</v>
      </c>
      <c r="B146" s="619" t="s">
        <v>729</v>
      </c>
      <c r="C146" s="620">
        <v>244</v>
      </c>
      <c r="D146" s="620">
        <v>225</v>
      </c>
      <c r="E146" s="596"/>
      <c r="F146" s="595"/>
      <c r="G146" s="595"/>
      <c r="H146" s="595"/>
      <c r="I146" s="621"/>
      <c r="J146" s="595"/>
      <c r="K146" s="595"/>
      <c r="L146" s="595"/>
      <c r="M146" s="876">
        <f t="shared" si="20"/>
        <v>491120.73</v>
      </c>
      <c r="N146" s="875"/>
      <c r="O146" s="875"/>
      <c r="P146" s="875"/>
      <c r="Q146" s="621" t="s">
        <v>1314</v>
      </c>
      <c r="R146" s="875"/>
      <c r="S146" s="875">
        <v>491120.73</v>
      </c>
      <c r="T146" s="875"/>
      <c r="U146" s="876">
        <f t="shared" si="19"/>
        <v>491120.73</v>
      </c>
      <c r="V146" s="875">
        <f t="shared" si="19"/>
        <v>0</v>
      </c>
      <c r="W146" s="875">
        <f t="shared" si="18"/>
        <v>0</v>
      </c>
      <c r="X146" s="875">
        <f t="shared" si="18"/>
        <v>0</v>
      </c>
      <c r="Y146" s="877" t="s">
        <v>1314</v>
      </c>
      <c r="Z146" s="875">
        <f t="shared" si="17"/>
        <v>0</v>
      </c>
      <c r="AA146" s="875">
        <f t="shared" si="17"/>
        <v>491120.73</v>
      </c>
      <c r="AB146" s="875"/>
      <c r="AC146" s="878" t="s">
        <v>1476</v>
      </c>
    </row>
    <row r="147" spans="1:30" ht="66" customHeight="1" x14ac:dyDescent="0.2">
      <c r="A147" s="994" t="s">
        <v>1475</v>
      </c>
      <c r="B147" s="619" t="s">
        <v>729</v>
      </c>
      <c r="C147" s="620">
        <v>244</v>
      </c>
      <c r="D147" s="620">
        <v>225</v>
      </c>
      <c r="E147" s="596"/>
      <c r="F147" s="595"/>
      <c r="G147" s="595"/>
      <c r="H147" s="595"/>
      <c r="I147" s="621"/>
      <c r="J147" s="595"/>
      <c r="K147" s="595"/>
      <c r="L147" s="595"/>
      <c r="M147" s="876">
        <f t="shared" si="20"/>
        <v>183401.27</v>
      </c>
      <c r="N147" s="875"/>
      <c r="O147" s="875"/>
      <c r="P147" s="875"/>
      <c r="Q147" s="621" t="s">
        <v>1314</v>
      </c>
      <c r="R147" s="875"/>
      <c r="S147" s="875">
        <v>183401.27</v>
      </c>
      <c r="T147" s="875"/>
      <c r="U147" s="876">
        <f t="shared" si="19"/>
        <v>183401.27</v>
      </c>
      <c r="V147" s="875">
        <f t="shared" si="19"/>
        <v>0</v>
      </c>
      <c r="W147" s="875">
        <f t="shared" si="18"/>
        <v>0</v>
      </c>
      <c r="X147" s="875">
        <f t="shared" si="18"/>
        <v>0</v>
      </c>
      <c r="Y147" s="877" t="s">
        <v>1314</v>
      </c>
      <c r="Z147" s="875">
        <f t="shared" si="17"/>
        <v>0</v>
      </c>
      <c r="AA147" s="875">
        <f t="shared" si="17"/>
        <v>183401.27</v>
      </c>
      <c r="AB147" s="875"/>
      <c r="AC147" s="878" t="s">
        <v>1478</v>
      </c>
    </row>
    <row r="148" spans="1:30" s="637" customFormat="1" x14ac:dyDescent="0.2">
      <c r="A148" s="1016" t="s">
        <v>1143</v>
      </c>
      <c r="B148" s="633" t="s">
        <v>729</v>
      </c>
      <c r="C148" s="634">
        <v>244</v>
      </c>
      <c r="D148" s="634">
        <v>225</v>
      </c>
      <c r="E148" s="596">
        <f t="shared" si="21"/>
        <v>1398828.4799999995</v>
      </c>
      <c r="F148" s="595">
        <f>'Прилож 4 24 (6)'!V146</f>
        <v>0</v>
      </c>
      <c r="G148" s="595">
        <f>'Прилож 4 24 (6)'!W146</f>
        <v>0</v>
      </c>
      <c r="H148" s="595">
        <f>'Прилож 4 24 (6)'!X146</f>
        <v>547551.88</v>
      </c>
      <c r="I148" s="635"/>
      <c r="J148" s="595">
        <f>'Прилож 4 24 (6)'!Z146</f>
        <v>0</v>
      </c>
      <c r="K148" s="595">
        <f>'Прилож 4 24 (6)'!AA146</f>
        <v>851276.59999999963</v>
      </c>
      <c r="L148" s="595">
        <f>'Прилож 4 24 (6)'!AB146</f>
        <v>0</v>
      </c>
      <c r="M148" s="876">
        <f>N148+P148+R148+S148+T148+O148</f>
        <v>341409.86</v>
      </c>
      <c r="N148" s="891"/>
      <c r="O148" s="891"/>
      <c r="P148" s="892">
        <f>SUM(P123:P145)</f>
        <v>0</v>
      </c>
      <c r="Q148" s="885"/>
      <c r="R148" s="884">
        <f>SUM(R123:R147)</f>
        <v>0</v>
      </c>
      <c r="S148" s="884">
        <f>SUM(S123:S147)</f>
        <v>341409.86</v>
      </c>
      <c r="T148" s="884"/>
      <c r="U148" s="876">
        <f>E148+M148</f>
        <v>1740238.3399999994</v>
      </c>
      <c r="V148" s="875">
        <f t="shared" si="19"/>
        <v>0</v>
      </c>
      <c r="W148" s="875">
        <f t="shared" si="18"/>
        <v>0</v>
      </c>
      <c r="X148" s="875">
        <f t="shared" si="18"/>
        <v>547551.88</v>
      </c>
      <c r="Y148" s="885"/>
      <c r="Z148" s="875">
        <f t="shared" si="17"/>
        <v>0</v>
      </c>
      <c r="AA148" s="875">
        <f t="shared" si="17"/>
        <v>1192686.4599999995</v>
      </c>
      <c r="AB148" s="875">
        <f t="shared" si="17"/>
        <v>0</v>
      </c>
      <c r="AC148" s="886"/>
    </row>
    <row r="149" spans="1:30" ht="36" customHeight="1" x14ac:dyDescent="0.2">
      <c r="A149" s="994" t="s">
        <v>677</v>
      </c>
      <c r="B149" s="619" t="s">
        <v>691</v>
      </c>
      <c r="C149" s="620">
        <v>244</v>
      </c>
      <c r="D149" s="620">
        <v>225</v>
      </c>
      <c r="E149" s="596">
        <f t="shared" si="21"/>
        <v>13451.999999999998</v>
      </c>
      <c r="F149" s="595">
        <f>'Прилож 4 24 (6)'!V147</f>
        <v>0</v>
      </c>
      <c r="G149" s="595">
        <f>'Прилож 4 24 (6)'!W147</f>
        <v>0</v>
      </c>
      <c r="H149" s="595">
        <f>'Прилож 4 24 (6)'!X147</f>
        <v>11086.939999999999</v>
      </c>
      <c r="I149" s="628"/>
      <c r="J149" s="595">
        <f>'Прилож 4 24 (6)'!Z147</f>
        <v>0</v>
      </c>
      <c r="K149" s="595">
        <f>'Прилож 4 24 (6)'!AA147</f>
        <v>0</v>
      </c>
      <c r="L149" s="595">
        <f>'Прилож 4 24 (6)'!AB147</f>
        <v>2365.06</v>
      </c>
      <c r="M149" s="876">
        <f t="shared" si="20"/>
        <v>0</v>
      </c>
      <c r="N149" s="875"/>
      <c r="O149" s="875"/>
      <c r="P149" s="875"/>
      <c r="Q149" s="877"/>
      <c r="R149" s="875"/>
      <c r="S149" s="875"/>
      <c r="T149" s="875"/>
      <c r="U149" s="876">
        <f t="shared" si="19"/>
        <v>13451.999999999998</v>
      </c>
      <c r="V149" s="875">
        <f t="shared" si="19"/>
        <v>0</v>
      </c>
      <c r="W149" s="875">
        <f t="shared" si="18"/>
        <v>0</v>
      </c>
      <c r="X149" s="875">
        <f t="shared" si="18"/>
        <v>11086.939999999999</v>
      </c>
      <c r="Y149" s="883"/>
      <c r="Z149" s="875">
        <f t="shared" ref="Z149:AB218" si="22">R149+J149</f>
        <v>0</v>
      </c>
      <c r="AA149" s="875">
        <f t="shared" si="22"/>
        <v>0</v>
      </c>
      <c r="AB149" s="875">
        <f t="shared" si="22"/>
        <v>2365.06</v>
      </c>
      <c r="AC149" s="878"/>
    </row>
    <row r="150" spans="1:30" ht="36" customHeight="1" x14ac:dyDescent="0.2">
      <c r="A150" s="994" t="s">
        <v>1436</v>
      </c>
      <c r="B150" s="619" t="s">
        <v>691</v>
      </c>
      <c r="C150" s="620">
        <v>244</v>
      </c>
      <c r="D150" s="620">
        <v>225</v>
      </c>
      <c r="E150" s="596">
        <f t="shared" si="21"/>
        <v>10200</v>
      </c>
      <c r="F150" s="595">
        <f>'Прилож 4 24 (6)'!V148</f>
        <v>0</v>
      </c>
      <c r="G150" s="595">
        <f>'Прилож 4 24 (6)'!W148</f>
        <v>0</v>
      </c>
      <c r="H150" s="595">
        <f>'Прилож 4 24 (6)'!X148</f>
        <v>0</v>
      </c>
      <c r="I150" s="877" t="s">
        <v>1440</v>
      </c>
      <c r="J150" s="595">
        <f>'Прилож 4 24 (6)'!Z148</f>
        <v>0</v>
      </c>
      <c r="K150" s="595">
        <f>'Прилож 4 24 (6)'!AA148</f>
        <v>10200</v>
      </c>
      <c r="L150" s="595">
        <f>'Прилож 4 24 (6)'!AB148</f>
        <v>0</v>
      </c>
      <c r="M150" s="876">
        <f t="shared" si="20"/>
        <v>0</v>
      </c>
      <c r="N150" s="875"/>
      <c r="O150" s="875"/>
      <c r="P150" s="875"/>
      <c r="Q150" s="877"/>
      <c r="R150" s="875"/>
      <c r="S150" s="875"/>
      <c r="T150" s="875"/>
      <c r="U150" s="876">
        <f t="shared" si="19"/>
        <v>10200</v>
      </c>
      <c r="V150" s="875"/>
      <c r="W150" s="875"/>
      <c r="X150" s="875"/>
      <c r="Y150" s="877" t="s">
        <v>1440</v>
      </c>
      <c r="Z150" s="875"/>
      <c r="AA150" s="875">
        <f t="shared" si="22"/>
        <v>10200</v>
      </c>
      <c r="AB150" s="875"/>
      <c r="AC150" s="878"/>
    </row>
    <row r="151" spans="1:30" ht="17.25" customHeight="1" x14ac:dyDescent="0.2">
      <c r="A151" s="632" t="s">
        <v>1143</v>
      </c>
      <c r="B151" s="633" t="s">
        <v>691</v>
      </c>
      <c r="C151" s="634">
        <v>244</v>
      </c>
      <c r="D151" s="634">
        <v>225</v>
      </c>
      <c r="E151" s="596">
        <f t="shared" si="21"/>
        <v>23652</v>
      </c>
      <c r="F151" s="595">
        <f>'Прилож 4 24 (6)'!V149</f>
        <v>0</v>
      </c>
      <c r="G151" s="595">
        <f>'Прилож 4 24 (6)'!W149</f>
        <v>0</v>
      </c>
      <c r="H151" s="595">
        <f>'Прилож 4 24 (6)'!X149</f>
        <v>11086.939999999999</v>
      </c>
      <c r="I151" s="628"/>
      <c r="J151" s="595">
        <f>'Прилож 4 24 (6)'!Z149</f>
        <v>0</v>
      </c>
      <c r="K151" s="595">
        <f>'Прилож 4 24 (6)'!AA149</f>
        <v>10200</v>
      </c>
      <c r="L151" s="595">
        <f>'Прилож 4 24 (6)'!AB149</f>
        <v>2365.06</v>
      </c>
      <c r="M151" s="876">
        <f t="shared" si="20"/>
        <v>0</v>
      </c>
      <c r="N151" s="875"/>
      <c r="O151" s="875"/>
      <c r="P151" s="875"/>
      <c r="Q151" s="877"/>
      <c r="R151" s="875"/>
      <c r="S151" s="875">
        <f>SUM(S149:S150)</f>
        <v>0</v>
      </c>
      <c r="T151" s="875"/>
      <c r="U151" s="876">
        <f t="shared" si="19"/>
        <v>23652</v>
      </c>
      <c r="V151" s="875"/>
      <c r="W151" s="875"/>
      <c r="X151" s="875">
        <f>SUM(X149:X150)</f>
        <v>11086.939999999999</v>
      </c>
      <c r="Y151" s="883"/>
      <c r="Z151" s="875"/>
      <c r="AA151" s="875">
        <f>SUM(AA149:AA150)</f>
        <v>10200</v>
      </c>
      <c r="AB151" s="875">
        <f>SUM(AB149:AB150)</f>
        <v>2365.06</v>
      </c>
      <c r="AC151" s="878"/>
    </row>
    <row r="152" spans="1:30" s="614" customFormat="1" x14ac:dyDescent="0.2">
      <c r="A152" s="630" t="s">
        <v>738</v>
      </c>
      <c r="B152" s="631"/>
      <c r="C152" s="624"/>
      <c r="D152" s="624"/>
      <c r="E152" s="596">
        <f t="shared" si="21"/>
        <v>2602583.66</v>
      </c>
      <c r="F152" s="595">
        <f>'Прилож 4 24 (6)'!V150</f>
        <v>0</v>
      </c>
      <c r="G152" s="595">
        <f>'Прилож 4 24 (6)'!W150</f>
        <v>0</v>
      </c>
      <c r="H152" s="595">
        <f>'Прилож 4 24 (6)'!X150</f>
        <v>924619.60000000009</v>
      </c>
      <c r="I152" s="626"/>
      <c r="J152" s="595">
        <f>'Прилож 4 24 (6)'!Z150</f>
        <v>0</v>
      </c>
      <c r="K152" s="595">
        <f>'Прилож 4 24 (6)'!AA150</f>
        <v>1675599</v>
      </c>
      <c r="L152" s="595">
        <f>'Прилож 4 24 (6)'!AB150</f>
        <v>2365.06</v>
      </c>
      <c r="M152" s="876">
        <f t="shared" si="20"/>
        <v>341409.86</v>
      </c>
      <c r="N152" s="876">
        <f>N122+N148+N149</f>
        <v>0</v>
      </c>
      <c r="O152" s="876"/>
      <c r="P152" s="876">
        <f>P122+P148+P149</f>
        <v>0</v>
      </c>
      <c r="Q152" s="881"/>
      <c r="R152" s="876"/>
      <c r="S152" s="876">
        <f>S148+S122+S151</f>
        <v>341409.86</v>
      </c>
      <c r="T152" s="876"/>
      <c r="U152" s="876">
        <f t="shared" si="19"/>
        <v>2943993.52</v>
      </c>
      <c r="V152" s="875">
        <f t="shared" si="19"/>
        <v>0</v>
      </c>
      <c r="W152" s="875">
        <f t="shared" si="18"/>
        <v>0</v>
      </c>
      <c r="X152" s="875">
        <f t="shared" si="18"/>
        <v>924619.60000000009</v>
      </c>
      <c r="Y152" s="881"/>
      <c r="Z152" s="875">
        <f t="shared" si="22"/>
        <v>0</v>
      </c>
      <c r="AA152" s="875">
        <f t="shared" si="22"/>
        <v>2017008.8599999999</v>
      </c>
      <c r="AB152" s="875">
        <f>T152+L152</f>
        <v>2365.06</v>
      </c>
      <c r="AC152" s="879"/>
      <c r="AD152" s="818"/>
    </row>
    <row r="153" spans="1:30" ht="31.5" x14ac:dyDescent="0.2">
      <c r="A153" s="618" t="s">
        <v>586</v>
      </c>
      <c r="B153" s="619" t="s">
        <v>747</v>
      </c>
      <c r="C153" s="620">
        <v>244</v>
      </c>
      <c r="D153" s="620">
        <v>226</v>
      </c>
      <c r="E153" s="596">
        <f t="shared" si="21"/>
        <v>53845.919999999998</v>
      </c>
      <c r="F153" s="595">
        <f>'Прилож 4 24 (6)'!V151</f>
        <v>0</v>
      </c>
      <c r="G153" s="595">
        <f>'Прилож 4 24 (6)'!W151</f>
        <v>0</v>
      </c>
      <c r="H153" s="595">
        <f>'Прилож 4 24 (6)'!X151</f>
        <v>53845.919999999998</v>
      </c>
      <c r="I153" s="628"/>
      <c r="J153" s="595">
        <f>'Прилож 4 24 (6)'!Z151</f>
        <v>0</v>
      </c>
      <c r="K153" s="595">
        <f>'Прилож 4 24 (6)'!AA151</f>
        <v>0</v>
      </c>
      <c r="L153" s="595">
        <f>'Прилож 4 24 (6)'!AB151</f>
        <v>0</v>
      </c>
      <c r="M153" s="876">
        <f t="shared" si="20"/>
        <v>0</v>
      </c>
      <c r="N153" s="875"/>
      <c r="O153" s="875"/>
      <c r="P153" s="875"/>
      <c r="Q153" s="877"/>
      <c r="R153" s="875"/>
      <c r="S153" s="875"/>
      <c r="T153" s="875"/>
      <c r="U153" s="876">
        <f t="shared" si="19"/>
        <v>53845.919999999998</v>
      </c>
      <c r="V153" s="875">
        <f t="shared" si="19"/>
        <v>0</v>
      </c>
      <c r="W153" s="875">
        <f t="shared" si="18"/>
        <v>0</v>
      </c>
      <c r="X153" s="875">
        <f t="shared" si="18"/>
        <v>53845.919999999998</v>
      </c>
      <c r="Y153" s="883"/>
      <c r="Z153" s="875">
        <f t="shared" si="22"/>
        <v>0</v>
      </c>
      <c r="AA153" s="875">
        <f t="shared" si="22"/>
        <v>0</v>
      </c>
      <c r="AB153" s="875">
        <f t="shared" si="22"/>
        <v>0</v>
      </c>
      <c r="AC153" s="878" t="s">
        <v>1480</v>
      </c>
    </row>
    <row r="154" spans="1:30" ht="31.5" x14ac:dyDescent="0.2">
      <c r="A154" s="618" t="s">
        <v>154</v>
      </c>
      <c r="B154" s="619" t="s">
        <v>747</v>
      </c>
      <c r="C154" s="620">
        <v>244</v>
      </c>
      <c r="D154" s="620">
        <v>226</v>
      </c>
      <c r="E154" s="596">
        <f t="shared" si="21"/>
        <v>50000</v>
      </c>
      <c r="F154" s="595">
        <f>'Прилож 4 24 (6)'!V152</f>
        <v>0</v>
      </c>
      <c r="G154" s="595">
        <f>'Прилож 4 24 (6)'!W152</f>
        <v>0</v>
      </c>
      <c r="H154" s="595">
        <f>'Прилож 4 24 (6)'!X152</f>
        <v>50000</v>
      </c>
      <c r="I154" s="628"/>
      <c r="J154" s="595">
        <f>'Прилож 4 24 (6)'!Z152</f>
        <v>0</v>
      </c>
      <c r="K154" s="595">
        <f>'Прилож 4 24 (6)'!AA152</f>
        <v>0</v>
      </c>
      <c r="L154" s="595">
        <f>'Прилож 4 24 (6)'!AB152</f>
        <v>0</v>
      </c>
      <c r="M154" s="876">
        <f t="shared" si="20"/>
        <v>-1350</v>
      </c>
      <c r="N154" s="875"/>
      <c r="O154" s="875"/>
      <c r="P154" s="875">
        <v>-1350</v>
      </c>
      <c r="Q154" s="877"/>
      <c r="R154" s="875"/>
      <c r="S154" s="875"/>
      <c r="T154" s="875"/>
      <c r="U154" s="876">
        <f t="shared" si="19"/>
        <v>48650</v>
      </c>
      <c r="V154" s="875">
        <f t="shared" si="19"/>
        <v>0</v>
      </c>
      <c r="W154" s="875">
        <f t="shared" si="18"/>
        <v>0</v>
      </c>
      <c r="X154" s="875">
        <f t="shared" si="18"/>
        <v>48650</v>
      </c>
      <c r="Y154" s="883"/>
      <c r="Z154" s="875">
        <f t="shared" si="22"/>
        <v>0</v>
      </c>
      <c r="AA154" s="875">
        <f t="shared" si="22"/>
        <v>0</v>
      </c>
      <c r="AB154" s="875">
        <f t="shared" si="22"/>
        <v>0</v>
      </c>
      <c r="AC154" s="878"/>
    </row>
    <row r="155" spans="1:30" ht="31.5" x14ac:dyDescent="0.2">
      <c r="A155" s="618" t="s">
        <v>642</v>
      </c>
      <c r="B155" s="619" t="s">
        <v>747</v>
      </c>
      <c r="C155" s="620">
        <v>244</v>
      </c>
      <c r="D155" s="620">
        <v>226</v>
      </c>
      <c r="E155" s="596">
        <f t="shared" si="21"/>
        <v>60720</v>
      </c>
      <c r="F155" s="595">
        <f>'Прилож 4 24 (6)'!V153</f>
        <v>0</v>
      </c>
      <c r="G155" s="595">
        <f>'Прилож 4 24 (6)'!W153</f>
        <v>0</v>
      </c>
      <c r="H155" s="595">
        <f>'Прилож 4 24 (6)'!X153</f>
        <v>60720</v>
      </c>
      <c r="I155" s="628"/>
      <c r="J155" s="595">
        <f>'Прилож 4 24 (6)'!Z153</f>
        <v>0</v>
      </c>
      <c r="K155" s="595">
        <f>'Прилож 4 24 (6)'!AA153</f>
        <v>0</v>
      </c>
      <c r="L155" s="595">
        <f>'Прилож 4 24 (6)'!AB153</f>
        <v>0</v>
      </c>
      <c r="M155" s="876">
        <f t="shared" si="20"/>
        <v>0</v>
      </c>
      <c r="N155" s="875"/>
      <c r="O155" s="875"/>
      <c r="P155" s="875"/>
      <c r="Q155" s="877"/>
      <c r="R155" s="875"/>
      <c r="S155" s="875"/>
      <c r="T155" s="875"/>
      <c r="U155" s="876">
        <f t="shared" si="19"/>
        <v>60720</v>
      </c>
      <c r="V155" s="875">
        <f t="shared" si="19"/>
        <v>0</v>
      </c>
      <c r="W155" s="875">
        <f t="shared" si="18"/>
        <v>0</v>
      </c>
      <c r="X155" s="875">
        <f t="shared" si="18"/>
        <v>60720</v>
      </c>
      <c r="Y155" s="883"/>
      <c r="Z155" s="875">
        <f t="shared" si="22"/>
        <v>0</v>
      </c>
      <c r="AA155" s="875">
        <f t="shared" si="22"/>
        <v>0</v>
      </c>
      <c r="AB155" s="875">
        <f t="shared" si="22"/>
        <v>0</v>
      </c>
      <c r="AC155" s="878"/>
    </row>
    <row r="156" spans="1:30" ht="186" customHeight="1" x14ac:dyDescent="0.2">
      <c r="A156" s="618" t="s">
        <v>1243</v>
      </c>
      <c r="B156" s="619" t="s">
        <v>747</v>
      </c>
      <c r="C156" s="620">
        <v>244</v>
      </c>
      <c r="D156" s="620">
        <v>226</v>
      </c>
      <c r="E156" s="596">
        <f t="shared" si="21"/>
        <v>23830</v>
      </c>
      <c r="F156" s="595">
        <f>'Прилож 4 24 (6)'!V154</f>
        <v>0</v>
      </c>
      <c r="G156" s="595">
        <f>'Прилож 4 24 (6)'!W154</f>
        <v>0</v>
      </c>
      <c r="H156" s="595">
        <f>'Прилож 4 24 (6)'!X154</f>
        <v>23830</v>
      </c>
      <c r="I156" s="628"/>
      <c r="J156" s="595">
        <f>'Прилож 4 24 (6)'!Z154</f>
        <v>0</v>
      </c>
      <c r="K156" s="595">
        <f>'Прилож 4 24 (6)'!AA154</f>
        <v>0</v>
      </c>
      <c r="L156" s="595">
        <f>'Прилож 4 24 (6)'!AB154</f>
        <v>0</v>
      </c>
      <c r="M156" s="876">
        <f t="shared" si="20"/>
        <v>0</v>
      </c>
      <c r="N156" s="875"/>
      <c r="O156" s="875"/>
      <c r="P156" s="875"/>
      <c r="Q156" s="877"/>
      <c r="R156" s="875"/>
      <c r="S156" s="875"/>
      <c r="T156" s="875"/>
      <c r="U156" s="876">
        <f t="shared" si="19"/>
        <v>23830</v>
      </c>
      <c r="V156" s="875">
        <f t="shared" si="19"/>
        <v>0</v>
      </c>
      <c r="W156" s="875">
        <f t="shared" si="18"/>
        <v>0</v>
      </c>
      <c r="X156" s="875">
        <f t="shared" si="18"/>
        <v>23830</v>
      </c>
      <c r="Y156" s="883"/>
      <c r="Z156" s="875">
        <f t="shared" si="22"/>
        <v>0</v>
      </c>
      <c r="AA156" s="875">
        <f t="shared" si="22"/>
        <v>0</v>
      </c>
      <c r="AB156" s="875">
        <f t="shared" si="22"/>
        <v>0</v>
      </c>
      <c r="AC156" s="878"/>
    </row>
    <row r="157" spans="1:30" x14ac:dyDescent="0.2">
      <c r="A157" s="618" t="s">
        <v>593</v>
      </c>
      <c r="B157" s="619" t="s">
        <v>747</v>
      </c>
      <c r="C157" s="620">
        <v>244</v>
      </c>
      <c r="D157" s="620">
        <v>226</v>
      </c>
      <c r="E157" s="596">
        <f t="shared" si="21"/>
        <v>7430</v>
      </c>
      <c r="F157" s="595">
        <f>'Прилож 4 24 (6)'!V155</f>
        <v>0</v>
      </c>
      <c r="G157" s="595">
        <f>'Прилож 4 24 (6)'!W155</f>
        <v>0</v>
      </c>
      <c r="H157" s="595">
        <f>'Прилож 4 24 (6)'!X155</f>
        <v>7430</v>
      </c>
      <c r="I157" s="628"/>
      <c r="J157" s="595">
        <f>'Прилож 4 24 (6)'!Z155</f>
        <v>0</v>
      </c>
      <c r="K157" s="595">
        <f>'Прилож 4 24 (6)'!AA155</f>
        <v>0</v>
      </c>
      <c r="L157" s="595">
        <f>'Прилож 4 24 (6)'!AB155</f>
        <v>0</v>
      </c>
      <c r="M157" s="876">
        <f t="shared" si="20"/>
        <v>0</v>
      </c>
      <c r="N157" s="875"/>
      <c r="O157" s="875"/>
      <c r="P157" s="875"/>
      <c r="Q157" s="877"/>
      <c r="R157" s="875"/>
      <c r="S157" s="875"/>
      <c r="T157" s="875"/>
      <c r="U157" s="876">
        <f t="shared" si="19"/>
        <v>7430</v>
      </c>
      <c r="V157" s="875">
        <f t="shared" si="19"/>
        <v>0</v>
      </c>
      <c r="W157" s="875">
        <f t="shared" si="18"/>
        <v>0</v>
      </c>
      <c r="X157" s="875">
        <f t="shared" si="18"/>
        <v>7430</v>
      </c>
      <c r="Y157" s="883"/>
      <c r="Z157" s="875">
        <f t="shared" si="22"/>
        <v>0</v>
      </c>
      <c r="AA157" s="875">
        <f t="shared" si="22"/>
        <v>0</v>
      </c>
      <c r="AB157" s="875">
        <f t="shared" si="22"/>
        <v>0</v>
      </c>
      <c r="AC157" s="878"/>
    </row>
    <row r="158" spans="1:30" x14ac:dyDescent="0.2">
      <c r="A158" s="618" t="s">
        <v>1194</v>
      </c>
      <c r="B158" s="619" t="s">
        <v>747</v>
      </c>
      <c r="C158" s="620">
        <v>244</v>
      </c>
      <c r="D158" s="620">
        <v>226</v>
      </c>
      <c r="E158" s="596">
        <f t="shared" si="21"/>
        <v>18900</v>
      </c>
      <c r="F158" s="595">
        <f>'Прилож 4 24 (6)'!V156</f>
        <v>0</v>
      </c>
      <c r="G158" s="595">
        <f>'Прилож 4 24 (6)'!W156</f>
        <v>0</v>
      </c>
      <c r="H158" s="595">
        <f>'Прилож 4 24 (6)'!X156</f>
        <v>18900</v>
      </c>
      <c r="I158" s="628"/>
      <c r="J158" s="595">
        <f>'Прилож 4 24 (6)'!Z156</f>
        <v>0</v>
      </c>
      <c r="K158" s="595">
        <f>'Прилож 4 24 (6)'!AA156</f>
        <v>0</v>
      </c>
      <c r="L158" s="595">
        <f>'Прилож 4 24 (6)'!AB156</f>
        <v>0</v>
      </c>
      <c r="M158" s="876">
        <f t="shared" si="20"/>
        <v>1350</v>
      </c>
      <c r="N158" s="875"/>
      <c r="O158" s="875"/>
      <c r="P158" s="875">
        <v>1350</v>
      </c>
      <c r="Q158" s="877"/>
      <c r="R158" s="875"/>
      <c r="S158" s="875"/>
      <c r="T158" s="875"/>
      <c r="U158" s="876">
        <f>E158+M158</f>
        <v>20250</v>
      </c>
      <c r="V158" s="875">
        <f t="shared" si="19"/>
        <v>0</v>
      </c>
      <c r="W158" s="875">
        <f t="shared" si="18"/>
        <v>0</v>
      </c>
      <c r="X158" s="875">
        <f t="shared" si="18"/>
        <v>20250</v>
      </c>
      <c r="Y158" s="883"/>
      <c r="Z158" s="875">
        <f t="shared" si="22"/>
        <v>0</v>
      </c>
      <c r="AA158" s="875">
        <f t="shared" si="22"/>
        <v>0</v>
      </c>
      <c r="AB158" s="875">
        <f t="shared" si="22"/>
        <v>0</v>
      </c>
      <c r="AC158" s="878" t="s">
        <v>1354</v>
      </c>
    </row>
    <row r="159" spans="1:30" ht="51.75" customHeight="1" x14ac:dyDescent="0.2">
      <c r="A159" s="618" t="s">
        <v>1318</v>
      </c>
      <c r="B159" s="619" t="s">
        <v>747</v>
      </c>
      <c r="C159" s="620">
        <v>244</v>
      </c>
      <c r="D159" s="620">
        <v>226</v>
      </c>
      <c r="E159" s="596">
        <f t="shared" si="21"/>
        <v>252769.2</v>
      </c>
      <c r="F159" s="595">
        <f>'Прилож 4 24 (6)'!V157</f>
        <v>0</v>
      </c>
      <c r="G159" s="595">
        <f>'Прилож 4 24 (6)'!W157</f>
        <v>0</v>
      </c>
      <c r="H159" s="595">
        <f>'Прилож 4 24 (6)'!X157</f>
        <v>0</v>
      </c>
      <c r="I159" s="877" t="s">
        <v>1322</v>
      </c>
      <c r="J159" s="595">
        <f>'Прилож 4 24 (6)'!Z157</f>
        <v>0</v>
      </c>
      <c r="K159" s="595">
        <f>'Прилож 4 24 (6)'!AA157</f>
        <v>252769.2</v>
      </c>
      <c r="L159" s="595">
        <f>'Прилож 4 24 (6)'!AB157</f>
        <v>0</v>
      </c>
      <c r="M159" s="875">
        <f>N159+O159+P159+R159+S159+T159</f>
        <v>0</v>
      </c>
      <c r="N159" s="875"/>
      <c r="O159" s="875"/>
      <c r="P159" s="875"/>
      <c r="Q159" s="877"/>
      <c r="R159" s="875"/>
      <c r="S159" s="875"/>
      <c r="T159" s="875"/>
      <c r="U159" s="876">
        <f>E159+M159</f>
        <v>252769.2</v>
      </c>
      <c r="V159" s="875">
        <f t="shared" si="19"/>
        <v>0</v>
      </c>
      <c r="W159" s="875">
        <f t="shared" si="18"/>
        <v>0</v>
      </c>
      <c r="X159" s="875">
        <f t="shared" si="18"/>
        <v>0</v>
      </c>
      <c r="Y159" s="877" t="s">
        <v>1322</v>
      </c>
      <c r="Z159" s="875">
        <f t="shared" si="22"/>
        <v>0</v>
      </c>
      <c r="AA159" s="875">
        <f t="shared" si="22"/>
        <v>252769.2</v>
      </c>
      <c r="AB159" s="875">
        <f t="shared" si="22"/>
        <v>0</v>
      </c>
      <c r="AC159" s="878"/>
    </row>
    <row r="160" spans="1:30" s="637" customFormat="1" x14ac:dyDescent="0.2">
      <c r="A160" s="632" t="s">
        <v>1143</v>
      </c>
      <c r="B160" s="619" t="s">
        <v>747</v>
      </c>
      <c r="C160" s="634">
        <v>244</v>
      </c>
      <c r="D160" s="634">
        <v>226</v>
      </c>
      <c r="E160" s="596">
        <f t="shared" si="21"/>
        <v>467495.12</v>
      </c>
      <c r="F160" s="595">
        <f>'Прилож 4 24 (6)'!V158</f>
        <v>0</v>
      </c>
      <c r="G160" s="595">
        <f>'Прилож 4 24 (6)'!W158</f>
        <v>0</v>
      </c>
      <c r="H160" s="595">
        <f>'Прилож 4 24 (6)'!X158</f>
        <v>214725.91999999998</v>
      </c>
      <c r="I160" s="640"/>
      <c r="J160" s="595">
        <f>'Прилож 4 24 (6)'!Z158</f>
        <v>0</v>
      </c>
      <c r="K160" s="595">
        <f>'Прилож 4 24 (6)'!AA158</f>
        <v>252769.2</v>
      </c>
      <c r="L160" s="595">
        <f>'Прилож 4 24 (6)'!AB158</f>
        <v>0</v>
      </c>
      <c r="M160" s="876">
        <f t="shared" si="20"/>
        <v>0</v>
      </c>
      <c r="N160" s="887"/>
      <c r="O160" s="887"/>
      <c r="P160" s="887">
        <f>SUM(P153:P158)</f>
        <v>0</v>
      </c>
      <c r="Q160" s="893"/>
      <c r="R160" s="887"/>
      <c r="S160" s="887">
        <f>SUM(S153:S159)</f>
        <v>0</v>
      </c>
      <c r="T160" s="887"/>
      <c r="U160" s="876">
        <f t="shared" si="19"/>
        <v>467495.12</v>
      </c>
      <c r="V160" s="875">
        <f t="shared" si="19"/>
        <v>0</v>
      </c>
      <c r="W160" s="875">
        <f t="shared" si="18"/>
        <v>0</v>
      </c>
      <c r="X160" s="875">
        <f t="shared" si="18"/>
        <v>214725.91999999998</v>
      </c>
      <c r="Y160" s="893"/>
      <c r="Z160" s="875">
        <f t="shared" si="22"/>
        <v>0</v>
      </c>
      <c r="AA160" s="875">
        <f t="shared" si="22"/>
        <v>252769.2</v>
      </c>
      <c r="AB160" s="875">
        <f t="shared" si="22"/>
        <v>0</v>
      </c>
      <c r="AC160" s="886"/>
    </row>
    <row r="161" spans="1:29" ht="31.5" x14ac:dyDescent="0.2">
      <c r="A161" s="618" t="s">
        <v>586</v>
      </c>
      <c r="B161" s="619" t="s">
        <v>729</v>
      </c>
      <c r="C161" s="620">
        <v>244</v>
      </c>
      <c r="D161" s="620">
        <v>226</v>
      </c>
      <c r="E161" s="596">
        <f t="shared" si="21"/>
        <v>53845.919999999998</v>
      </c>
      <c r="F161" s="595">
        <f>'Прилож 4 24 (6)'!V159</f>
        <v>0</v>
      </c>
      <c r="G161" s="595">
        <f>'Прилож 4 24 (6)'!W159</f>
        <v>0</v>
      </c>
      <c r="H161" s="595">
        <f>'Прилож 4 24 (6)'!X159</f>
        <v>53845.919999999998</v>
      </c>
      <c r="I161" s="628"/>
      <c r="J161" s="595">
        <f>'Прилож 4 24 (6)'!Z159</f>
        <v>0</v>
      </c>
      <c r="K161" s="595">
        <f>'Прилож 4 24 (6)'!AA159</f>
        <v>0</v>
      </c>
      <c r="L161" s="595">
        <f>'Прилож 4 24 (6)'!AB159</f>
        <v>0</v>
      </c>
      <c r="M161" s="876">
        <f t="shared" si="20"/>
        <v>0</v>
      </c>
      <c r="N161" s="875"/>
      <c r="O161" s="875"/>
      <c r="P161" s="875"/>
      <c r="Q161" s="877"/>
      <c r="R161" s="875"/>
      <c r="S161" s="875"/>
      <c r="T161" s="875"/>
      <c r="U161" s="876">
        <f t="shared" si="19"/>
        <v>53845.919999999998</v>
      </c>
      <c r="V161" s="875">
        <f t="shared" si="19"/>
        <v>0</v>
      </c>
      <c r="W161" s="875">
        <f t="shared" si="18"/>
        <v>0</v>
      </c>
      <c r="X161" s="875">
        <f t="shared" si="18"/>
        <v>53845.919999999998</v>
      </c>
      <c r="Y161" s="883"/>
      <c r="Z161" s="875">
        <f t="shared" si="22"/>
        <v>0</v>
      </c>
      <c r="AA161" s="875">
        <f t="shared" si="22"/>
        <v>0</v>
      </c>
      <c r="AB161" s="875">
        <f t="shared" si="22"/>
        <v>0</v>
      </c>
      <c r="AC161" s="878"/>
    </row>
    <row r="162" spans="1:29" ht="31.5" x14ac:dyDescent="0.2">
      <c r="A162" s="618" t="s">
        <v>642</v>
      </c>
      <c r="B162" s="619" t="s">
        <v>729</v>
      </c>
      <c r="C162" s="620">
        <v>244</v>
      </c>
      <c r="D162" s="620">
        <v>226</v>
      </c>
      <c r="E162" s="596">
        <f t="shared" si="21"/>
        <v>60720</v>
      </c>
      <c r="F162" s="595">
        <f>'Прилож 4 24 (6)'!V160</f>
        <v>0</v>
      </c>
      <c r="G162" s="595">
        <f>'Прилож 4 24 (6)'!W160</f>
        <v>0</v>
      </c>
      <c r="H162" s="595">
        <f>'Прилож 4 24 (6)'!X160</f>
        <v>60720</v>
      </c>
      <c r="I162" s="628"/>
      <c r="J162" s="595">
        <f>'Прилож 4 24 (6)'!Z160</f>
        <v>0</v>
      </c>
      <c r="K162" s="595">
        <f>'Прилож 4 24 (6)'!AA160</f>
        <v>0</v>
      </c>
      <c r="L162" s="595">
        <f>'Прилож 4 24 (6)'!AB160</f>
        <v>0</v>
      </c>
      <c r="M162" s="876">
        <f t="shared" si="20"/>
        <v>0</v>
      </c>
      <c r="N162" s="875"/>
      <c r="O162" s="875"/>
      <c r="P162" s="875"/>
      <c r="Q162" s="877"/>
      <c r="R162" s="875"/>
      <c r="S162" s="875"/>
      <c r="T162" s="875"/>
      <c r="U162" s="876">
        <f t="shared" si="19"/>
        <v>60720</v>
      </c>
      <c r="V162" s="875">
        <f t="shared" si="19"/>
        <v>0</v>
      </c>
      <c r="W162" s="875">
        <f t="shared" si="18"/>
        <v>0</v>
      </c>
      <c r="X162" s="875">
        <f t="shared" si="18"/>
        <v>60720</v>
      </c>
      <c r="Y162" s="883"/>
      <c r="Z162" s="875">
        <f t="shared" si="22"/>
        <v>0</v>
      </c>
      <c r="AA162" s="875">
        <f t="shared" si="22"/>
        <v>0</v>
      </c>
      <c r="AB162" s="875">
        <f t="shared" si="22"/>
        <v>0</v>
      </c>
      <c r="AC162" s="878"/>
    </row>
    <row r="163" spans="1:29" ht="87.75" customHeight="1" x14ac:dyDescent="0.2">
      <c r="A163" s="618" t="s">
        <v>1244</v>
      </c>
      <c r="B163" s="619" t="s">
        <v>729</v>
      </c>
      <c r="C163" s="620">
        <v>244</v>
      </c>
      <c r="D163" s="620">
        <v>226</v>
      </c>
      <c r="E163" s="596">
        <f t="shared" si="21"/>
        <v>37665</v>
      </c>
      <c r="F163" s="595">
        <f>'Прилож 4 24 (6)'!V161</f>
        <v>0</v>
      </c>
      <c r="G163" s="595">
        <f>'Прилож 4 24 (6)'!W161</f>
        <v>0</v>
      </c>
      <c r="H163" s="595">
        <f>'Прилож 4 24 (6)'!X161</f>
        <v>37665</v>
      </c>
      <c r="I163" s="628"/>
      <c r="J163" s="595">
        <f>'Прилож 4 24 (6)'!Z161</f>
        <v>0</v>
      </c>
      <c r="K163" s="595">
        <f>'Прилож 4 24 (6)'!AA161</f>
        <v>0</v>
      </c>
      <c r="L163" s="595">
        <f>'Прилож 4 24 (6)'!AB161</f>
        <v>0</v>
      </c>
      <c r="M163" s="876">
        <f t="shared" si="20"/>
        <v>0</v>
      </c>
      <c r="N163" s="875"/>
      <c r="O163" s="875"/>
      <c r="P163" s="875"/>
      <c r="Q163" s="877"/>
      <c r="R163" s="875"/>
      <c r="S163" s="875"/>
      <c r="T163" s="875"/>
      <c r="U163" s="876">
        <f t="shared" si="19"/>
        <v>37665</v>
      </c>
      <c r="V163" s="875">
        <f t="shared" si="19"/>
        <v>0</v>
      </c>
      <c r="W163" s="875">
        <f t="shared" si="18"/>
        <v>0</v>
      </c>
      <c r="X163" s="875">
        <f t="shared" si="18"/>
        <v>37665</v>
      </c>
      <c r="Y163" s="883"/>
      <c r="Z163" s="875">
        <f t="shared" si="22"/>
        <v>0</v>
      </c>
      <c r="AA163" s="875">
        <f t="shared" si="22"/>
        <v>0</v>
      </c>
      <c r="AB163" s="875">
        <f t="shared" si="22"/>
        <v>0</v>
      </c>
      <c r="AC163" s="878"/>
    </row>
    <row r="164" spans="1:29" ht="31.5" x14ac:dyDescent="0.2">
      <c r="A164" s="618" t="s">
        <v>752</v>
      </c>
      <c r="B164" s="619" t="s">
        <v>729</v>
      </c>
      <c r="C164" s="620">
        <v>244</v>
      </c>
      <c r="D164" s="620">
        <v>226</v>
      </c>
      <c r="E164" s="596">
        <f t="shared" si="21"/>
        <v>150000</v>
      </c>
      <c r="F164" s="595">
        <f>'Прилож 4 24 (6)'!V162</f>
        <v>0</v>
      </c>
      <c r="G164" s="595">
        <f>'Прилож 4 24 (6)'!W162</f>
        <v>0</v>
      </c>
      <c r="H164" s="595">
        <f>'Прилож 4 24 (6)'!X162</f>
        <v>150000</v>
      </c>
      <c r="I164" s="628"/>
      <c r="J164" s="595">
        <f>'Прилож 4 24 (6)'!Z162</f>
        <v>0</v>
      </c>
      <c r="K164" s="595">
        <f>'Прилож 4 24 (6)'!AA162</f>
        <v>0</v>
      </c>
      <c r="L164" s="595">
        <f>'Прилож 4 24 (6)'!AB162</f>
        <v>0</v>
      </c>
      <c r="M164" s="876">
        <f t="shared" si="20"/>
        <v>0</v>
      </c>
      <c r="N164" s="875"/>
      <c r="O164" s="875"/>
      <c r="P164" s="875"/>
      <c r="Q164" s="877"/>
      <c r="R164" s="875"/>
      <c r="S164" s="875"/>
      <c r="T164" s="875"/>
      <c r="U164" s="876">
        <f t="shared" si="19"/>
        <v>150000</v>
      </c>
      <c r="V164" s="875">
        <f t="shared" si="19"/>
        <v>0</v>
      </c>
      <c r="W164" s="875">
        <f t="shared" si="18"/>
        <v>0</v>
      </c>
      <c r="X164" s="875">
        <f t="shared" si="18"/>
        <v>150000</v>
      </c>
      <c r="Y164" s="883"/>
      <c r="Z164" s="875">
        <f t="shared" si="22"/>
        <v>0</v>
      </c>
      <c r="AA164" s="875">
        <f t="shared" si="22"/>
        <v>0</v>
      </c>
      <c r="AB164" s="875">
        <f t="shared" si="22"/>
        <v>0</v>
      </c>
      <c r="AC164" s="878"/>
    </row>
    <row r="165" spans="1:29" ht="137.25" customHeight="1" x14ac:dyDescent="0.2">
      <c r="A165" s="618" t="s">
        <v>593</v>
      </c>
      <c r="B165" s="619" t="s">
        <v>729</v>
      </c>
      <c r="C165" s="620">
        <v>244</v>
      </c>
      <c r="D165" s="620">
        <v>226</v>
      </c>
      <c r="E165" s="596">
        <f t="shared" si="21"/>
        <v>26720</v>
      </c>
      <c r="F165" s="595">
        <f>'Прилож 4 24 (6)'!V163</f>
        <v>0</v>
      </c>
      <c r="G165" s="595">
        <f>'Прилож 4 24 (6)'!W163</f>
        <v>0</v>
      </c>
      <c r="H165" s="595">
        <f>'Прилож 4 24 (6)'!X163</f>
        <v>26720</v>
      </c>
      <c r="I165" s="628"/>
      <c r="J165" s="595">
        <f>'Прилож 4 24 (6)'!Z163</f>
        <v>0</v>
      </c>
      <c r="K165" s="595">
        <f>'Прилож 4 24 (6)'!AA163</f>
        <v>0</v>
      </c>
      <c r="L165" s="595">
        <f>'Прилож 4 24 (6)'!AB163</f>
        <v>0</v>
      </c>
      <c r="M165" s="876">
        <f t="shared" si="20"/>
        <v>0</v>
      </c>
      <c r="N165" s="875"/>
      <c r="O165" s="875"/>
      <c r="P165" s="875"/>
      <c r="Q165" s="877"/>
      <c r="R165" s="875"/>
      <c r="S165" s="875"/>
      <c r="T165" s="875"/>
      <c r="U165" s="876">
        <f t="shared" si="19"/>
        <v>26720</v>
      </c>
      <c r="V165" s="875">
        <f t="shared" si="19"/>
        <v>0</v>
      </c>
      <c r="W165" s="875">
        <f t="shared" si="18"/>
        <v>0</v>
      </c>
      <c r="X165" s="875">
        <f t="shared" si="18"/>
        <v>26720</v>
      </c>
      <c r="Y165" s="883"/>
      <c r="Z165" s="875">
        <f t="shared" si="22"/>
        <v>0</v>
      </c>
      <c r="AA165" s="875">
        <f t="shared" si="22"/>
        <v>0</v>
      </c>
      <c r="AB165" s="875">
        <f t="shared" si="22"/>
        <v>0</v>
      </c>
      <c r="AC165" s="878"/>
    </row>
    <row r="166" spans="1:29" ht="69" customHeight="1" x14ac:dyDescent="0.2">
      <c r="A166" s="618" t="s">
        <v>914</v>
      </c>
      <c r="B166" s="619" t="s">
        <v>729</v>
      </c>
      <c r="C166" s="620">
        <v>244</v>
      </c>
      <c r="D166" s="620">
        <v>226</v>
      </c>
      <c r="E166" s="596">
        <f t="shared" si="21"/>
        <v>54800</v>
      </c>
      <c r="F166" s="595">
        <f>'Прилож 4 24 (6)'!V164</f>
        <v>0</v>
      </c>
      <c r="G166" s="595">
        <f>'Прилож 4 24 (6)'!W164</f>
        <v>0</v>
      </c>
      <c r="H166" s="595">
        <f>'Прилож 4 24 (6)'!X164</f>
        <v>54800</v>
      </c>
      <c r="I166" s="628"/>
      <c r="J166" s="595">
        <f>'Прилож 4 24 (6)'!Z164</f>
        <v>0</v>
      </c>
      <c r="K166" s="595">
        <f>'Прилож 4 24 (6)'!AA164</f>
        <v>0</v>
      </c>
      <c r="L166" s="595">
        <f>'Прилож 4 24 (6)'!AB164</f>
        <v>0</v>
      </c>
      <c r="M166" s="876">
        <f t="shared" si="20"/>
        <v>0</v>
      </c>
      <c r="N166" s="875"/>
      <c r="O166" s="875"/>
      <c r="P166" s="875"/>
      <c r="Q166" s="877"/>
      <c r="R166" s="875"/>
      <c r="S166" s="875"/>
      <c r="T166" s="875"/>
      <c r="U166" s="876">
        <f t="shared" si="19"/>
        <v>54800</v>
      </c>
      <c r="V166" s="875">
        <f t="shared" si="19"/>
        <v>0</v>
      </c>
      <c r="W166" s="875">
        <f t="shared" si="18"/>
        <v>0</v>
      </c>
      <c r="X166" s="875">
        <f t="shared" si="18"/>
        <v>54800</v>
      </c>
      <c r="Y166" s="883"/>
      <c r="Z166" s="875">
        <f t="shared" si="22"/>
        <v>0</v>
      </c>
      <c r="AA166" s="875">
        <f t="shared" si="22"/>
        <v>0</v>
      </c>
      <c r="AB166" s="875">
        <f t="shared" si="22"/>
        <v>0</v>
      </c>
      <c r="AC166" s="1002"/>
    </row>
    <row r="167" spans="1:29" ht="60" customHeight="1" x14ac:dyDescent="0.2">
      <c r="A167" s="618" t="s">
        <v>1245</v>
      </c>
      <c r="B167" s="619" t="s">
        <v>729</v>
      </c>
      <c r="C167" s="620">
        <v>244</v>
      </c>
      <c r="D167" s="620">
        <v>226</v>
      </c>
      <c r="E167" s="596">
        <f t="shared" si="21"/>
        <v>7200</v>
      </c>
      <c r="F167" s="595">
        <f>'Прилож 4 24 (6)'!V165</f>
        <v>0</v>
      </c>
      <c r="G167" s="595">
        <f>'Прилож 4 24 (6)'!W165</f>
        <v>0</v>
      </c>
      <c r="H167" s="595">
        <f>'Прилож 4 24 (6)'!X165</f>
        <v>7200</v>
      </c>
      <c r="I167" s="628"/>
      <c r="J167" s="595">
        <f>'Прилож 4 24 (6)'!Z165</f>
        <v>0</v>
      </c>
      <c r="K167" s="595">
        <f>'Прилож 4 24 (6)'!AA165</f>
        <v>0</v>
      </c>
      <c r="L167" s="595">
        <f>'Прилож 4 24 (6)'!AB165</f>
        <v>0</v>
      </c>
      <c r="M167" s="876">
        <f t="shared" si="20"/>
        <v>0</v>
      </c>
      <c r="N167" s="875"/>
      <c r="O167" s="875"/>
      <c r="P167" s="875"/>
      <c r="Q167" s="877"/>
      <c r="R167" s="875"/>
      <c r="S167" s="875"/>
      <c r="T167" s="875"/>
      <c r="U167" s="876">
        <f t="shared" si="19"/>
        <v>7200</v>
      </c>
      <c r="V167" s="875">
        <f t="shared" si="19"/>
        <v>0</v>
      </c>
      <c r="W167" s="875">
        <f t="shared" si="18"/>
        <v>0</v>
      </c>
      <c r="X167" s="875">
        <f t="shared" si="18"/>
        <v>7200</v>
      </c>
      <c r="Y167" s="883"/>
      <c r="Z167" s="875">
        <f t="shared" si="22"/>
        <v>0</v>
      </c>
      <c r="AA167" s="875">
        <f t="shared" si="22"/>
        <v>0</v>
      </c>
      <c r="AB167" s="875">
        <f t="shared" si="22"/>
        <v>0</v>
      </c>
      <c r="AC167" s="878"/>
    </row>
    <row r="168" spans="1:29" ht="36" customHeight="1" x14ac:dyDescent="0.2">
      <c r="A168" s="618" t="s">
        <v>1185</v>
      </c>
      <c r="B168" s="619" t="s">
        <v>729</v>
      </c>
      <c r="C168" s="620">
        <v>244</v>
      </c>
      <c r="D168" s="620">
        <v>226</v>
      </c>
      <c r="E168" s="596">
        <f t="shared" si="21"/>
        <v>9600</v>
      </c>
      <c r="F168" s="595">
        <f>'Прилож 4 24 (6)'!V166</f>
        <v>0</v>
      </c>
      <c r="G168" s="595">
        <f>'Прилож 4 24 (6)'!W166</f>
        <v>0</v>
      </c>
      <c r="H168" s="595">
        <f>'Прилож 4 24 (6)'!X166</f>
        <v>9600</v>
      </c>
      <c r="I168" s="621"/>
      <c r="J168" s="595">
        <f>'Прилож 4 24 (6)'!Z166</f>
        <v>0</v>
      </c>
      <c r="K168" s="595">
        <f>'Прилож 4 24 (6)'!AA166</f>
        <v>0</v>
      </c>
      <c r="L168" s="595">
        <f>'Прилож 4 24 (6)'!AB166</f>
        <v>0</v>
      </c>
      <c r="M168" s="876">
        <f t="shared" si="20"/>
        <v>0</v>
      </c>
      <c r="N168" s="875"/>
      <c r="O168" s="875"/>
      <c r="P168" s="875"/>
      <c r="Q168" s="877"/>
      <c r="R168" s="875"/>
      <c r="S168" s="875"/>
      <c r="T168" s="875"/>
      <c r="U168" s="876">
        <f t="shared" si="19"/>
        <v>9600</v>
      </c>
      <c r="V168" s="875">
        <f t="shared" si="19"/>
        <v>0</v>
      </c>
      <c r="W168" s="875">
        <f t="shared" ref="W168:X236" si="23">O168+G168</f>
        <v>0</v>
      </c>
      <c r="X168" s="875">
        <f t="shared" si="23"/>
        <v>9600</v>
      </c>
      <c r="Y168" s="877"/>
      <c r="Z168" s="875">
        <f t="shared" si="22"/>
        <v>0</v>
      </c>
      <c r="AA168" s="875">
        <f t="shared" si="22"/>
        <v>0</v>
      </c>
      <c r="AB168" s="875">
        <f t="shared" si="22"/>
        <v>0</v>
      </c>
      <c r="AC168" s="878"/>
    </row>
    <row r="169" spans="1:29" x14ac:dyDescent="0.2">
      <c r="A169" s="618" t="s">
        <v>1194</v>
      </c>
      <c r="B169" s="619" t="s">
        <v>729</v>
      </c>
      <c r="C169" s="620">
        <v>244</v>
      </c>
      <c r="D169" s="620">
        <v>226</v>
      </c>
      <c r="E169" s="596">
        <f t="shared" si="21"/>
        <v>13500</v>
      </c>
      <c r="F169" s="595">
        <f>'Прилож 4 24 (6)'!V167</f>
        <v>0</v>
      </c>
      <c r="G169" s="595">
        <f>'Прилож 4 24 (6)'!W167</f>
        <v>0</v>
      </c>
      <c r="H169" s="595">
        <f>'Прилож 4 24 (6)'!X167</f>
        <v>13500</v>
      </c>
      <c r="I169" s="621"/>
      <c r="J169" s="595">
        <f>'Прилож 4 24 (6)'!Z167</f>
        <v>0</v>
      </c>
      <c r="K169" s="595">
        <f>'Прилож 4 24 (6)'!AA167</f>
        <v>0</v>
      </c>
      <c r="L169" s="595">
        <f>'Прилож 4 24 (6)'!AB167</f>
        <v>0</v>
      </c>
      <c r="M169" s="876">
        <f t="shared" si="20"/>
        <v>0</v>
      </c>
      <c r="N169" s="875"/>
      <c r="O169" s="875"/>
      <c r="P169" s="875"/>
      <c r="Q169" s="877"/>
      <c r="R169" s="875"/>
      <c r="S169" s="875"/>
      <c r="T169" s="875"/>
      <c r="U169" s="876">
        <f t="shared" ref="U169:V237" si="24">E169+M169</f>
        <v>13500</v>
      </c>
      <c r="V169" s="875">
        <f t="shared" si="24"/>
        <v>0</v>
      </c>
      <c r="W169" s="875">
        <f t="shared" si="23"/>
        <v>0</v>
      </c>
      <c r="X169" s="875">
        <f t="shared" si="23"/>
        <v>13500</v>
      </c>
      <c r="Y169" s="877"/>
      <c r="Z169" s="875">
        <f t="shared" si="22"/>
        <v>0</v>
      </c>
      <c r="AA169" s="875">
        <f t="shared" si="22"/>
        <v>0</v>
      </c>
      <c r="AB169" s="875">
        <f t="shared" si="22"/>
        <v>0</v>
      </c>
      <c r="AC169" s="878"/>
    </row>
    <row r="170" spans="1:29" ht="47.25" x14ac:dyDescent="0.2">
      <c r="A170" s="618" t="s">
        <v>1223</v>
      </c>
      <c r="B170" s="619" t="s">
        <v>729</v>
      </c>
      <c r="C170" s="620">
        <v>244</v>
      </c>
      <c r="D170" s="620">
        <v>226</v>
      </c>
      <c r="E170" s="596">
        <f t="shared" si="21"/>
        <v>14900</v>
      </c>
      <c r="F170" s="595">
        <f>'Прилож 4 24 (6)'!V168</f>
        <v>0</v>
      </c>
      <c r="G170" s="595">
        <f>'Прилож 4 24 (6)'!W168</f>
        <v>0</v>
      </c>
      <c r="H170" s="595">
        <f>'Прилож 4 24 (6)'!X168</f>
        <v>14900</v>
      </c>
      <c r="I170" s="628"/>
      <c r="J170" s="595">
        <f>'Прилож 4 24 (6)'!Z168</f>
        <v>0</v>
      </c>
      <c r="K170" s="595">
        <f>'Прилож 4 24 (6)'!AA168</f>
        <v>0</v>
      </c>
      <c r="L170" s="595">
        <f>'Прилож 4 24 (6)'!AB168</f>
        <v>0</v>
      </c>
      <c r="M170" s="876">
        <f t="shared" ref="M170:M238" si="25">N170+P170+R170+S170+T170+O170</f>
        <v>0</v>
      </c>
      <c r="N170" s="875"/>
      <c r="O170" s="875"/>
      <c r="P170" s="875"/>
      <c r="Q170" s="877"/>
      <c r="R170" s="875"/>
      <c r="S170" s="875"/>
      <c r="T170" s="875"/>
      <c r="U170" s="876">
        <f t="shared" si="24"/>
        <v>14900</v>
      </c>
      <c r="V170" s="875">
        <f t="shared" si="24"/>
        <v>0</v>
      </c>
      <c r="W170" s="875">
        <f t="shared" si="23"/>
        <v>0</v>
      </c>
      <c r="X170" s="875">
        <f t="shared" si="23"/>
        <v>14900</v>
      </c>
      <c r="Y170" s="883"/>
      <c r="Z170" s="875">
        <f t="shared" si="22"/>
        <v>0</v>
      </c>
      <c r="AA170" s="875">
        <f t="shared" si="22"/>
        <v>0</v>
      </c>
      <c r="AB170" s="875">
        <f t="shared" si="22"/>
        <v>0</v>
      </c>
      <c r="AC170" s="878"/>
    </row>
    <row r="171" spans="1:29" ht="47.25" x14ac:dyDescent="0.2">
      <c r="A171" s="618" t="s">
        <v>1289</v>
      </c>
      <c r="B171" s="619" t="s">
        <v>729</v>
      </c>
      <c r="C171" s="620">
        <v>244</v>
      </c>
      <c r="D171" s="620">
        <v>226</v>
      </c>
      <c r="E171" s="596">
        <f t="shared" si="21"/>
        <v>11320</v>
      </c>
      <c r="F171" s="595">
        <f>'Прилож 4 24 (6)'!V169</f>
        <v>0</v>
      </c>
      <c r="G171" s="595">
        <f>'Прилож 4 24 (6)'!W169</f>
        <v>0</v>
      </c>
      <c r="H171" s="595">
        <f>'Прилож 4 24 (6)'!X169</f>
        <v>11320</v>
      </c>
      <c r="I171" s="628"/>
      <c r="J171" s="595">
        <f>'Прилож 4 24 (6)'!Z169</f>
        <v>0</v>
      </c>
      <c r="K171" s="595">
        <f>'Прилож 4 24 (6)'!AA169</f>
        <v>0</v>
      </c>
      <c r="L171" s="595">
        <f>'Прилож 4 24 (6)'!AB169</f>
        <v>0</v>
      </c>
      <c r="M171" s="876">
        <f t="shared" si="25"/>
        <v>0</v>
      </c>
      <c r="N171" s="875"/>
      <c r="O171" s="875"/>
      <c r="P171" s="875"/>
      <c r="Q171" s="877"/>
      <c r="R171" s="875"/>
      <c r="S171" s="875"/>
      <c r="T171" s="875"/>
      <c r="U171" s="876">
        <f t="shared" si="24"/>
        <v>11320</v>
      </c>
      <c r="V171" s="875">
        <f t="shared" si="24"/>
        <v>0</v>
      </c>
      <c r="W171" s="875">
        <f t="shared" si="23"/>
        <v>0</v>
      </c>
      <c r="X171" s="875">
        <f t="shared" si="23"/>
        <v>11320</v>
      </c>
      <c r="Y171" s="883"/>
      <c r="Z171" s="875">
        <f t="shared" si="22"/>
        <v>0</v>
      </c>
      <c r="AA171" s="875">
        <f t="shared" si="22"/>
        <v>0</v>
      </c>
      <c r="AB171" s="875">
        <f t="shared" si="22"/>
        <v>0</v>
      </c>
      <c r="AC171" s="878"/>
    </row>
    <row r="172" spans="1:29" ht="24.75" customHeight="1" x14ac:dyDescent="0.2">
      <c r="A172" s="618" t="s">
        <v>1313</v>
      </c>
      <c r="B172" s="619" t="s">
        <v>729</v>
      </c>
      <c r="C172" s="620">
        <v>244</v>
      </c>
      <c r="D172" s="620">
        <v>226</v>
      </c>
      <c r="E172" s="596">
        <f t="shared" si="21"/>
        <v>163101.6</v>
      </c>
      <c r="F172" s="595">
        <f>'Прилож 4 24 (6)'!V170</f>
        <v>0</v>
      </c>
      <c r="G172" s="595">
        <f>'Прилож 4 24 (6)'!W170</f>
        <v>0</v>
      </c>
      <c r="H172" s="595">
        <f>'Прилож 4 24 (6)'!X170</f>
        <v>0</v>
      </c>
      <c r="I172" s="582" t="s">
        <v>1314</v>
      </c>
      <c r="J172" s="595">
        <f>'Прилож 4 24 (6)'!Z170</f>
        <v>0</v>
      </c>
      <c r="K172" s="595">
        <f>'Прилож 4 24 (6)'!AA170</f>
        <v>163101.6</v>
      </c>
      <c r="L172" s="595">
        <f>'Прилож 4 24 (6)'!AB170</f>
        <v>0</v>
      </c>
      <c r="M172" s="876">
        <f t="shared" si="25"/>
        <v>0</v>
      </c>
      <c r="N172" s="875"/>
      <c r="O172" s="875"/>
      <c r="P172" s="875"/>
      <c r="Q172" s="873"/>
      <c r="R172" s="875"/>
      <c r="S172" s="875"/>
      <c r="T172" s="875"/>
      <c r="U172" s="876">
        <f t="shared" si="24"/>
        <v>163101.6</v>
      </c>
      <c r="V172" s="875">
        <f t="shared" si="24"/>
        <v>0</v>
      </c>
      <c r="W172" s="875">
        <f t="shared" si="23"/>
        <v>0</v>
      </c>
      <c r="X172" s="875">
        <f t="shared" si="23"/>
        <v>0</v>
      </c>
      <c r="Y172" s="873" t="s">
        <v>1314</v>
      </c>
      <c r="Z172" s="875">
        <f t="shared" si="22"/>
        <v>0</v>
      </c>
      <c r="AA172" s="875">
        <f t="shared" si="22"/>
        <v>163101.6</v>
      </c>
      <c r="AB172" s="875">
        <f t="shared" si="22"/>
        <v>0</v>
      </c>
      <c r="AC172" s="878"/>
    </row>
    <row r="173" spans="1:29" ht="59.25" customHeight="1" x14ac:dyDescent="0.2">
      <c r="A173" s="618" t="s">
        <v>1318</v>
      </c>
      <c r="B173" s="619" t="s">
        <v>729</v>
      </c>
      <c r="C173" s="620">
        <v>244</v>
      </c>
      <c r="D173" s="620">
        <v>226</v>
      </c>
      <c r="E173" s="596">
        <f t="shared" si="21"/>
        <v>0</v>
      </c>
      <c r="F173" s="595">
        <f>'Прилож 4 24 (6)'!V171</f>
        <v>0</v>
      </c>
      <c r="G173" s="595">
        <f>'Прилож 4 24 (6)'!W171</f>
        <v>0</v>
      </c>
      <c r="H173" s="595">
        <f>'Прилож 4 24 (6)'!X171</f>
        <v>0</v>
      </c>
      <c r="I173" s="582" t="s">
        <v>1314</v>
      </c>
      <c r="J173" s="595">
        <f>'Прилож 4 24 (6)'!Z171</f>
        <v>0</v>
      </c>
      <c r="K173" s="595">
        <f>'Прилож 4 24 (6)'!AA171</f>
        <v>0</v>
      </c>
      <c r="L173" s="595">
        <f>'Прилож 4 24 (6)'!AB171</f>
        <v>0</v>
      </c>
      <c r="M173" s="876">
        <f t="shared" si="25"/>
        <v>0</v>
      </c>
      <c r="N173" s="875"/>
      <c r="O173" s="875"/>
      <c r="P173" s="875"/>
      <c r="Q173" s="990"/>
      <c r="R173" s="875"/>
      <c r="S173" s="875"/>
      <c r="T173" s="875"/>
      <c r="U173" s="876">
        <f t="shared" si="24"/>
        <v>0</v>
      </c>
      <c r="V173" s="875">
        <f t="shared" si="24"/>
        <v>0</v>
      </c>
      <c r="W173" s="875">
        <f t="shared" si="23"/>
        <v>0</v>
      </c>
      <c r="X173" s="875">
        <f t="shared" si="23"/>
        <v>0</v>
      </c>
      <c r="Y173" s="873" t="s">
        <v>1314</v>
      </c>
      <c r="Z173" s="875">
        <f t="shared" si="22"/>
        <v>0</v>
      </c>
      <c r="AA173" s="875">
        <f t="shared" si="22"/>
        <v>0</v>
      </c>
      <c r="AB173" s="875">
        <f t="shared" si="22"/>
        <v>0</v>
      </c>
      <c r="AC173" s="878"/>
    </row>
    <row r="174" spans="1:29" ht="63.75" customHeight="1" x14ac:dyDescent="0.2">
      <c r="A174" s="618" t="s">
        <v>1424</v>
      </c>
      <c r="B174" s="619" t="s">
        <v>729</v>
      </c>
      <c r="C174" s="620">
        <v>244</v>
      </c>
      <c r="D174" s="620">
        <v>226</v>
      </c>
      <c r="E174" s="596">
        <f t="shared" si="21"/>
        <v>43822.35</v>
      </c>
      <c r="F174" s="595">
        <f>'Прилож 4 24 (6)'!V172</f>
        <v>43822.35</v>
      </c>
      <c r="G174" s="595">
        <f>'Прилож 4 24 (6)'!W172</f>
        <v>0</v>
      </c>
      <c r="H174" s="595">
        <f>'Прилож 4 24 (6)'!X172</f>
        <v>0</v>
      </c>
      <c r="I174" s="582"/>
      <c r="J174" s="595">
        <f>'Прилож 4 24 (6)'!Z172</f>
        <v>0</v>
      </c>
      <c r="K174" s="595">
        <f>'Прилож 4 24 (6)'!AA172</f>
        <v>0</v>
      </c>
      <c r="L174" s="595">
        <f>'Прилож 4 24 (6)'!AB172</f>
        <v>0</v>
      </c>
      <c r="M174" s="876">
        <f t="shared" si="25"/>
        <v>0</v>
      </c>
      <c r="N174" s="875"/>
      <c r="O174" s="875"/>
      <c r="P174" s="875"/>
      <c r="Q174" s="873"/>
      <c r="R174" s="875"/>
      <c r="S174" s="875"/>
      <c r="T174" s="875"/>
      <c r="U174" s="876">
        <f t="shared" si="24"/>
        <v>43822.35</v>
      </c>
      <c r="V174" s="875">
        <f t="shared" si="24"/>
        <v>43822.35</v>
      </c>
      <c r="W174" s="875">
        <f t="shared" si="23"/>
        <v>0</v>
      </c>
      <c r="X174" s="875">
        <f t="shared" si="23"/>
        <v>0</v>
      </c>
      <c r="Y174" s="873"/>
      <c r="Z174" s="875">
        <f t="shared" si="22"/>
        <v>0</v>
      </c>
      <c r="AA174" s="875">
        <f t="shared" si="22"/>
        <v>0</v>
      </c>
      <c r="AB174" s="875">
        <f t="shared" si="22"/>
        <v>0</v>
      </c>
      <c r="AC174" s="878"/>
    </row>
    <row r="175" spans="1:29" ht="41.25" customHeight="1" x14ac:dyDescent="0.2">
      <c r="A175" s="618" t="s">
        <v>1393</v>
      </c>
      <c r="B175" s="619" t="s">
        <v>729</v>
      </c>
      <c r="C175" s="620">
        <v>244</v>
      </c>
      <c r="D175" s="620">
        <v>226</v>
      </c>
      <c r="E175" s="596">
        <f t="shared" si="21"/>
        <v>35920</v>
      </c>
      <c r="F175" s="595">
        <f>'Прилож 4 24 (6)'!V173</f>
        <v>0</v>
      </c>
      <c r="G175" s="595">
        <f>'Прилож 4 24 (6)'!W173</f>
        <v>0</v>
      </c>
      <c r="H175" s="595">
        <f>'Прилож 4 24 (6)'!X173</f>
        <v>35920</v>
      </c>
      <c r="I175" s="582"/>
      <c r="J175" s="595">
        <f>'Прилож 4 24 (6)'!Z173</f>
        <v>0</v>
      </c>
      <c r="K175" s="595">
        <f>'Прилож 4 24 (6)'!AA173</f>
        <v>0</v>
      </c>
      <c r="L175" s="595">
        <f>'Прилож 4 24 (6)'!AB173</f>
        <v>0</v>
      </c>
      <c r="M175" s="876">
        <f t="shared" si="25"/>
        <v>0</v>
      </c>
      <c r="N175" s="875"/>
      <c r="O175" s="875"/>
      <c r="P175" s="875"/>
      <c r="Q175" s="873"/>
      <c r="R175" s="875"/>
      <c r="S175" s="875"/>
      <c r="T175" s="875"/>
      <c r="U175" s="876">
        <f t="shared" si="24"/>
        <v>35920</v>
      </c>
      <c r="V175" s="875">
        <f t="shared" si="24"/>
        <v>0</v>
      </c>
      <c r="W175" s="875">
        <f t="shared" si="23"/>
        <v>0</v>
      </c>
      <c r="X175" s="875">
        <f t="shared" si="23"/>
        <v>35920</v>
      </c>
      <c r="Y175" s="873"/>
      <c r="Z175" s="875">
        <f t="shared" si="22"/>
        <v>0</v>
      </c>
      <c r="AA175" s="875">
        <f t="shared" si="22"/>
        <v>0</v>
      </c>
      <c r="AB175" s="875">
        <f t="shared" si="22"/>
        <v>0</v>
      </c>
      <c r="AC175" s="878"/>
    </row>
    <row r="176" spans="1:29" ht="48.75" customHeight="1" x14ac:dyDescent="0.2">
      <c r="A176" s="618" t="s">
        <v>1327</v>
      </c>
      <c r="B176" s="619" t="s">
        <v>729</v>
      </c>
      <c r="C176" s="620">
        <v>244</v>
      </c>
      <c r="D176" s="620">
        <v>226</v>
      </c>
      <c r="E176" s="596">
        <f t="shared" si="21"/>
        <v>5075389</v>
      </c>
      <c r="F176" s="595">
        <f>'Прилож 4 24 (6)'!V174</f>
        <v>0</v>
      </c>
      <c r="G176" s="595">
        <f>'Прилож 4 24 (6)'!W174</f>
        <v>0</v>
      </c>
      <c r="H176" s="595">
        <f>'Прилож 4 24 (6)'!X174</f>
        <v>0</v>
      </c>
      <c r="I176" s="621"/>
      <c r="J176" s="595">
        <f>'Прилож 4 24 (6)'!Z174</f>
        <v>0</v>
      </c>
      <c r="K176" s="595">
        <f>'Прилож 4 24 (6)'!AA174</f>
        <v>5075389</v>
      </c>
      <c r="L176" s="595">
        <f>'Прилож 4 24 (6)'!AB174</f>
        <v>0</v>
      </c>
      <c r="M176" s="876">
        <f t="shared" si="25"/>
        <v>-176896.81</v>
      </c>
      <c r="N176" s="875"/>
      <c r="O176" s="875"/>
      <c r="P176" s="875"/>
      <c r="Q176" s="621" t="s">
        <v>1314</v>
      </c>
      <c r="R176" s="875"/>
      <c r="S176" s="875">
        <v>-176896.81</v>
      </c>
      <c r="T176" s="875"/>
      <c r="U176" s="876">
        <f t="shared" si="24"/>
        <v>4898492.1900000004</v>
      </c>
      <c r="V176" s="875">
        <f t="shared" si="24"/>
        <v>0</v>
      </c>
      <c r="W176" s="875">
        <f t="shared" si="23"/>
        <v>0</v>
      </c>
      <c r="X176" s="875">
        <f t="shared" si="23"/>
        <v>0</v>
      </c>
      <c r="Y176" s="621" t="s">
        <v>1314</v>
      </c>
      <c r="Z176" s="875">
        <f t="shared" si="22"/>
        <v>0</v>
      </c>
      <c r="AA176" s="875">
        <f t="shared" si="22"/>
        <v>4898492.1900000004</v>
      </c>
      <c r="AB176" s="875">
        <f t="shared" si="22"/>
        <v>0</v>
      </c>
      <c r="AC176" s="878" t="s">
        <v>1477</v>
      </c>
    </row>
    <row r="177" spans="1:30" s="637" customFormat="1" x14ac:dyDescent="0.2">
      <c r="A177" s="632" t="s">
        <v>1143</v>
      </c>
      <c r="B177" s="633" t="s">
        <v>729</v>
      </c>
      <c r="C177" s="634">
        <v>244</v>
      </c>
      <c r="D177" s="634">
        <v>226</v>
      </c>
      <c r="E177" s="596">
        <f t="shared" si="21"/>
        <v>5758503.8699999992</v>
      </c>
      <c r="F177" s="595">
        <f>'Прилож 4 24 (6)'!V175</f>
        <v>43822.35</v>
      </c>
      <c r="G177" s="595">
        <f>'Прилож 4 24 (6)'!W175</f>
        <v>0</v>
      </c>
      <c r="H177" s="595">
        <f>'Прилож 4 24 (6)'!X175</f>
        <v>476190.92</v>
      </c>
      <c r="I177" s="635"/>
      <c r="J177" s="595">
        <f>'Прилож 4 24 (6)'!Z175</f>
        <v>0</v>
      </c>
      <c r="K177" s="595">
        <f>'Прилож 4 24 (6)'!AA175</f>
        <v>5238490.5999999996</v>
      </c>
      <c r="L177" s="595">
        <f>'Прилож 4 24 (6)'!AB175</f>
        <v>0</v>
      </c>
      <c r="M177" s="876">
        <f t="shared" si="25"/>
        <v>-176896.81</v>
      </c>
      <c r="N177" s="884">
        <f>SUM(N161:N175)</f>
        <v>0</v>
      </c>
      <c r="O177" s="884"/>
      <c r="P177" s="884">
        <f>SUM(P161:P175)</f>
        <v>0</v>
      </c>
      <c r="Q177" s="885"/>
      <c r="R177" s="884"/>
      <c r="S177" s="884">
        <f>SUM(S161:S176)</f>
        <v>-176896.81</v>
      </c>
      <c r="T177" s="884"/>
      <c r="U177" s="876">
        <f>E177+M177</f>
        <v>5581607.0599999996</v>
      </c>
      <c r="V177" s="875">
        <f t="shared" si="24"/>
        <v>43822.35</v>
      </c>
      <c r="W177" s="875">
        <f t="shared" si="23"/>
        <v>0</v>
      </c>
      <c r="X177" s="875">
        <f t="shared" si="23"/>
        <v>476190.92</v>
      </c>
      <c r="Y177" s="885"/>
      <c r="Z177" s="875">
        <f t="shared" si="22"/>
        <v>0</v>
      </c>
      <c r="AA177" s="875">
        <f t="shared" si="22"/>
        <v>5061593.79</v>
      </c>
      <c r="AB177" s="875">
        <f t="shared" si="22"/>
        <v>0</v>
      </c>
      <c r="AC177" s="886"/>
      <c r="AD177" s="819"/>
    </row>
    <row r="178" spans="1:30" x14ac:dyDescent="0.2">
      <c r="A178" s="618" t="s">
        <v>753</v>
      </c>
      <c r="B178" s="619" t="s">
        <v>691</v>
      </c>
      <c r="C178" s="620">
        <v>244</v>
      </c>
      <c r="D178" s="620">
        <v>226</v>
      </c>
      <c r="E178" s="596">
        <f t="shared" si="21"/>
        <v>190259.99999999997</v>
      </c>
      <c r="F178" s="595">
        <f>'Прилож 4 24 (6)'!V176</f>
        <v>32288.77</v>
      </c>
      <c r="G178" s="595">
        <f>'Прилож 4 24 (6)'!W176</f>
        <v>0</v>
      </c>
      <c r="H178" s="595">
        <f>'Прилож 4 24 (6)'!X176</f>
        <v>109128.84</v>
      </c>
      <c r="I178" s="628"/>
      <c r="J178" s="595">
        <f>'Прилож 4 24 (6)'!Z176</f>
        <v>0</v>
      </c>
      <c r="K178" s="595">
        <f>'Прилож 4 24 (6)'!AA176</f>
        <v>0</v>
      </c>
      <c r="L178" s="595">
        <f>'Прилож 4 24 (6)'!AB176</f>
        <v>48842.39</v>
      </c>
      <c r="M178" s="876">
        <f t="shared" si="25"/>
        <v>0</v>
      </c>
      <c r="N178" s="875"/>
      <c r="O178" s="875"/>
      <c r="P178" s="875"/>
      <c r="Q178" s="877"/>
      <c r="R178" s="875"/>
      <c r="S178" s="875"/>
      <c r="T178" s="875"/>
      <c r="U178" s="876">
        <f t="shared" si="24"/>
        <v>190259.99999999997</v>
      </c>
      <c r="V178" s="875">
        <f t="shared" si="24"/>
        <v>32288.77</v>
      </c>
      <c r="W178" s="875">
        <f t="shared" si="23"/>
        <v>0</v>
      </c>
      <c r="X178" s="875">
        <f t="shared" si="23"/>
        <v>109128.84</v>
      </c>
      <c r="Y178" s="883"/>
      <c r="Z178" s="875">
        <f t="shared" si="22"/>
        <v>0</v>
      </c>
      <c r="AA178" s="875">
        <f t="shared" si="22"/>
        <v>0</v>
      </c>
      <c r="AB178" s="875">
        <f t="shared" si="22"/>
        <v>48842.39</v>
      </c>
      <c r="AC178" s="878"/>
    </row>
    <row r="179" spans="1:30" x14ac:dyDescent="0.2">
      <c r="A179" s="618" t="s">
        <v>754</v>
      </c>
      <c r="B179" s="619" t="s">
        <v>691</v>
      </c>
      <c r="C179" s="620">
        <v>244</v>
      </c>
      <c r="D179" s="620">
        <v>226</v>
      </c>
      <c r="E179" s="596">
        <f t="shared" si="21"/>
        <v>74560.5</v>
      </c>
      <c r="F179" s="595">
        <f>'Прилож 4 24 (6)'!V177</f>
        <v>0</v>
      </c>
      <c r="G179" s="595">
        <f>'Прилож 4 24 (6)'!W177</f>
        <v>0</v>
      </c>
      <c r="H179" s="595">
        <f>'Прилож 4 24 (6)'!X177</f>
        <v>63301.25</v>
      </c>
      <c r="I179" s="628"/>
      <c r="J179" s="595">
        <f>'Прилож 4 24 (6)'!Z177</f>
        <v>0</v>
      </c>
      <c r="K179" s="595">
        <f>'Прилож 4 24 (6)'!AA177</f>
        <v>0</v>
      </c>
      <c r="L179" s="595">
        <f>'Прилож 4 24 (6)'!AB177</f>
        <v>11259.25</v>
      </c>
      <c r="M179" s="876">
        <f t="shared" si="25"/>
        <v>0</v>
      </c>
      <c r="N179" s="875"/>
      <c r="O179" s="875"/>
      <c r="P179" s="875"/>
      <c r="Q179" s="877"/>
      <c r="R179" s="875"/>
      <c r="S179" s="875"/>
      <c r="T179" s="875"/>
      <c r="U179" s="876">
        <f t="shared" si="24"/>
        <v>74560.5</v>
      </c>
      <c r="V179" s="875">
        <f t="shared" si="24"/>
        <v>0</v>
      </c>
      <c r="W179" s="875">
        <f t="shared" si="23"/>
        <v>0</v>
      </c>
      <c r="X179" s="875">
        <f t="shared" si="23"/>
        <v>63301.25</v>
      </c>
      <c r="Y179" s="883"/>
      <c r="Z179" s="875">
        <f t="shared" si="22"/>
        <v>0</v>
      </c>
      <c r="AA179" s="875">
        <f t="shared" si="22"/>
        <v>0</v>
      </c>
      <c r="AB179" s="875">
        <f t="shared" si="22"/>
        <v>11259.25</v>
      </c>
      <c r="AC179" s="878"/>
    </row>
    <row r="180" spans="1:30" ht="73.5" customHeight="1" x14ac:dyDescent="0.2">
      <c r="A180" s="618" t="s">
        <v>712</v>
      </c>
      <c r="B180" s="619" t="s">
        <v>691</v>
      </c>
      <c r="C180" s="620">
        <v>244</v>
      </c>
      <c r="D180" s="620">
        <v>226</v>
      </c>
      <c r="E180" s="596">
        <f t="shared" si="21"/>
        <v>28538.999999999996</v>
      </c>
      <c r="F180" s="595">
        <f>'Прилож 4 24 (6)'!V178</f>
        <v>0</v>
      </c>
      <c r="G180" s="595">
        <f>'Прилож 4 24 (6)'!W178</f>
        <v>0</v>
      </c>
      <c r="H180" s="595">
        <f>'Прилож 4 24 (6)'!X178</f>
        <v>27112.049999999996</v>
      </c>
      <c r="I180" s="628"/>
      <c r="J180" s="595">
        <f>'Прилож 4 24 (6)'!Z178</f>
        <v>0</v>
      </c>
      <c r="K180" s="595">
        <f>'Прилож 4 24 (6)'!AA178</f>
        <v>0</v>
      </c>
      <c r="L180" s="595">
        <f>'Прилож 4 24 (6)'!AB178</f>
        <v>1426.95</v>
      </c>
      <c r="M180" s="876">
        <f t="shared" si="25"/>
        <v>0</v>
      </c>
      <c r="N180" s="875"/>
      <c r="O180" s="875"/>
      <c r="P180" s="875"/>
      <c r="Q180" s="877"/>
      <c r="R180" s="875"/>
      <c r="S180" s="875"/>
      <c r="T180" s="875"/>
      <c r="U180" s="876">
        <f t="shared" si="24"/>
        <v>28538.999999999996</v>
      </c>
      <c r="V180" s="875">
        <f t="shared" si="24"/>
        <v>0</v>
      </c>
      <c r="W180" s="875">
        <f t="shared" si="23"/>
        <v>0</v>
      </c>
      <c r="X180" s="875">
        <f t="shared" si="23"/>
        <v>27112.049999999996</v>
      </c>
      <c r="Y180" s="883"/>
      <c r="Z180" s="875">
        <f t="shared" si="22"/>
        <v>0</v>
      </c>
      <c r="AA180" s="875">
        <f t="shared" si="22"/>
        <v>0</v>
      </c>
      <c r="AB180" s="875">
        <f t="shared" si="22"/>
        <v>1426.95</v>
      </c>
      <c r="AC180" s="878"/>
    </row>
    <row r="181" spans="1:30" x14ac:dyDescent="0.2">
      <c r="A181" s="618" t="s">
        <v>755</v>
      </c>
      <c r="B181" s="619" t="s">
        <v>691</v>
      </c>
      <c r="C181" s="620">
        <v>244</v>
      </c>
      <c r="D181" s="620">
        <v>226</v>
      </c>
      <c r="E181" s="596">
        <f t="shared" si="21"/>
        <v>0</v>
      </c>
      <c r="F181" s="595">
        <f>'Прилож 4 24 (6)'!V179</f>
        <v>0</v>
      </c>
      <c r="G181" s="595">
        <f>'Прилож 4 24 (6)'!W179</f>
        <v>0</v>
      </c>
      <c r="H181" s="595">
        <f>'Прилож 4 24 (6)'!X179</f>
        <v>0</v>
      </c>
      <c r="I181" s="628"/>
      <c r="J181" s="595">
        <f>'Прилож 4 24 (6)'!Z179</f>
        <v>0</v>
      </c>
      <c r="K181" s="595">
        <f>'Прилож 4 24 (6)'!AA179</f>
        <v>0</v>
      </c>
      <c r="L181" s="595">
        <f>'Прилож 4 24 (6)'!AB179</f>
        <v>0</v>
      </c>
      <c r="M181" s="876">
        <f t="shared" si="25"/>
        <v>0</v>
      </c>
      <c r="N181" s="875"/>
      <c r="O181" s="875"/>
      <c r="P181" s="875"/>
      <c r="Q181" s="877"/>
      <c r="R181" s="875"/>
      <c r="S181" s="875"/>
      <c r="T181" s="875"/>
      <c r="U181" s="876">
        <f t="shared" si="24"/>
        <v>0</v>
      </c>
      <c r="V181" s="875">
        <f t="shared" si="24"/>
        <v>0</v>
      </c>
      <c r="W181" s="875">
        <f t="shared" si="23"/>
        <v>0</v>
      </c>
      <c r="X181" s="875">
        <f t="shared" si="23"/>
        <v>0</v>
      </c>
      <c r="Y181" s="883"/>
      <c r="Z181" s="875">
        <f t="shared" si="22"/>
        <v>0</v>
      </c>
      <c r="AA181" s="875">
        <f t="shared" si="22"/>
        <v>0</v>
      </c>
      <c r="AB181" s="875">
        <f t="shared" si="22"/>
        <v>0</v>
      </c>
      <c r="AC181" s="878"/>
    </row>
    <row r="182" spans="1:30" ht="44.25" customHeight="1" x14ac:dyDescent="0.2">
      <c r="A182" s="618" t="s">
        <v>756</v>
      </c>
      <c r="B182" s="619" t="s">
        <v>691</v>
      </c>
      <c r="C182" s="620">
        <v>244</v>
      </c>
      <c r="D182" s="620">
        <v>226</v>
      </c>
      <c r="E182" s="596">
        <f t="shared" si="21"/>
        <v>29384.92</v>
      </c>
      <c r="F182" s="595">
        <f>'Прилож 4 24 (6)'!V180</f>
        <v>0</v>
      </c>
      <c r="G182" s="595">
        <f>'Прилож 4 24 (6)'!W180</f>
        <v>0</v>
      </c>
      <c r="H182" s="595">
        <f>'Прилож 4 24 (6)'!X180</f>
        <v>25135.27</v>
      </c>
      <c r="I182" s="628"/>
      <c r="J182" s="595">
        <f>'Прилож 4 24 (6)'!Z180</f>
        <v>0</v>
      </c>
      <c r="K182" s="595">
        <f>'Прилож 4 24 (6)'!AA180</f>
        <v>0</v>
      </c>
      <c r="L182" s="595">
        <f>'Прилож 4 24 (6)'!AB180</f>
        <v>4249.6499999999996</v>
      </c>
      <c r="M182" s="876">
        <f t="shared" si="25"/>
        <v>0</v>
      </c>
      <c r="N182" s="875"/>
      <c r="O182" s="875"/>
      <c r="P182" s="875"/>
      <c r="Q182" s="877"/>
      <c r="R182" s="875"/>
      <c r="S182" s="875"/>
      <c r="T182" s="875"/>
      <c r="U182" s="876">
        <f t="shared" si="24"/>
        <v>29384.92</v>
      </c>
      <c r="V182" s="875">
        <f t="shared" si="24"/>
        <v>0</v>
      </c>
      <c r="W182" s="875">
        <f t="shared" si="23"/>
        <v>0</v>
      </c>
      <c r="X182" s="875">
        <f t="shared" si="23"/>
        <v>25135.27</v>
      </c>
      <c r="Y182" s="883"/>
      <c r="Z182" s="875">
        <f t="shared" si="22"/>
        <v>0</v>
      </c>
      <c r="AA182" s="875">
        <f t="shared" si="22"/>
        <v>0</v>
      </c>
      <c r="AB182" s="875">
        <f t="shared" si="22"/>
        <v>4249.6499999999996</v>
      </c>
      <c r="AC182" s="878"/>
    </row>
    <row r="183" spans="1:30" x14ac:dyDescent="0.2">
      <c r="A183" s="618" t="s">
        <v>706</v>
      </c>
      <c r="B183" s="619" t="s">
        <v>691</v>
      </c>
      <c r="C183" s="620">
        <v>244</v>
      </c>
      <c r="D183" s="620">
        <v>226</v>
      </c>
      <c r="E183" s="596">
        <f t="shared" si="21"/>
        <v>0</v>
      </c>
      <c r="F183" s="595">
        <f>'Прилож 4 24 (6)'!V181</f>
        <v>0</v>
      </c>
      <c r="G183" s="595">
        <f>'Прилож 4 24 (6)'!W181</f>
        <v>0</v>
      </c>
      <c r="H183" s="595">
        <f>'Прилож 4 24 (6)'!X181</f>
        <v>0</v>
      </c>
      <c r="I183" s="628"/>
      <c r="J183" s="595">
        <f>'Прилож 4 24 (6)'!Z181</f>
        <v>0</v>
      </c>
      <c r="K183" s="595">
        <f>'Прилож 4 24 (6)'!AA181</f>
        <v>0</v>
      </c>
      <c r="L183" s="595">
        <f>'Прилож 4 24 (6)'!AB181</f>
        <v>0</v>
      </c>
      <c r="M183" s="876">
        <f t="shared" si="25"/>
        <v>0</v>
      </c>
      <c r="N183" s="875"/>
      <c r="O183" s="875"/>
      <c r="P183" s="875"/>
      <c r="Q183" s="877"/>
      <c r="R183" s="875"/>
      <c r="S183" s="875"/>
      <c r="T183" s="875"/>
      <c r="U183" s="876">
        <f t="shared" si="24"/>
        <v>0</v>
      </c>
      <c r="V183" s="875">
        <f t="shared" si="24"/>
        <v>0</v>
      </c>
      <c r="W183" s="875">
        <f t="shared" si="23"/>
        <v>0</v>
      </c>
      <c r="X183" s="875">
        <f t="shared" si="23"/>
        <v>0</v>
      </c>
      <c r="Y183" s="883"/>
      <c r="Z183" s="875">
        <f t="shared" si="22"/>
        <v>0</v>
      </c>
      <c r="AA183" s="875">
        <f t="shared" si="22"/>
        <v>0</v>
      </c>
      <c r="AB183" s="875">
        <f t="shared" si="22"/>
        <v>0</v>
      </c>
      <c r="AC183" s="878"/>
    </row>
    <row r="184" spans="1:30" ht="61.5" customHeight="1" x14ac:dyDescent="0.2">
      <c r="A184" s="994" t="s">
        <v>1445</v>
      </c>
      <c r="B184" s="619" t="s">
        <v>691</v>
      </c>
      <c r="C184" s="620">
        <v>244</v>
      </c>
      <c r="D184" s="620">
        <v>226</v>
      </c>
      <c r="E184" s="596">
        <f t="shared" si="21"/>
        <v>21411</v>
      </c>
      <c r="F184" s="595">
        <f>'Прилож 4 24 (6)'!V182</f>
        <v>0</v>
      </c>
      <c r="G184" s="595">
        <f>'Прилож 4 24 (6)'!W182</f>
        <v>0</v>
      </c>
      <c r="H184" s="595">
        <f>'Прилож 4 24 (6)'!X182</f>
        <v>0</v>
      </c>
      <c r="I184" s="877" t="s">
        <v>1440</v>
      </c>
      <c r="J184" s="595">
        <f>'Прилож 4 24 (6)'!Z182</f>
        <v>0</v>
      </c>
      <c r="K184" s="595">
        <f>'Прилож 4 24 (6)'!AA182</f>
        <v>21411</v>
      </c>
      <c r="L184" s="595">
        <f>'Прилож 4 24 (6)'!AB182</f>
        <v>0</v>
      </c>
      <c r="M184" s="876">
        <f t="shared" si="25"/>
        <v>0</v>
      </c>
      <c r="N184" s="875"/>
      <c r="O184" s="875"/>
      <c r="P184" s="875"/>
      <c r="Q184" s="877"/>
      <c r="R184" s="875"/>
      <c r="S184" s="875"/>
      <c r="T184" s="875"/>
      <c r="U184" s="876">
        <f t="shared" si="24"/>
        <v>21411</v>
      </c>
      <c r="V184" s="875">
        <f t="shared" si="24"/>
        <v>0</v>
      </c>
      <c r="W184" s="875">
        <f t="shared" si="23"/>
        <v>0</v>
      </c>
      <c r="X184" s="875"/>
      <c r="Y184" s="877" t="s">
        <v>1440</v>
      </c>
      <c r="Z184" s="875"/>
      <c r="AA184" s="875">
        <f t="shared" si="22"/>
        <v>21411</v>
      </c>
      <c r="AB184" s="875">
        <f t="shared" si="22"/>
        <v>0</v>
      </c>
      <c r="AC184" s="878"/>
    </row>
    <row r="185" spans="1:30" s="637" customFormat="1" x14ac:dyDescent="0.2">
      <c r="A185" s="632" t="s">
        <v>1143</v>
      </c>
      <c r="B185" s="633" t="s">
        <v>691</v>
      </c>
      <c r="C185" s="634">
        <v>244</v>
      </c>
      <c r="D185" s="634">
        <v>226</v>
      </c>
      <c r="E185" s="596">
        <f t="shared" si="21"/>
        <v>344155.42</v>
      </c>
      <c r="F185" s="595">
        <f>'Прилож 4 24 (6)'!V183</f>
        <v>32288.77</v>
      </c>
      <c r="G185" s="595">
        <f>'Прилож 4 24 (6)'!W183</f>
        <v>0</v>
      </c>
      <c r="H185" s="595">
        <f>'Прилож 4 24 (6)'!X183</f>
        <v>224677.40999999997</v>
      </c>
      <c r="I185" s="635"/>
      <c r="J185" s="595">
        <f>'Прилож 4 24 (6)'!Z183</f>
        <v>0</v>
      </c>
      <c r="K185" s="595">
        <f>'Прилож 4 24 (6)'!AA183</f>
        <v>21411</v>
      </c>
      <c r="L185" s="595">
        <f>'Прилож 4 24 (6)'!AB183</f>
        <v>65778.240000000005</v>
      </c>
      <c r="M185" s="876">
        <f t="shared" si="25"/>
        <v>0</v>
      </c>
      <c r="N185" s="884"/>
      <c r="O185" s="884"/>
      <c r="P185" s="884">
        <f>SUM(P178:P183)</f>
        <v>0</v>
      </c>
      <c r="Q185" s="885"/>
      <c r="R185" s="884"/>
      <c r="S185" s="884">
        <f>SUM(S178:S184)</f>
        <v>0</v>
      </c>
      <c r="T185" s="884">
        <f>SUM(T178:T183)</f>
        <v>0</v>
      </c>
      <c r="U185" s="876">
        <f t="shared" si="24"/>
        <v>344155.42</v>
      </c>
      <c r="V185" s="875">
        <f t="shared" si="24"/>
        <v>32288.77</v>
      </c>
      <c r="W185" s="875">
        <f t="shared" si="23"/>
        <v>0</v>
      </c>
      <c r="X185" s="875">
        <f t="shared" si="23"/>
        <v>224677.40999999997</v>
      </c>
      <c r="Y185" s="885"/>
      <c r="Z185" s="875">
        <f t="shared" si="22"/>
        <v>0</v>
      </c>
      <c r="AA185" s="875">
        <f t="shared" si="22"/>
        <v>21411</v>
      </c>
      <c r="AB185" s="875">
        <f t="shared" si="22"/>
        <v>65778.240000000005</v>
      </c>
      <c r="AC185" s="886"/>
      <c r="AD185" s="819"/>
    </row>
    <row r="186" spans="1:30" s="614" customFormat="1" x14ac:dyDescent="0.2">
      <c r="A186" s="630" t="s">
        <v>739</v>
      </c>
      <c r="B186" s="631"/>
      <c r="C186" s="624"/>
      <c r="D186" s="624"/>
      <c r="E186" s="596">
        <f t="shared" si="21"/>
        <v>6570154.4100000001</v>
      </c>
      <c r="F186" s="595">
        <f>'Прилож 4 24 (6)'!V184</f>
        <v>76111.12</v>
      </c>
      <c r="G186" s="595">
        <f>'Прилож 4 24 (6)'!W184</f>
        <v>0</v>
      </c>
      <c r="H186" s="595">
        <f>'Прилож 4 24 (6)'!X184</f>
        <v>915594.24999999988</v>
      </c>
      <c r="I186" s="626"/>
      <c r="J186" s="595">
        <f>'Прилож 4 24 (6)'!Z184</f>
        <v>0</v>
      </c>
      <c r="K186" s="595">
        <f>'Прилож 4 24 (6)'!AA184</f>
        <v>5512670.7999999998</v>
      </c>
      <c r="L186" s="595">
        <f>'Прилож 4 24 (6)'!AB184</f>
        <v>65778.240000000005</v>
      </c>
      <c r="M186" s="876">
        <f>N186+P186+R186+S186+T186+O186</f>
        <v>-176896.81</v>
      </c>
      <c r="N186" s="876">
        <f>N185+N177+N160</f>
        <v>0</v>
      </c>
      <c r="O186" s="876"/>
      <c r="P186" s="876">
        <f>P185+P177+P160</f>
        <v>0</v>
      </c>
      <c r="Q186" s="881"/>
      <c r="R186" s="876">
        <f>R185+R177+R160</f>
        <v>0</v>
      </c>
      <c r="S186" s="876">
        <f>S185+S177+S160</f>
        <v>-176896.81</v>
      </c>
      <c r="T186" s="876">
        <f>T185+T177+T160</f>
        <v>0</v>
      </c>
      <c r="U186" s="876">
        <f>E186+M186</f>
        <v>6393257.6000000006</v>
      </c>
      <c r="V186" s="875">
        <f t="shared" si="24"/>
        <v>76111.12</v>
      </c>
      <c r="W186" s="875">
        <f t="shared" si="23"/>
        <v>0</v>
      </c>
      <c r="X186" s="875">
        <f t="shared" si="23"/>
        <v>915594.24999999988</v>
      </c>
      <c r="Y186" s="881"/>
      <c r="Z186" s="875">
        <f t="shared" si="22"/>
        <v>0</v>
      </c>
      <c r="AA186" s="875">
        <f t="shared" si="22"/>
        <v>5335773.99</v>
      </c>
      <c r="AB186" s="875">
        <f t="shared" si="22"/>
        <v>65778.240000000005</v>
      </c>
      <c r="AC186" s="879"/>
      <c r="AD186" s="819"/>
    </row>
    <row r="187" spans="1:30" ht="34.5" customHeight="1" x14ac:dyDescent="0.2">
      <c r="A187" s="618" t="s">
        <v>637</v>
      </c>
      <c r="B187" s="619" t="s">
        <v>729</v>
      </c>
      <c r="C187" s="620">
        <v>244</v>
      </c>
      <c r="D187" s="620">
        <v>227</v>
      </c>
      <c r="E187" s="596">
        <f t="shared" si="21"/>
        <v>10000</v>
      </c>
      <c r="F187" s="595">
        <f>'Прилож 4 24 (6)'!V185</f>
        <v>0</v>
      </c>
      <c r="G187" s="595">
        <f>'Прилож 4 24 (6)'!W185</f>
        <v>0</v>
      </c>
      <c r="H187" s="595">
        <f>'Прилож 4 24 (6)'!X185</f>
        <v>10000</v>
      </c>
      <c r="I187" s="628"/>
      <c r="J187" s="595">
        <f>'Прилож 4 24 (6)'!Z185</f>
        <v>0</v>
      </c>
      <c r="K187" s="595">
        <f>'Прилож 4 24 (6)'!AA185</f>
        <v>0</v>
      </c>
      <c r="L187" s="595">
        <f>'Прилож 4 24 (6)'!AB185</f>
        <v>0</v>
      </c>
      <c r="M187" s="876">
        <f t="shared" si="25"/>
        <v>0</v>
      </c>
      <c r="N187" s="875"/>
      <c r="O187" s="875"/>
      <c r="P187" s="875"/>
      <c r="Q187" s="877"/>
      <c r="R187" s="875"/>
      <c r="S187" s="875"/>
      <c r="T187" s="875"/>
      <c r="U187" s="876">
        <f t="shared" si="24"/>
        <v>10000</v>
      </c>
      <c r="V187" s="875">
        <f t="shared" si="24"/>
        <v>0</v>
      </c>
      <c r="W187" s="875">
        <f t="shared" si="23"/>
        <v>0</v>
      </c>
      <c r="X187" s="875">
        <f t="shared" si="23"/>
        <v>10000</v>
      </c>
      <c r="Y187" s="883"/>
      <c r="Z187" s="875">
        <f t="shared" si="22"/>
        <v>0</v>
      </c>
      <c r="AA187" s="875">
        <f t="shared" si="22"/>
        <v>0</v>
      </c>
      <c r="AB187" s="875">
        <f t="shared" si="22"/>
        <v>0</v>
      </c>
      <c r="AC187" s="878"/>
    </row>
    <row r="188" spans="1:30" ht="25.5" customHeight="1" x14ac:dyDescent="0.2">
      <c r="A188" s="618" t="s">
        <v>678</v>
      </c>
      <c r="B188" s="619" t="s">
        <v>691</v>
      </c>
      <c r="C188" s="620">
        <v>244</v>
      </c>
      <c r="D188" s="620">
        <v>227</v>
      </c>
      <c r="E188" s="596">
        <f t="shared" si="21"/>
        <v>1827</v>
      </c>
      <c r="F188" s="595">
        <f>'Прилож 4 24 (6)'!V186</f>
        <v>0</v>
      </c>
      <c r="G188" s="595">
        <f>'Прилож 4 24 (6)'!W186</f>
        <v>0</v>
      </c>
      <c r="H188" s="595">
        <f>'Прилож 4 24 (6)'!X186</f>
        <v>1551.11</v>
      </c>
      <c r="I188" s="628"/>
      <c r="J188" s="595">
        <f>'Прилож 4 24 (6)'!Z186</f>
        <v>0</v>
      </c>
      <c r="K188" s="595">
        <f>'Прилож 4 24 (6)'!AA186</f>
        <v>0</v>
      </c>
      <c r="L188" s="595">
        <f>'Прилож 4 24 (6)'!AB186</f>
        <v>275.89</v>
      </c>
      <c r="M188" s="876">
        <f t="shared" si="25"/>
        <v>0</v>
      </c>
      <c r="N188" s="875"/>
      <c r="O188" s="875"/>
      <c r="P188" s="875"/>
      <c r="Q188" s="877"/>
      <c r="R188" s="875"/>
      <c r="S188" s="875"/>
      <c r="T188" s="875"/>
      <c r="U188" s="876">
        <f t="shared" si="24"/>
        <v>1827</v>
      </c>
      <c r="V188" s="875">
        <f t="shared" si="24"/>
        <v>0</v>
      </c>
      <c r="W188" s="875">
        <f t="shared" si="23"/>
        <v>0</v>
      </c>
      <c r="X188" s="875">
        <f t="shared" si="23"/>
        <v>1551.11</v>
      </c>
      <c r="Y188" s="883"/>
      <c r="Z188" s="875">
        <f t="shared" si="22"/>
        <v>0</v>
      </c>
      <c r="AA188" s="875">
        <f t="shared" si="22"/>
        <v>0</v>
      </c>
      <c r="AB188" s="875">
        <f t="shared" si="22"/>
        <v>275.89</v>
      </c>
      <c r="AC188" s="878"/>
    </row>
    <row r="189" spans="1:30" s="614" customFormat="1" x14ac:dyDescent="0.2">
      <c r="A189" s="630" t="s">
        <v>740</v>
      </c>
      <c r="B189" s="631"/>
      <c r="C189" s="624"/>
      <c r="D189" s="624"/>
      <c r="E189" s="596">
        <f t="shared" si="21"/>
        <v>11827</v>
      </c>
      <c r="F189" s="595">
        <f>'Прилож 4 24 (6)'!V187</f>
        <v>0</v>
      </c>
      <c r="G189" s="595">
        <f>'Прилож 4 24 (6)'!W187</f>
        <v>0</v>
      </c>
      <c r="H189" s="595">
        <f>'Прилож 4 24 (6)'!X187</f>
        <v>11551.11</v>
      </c>
      <c r="I189" s="626"/>
      <c r="J189" s="595">
        <f>'Прилож 4 24 (6)'!Z187</f>
        <v>0</v>
      </c>
      <c r="K189" s="595">
        <f>'Прилож 4 24 (6)'!AA187</f>
        <v>0</v>
      </c>
      <c r="L189" s="595">
        <f>'Прилож 4 24 (6)'!AB187</f>
        <v>275.89</v>
      </c>
      <c r="M189" s="876">
        <f t="shared" si="25"/>
        <v>0</v>
      </c>
      <c r="N189" s="876"/>
      <c r="O189" s="876"/>
      <c r="P189" s="876"/>
      <c r="Q189" s="881"/>
      <c r="R189" s="876"/>
      <c r="S189" s="876"/>
      <c r="T189" s="876"/>
      <c r="U189" s="876">
        <f t="shared" si="24"/>
        <v>11827</v>
      </c>
      <c r="V189" s="875">
        <f t="shared" si="24"/>
        <v>0</v>
      </c>
      <c r="W189" s="875">
        <f t="shared" si="23"/>
        <v>0</v>
      </c>
      <c r="X189" s="875">
        <f t="shared" si="23"/>
        <v>11551.11</v>
      </c>
      <c r="Y189" s="881"/>
      <c r="Z189" s="875">
        <f t="shared" si="22"/>
        <v>0</v>
      </c>
      <c r="AA189" s="875">
        <f t="shared" si="22"/>
        <v>0</v>
      </c>
      <c r="AB189" s="875">
        <f t="shared" si="22"/>
        <v>275.89</v>
      </c>
      <c r="AC189" s="879"/>
    </row>
    <row r="190" spans="1:30" x14ac:dyDescent="0.2">
      <c r="A190" s="618" t="s">
        <v>1227</v>
      </c>
      <c r="B190" s="619" t="s">
        <v>747</v>
      </c>
      <c r="C190" s="620">
        <v>244</v>
      </c>
      <c r="D190" s="620">
        <v>310</v>
      </c>
      <c r="E190" s="596">
        <f t="shared" si="21"/>
        <v>0</v>
      </c>
      <c r="F190" s="595">
        <f>'Прилож 4 24 (6)'!V188</f>
        <v>0</v>
      </c>
      <c r="G190" s="595">
        <f>'Прилож 4 24 (6)'!W188</f>
        <v>0</v>
      </c>
      <c r="H190" s="595">
        <f>'Прилож 4 24 (6)'!X188</f>
        <v>0</v>
      </c>
      <c r="I190" s="621"/>
      <c r="J190" s="595">
        <f>'Прилож 4 24 (6)'!Z188</f>
        <v>0</v>
      </c>
      <c r="K190" s="595">
        <f>'Прилож 4 24 (6)'!AA188</f>
        <v>0</v>
      </c>
      <c r="L190" s="595">
        <f>'Прилож 4 24 (6)'!AB188</f>
        <v>0</v>
      </c>
      <c r="M190" s="876">
        <f t="shared" si="25"/>
        <v>0</v>
      </c>
      <c r="N190" s="875"/>
      <c r="O190" s="875"/>
      <c r="P190" s="875"/>
      <c r="Q190" s="877"/>
      <c r="R190" s="875"/>
      <c r="S190" s="875"/>
      <c r="T190" s="875"/>
      <c r="U190" s="876">
        <f t="shared" si="24"/>
        <v>0</v>
      </c>
      <c r="V190" s="875">
        <f t="shared" si="24"/>
        <v>0</v>
      </c>
      <c r="W190" s="875">
        <f t="shared" si="23"/>
        <v>0</v>
      </c>
      <c r="X190" s="875">
        <f t="shared" si="23"/>
        <v>0</v>
      </c>
      <c r="Y190" s="877"/>
      <c r="Z190" s="875">
        <f t="shared" si="22"/>
        <v>0</v>
      </c>
      <c r="AA190" s="875">
        <f t="shared" si="22"/>
        <v>0</v>
      </c>
      <c r="AB190" s="875">
        <f t="shared" si="22"/>
        <v>0</v>
      </c>
      <c r="AC190" s="878"/>
    </row>
    <row r="191" spans="1:30" ht="31.5" x14ac:dyDescent="0.2">
      <c r="A191" s="618" t="s">
        <v>1228</v>
      </c>
      <c r="B191" s="619" t="s">
        <v>747</v>
      </c>
      <c r="C191" s="620">
        <v>244</v>
      </c>
      <c r="D191" s="620">
        <v>310</v>
      </c>
      <c r="E191" s="596">
        <f t="shared" si="21"/>
        <v>0</v>
      </c>
      <c r="F191" s="595">
        <f>'Прилож 4 24 (6)'!V189</f>
        <v>0</v>
      </c>
      <c r="G191" s="595">
        <f>'Прилож 4 24 (6)'!W189</f>
        <v>0</v>
      </c>
      <c r="H191" s="595">
        <f>'Прилож 4 24 (6)'!X189</f>
        <v>0</v>
      </c>
      <c r="I191" s="621"/>
      <c r="J191" s="595">
        <f>'Прилож 4 24 (6)'!Z189</f>
        <v>0</v>
      </c>
      <c r="K191" s="595">
        <f>'Прилож 4 24 (6)'!AA189</f>
        <v>0</v>
      </c>
      <c r="L191" s="595">
        <f>'Прилож 4 24 (6)'!AB189</f>
        <v>0</v>
      </c>
      <c r="M191" s="876">
        <f t="shared" si="25"/>
        <v>0</v>
      </c>
      <c r="N191" s="875"/>
      <c r="O191" s="875"/>
      <c r="P191" s="875"/>
      <c r="Q191" s="877"/>
      <c r="R191" s="875"/>
      <c r="S191" s="875"/>
      <c r="T191" s="875"/>
      <c r="U191" s="876">
        <f t="shared" si="24"/>
        <v>0</v>
      </c>
      <c r="V191" s="875">
        <f t="shared" si="24"/>
        <v>0</v>
      </c>
      <c r="W191" s="875">
        <f t="shared" si="23"/>
        <v>0</v>
      </c>
      <c r="X191" s="875">
        <f t="shared" si="23"/>
        <v>0</v>
      </c>
      <c r="Y191" s="877"/>
      <c r="Z191" s="875">
        <f t="shared" si="22"/>
        <v>0</v>
      </c>
      <c r="AA191" s="875">
        <f t="shared" si="22"/>
        <v>0</v>
      </c>
      <c r="AB191" s="875">
        <f t="shared" si="22"/>
        <v>0</v>
      </c>
      <c r="AC191" s="878"/>
    </row>
    <row r="192" spans="1:30" ht="31.5" x14ac:dyDescent="0.2">
      <c r="A192" s="618" t="s">
        <v>1229</v>
      </c>
      <c r="B192" s="619" t="s">
        <v>747</v>
      </c>
      <c r="C192" s="620">
        <v>244</v>
      </c>
      <c r="D192" s="620">
        <v>310</v>
      </c>
      <c r="E192" s="596">
        <f t="shared" si="21"/>
        <v>0</v>
      </c>
      <c r="F192" s="595">
        <f>'Прилож 4 24 (6)'!V190</f>
        <v>0</v>
      </c>
      <c r="G192" s="595">
        <f>'Прилож 4 24 (6)'!W190</f>
        <v>0</v>
      </c>
      <c r="H192" s="595">
        <f>'Прилож 4 24 (6)'!X190</f>
        <v>0</v>
      </c>
      <c r="I192" s="621"/>
      <c r="J192" s="595">
        <f>'Прилож 4 24 (6)'!Z190</f>
        <v>0</v>
      </c>
      <c r="K192" s="595">
        <f>'Прилож 4 24 (6)'!AA190</f>
        <v>0</v>
      </c>
      <c r="L192" s="595">
        <f>'Прилож 4 24 (6)'!AB190</f>
        <v>0</v>
      </c>
      <c r="M192" s="876">
        <f t="shared" si="25"/>
        <v>0</v>
      </c>
      <c r="N192" s="875"/>
      <c r="O192" s="875"/>
      <c r="P192" s="875"/>
      <c r="Q192" s="877"/>
      <c r="R192" s="875"/>
      <c r="S192" s="875"/>
      <c r="T192" s="875"/>
      <c r="U192" s="876">
        <f t="shared" si="24"/>
        <v>0</v>
      </c>
      <c r="V192" s="875">
        <f t="shared" si="24"/>
        <v>0</v>
      </c>
      <c r="W192" s="875">
        <f t="shared" si="23"/>
        <v>0</v>
      </c>
      <c r="X192" s="875">
        <f t="shared" si="23"/>
        <v>0</v>
      </c>
      <c r="Y192" s="877"/>
      <c r="Z192" s="875">
        <f t="shared" si="22"/>
        <v>0</v>
      </c>
      <c r="AA192" s="875">
        <f t="shared" si="22"/>
        <v>0</v>
      </c>
      <c r="AB192" s="875">
        <f t="shared" si="22"/>
        <v>0</v>
      </c>
      <c r="AC192" s="878"/>
    </row>
    <row r="193" spans="1:30" x14ac:dyDescent="0.2">
      <c r="A193" s="618" t="s">
        <v>1284</v>
      </c>
      <c r="B193" s="619" t="s">
        <v>747</v>
      </c>
      <c r="C193" s="620">
        <v>244</v>
      </c>
      <c r="D193" s="620">
        <v>310</v>
      </c>
      <c r="E193" s="596">
        <f t="shared" si="21"/>
        <v>18000</v>
      </c>
      <c r="F193" s="595">
        <f>'Прилож 4 24 (6)'!V191</f>
        <v>18000</v>
      </c>
      <c r="G193" s="595">
        <f>'Прилож 4 24 (6)'!W191</f>
        <v>0</v>
      </c>
      <c r="H193" s="595">
        <f>'Прилож 4 24 (6)'!X191</f>
        <v>0</v>
      </c>
      <c r="I193" s="621"/>
      <c r="J193" s="595">
        <f>'Прилож 4 24 (6)'!Z191</f>
        <v>0</v>
      </c>
      <c r="K193" s="595">
        <f>'Прилож 4 24 (6)'!AA191</f>
        <v>0</v>
      </c>
      <c r="L193" s="595">
        <f>'Прилож 4 24 (6)'!AB191</f>
        <v>0</v>
      </c>
      <c r="M193" s="876">
        <f t="shared" si="25"/>
        <v>0</v>
      </c>
      <c r="N193" s="875"/>
      <c r="O193" s="875"/>
      <c r="P193" s="875"/>
      <c r="Q193" s="877"/>
      <c r="R193" s="875"/>
      <c r="S193" s="875"/>
      <c r="T193" s="875"/>
      <c r="U193" s="876">
        <f t="shared" si="24"/>
        <v>18000</v>
      </c>
      <c r="V193" s="875">
        <f t="shared" si="24"/>
        <v>18000</v>
      </c>
      <c r="W193" s="875">
        <f t="shared" si="23"/>
        <v>0</v>
      </c>
      <c r="X193" s="875">
        <f t="shared" si="23"/>
        <v>0</v>
      </c>
      <c r="Y193" s="877"/>
      <c r="Z193" s="875">
        <f t="shared" si="22"/>
        <v>0</v>
      </c>
      <c r="AA193" s="875">
        <f t="shared" si="22"/>
        <v>0</v>
      </c>
      <c r="AB193" s="875">
        <f t="shared" si="22"/>
        <v>0</v>
      </c>
      <c r="AC193" s="878"/>
    </row>
    <row r="194" spans="1:30" ht="35.25" customHeight="1" x14ac:dyDescent="0.2">
      <c r="A194" s="618" t="s">
        <v>1344</v>
      </c>
      <c r="B194" s="619" t="s">
        <v>747</v>
      </c>
      <c r="C194" s="620">
        <v>244</v>
      </c>
      <c r="D194" s="620">
        <v>310</v>
      </c>
      <c r="E194" s="596">
        <f t="shared" si="21"/>
        <v>219950</v>
      </c>
      <c r="F194" s="595">
        <f>'Прилож 4 24 (6)'!V192</f>
        <v>219950</v>
      </c>
      <c r="G194" s="595">
        <f>'Прилож 4 24 (6)'!W192</f>
        <v>0</v>
      </c>
      <c r="H194" s="595">
        <f>'Прилож 4 24 (6)'!X192</f>
        <v>0</v>
      </c>
      <c r="I194" s="621"/>
      <c r="J194" s="595">
        <f>'Прилож 4 24 (6)'!Z192</f>
        <v>0</v>
      </c>
      <c r="K194" s="595">
        <f>'Прилож 4 24 (6)'!AA192</f>
        <v>0</v>
      </c>
      <c r="L194" s="595">
        <f>'Прилож 4 24 (6)'!AB192</f>
        <v>0</v>
      </c>
      <c r="M194" s="876">
        <f t="shared" si="25"/>
        <v>0</v>
      </c>
      <c r="N194" s="875"/>
      <c r="O194" s="875"/>
      <c r="P194" s="875"/>
      <c r="Q194" s="877"/>
      <c r="R194" s="875"/>
      <c r="S194" s="875"/>
      <c r="T194" s="875"/>
      <c r="U194" s="876">
        <f t="shared" si="24"/>
        <v>219950</v>
      </c>
      <c r="V194" s="875">
        <f t="shared" si="24"/>
        <v>219950</v>
      </c>
      <c r="W194" s="875">
        <f t="shared" si="23"/>
        <v>0</v>
      </c>
      <c r="X194" s="875">
        <f t="shared" si="23"/>
        <v>0</v>
      </c>
      <c r="Y194" s="877"/>
      <c r="Z194" s="875">
        <f t="shared" si="22"/>
        <v>0</v>
      </c>
      <c r="AA194" s="875">
        <f t="shared" si="22"/>
        <v>0</v>
      </c>
      <c r="AB194" s="875">
        <f t="shared" si="22"/>
        <v>0</v>
      </c>
      <c r="AC194" s="878"/>
    </row>
    <row r="195" spans="1:30" ht="34.5" customHeight="1" x14ac:dyDescent="0.2">
      <c r="A195" s="618" t="s">
        <v>1345</v>
      </c>
      <c r="B195" s="619" t="s">
        <v>747</v>
      </c>
      <c r="C195" s="620">
        <v>244</v>
      </c>
      <c r="D195" s="620">
        <v>310</v>
      </c>
      <c r="E195" s="596">
        <f t="shared" si="21"/>
        <v>45990</v>
      </c>
      <c r="F195" s="595">
        <f>'Прилож 4 24 (6)'!V193</f>
        <v>45990</v>
      </c>
      <c r="G195" s="595">
        <f>'Прилож 4 24 (6)'!W193</f>
        <v>0</v>
      </c>
      <c r="H195" s="595">
        <f>'Прилож 4 24 (6)'!X193</f>
        <v>0</v>
      </c>
      <c r="I195" s="621"/>
      <c r="J195" s="595">
        <f>'Прилож 4 24 (6)'!Z193</f>
        <v>0</v>
      </c>
      <c r="K195" s="595">
        <f>'Прилож 4 24 (6)'!AA193</f>
        <v>0</v>
      </c>
      <c r="L195" s="595">
        <f>'Прилож 4 24 (6)'!AB193</f>
        <v>0</v>
      </c>
      <c r="M195" s="876">
        <f t="shared" si="25"/>
        <v>0</v>
      </c>
      <c r="N195" s="875"/>
      <c r="O195" s="875"/>
      <c r="P195" s="875"/>
      <c r="Q195" s="877"/>
      <c r="R195" s="875"/>
      <c r="S195" s="875"/>
      <c r="T195" s="875"/>
      <c r="U195" s="876">
        <f t="shared" si="24"/>
        <v>45990</v>
      </c>
      <c r="V195" s="875">
        <f t="shared" si="24"/>
        <v>45990</v>
      </c>
      <c r="W195" s="875">
        <f t="shared" si="23"/>
        <v>0</v>
      </c>
      <c r="X195" s="875">
        <f t="shared" si="23"/>
        <v>0</v>
      </c>
      <c r="Y195" s="877"/>
      <c r="Z195" s="875">
        <f t="shared" si="22"/>
        <v>0</v>
      </c>
      <c r="AA195" s="875">
        <f t="shared" si="22"/>
        <v>0</v>
      </c>
      <c r="AB195" s="875">
        <f t="shared" si="22"/>
        <v>0</v>
      </c>
      <c r="AC195" s="878"/>
    </row>
    <row r="196" spans="1:30" s="637" customFormat="1" x14ac:dyDescent="0.2">
      <c r="A196" s="632" t="s">
        <v>783</v>
      </c>
      <c r="B196" s="633"/>
      <c r="C196" s="634"/>
      <c r="D196" s="634"/>
      <c r="E196" s="596">
        <f t="shared" si="21"/>
        <v>283940</v>
      </c>
      <c r="F196" s="595">
        <f>'Прилож 4 24 (6)'!V194</f>
        <v>283940</v>
      </c>
      <c r="G196" s="595">
        <f>'Прилож 4 24 (6)'!W194</f>
        <v>0</v>
      </c>
      <c r="H196" s="595">
        <f>'Прилож 4 24 (6)'!X194</f>
        <v>0</v>
      </c>
      <c r="I196" s="597">
        <f t="shared" ref="I196" si="26">SUM(I190:I193)</f>
        <v>0</v>
      </c>
      <c r="J196" s="595">
        <f>'Прилож 4 24 (6)'!Z194</f>
        <v>0</v>
      </c>
      <c r="K196" s="595">
        <f>'Прилож 4 24 (6)'!AA194</f>
        <v>0</v>
      </c>
      <c r="L196" s="595">
        <f>'Прилож 4 24 (6)'!AB194</f>
        <v>0</v>
      </c>
      <c r="M196" s="876">
        <f t="shared" si="25"/>
        <v>0</v>
      </c>
      <c r="N196" s="884">
        <f>SUM(N190:N195)</f>
        <v>0</v>
      </c>
      <c r="O196" s="884"/>
      <c r="P196" s="884"/>
      <c r="Q196" s="884"/>
      <c r="R196" s="884"/>
      <c r="S196" s="884"/>
      <c r="T196" s="884"/>
      <c r="U196" s="876">
        <f t="shared" si="24"/>
        <v>283940</v>
      </c>
      <c r="V196" s="875">
        <f t="shared" si="24"/>
        <v>283940</v>
      </c>
      <c r="W196" s="875">
        <f t="shared" si="23"/>
        <v>0</v>
      </c>
      <c r="X196" s="875">
        <f t="shared" si="23"/>
        <v>0</v>
      </c>
      <c r="Y196" s="884">
        <f t="shared" ref="Y196" si="27">SUM(Y190:Y193)</f>
        <v>0</v>
      </c>
      <c r="Z196" s="875">
        <f t="shared" si="22"/>
        <v>0</v>
      </c>
      <c r="AA196" s="875">
        <f t="shared" si="22"/>
        <v>0</v>
      </c>
      <c r="AB196" s="875">
        <f t="shared" si="22"/>
        <v>0</v>
      </c>
      <c r="AC196" s="886"/>
    </row>
    <row r="197" spans="1:30" ht="31.5" x14ac:dyDescent="0.2">
      <c r="A197" s="618" t="s">
        <v>1281</v>
      </c>
      <c r="B197" s="619" t="s">
        <v>729</v>
      </c>
      <c r="C197" s="620">
        <v>244</v>
      </c>
      <c r="D197" s="620">
        <v>310</v>
      </c>
      <c r="E197" s="596">
        <f t="shared" si="21"/>
        <v>50000</v>
      </c>
      <c r="F197" s="595">
        <f>'Прилож 4 24 (6)'!V195</f>
        <v>50000</v>
      </c>
      <c r="G197" s="595">
        <f>'Прилож 4 24 (6)'!W195</f>
        <v>0</v>
      </c>
      <c r="H197" s="595">
        <f>'Прилож 4 24 (6)'!X195</f>
        <v>0</v>
      </c>
      <c r="I197" s="621"/>
      <c r="J197" s="595">
        <f>'Прилож 4 24 (6)'!Z195</f>
        <v>0</v>
      </c>
      <c r="K197" s="595">
        <f>'Прилож 4 24 (6)'!AA195</f>
        <v>0</v>
      </c>
      <c r="L197" s="595">
        <f>'Прилож 4 24 (6)'!AB195</f>
        <v>0</v>
      </c>
      <c r="M197" s="876">
        <f t="shared" si="25"/>
        <v>0</v>
      </c>
      <c r="N197" s="875"/>
      <c r="O197" s="875"/>
      <c r="P197" s="875"/>
      <c r="Q197" s="877"/>
      <c r="R197" s="875"/>
      <c r="S197" s="875"/>
      <c r="T197" s="875"/>
      <c r="U197" s="876">
        <f t="shared" si="24"/>
        <v>50000</v>
      </c>
      <c r="V197" s="875">
        <f t="shared" si="24"/>
        <v>50000</v>
      </c>
      <c r="W197" s="875">
        <f t="shared" si="23"/>
        <v>0</v>
      </c>
      <c r="X197" s="875">
        <f t="shared" si="23"/>
        <v>0</v>
      </c>
      <c r="Y197" s="877"/>
      <c r="Z197" s="875">
        <f t="shared" si="22"/>
        <v>0</v>
      </c>
      <c r="AA197" s="875">
        <f t="shared" si="22"/>
        <v>0</v>
      </c>
      <c r="AB197" s="875">
        <f t="shared" si="22"/>
        <v>0</v>
      </c>
      <c r="AC197" s="878"/>
    </row>
    <row r="198" spans="1:30" ht="93" customHeight="1" x14ac:dyDescent="0.2">
      <c r="A198" s="618" t="s">
        <v>1282</v>
      </c>
      <c r="B198" s="619" t="s">
        <v>729</v>
      </c>
      <c r="C198" s="620">
        <v>244</v>
      </c>
      <c r="D198" s="620">
        <v>310</v>
      </c>
      <c r="E198" s="596">
        <f t="shared" si="21"/>
        <v>575676.31000000006</v>
      </c>
      <c r="F198" s="595">
        <f>'Прилож 4 24 (6)'!V196</f>
        <v>575676.31000000006</v>
      </c>
      <c r="G198" s="595">
        <f>'Прилож 4 24 (6)'!W196</f>
        <v>0</v>
      </c>
      <c r="H198" s="595">
        <f>'Прилож 4 24 (6)'!X196</f>
        <v>0</v>
      </c>
      <c r="I198" s="621"/>
      <c r="J198" s="595">
        <f>'Прилож 4 24 (6)'!Z196</f>
        <v>0</v>
      </c>
      <c r="K198" s="595">
        <f>'Прилож 4 24 (6)'!AA196</f>
        <v>0</v>
      </c>
      <c r="L198" s="595">
        <f>'Прилож 4 24 (6)'!AB196</f>
        <v>0</v>
      </c>
      <c r="M198" s="876">
        <f t="shared" si="25"/>
        <v>0</v>
      </c>
      <c r="N198" s="875"/>
      <c r="O198" s="875"/>
      <c r="P198" s="875"/>
      <c r="Q198" s="877"/>
      <c r="R198" s="875"/>
      <c r="S198" s="875"/>
      <c r="T198" s="875"/>
      <c r="U198" s="876">
        <f t="shared" si="24"/>
        <v>575676.31000000006</v>
      </c>
      <c r="V198" s="875">
        <f t="shared" si="24"/>
        <v>575676.31000000006</v>
      </c>
      <c r="W198" s="875">
        <f t="shared" si="23"/>
        <v>0</v>
      </c>
      <c r="X198" s="875">
        <f t="shared" si="23"/>
        <v>0</v>
      </c>
      <c r="Y198" s="877"/>
      <c r="Z198" s="875">
        <f t="shared" si="22"/>
        <v>0</v>
      </c>
      <c r="AA198" s="875">
        <f t="shared" si="22"/>
        <v>0</v>
      </c>
      <c r="AB198" s="875">
        <f t="shared" si="22"/>
        <v>0</v>
      </c>
      <c r="AC198" s="878"/>
    </row>
    <row r="199" spans="1:30" x14ac:dyDescent="0.2">
      <c r="A199" s="618" t="s">
        <v>1284</v>
      </c>
      <c r="B199" s="619" t="s">
        <v>729</v>
      </c>
      <c r="C199" s="620">
        <v>244</v>
      </c>
      <c r="D199" s="620">
        <v>310</v>
      </c>
      <c r="E199" s="596">
        <f t="shared" si="21"/>
        <v>27000</v>
      </c>
      <c r="F199" s="595">
        <f>'Прилож 4 24 (6)'!V197</f>
        <v>27000</v>
      </c>
      <c r="G199" s="595">
        <f>'Прилож 4 24 (6)'!W197</f>
        <v>0</v>
      </c>
      <c r="H199" s="595">
        <f>'Прилож 4 24 (6)'!X197</f>
        <v>0</v>
      </c>
      <c r="I199" s="621"/>
      <c r="J199" s="595">
        <f>'Прилож 4 24 (6)'!Z197</f>
        <v>0</v>
      </c>
      <c r="K199" s="595">
        <f>'Прилож 4 24 (6)'!AA197</f>
        <v>0</v>
      </c>
      <c r="L199" s="595">
        <f>'Прилож 4 24 (6)'!AB197</f>
        <v>0</v>
      </c>
      <c r="M199" s="876">
        <f t="shared" si="25"/>
        <v>0</v>
      </c>
      <c r="N199" s="875"/>
      <c r="O199" s="875"/>
      <c r="P199" s="875"/>
      <c r="Q199" s="877"/>
      <c r="R199" s="875"/>
      <c r="S199" s="875"/>
      <c r="T199" s="875"/>
      <c r="U199" s="876">
        <f t="shared" si="24"/>
        <v>27000</v>
      </c>
      <c r="V199" s="875">
        <f t="shared" si="24"/>
        <v>27000</v>
      </c>
      <c r="W199" s="875">
        <f t="shared" si="23"/>
        <v>0</v>
      </c>
      <c r="X199" s="875">
        <f t="shared" si="23"/>
        <v>0</v>
      </c>
      <c r="Y199" s="877"/>
      <c r="Z199" s="875">
        <f t="shared" si="22"/>
        <v>0</v>
      </c>
      <c r="AA199" s="875">
        <f t="shared" si="22"/>
        <v>0</v>
      </c>
      <c r="AB199" s="875">
        <f t="shared" si="22"/>
        <v>0</v>
      </c>
      <c r="AC199" s="878"/>
    </row>
    <row r="200" spans="1:30" x14ac:dyDescent="0.2">
      <c r="A200" s="618" t="s">
        <v>1227</v>
      </c>
      <c r="B200" s="619" t="s">
        <v>729</v>
      </c>
      <c r="C200" s="620">
        <v>244</v>
      </c>
      <c r="D200" s="620">
        <v>310</v>
      </c>
      <c r="E200" s="596">
        <f t="shared" si="21"/>
        <v>4025</v>
      </c>
      <c r="F200" s="595">
        <f>'Прилож 4 24 (6)'!V198</f>
        <v>0</v>
      </c>
      <c r="G200" s="595">
        <f>'Прилож 4 24 (6)'!W198</f>
        <v>0</v>
      </c>
      <c r="H200" s="595">
        <f>'Прилож 4 24 (6)'!X198</f>
        <v>0</v>
      </c>
      <c r="I200" s="621" t="s">
        <v>1226</v>
      </c>
      <c r="J200" s="595">
        <f>'Прилож 4 24 (6)'!Z198</f>
        <v>0</v>
      </c>
      <c r="K200" s="595">
        <f>'Прилож 4 24 (6)'!AA198</f>
        <v>4025</v>
      </c>
      <c r="L200" s="595">
        <f>'Прилож 4 24 (6)'!AB198</f>
        <v>0</v>
      </c>
      <c r="M200" s="876">
        <f t="shared" si="25"/>
        <v>0</v>
      </c>
      <c r="N200" s="875"/>
      <c r="O200" s="875"/>
      <c r="P200" s="875"/>
      <c r="Q200" s="877"/>
      <c r="R200" s="875"/>
      <c r="S200" s="875"/>
      <c r="T200" s="875"/>
      <c r="U200" s="876">
        <f t="shared" si="24"/>
        <v>4025</v>
      </c>
      <c r="V200" s="875">
        <f t="shared" si="24"/>
        <v>0</v>
      </c>
      <c r="W200" s="875">
        <f t="shared" si="23"/>
        <v>0</v>
      </c>
      <c r="X200" s="875">
        <f t="shared" si="23"/>
        <v>0</v>
      </c>
      <c r="Y200" s="877" t="s">
        <v>1226</v>
      </c>
      <c r="Z200" s="875">
        <f t="shared" si="22"/>
        <v>0</v>
      </c>
      <c r="AA200" s="875">
        <f t="shared" si="22"/>
        <v>4025</v>
      </c>
      <c r="AB200" s="875">
        <f t="shared" si="22"/>
        <v>0</v>
      </c>
      <c r="AC200" s="878"/>
    </row>
    <row r="201" spans="1:30" ht="31.5" x14ac:dyDescent="0.2">
      <c r="A201" s="618" t="s">
        <v>1228</v>
      </c>
      <c r="B201" s="619" t="s">
        <v>729</v>
      </c>
      <c r="C201" s="620">
        <v>244</v>
      </c>
      <c r="D201" s="620">
        <v>310</v>
      </c>
      <c r="E201" s="596">
        <f t="shared" si="21"/>
        <v>4638</v>
      </c>
      <c r="F201" s="595">
        <f>'Прилож 4 24 (6)'!V199</f>
        <v>0</v>
      </c>
      <c r="G201" s="595">
        <f>'Прилож 4 24 (6)'!W199</f>
        <v>0</v>
      </c>
      <c r="H201" s="595">
        <f>'Прилож 4 24 (6)'!X199</f>
        <v>0</v>
      </c>
      <c r="I201" s="621" t="s">
        <v>1226</v>
      </c>
      <c r="J201" s="595">
        <f>'Прилож 4 24 (6)'!Z199</f>
        <v>0</v>
      </c>
      <c r="K201" s="595">
        <f>'Прилож 4 24 (6)'!AA199</f>
        <v>4638</v>
      </c>
      <c r="L201" s="595">
        <f>'Прилож 4 24 (6)'!AB199</f>
        <v>0</v>
      </c>
      <c r="M201" s="876">
        <f t="shared" si="25"/>
        <v>0</v>
      </c>
      <c r="N201" s="875"/>
      <c r="O201" s="875"/>
      <c r="P201" s="875"/>
      <c r="Q201" s="877"/>
      <c r="R201" s="875"/>
      <c r="S201" s="875"/>
      <c r="T201" s="875"/>
      <c r="U201" s="876">
        <f t="shared" si="24"/>
        <v>4638</v>
      </c>
      <c r="V201" s="875">
        <f t="shared" si="24"/>
        <v>0</v>
      </c>
      <c r="W201" s="875">
        <f t="shared" si="23"/>
        <v>0</v>
      </c>
      <c r="X201" s="875">
        <f t="shared" si="23"/>
        <v>0</v>
      </c>
      <c r="Y201" s="877" t="s">
        <v>1226</v>
      </c>
      <c r="Z201" s="875">
        <f t="shared" si="22"/>
        <v>0</v>
      </c>
      <c r="AA201" s="875">
        <f t="shared" si="22"/>
        <v>4638</v>
      </c>
      <c r="AB201" s="875">
        <f t="shared" si="22"/>
        <v>0</v>
      </c>
      <c r="AC201" s="878"/>
      <c r="AD201" s="820"/>
    </row>
    <row r="202" spans="1:30" ht="31.5" x14ac:dyDescent="0.2">
      <c r="A202" s="618" t="s">
        <v>1229</v>
      </c>
      <c r="B202" s="619" t="s">
        <v>729</v>
      </c>
      <c r="C202" s="620">
        <v>244</v>
      </c>
      <c r="D202" s="620">
        <v>310</v>
      </c>
      <c r="E202" s="596">
        <f t="shared" si="21"/>
        <v>93768</v>
      </c>
      <c r="F202" s="595">
        <f>'Прилож 4 24 (6)'!V200</f>
        <v>0</v>
      </c>
      <c r="G202" s="595">
        <f>'Прилож 4 24 (6)'!W200</f>
        <v>0</v>
      </c>
      <c r="H202" s="595">
        <f>'Прилож 4 24 (6)'!X200</f>
        <v>0</v>
      </c>
      <c r="I202" s="621" t="s">
        <v>1226</v>
      </c>
      <c r="J202" s="595">
        <f>'Прилож 4 24 (6)'!Z200</f>
        <v>0</v>
      </c>
      <c r="K202" s="595">
        <f>'Прилож 4 24 (6)'!AA200</f>
        <v>93768</v>
      </c>
      <c r="L202" s="595">
        <f>'Прилож 4 24 (6)'!AB200</f>
        <v>0</v>
      </c>
      <c r="M202" s="876">
        <f t="shared" si="25"/>
        <v>0</v>
      </c>
      <c r="N202" s="875"/>
      <c r="O202" s="875"/>
      <c r="P202" s="875"/>
      <c r="Q202" s="877"/>
      <c r="R202" s="875"/>
      <c r="S202" s="875"/>
      <c r="T202" s="875"/>
      <c r="U202" s="876">
        <f t="shared" si="24"/>
        <v>93768</v>
      </c>
      <c r="V202" s="875">
        <f t="shared" si="24"/>
        <v>0</v>
      </c>
      <c r="W202" s="875">
        <f t="shared" si="23"/>
        <v>0</v>
      </c>
      <c r="X202" s="875">
        <f t="shared" si="23"/>
        <v>0</v>
      </c>
      <c r="Y202" s="877" t="s">
        <v>1226</v>
      </c>
      <c r="Z202" s="875">
        <f t="shared" si="22"/>
        <v>0</v>
      </c>
      <c r="AA202" s="875">
        <f t="shared" si="22"/>
        <v>93768</v>
      </c>
      <c r="AB202" s="875">
        <f t="shared" si="22"/>
        <v>0</v>
      </c>
      <c r="AC202" s="878"/>
    </row>
    <row r="203" spans="1:30" ht="48.75" customHeight="1" x14ac:dyDescent="0.2">
      <c r="A203" s="618" t="s">
        <v>1360</v>
      </c>
      <c r="B203" s="619" t="s">
        <v>729</v>
      </c>
      <c r="C203" s="620">
        <v>244</v>
      </c>
      <c r="D203" s="620">
        <v>310</v>
      </c>
      <c r="E203" s="596">
        <f t="shared" si="21"/>
        <v>100000</v>
      </c>
      <c r="F203" s="595">
        <f>'Прилож 4 24 (6)'!V201</f>
        <v>0</v>
      </c>
      <c r="G203" s="595">
        <f>'Прилож 4 24 (6)'!W201</f>
        <v>0</v>
      </c>
      <c r="H203" s="595">
        <f>'Прилож 4 24 (6)'!X201</f>
        <v>0</v>
      </c>
      <c r="I203" s="1020" t="s">
        <v>1226</v>
      </c>
      <c r="J203" s="595">
        <f>'Прилож 4 24 (6)'!Z201</f>
        <v>0</v>
      </c>
      <c r="K203" s="595">
        <f>'Прилож 4 24 (6)'!AA201</f>
        <v>100000</v>
      </c>
      <c r="L203" s="595">
        <f>'Прилож 4 24 (6)'!AB201</f>
        <v>0</v>
      </c>
      <c r="M203" s="876">
        <f t="shared" si="25"/>
        <v>0</v>
      </c>
      <c r="N203" s="875"/>
      <c r="O203" s="875"/>
      <c r="P203" s="875"/>
      <c r="Q203" s="877"/>
      <c r="R203" s="875"/>
      <c r="S203" s="875"/>
      <c r="T203" s="875"/>
      <c r="U203" s="876">
        <f t="shared" si="24"/>
        <v>100000</v>
      </c>
      <c r="V203" s="875">
        <f t="shared" si="24"/>
        <v>0</v>
      </c>
      <c r="W203" s="875">
        <f t="shared" si="23"/>
        <v>0</v>
      </c>
      <c r="X203" s="875">
        <f t="shared" si="23"/>
        <v>0</v>
      </c>
      <c r="Y203" s="877" t="s">
        <v>1226</v>
      </c>
      <c r="Z203" s="875">
        <f t="shared" si="22"/>
        <v>0</v>
      </c>
      <c r="AA203" s="875">
        <f t="shared" si="22"/>
        <v>100000</v>
      </c>
      <c r="AB203" s="875">
        <f t="shared" si="22"/>
        <v>0</v>
      </c>
      <c r="AC203" s="878"/>
    </row>
    <row r="204" spans="1:30" ht="54" customHeight="1" x14ac:dyDescent="0.2">
      <c r="A204" s="618" t="s">
        <v>1358</v>
      </c>
      <c r="B204" s="619" t="s">
        <v>729</v>
      </c>
      <c r="C204" s="620">
        <v>244</v>
      </c>
      <c r="D204" s="620">
        <v>310</v>
      </c>
      <c r="E204" s="596">
        <f t="shared" si="21"/>
        <v>107260</v>
      </c>
      <c r="F204" s="595">
        <f>'Прилож 4 24 (6)'!V202</f>
        <v>107260</v>
      </c>
      <c r="G204" s="595">
        <f>'Прилож 4 24 (6)'!W202</f>
        <v>0</v>
      </c>
      <c r="H204" s="595">
        <f>'Прилож 4 24 (6)'!X202</f>
        <v>0</v>
      </c>
      <c r="I204" s="621"/>
      <c r="J204" s="595">
        <f>'Прилож 4 24 (6)'!Z202</f>
        <v>0</v>
      </c>
      <c r="K204" s="595">
        <f>'Прилож 4 24 (6)'!AA202</f>
        <v>0</v>
      </c>
      <c r="L204" s="595">
        <f>'Прилож 4 24 (6)'!AB202</f>
        <v>0</v>
      </c>
      <c r="M204" s="876">
        <f t="shared" si="25"/>
        <v>0</v>
      </c>
      <c r="N204" s="875"/>
      <c r="O204" s="875"/>
      <c r="P204" s="875"/>
      <c r="Q204" s="877"/>
      <c r="R204" s="875"/>
      <c r="S204" s="875"/>
      <c r="T204" s="875"/>
      <c r="U204" s="876">
        <f t="shared" si="24"/>
        <v>107260</v>
      </c>
      <c r="V204" s="875">
        <f t="shared" si="24"/>
        <v>107260</v>
      </c>
      <c r="W204" s="875">
        <f t="shared" si="23"/>
        <v>0</v>
      </c>
      <c r="X204" s="875">
        <f t="shared" si="23"/>
        <v>0</v>
      </c>
      <c r="Y204" s="877"/>
      <c r="Z204" s="875">
        <f t="shared" si="22"/>
        <v>0</v>
      </c>
      <c r="AA204" s="875">
        <f t="shared" si="22"/>
        <v>0</v>
      </c>
      <c r="AB204" s="875">
        <f t="shared" si="22"/>
        <v>0</v>
      </c>
      <c r="AC204" s="878"/>
    </row>
    <row r="205" spans="1:30" ht="42" customHeight="1" x14ac:dyDescent="0.2">
      <c r="A205" s="618" t="s">
        <v>1359</v>
      </c>
      <c r="B205" s="619" t="s">
        <v>729</v>
      </c>
      <c r="C205" s="620">
        <v>244</v>
      </c>
      <c r="D205" s="620">
        <v>310</v>
      </c>
      <c r="E205" s="596">
        <f t="shared" si="21"/>
        <v>76990</v>
      </c>
      <c r="F205" s="595">
        <f>'Прилож 4 24 (6)'!V203</f>
        <v>76990</v>
      </c>
      <c r="G205" s="595">
        <f>'Прилож 4 24 (6)'!W203</f>
        <v>0</v>
      </c>
      <c r="H205" s="595">
        <f>'Прилож 4 24 (6)'!X203</f>
        <v>0</v>
      </c>
      <c r="I205" s="621"/>
      <c r="J205" s="595">
        <f>'Прилож 4 24 (6)'!Z203</f>
        <v>0</v>
      </c>
      <c r="K205" s="595">
        <f>'Прилож 4 24 (6)'!AA203</f>
        <v>0</v>
      </c>
      <c r="L205" s="595">
        <f>'Прилож 4 24 (6)'!AB203</f>
        <v>0</v>
      </c>
      <c r="M205" s="876">
        <f t="shared" si="25"/>
        <v>0</v>
      </c>
      <c r="N205" s="875"/>
      <c r="O205" s="875"/>
      <c r="P205" s="875"/>
      <c r="Q205" s="877"/>
      <c r="R205" s="875"/>
      <c r="S205" s="875"/>
      <c r="T205" s="875"/>
      <c r="U205" s="876">
        <f t="shared" si="24"/>
        <v>76990</v>
      </c>
      <c r="V205" s="875">
        <f t="shared" si="24"/>
        <v>76990</v>
      </c>
      <c r="W205" s="875">
        <f t="shared" si="23"/>
        <v>0</v>
      </c>
      <c r="X205" s="875">
        <f t="shared" si="23"/>
        <v>0</v>
      </c>
      <c r="Y205" s="877"/>
      <c r="Z205" s="875">
        <f t="shared" si="22"/>
        <v>0</v>
      </c>
      <c r="AA205" s="875">
        <f t="shared" si="22"/>
        <v>0</v>
      </c>
      <c r="AB205" s="875">
        <f t="shared" si="22"/>
        <v>0</v>
      </c>
      <c r="AC205" s="878"/>
    </row>
    <row r="206" spans="1:30" x14ac:dyDescent="0.2">
      <c r="A206" s="618" t="s">
        <v>1287</v>
      </c>
      <c r="B206" s="619" t="s">
        <v>729</v>
      </c>
      <c r="C206" s="620">
        <v>244</v>
      </c>
      <c r="D206" s="620">
        <v>310</v>
      </c>
      <c r="E206" s="596">
        <f t="shared" si="21"/>
        <v>1039357.31</v>
      </c>
      <c r="F206" s="595">
        <f>'Прилож 4 24 (6)'!V204</f>
        <v>836926.31</v>
      </c>
      <c r="G206" s="595">
        <f>'Прилож 4 24 (6)'!W204</f>
        <v>0</v>
      </c>
      <c r="H206" s="595">
        <f>'Прилож 4 24 (6)'!X204</f>
        <v>0</v>
      </c>
      <c r="I206" s="596">
        <f>SUM(I197:I199)</f>
        <v>0</v>
      </c>
      <c r="J206" s="595">
        <f>'Прилож 4 24 (6)'!Z204</f>
        <v>0</v>
      </c>
      <c r="K206" s="595">
        <f>'Прилож 4 24 (6)'!AA204</f>
        <v>202431</v>
      </c>
      <c r="L206" s="595">
        <f>'Прилож 4 24 (6)'!AB204</f>
        <v>0</v>
      </c>
      <c r="M206" s="876">
        <f t="shared" si="25"/>
        <v>0</v>
      </c>
      <c r="N206" s="876">
        <f>SUM(N197:N205)</f>
        <v>0</v>
      </c>
      <c r="O206" s="876"/>
      <c r="P206" s="876"/>
      <c r="Q206" s="876"/>
      <c r="R206" s="876"/>
      <c r="S206" s="876">
        <f>SUM(S197:S203)</f>
        <v>0</v>
      </c>
      <c r="T206" s="876">
        <f>SUM(T197:T203)</f>
        <v>0</v>
      </c>
      <c r="U206" s="876">
        <f t="shared" si="24"/>
        <v>1039357.31</v>
      </c>
      <c r="V206" s="875">
        <f t="shared" si="24"/>
        <v>836926.31</v>
      </c>
      <c r="W206" s="875">
        <f t="shared" si="23"/>
        <v>0</v>
      </c>
      <c r="X206" s="875">
        <f t="shared" si="23"/>
        <v>0</v>
      </c>
      <c r="Y206" s="876">
        <f>SUM(Y197:Y199)</f>
        <v>0</v>
      </c>
      <c r="Z206" s="875">
        <f t="shared" si="22"/>
        <v>0</v>
      </c>
      <c r="AA206" s="875">
        <f t="shared" si="22"/>
        <v>202431</v>
      </c>
      <c r="AB206" s="875">
        <f t="shared" si="22"/>
        <v>0</v>
      </c>
      <c r="AC206" s="876"/>
      <c r="AD206" s="820"/>
    </row>
    <row r="207" spans="1:30" s="614" customFormat="1" ht="29.25" customHeight="1" x14ac:dyDescent="0.2">
      <c r="A207" s="630" t="s">
        <v>741</v>
      </c>
      <c r="B207" s="631"/>
      <c r="C207" s="624"/>
      <c r="D207" s="624"/>
      <c r="E207" s="596">
        <f t="shared" si="21"/>
        <v>1323297.31</v>
      </c>
      <c r="F207" s="595">
        <f>'Прилож 4 24 (6)'!V205</f>
        <v>1120866.31</v>
      </c>
      <c r="G207" s="595">
        <f>'Прилож 4 24 (6)'!W205</f>
        <v>0</v>
      </c>
      <c r="H207" s="595">
        <f>'Прилож 4 24 (6)'!X205</f>
        <v>0</v>
      </c>
      <c r="I207" s="596">
        <f>I206+I196</f>
        <v>0</v>
      </c>
      <c r="J207" s="595">
        <f>'Прилож 4 24 (6)'!Z205</f>
        <v>0</v>
      </c>
      <c r="K207" s="595">
        <f>'Прилож 4 24 (6)'!AA205</f>
        <v>202431</v>
      </c>
      <c r="L207" s="595">
        <f>'Прилож 4 24 (6)'!AB205</f>
        <v>0</v>
      </c>
      <c r="M207" s="876">
        <f t="shared" si="25"/>
        <v>0</v>
      </c>
      <c r="N207" s="876">
        <f>N196+N206</f>
        <v>0</v>
      </c>
      <c r="O207" s="876"/>
      <c r="P207" s="876"/>
      <c r="Q207" s="876"/>
      <c r="R207" s="876"/>
      <c r="S207" s="876">
        <f>S196+S206</f>
        <v>0</v>
      </c>
      <c r="T207" s="876">
        <f>T196+T206</f>
        <v>0</v>
      </c>
      <c r="U207" s="876">
        <f t="shared" si="24"/>
        <v>1323297.31</v>
      </c>
      <c r="V207" s="875">
        <f t="shared" si="24"/>
        <v>1120866.31</v>
      </c>
      <c r="W207" s="875">
        <f t="shared" si="23"/>
        <v>0</v>
      </c>
      <c r="X207" s="875">
        <f t="shared" si="23"/>
        <v>0</v>
      </c>
      <c r="Y207" s="876">
        <f>Y206+Y196</f>
        <v>0</v>
      </c>
      <c r="Z207" s="875">
        <f t="shared" si="22"/>
        <v>0</v>
      </c>
      <c r="AA207" s="875">
        <f t="shared" si="22"/>
        <v>202431</v>
      </c>
      <c r="AB207" s="875">
        <f t="shared" si="22"/>
        <v>0</v>
      </c>
      <c r="AC207" s="876"/>
    </row>
    <row r="208" spans="1:30" x14ac:dyDescent="0.2">
      <c r="A208" s="618" t="s">
        <v>588</v>
      </c>
      <c r="B208" s="619" t="s">
        <v>747</v>
      </c>
      <c r="C208" s="620">
        <v>244</v>
      </c>
      <c r="D208" s="620">
        <v>341</v>
      </c>
      <c r="E208" s="596">
        <f t="shared" si="21"/>
        <v>0</v>
      </c>
      <c r="F208" s="595">
        <f>'Прилож 4 24 (6)'!V206</f>
        <v>0</v>
      </c>
      <c r="G208" s="595">
        <f>'Прилож 4 24 (6)'!W206</f>
        <v>0</v>
      </c>
      <c r="H208" s="595">
        <f>'Прилож 4 24 (6)'!X206</f>
        <v>0</v>
      </c>
      <c r="I208" s="621"/>
      <c r="J208" s="595">
        <f>'Прилож 4 24 (6)'!Z206</f>
        <v>0</v>
      </c>
      <c r="K208" s="595">
        <f>'Прилож 4 24 (6)'!AA206</f>
        <v>0</v>
      </c>
      <c r="L208" s="595">
        <f>'Прилож 4 24 (6)'!AB206</f>
        <v>0</v>
      </c>
      <c r="M208" s="876">
        <f t="shared" si="25"/>
        <v>0</v>
      </c>
      <c r="N208" s="875"/>
      <c r="O208" s="875"/>
      <c r="P208" s="875"/>
      <c r="Q208" s="894"/>
      <c r="R208" s="875"/>
      <c r="S208" s="875"/>
      <c r="T208" s="875"/>
      <c r="U208" s="876">
        <f t="shared" si="24"/>
        <v>0</v>
      </c>
      <c r="V208" s="875">
        <f t="shared" si="24"/>
        <v>0</v>
      </c>
      <c r="W208" s="875">
        <f t="shared" si="23"/>
        <v>0</v>
      </c>
      <c r="X208" s="875">
        <f t="shared" si="23"/>
        <v>0</v>
      </c>
      <c r="Y208" s="877"/>
      <c r="Z208" s="875">
        <f t="shared" si="22"/>
        <v>0</v>
      </c>
      <c r="AA208" s="875">
        <f t="shared" si="22"/>
        <v>0</v>
      </c>
      <c r="AB208" s="875">
        <f t="shared" si="22"/>
        <v>0</v>
      </c>
      <c r="AC208" s="878"/>
    </row>
    <row r="209" spans="1:30" x14ac:dyDescent="0.2">
      <c r="A209" s="618" t="s">
        <v>588</v>
      </c>
      <c r="B209" s="619" t="s">
        <v>729</v>
      </c>
      <c r="C209" s="620">
        <v>244</v>
      </c>
      <c r="D209" s="620">
        <v>341</v>
      </c>
      <c r="E209" s="596">
        <f t="shared" ref="E209:E245" si="28">L209+K209+J209+H209+G209+F209</f>
        <v>27315</v>
      </c>
      <c r="F209" s="595">
        <f>'Прилож 4 24 (6)'!V207</f>
        <v>0</v>
      </c>
      <c r="G209" s="595">
        <f>'Прилож 4 24 (6)'!W207</f>
        <v>0</v>
      </c>
      <c r="H209" s="595">
        <f>'Прилож 4 24 (6)'!X207</f>
        <v>13280</v>
      </c>
      <c r="I209" s="621" t="s">
        <v>1226</v>
      </c>
      <c r="J209" s="595">
        <f>'Прилож 4 24 (6)'!Z207</f>
        <v>0</v>
      </c>
      <c r="K209" s="595">
        <f>'Прилож 4 24 (6)'!AA207</f>
        <v>14035</v>
      </c>
      <c r="L209" s="595">
        <f>'Прилож 4 24 (6)'!AB207</f>
        <v>0</v>
      </c>
      <c r="M209" s="876">
        <f t="shared" si="25"/>
        <v>0</v>
      </c>
      <c r="N209" s="875"/>
      <c r="O209" s="875"/>
      <c r="P209" s="875"/>
      <c r="Q209" s="894"/>
      <c r="R209" s="875"/>
      <c r="S209" s="875"/>
      <c r="T209" s="875"/>
      <c r="U209" s="876">
        <f t="shared" si="24"/>
        <v>27315</v>
      </c>
      <c r="V209" s="875">
        <f t="shared" si="24"/>
        <v>0</v>
      </c>
      <c r="W209" s="875">
        <f t="shared" si="23"/>
        <v>0</v>
      </c>
      <c r="X209" s="875">
        <f t="shared" si="23"/>
        <v>13280</v>
      </c>
      <c r="Y209" s="877" t="s">
        <v>1226</v>
      </c>
      <c r="Z209" s="875">
        <f t="shared" si="22"/>
        <v>0</v>
      </c>
      <c r="AA209" s="875">
        <f t="shared" si="22"/>
        <v>14035</v>
      </c>
      <c r="AB209" s="875">
        <f t="shared" si="22"/>
        <v>0</v>
      </c>
      <c r="AC209" s="878"/>
    </row>
    <row r="210" spans="1:30" s="614" customFormat="1" ht="26.25" customHeight="1" x14ac:dyDescent="0.2">
      <c r="A210" s="630" t="s">
        <v>742</v>
      </c>
      <c r="B210" s="631"/>
      <c r="C210" s="624"/>
      <c r="D210" s="624"/>
      <c r="E210" s="596">
        <f t="shared" si="28"/>
        <v>27315</v>
      </c>
      <c r="F210" s="595">
        <f>'Прилож 4 24 (6)'!V208</f>
        <v>0</v>
      </c>
      <c r="G210" s="595">
        <f>'Прилож 4 24 (6)'!W208</f>
        <v>0</v>
      </c>
      <c r="H210" s="595">
        <f>'Прилож 4 24 (6)'!X208</f>
        <v>13280</v>
      </c>
      <c r="I210" s="626"/>
      <c r="J210" s="595">
        <f>'Прилож 4 24 (6)'!Z208</f>
        <v>0</v>
      </c>
      <c r="K210" s="595">
        <f>'Прилож 4 24 (6)'!AA208</f>
        <v>14035</v>
      </c>
      <c r="L210" s="595">
        <f>'Прилож 4 24 (6)'!AB208</f>
        <v>0</v>
      </c>
      <c r="M210" s="876">
        <f>N210+P210+R210+S210+T210+O210</f>
        <v>0</v>
      </c>
      <c r="N210" s="876"/>
      <c r="O210" s="876"/>
      <c r="P210" s="876">
        <f>P208+P209</f>
        <v>0</v>
      </c>
      <c r="Q210" s="881"/>
      <c r="R210" s="876"/>
      <c r="S210" s="876"/>
      <c r="T210" s="876"/>
      <c r="U210" s="876">
        <f t="shared" si="24"/>
        <v>27315</v>
      </c>
      <c r="V210" s="875">
        <f t="shared" si="24"/>
        <v>0</v>
      </c>
      <c r="W210" s="875">
        <f t="shared" si="23"/>
        <v>0</v>
      </c>
      <c r="X210" s="875">
        <f t="shared" si="23"/>
        <v>13280</v>
      </c>
      <c r="Y210" s="881"/>
      <c r="Z210" s="875">
        <f t="shared" si="22"/>
        <v>0</v>
      </c>
      <c r="AA210" s="875">
        <f t="shared" si="22"/>
        <v>14035</v>
      </c>
      <c r="AB210" s="875">
        <f t="shared" si="22"/>
        <v>0</v>
      </c>
      <c r="AC210" s="879"/>
    </row>
    <row r="211" spans="1:30" ht="45" customHeight="1" x14ac:dyDescent="0.2">
      <c r="A211" s="618" t="s">
        <v>788</v>
      </c>
      <c r="B211" s="619" t="s">
        <v>747</v>
      </c>
      <c r="C211" s="620">
        <v>244</v>
      </c>
      <c r="D211" s="620">
        <v>342</v>
      </c>
      <c r="E211" s="596">
        <f t="shared" si="28"/>
        <v>2008650</v>
      </c>
      <c r="F211" s="595">
        <f>'Прилож 4 24 (6)'!V209</f>
        <v>0</v>
      </c>
      <c r="G211" s="595">
        <f>'Прилож 4 24 (6)'!W209</f>
        <v>0</v>
      </c>
      <c r="H211" s="595">
        <f>'Прилож 4 24 (6)'!X209</f>
        <v>851020</v>
      </c>
      <c r="I211" s="628"/>
      <c r="J211" s="595">
        <f>'Прилож 4 24 (6)'!Z209</f>
        <v>0</v>
      </c>
      <c r="K211" s="595">
        <f>'Прилож 4 24 (6)'!AA209</f>
        <v>0</v>
      </c>
      <c r="L211" s="595">
        <f>'Прилож 4 24 (6)'!AB209</f>
        <v>1157630</v>
      </c>
      <c r="M211" s="876">
        <f t="shared" si="25"/>
        <v>0</v>
      </c>
      <c r="N211" s="875"/>
      <c r="O211" s="875"/>
      <c r="P211" s="875"/>
      <c r="Q211" s="877"/>
      <c r="R211" s="875"/>
      <c r="S211" s="875"/>
      <c r="T211" s="875"/>
      <c r="U211" s="876">
        <f t="shared" si="24"/>
        <v>2008650</v>
      </c>
      <c r="V211" s="875">
        <f t="shared" si="24"/>
        <v>0</v>
      </c>
      <c r="W211" s="875">
        <f t="shared" si="23"/>
        <v>0</v>
      </c>
      <c r="X211" s="875">
        <f t="shared" si="23"/>
        <v>851020</v>
      </c>
      <c r="Y211" s="883"/>
      <c r="Z211" s="875">
        <f t="shared" si="22"/>
        <v>0</v>
      </c>
      <c r="AA211" s="875">
        <f t="shared" si="22"/>
        <v>0</v>
      </c>
      <c r="AB211" s="875">
        <f t="shared" si="22"/>
        <v>1157630</v>
      </c>
      <c r="AC211" s="878"/>
    </row>
    <row r="212" spans="1:30" s="614" customFormat="1" ht="26.25" customHeight="1" x14ac:dyDescent="0.2">
      <c r="A212" s="630" t="s">
        <v>786</v>
      </c>
      <c r="B212" s="631"/>
      <c r="C212" s="624"/>
      <c r="D212" s="624"/>
      <c r="E212" s="596">
        <f t="shared" si="28"/>
        <v>2008650</v>
      </c>
      <c r="F212" s="595">
        <f>'Прилож 4 24 (6)'!V210</f>
        <v>0</v>
      </c>
      <c r="G212" s="595">
        <f>'Прилож 4 24 (6)'!W210</f>
        <v>0</v>
      </c>
      <c r="H212" s="595">
        <f>'Прилож 4 24 (6)'!X210</f>
        <v>851020</v>
      </c>
      <c r="I212" s="626"/>
      <c r="J212" s="595">
        <f>'Прилож 4 24 (6)'!Z210</f>
        <v>0</v>
      </c>
      <c r="K212" s="595">
        <f>'Прилож 4 24 (6)'!AA210</f>
        <v>0</v>
      </c>
      <c r="L212" s="595">
        <f>'Прилож 4 24 (6)'!AB210</f>
        <v>1157630</v>
      </c>
      <c r="M212" s="876">
        <f t="shared" si="25"/>
        <v>0</v>
      </c>
      <c r="N212" s="876"/>
      <c r="O212" s="876"/>
      <c r="P212" s="876"/>
      <c r="Q212" s="881"/>
      <c r="R212" s="876"/>
      <c r="S212" s="876"/>
      <c r="T212" s="876"/>
      <c r="U212" s="876">
        <f t="shared" si="24"/>
        <v>2008650</v>
      </c>
      <c r="V212" s="875">
        <f t="shared" si="24"/>
        <v>0</v>
      </c>
      <c r="W212" s="875">
        <f t="shared" si="23"/>
        <v>0</v>
      </c>
      <c r="X212" s="875">
        <f t="shared" si="23"/>
        <v>851020</v>
      </c>
      <c r="Y212" s="881"/>
      <c r="Z212" s="875">
        <f t="shared" si="22"/>
        <v>0</v>
      </c>
      <c r="AA212" s="875">
        <f t="shared" si="22"/>
        <v>0</v>
      </c>
      <c r="AB212" s="875">
        <f t="shared" si="22"/>
        <v>1157630</v>
      </c>
      <c r="AC212" s="879"/>
      <c r="AD212" s="818"/>
    </row>
    <row r="213" spans="1:30" ht="47.25" x14ac:dyDescent="0.2">
      <c r="A213" s="618" t="s">
        <v>793</v>
      </c>
      <c r="B213" s="619" t="s">
        <v>791</v>
      </c>
      <c r="C213" s="620">
        <v>244</v>
      </c>
      <c r="D213" s="620">
        <v>342</v>
      </c>
      <c r="E213" s="596">
        <f t="shared" si="28"/>
        <v>600000</v>
      </c>
      <c r="F213" s="595">
        <f>'Прилож 4 24 (6)'!V211</f>
        <v>600000</v>
      </c>
      <c r="G213" s="595">
        <f>'Прилож 4 24 (6)'!W211</f>
        <v>0</v>
      </c>
      <c r="H213" s="595">
        <f>'Прилож 4 24 (6)'!X211</f>
        <v>0</v>
      </c>
      <c r="I213" s="628"/>
      <c r="J213" s="595">
        <f>'Прилож 4 24 (6)'!Z211</f>
        <v>0</v>
      </c>
      <c r="K213" s="595">
        <f>'Прилож 4 24 (6)'!AA211</f>
        <v>0</v>
      </c>
      <c r="L213" s="595">
        <f>'Прилож 4 24 (6)'!AB211</f>
        <v>0</v>
      </c>
      <c r="M213" s="876">
        <f t="shared" si="25"/>
        <v>0</v>
      </c>
      <c r="N213" s="875"/>
      <c r="O213" s="875"/>
      <c r="P213" s="875"/>
      <c r="Q213" s="877"/>
      <c r="R213" s="875"/>
      <c r="S213" s="875"/>
      <c r="T213" s="875"/>
      <c r="U213" s="876">
        <f t="shared" si="24"/>
        <v>600000</v>
      </c>
      <c r="V213" s="875">
        <f t="shared" si="24"/>
        <v>600000</v>
      </c>
      <c r="W213" s="875">
        <f t="shared" si="23"/>
        <v>0</v>
      </c>
      <c r="X213" s="875">
        <f t="shared" si="23"/>
        <v>0</v>
      </c>
      <c r="Y213" s="883"/>
      <c r="Z213" s="875">
        <f t="shared" si="22"/>
        <v>0</v>
      </c>
      <c r="AA213" s="875">
        <f t="shared" si="22"/>
        <v>0</v>
      </c>
      <c r="AB213" s="875">
        <f t="shared" si="22"/>
        <v>0</v>
      </c>
      <c r="AC213" s="878"/>
    </row>
    <row r="214" spans="1:30" s="614" customFormat="1" x14ac:dyDescent="0.2">
      <c r="A214" s="630" t="s">
        <v>786</v>
      </c>
      <c r="B214" s="631"/>
      <c r="C214" s="624"/>
      <c r="D214" s="624"/>
      <c r="E214" s="596">
        <f t="shared" si="28"/>
        <v>600000</v>
      </c>
      <c r="F214" s="595">
        <f>'Прилож 4 24 (6)'!V212</f>
        <v>600000</v>
      </c>
      <c r="G214" s="595">
        <f>'Прилож 4 24 (6)'!W212</f>
        <v>0</v>
      </c>
      <c r="H214" s="595">
        <f>'Прилож 4 24 (6)'!X212</f>
        <v>0</v>
      </c>
      <c r="I214" s="626"/>
      <c r="J214" s="595">
        <f>'Прилож 4 24 (6)'!Z212</f>
        <v>0</v>
      </c>
      <c r="K214" s="595">
        <f>'Прилож 4 24 (6)'!AA212</f>
        <v>0</v>
      </c>
      <c r="L214" s="595">
        <f>'Прилож 4 24 (6)'!AB212</f>
        <v>0</v>
      </c>
      <c r="M214" s="876">
        <f t="shared" si="25"/>
        <v>0</v>
      </c>
      <c r="N214" s="876"/>
      <c r="O214" s="876"/>
      <c r="P214" s="876"/>
      <c r="Q214" s="881"/>
      <c r="R214" s="876"/>
      <c r="S214" s="876"/>
      <c r="T214" s="876"/>
      <c r="U214" s="876">
        <f t="shared" si="24"/>
        <v>600000</v>
      </c>
      <c r="V214" s="875">
        <f t="shared" si="24"/>
        <v>600000</v>
      </c>
      <c r="W214" s="875">
        <f t="shared" si="23"/>
        <v>0</v>
      </c>
      <c r="X214" s="875">
        <f t="shared" si="23"/>
        <v>0</v>
      </c>
      <c r="Y214" s="881"/>
      <c r="Z214" s="875">
        <f t="shared" si="22"/>
        <v>0</v>
      </c>
      <c r="AA214" s="875">
        <f t="shared" si="22"/>
        <v>0</v>
      </c>
      <c r="AB214" s="875">
        <f t="shared" si="22"/>
        <v>0</v>
      </c>
    </row>
    <row r="215" spans="1:30" x14ac:dyDescent="0.2">
      <c r="A215" s="618" t="s">
        <v>621</v>
      </c>
      <c r="B215" s="619" t="s">
        <v>747</v>
      </c>
      <c r="C215" s="620">
        <v>244</v>
      </c>
      <c r="D215" s="620">
        <v>343</v>
      </c>
      <c r="E215" s="596">
        <f t="shared" si="28"/>
        <v>256</v>
      </c>
      <c r="F215" s="595">
        <f>'Прилож 4 24 (6)'!V213</f>
        <v>0</v>
      </c>
      <c r="G215" s="595">
        <f>'Прилож 4 24 (6)'!W213</f>
        <v>0</v>
      </c>
      <c r="H215" s="595">
        <f>'Прилож 4 24 (6)'!X213</f>
        <v>256</v>
      </c>
      <c r="I215" s="628"/>
      <c r="J215" s="595">
        <f>'Прилож 4 24 (6)'!Z213</f>
        <v>0</v>
      </c>
      <c r="K215" s="595">
        <f>'Прилож 4 24 (6)'!AA213</f>
        <v>0</v>
      </c>
      <c r="L215" s="595">
        <f>'Прилож 4 24 (6)'!AB213</f>
        <v>0</v>
      </c>
      <c r="M215" s="876">
        <f t="shared" si="25"/>
        <v>0</v>
      </c>
      <c r="N215" s="875"/>
      <c r="O215" s="875"/>
      <c r="P215" s="875"/>
      <c r="Q215" s="877"/>
      <c r="R215" s="875"/>
      <c r="S215" s="875"/>
      <c r="T215" s="875"/>
      <c r="U215" s="876">
        <f t="shared" si="24"/>
        <v>256</v>
      </c>
      <c r="V215" s="875">
        <f t="shared" si="24"/>
        <v>0</v>
      </c>
      <c r="W215" s="875">
        <f t="shared" si="23"/>
        <v>0</v>
      </c>
      <c r="X215" s="875">
        <f t="shared" si="23"/>
        <v>256</v>
      </c>
      <c r="Y215" s="883"/>
      <c r="Z215" s="875">
        <f t="shared" si="22"/>
        <v>0</v>
      </c>
      <c r="AA215" s="875">
        <f t="shared" si="22"/>
        <v>0</v>
      </c>
      <c r="AB215" s="875">
        <f t="shared" si="22"/>
        <v>0</v>
      </c>
      <c r="AC215" s="879"/>
    </row>
    <row r="216" spans="1:30" x14ac:dyDescent="0.2">
      <c r="A216" s="618" t="s">
        <v>1145</v>
      </c>
      <c r="B216" s="619" t="s">
        <v>729</v>
      </c>
      <c r="C216" s="620">
        <v>244</v>
      </c>
      <c r="D216" s="620">
        <v>343</v>
      </c>
      <c r="E216" s="596">
        <f t="shared" si="28"/>
        <v>200512</v>
      </c>
      <c r="F216" s="595">
        <f>'Прилож 4 24 (6)'!V214</f>
        <v>200000</v>
      </c>
      <c r="G216" s="595">
        <f>'Прилож 4 24 (6)'!W214</f>
        <v>0</v>
      </c>
      <c r="H216" s="595">
        <f>'Прилож 4 24 (6)'!X214</f>
        <v>512</v>
      </c>
      <c r="I216" s="628"/>
      <c r="J216" s="595">
        <f>'Прилож 4 24 (6)'!Z214</f>
        <v>0</v>
      </c>
      <c r="K216" s="595">
        <f>'Прилож 4 24 (6)'!AA214</f>
        <v>0</v>
      </c>
      <c r="L216" s="595">
        <f>'Прилож 4 24 (6)'!AB214</f>
        <v>0</v>
      </c>
      <c r="M216" s="876">
        <f t="shared" si="25"/>
        <v>0</v>
      </c>
      <c r="N216" s="875"/>
      <c r="O216" s="875"/>
      <c r="P216" s="875"/>
      <c r="Q216" s="877"/>
      <c r="R216" s="875"/>
      <c r="S216" s="875"/>
      <c r="T216" s="875"/>
      <c r="U216" s="876">
        <f t="shared" si="24"/>
        <v>200512</v>
      </c>
      <c r="V216" s="875">
        <f t="shared" si="24"/>
        <v>200000</v>
      </c>
      <c r="W216" s="875">
        <f t="shared" si="23"/>
        <v>0</v>
      </c>
      <c r="X216" s="875">
        <f t="shared" si="23"/>
        <v>512</v>
      </c>
      <c r="Y216" s="883"/>
      <c r="Z216" s="875">
        <f t="shared" si="22"/>
        <v>0</v>
      </c>
      <c r="AA216" s="875">
        <f t="shared" si="22"/>
        <v>0</v>
      </c>
      <c r="AB216" s="875">
        <f t="shared" si="22"/>
        <v>0</v>
      </c>
      <c r="AC216" s="879"/>
    </row>
    <row r="217" spans="1:30" s="614" customFormat="1" x14ac:dyDescent="0.2">
      <c r="A217" s="630" t="s">
        <v>879</v>
      </c>
      <c r="B217" s="631"/>
      <c r="C217" s="624"/>
      <c r="D217" s="624"/>
      <c r="E217" s="596">
        <f t="shared" si="28"/>
        <v>200768</v>
      </c>
      <c r="F217" s="595">
        <f>'Прилож 4 24 (6)'!V215</f>
        <v>200000</v>
      </c>
      <c r="G217" s="595">
        <f>'Прилож 4 24 (6)'!W215</f>
        <v>0</v>
      </c>
      <c r="H217" s="595">
        <f>'Прилож 4 24 (6)'!X215</f>
        <v>768</v>
      </c>
      <c r="I217" s="626"/>
      <c r="J217" s="595">
        <f>'Прилож 4 24 (6)'!Z215</f>
        <v>0</v>
      </c>
      <c r="K217" s="595">
        <f>'Прилож 4 24 (6)'!AA215</f>
        <v>0</v>
      </c>
      <c r="L217" s="595">
        <f>'Прилож 4 24 (6)'!AB215</f>
        <v>0</v>
      </c>
      <c r="M217" s="876">
        <f t="shared" si="25"/>
        <v>0</v>
      </c>
      <c r="N217" s="876">
        <f>SUM(N215:N216)</f>
        <v>0</v>
      </c>
      <c r="O217" s="876"/>
      <c r="P217" s="876">
        <f>SUM(P215:P216)</f>
        <v>0</v>
      </c>
      <c r="Q217" s="881"/>
      <c r="R217" s="876"/>
      <c r="S217" s="876"/>
      <c r="T217" s="876"/>
      <c r="U217" s="876">
        <f t="shared" si="24"/>
        <v>200768</v>
      </c>
      <c r="V217" s="875">
        <f t="shared" si="24"/>
        <v>200000</v>
      </c>
      <c r="W217" s="875">
        <f t="shared" si="23"/>
        <v>0</v>
      </c>
      <c r="X217" s="875">
        <f t="shared" si="23"/>
        <v>768</v>
      </c>
      <c r="Y217" s="881"/>
      <c r="Z217" s="875">
        <f t="shared" si="22"/>
        <v>0</v>
      </c>
      <c r="AA217" s="875">
        <f t="shared" si="22"/>
        <v>0</v>
      </c>
      <c r="AB217" s="875">
        <f t="shared" si="22"/>
        <v>0</v>
      </c>
      <c r="AC217" s="879"/>
    </row>
    <row r="218" spans="1:30" s="614" customFormat="1" x14ac:dyDescent="0.2">
      <c r="A218" s="618" t="s">
        <v>941</v>
      </c>
      <c r="B218" s="619" t="s">
        <v>729</v>
      </c>
      <c r="C218" s="620">
        <v>244</v>
      </c>
      <c r="D218" s="620">
        <v>344</v>
      </c>
      <c r="E218" s="596">
        <f t="shared" si="28"/>
        <v>4892</v>
      </c>
      <c r="F218" s="595">
        <f>'Прилож 4 24 (6)'!V216</f>
        <v>0</v>
      </c>
      <c r="G218" s="595">
        <f>'Прилож 4 24 (6)'!W216</f>
        <v>0</v>
      </c>
      <c r="H218" s="595">
        <f>'Прилож 4 24 (6)'!X216</f>
        <v>4892</v>
      </c>
      <c r="I218" s="628"/>
      <c r="J218" s="595">
        <f>'Прилож 4 24 (6)'!Z216</f>
        <v>0</v>
      </c>
      <c r="K218" s="595">
        <f>'Прилож 4 24 (6)'!AA216</f>
        <v>0</v>
      </c>
      <c r="L218" s="595">
        <f>'Прилож 4 24 (6)'!AB216</f>
        <v>0</v>
      </c>
      <c r="M218" s="876">
        <f t="shared" si="25"/>
        <v>0</v>
      </c>
      <c r="N218" s="876"/>
      <c r="O218" s="876"/>
      <c r="P218" s="875"/>
      <c r="Q218" s="883"/>
      <c r="R218" s="876"/>
      <c r="S218" s="876"/>
      <c r="T218" s="875"/>
      <c r="U218" s="876">
        <f t="shared" si="24"/>
        <v>4892</v>
      </c>
      <c r="V218" s="875">
        <f t="shared" si="24"/>
        <v>0</v>
      </c>
      <c r="W218" s="875">
        <f t="shared" si="23"/>
        <v>0</v>
      </c>
      <c r="X218" s="875">
        <f t="shared" si="23"/>
        <v>4892</v>
      </c>
      <c r="Y218" s="883"/>
      <c r="Z218" s="875">
        <f t="shared" si="22"/>
        <v>0</v>
      </c>
      <c r="AA218" s="875">
        <f t="shared" si="22"/>
        <v>0</v>
      </c>
      <c r="AB218" s="875">
        <f t="shared" si="22"/>
        <v>0</v>
      </c>
      <c r="AC218" s="878"/>
    </row>
    <row r="219" spans="1:30" s="614" customFormat="1" x14ac:dyDescent="0.2">
      <c r="A219" s="630" t="s">
        <v>942</v>
      </c>
      <c r="B219" s="631"/>
      <c r="C219" s="624"/>
      <c r="D219" s="624"/>
      <c r="E219" s="596">
        <f t="shared" si="28"/>
        <v>4892</v>
      </c>
      <c r="F219" s="595">
        <f>'Прилож 4 24 (6)'!V217</f>
        <v>0</v>
      </c>
      <c r="G219" s="595">
        <f>'Прилож 4 24 (6)'!W217</f>
        <v>0</v>
      </c>
      <c r="H219" s="595">
        <f>'Прилож 4 24 (6)'!X217</f>
        <v>4892</v>
      </c>
      <c r="I219" s="626"/>
      <c r="J219" s="595">
        <f>'Прилож 4 24 (6)'!Z217</f>
        <v>0</v>
      </c>
      <c r="K219" s="595">
        <f>'Прилож 4 24 (6)'!AA217</f>
        <v>0</v>
      </c>
      <c r="L219" s="595">
        <f>'Прилож 4 24 (6)'!AB217</f>
        <v>0</v>
      </c>
      <c r="M219" s="876">
        <f t="shared" si="25"/>
        <v>0</v>
      </c>
      <c r="N219" s="876"/>
      <c r="O219" s="876"/>
      <c r="P219" s="876">
        <f>P218</f>
        <v>0</v>
      </c>
      <c r="Q219" s="881"/>
      <c r="R219" s="876"/>
      <c r="S219" s="876"/>
      <c r="T219" s="876"/>
      <c r="U219" s="876">
        <f t="shared" si="24"/>
        <v>4892</v>
      </c>
      <c r="V219" s="875">
        <f t="shared" si="24"/>
        <v>0</v>
      </c>
      <c r="W219" s="875">
        <f t="shared" si="23"/>
        <v>0</v>
      </c>
      <c r="X219" s="875">
        <f t="shared" si="23"/>
        <v>4892</v>
      </c>
      <c r="Y219" s="881"/>
      <c r="Z219" s="875">
        <f t="shared" ref="Z219:AB243" si="29">R219+J219</f>
        <v>0</v>
      </c>
      <c r="AA219" s="875">
        <f t="shared" si="29"/>
        <v>0</v>
      </c>
      <c r="AB219" s="875">
        <f t="shared" si="29"/>
        <v>0</v>
      </c>
      <c r="AC219" s="895"/>
    </row>
    <row r="220" spans="1:30" x14ac:dyDescent="0.2">
      <c r="A220" s="618" t="s">
        <v>169</v>
      </c>
      <c r="B220" s="619" t="s">
        <v>747</v>
      </c>
      <c r="C220" s="620">
        <v>244</v>
      </c>
      <c r="D220" s="620">
        <v>345</v>
      </c>
      <c r="E220" s="596">
        <f t="shared" si="28"/>
        <v>20000</v>
      </c>
      <c r="F220" s="595">
        <f>'Прилож 4 24 (6)'!V218</f>
        <v>0</v>
      </c>
      <c r="G220" s="595">
        <f>'Прилож 4 24 (6)'!W218</f>
        <v>0</v>
      </c>
      <c r="H220" s="595">
        <f>'Прилож 4 24 (6)'!X218</f>
        <v>0</v>
      </c>
      <c r="I220" s="628"/>
      <c r="J220" s="595">
        <f>'Прилож 4 24 (6)'!Z218</f>
        <v>0</v>
      </c>
      <c r="K220" s="595">
        <f>'Прилож 4 24 (6)'!AA218</f>
        <v>0</v>
      </c>
      <c r="L220" s="595">
        <f>'Прилож 4 24 (6)'!AB218</f>
        <v>20000</v>
      </c>
      <c r="M220" s="876">
        <f t="shared" si="25"/>
        <v>0</v>
      </c>
      <c r="N220" s="875"/>
      <c r="O220" s="875"/>
      <c r="P220" s="875"/>
      <c r="Q220" s="877"/>
      <c r="R220" s="875"/>
      <c r="S220" s="875"/>
      <c r="T220" s="875"/>
      <c r="U220" s="876">
        <f t="shared" si="24"/>
        <v>20000</v>
      </c>
      <c r="V220" s="875">
        <f t="shared" si="24"/>
        <v>0</v>
      </c>
      <c r="W220" s="875">
        <f t="shared" si="23"/>
        <v>0</v>
      </c>
      <c r="X220" s="875">
        <f t="shared" si="23"/>
        <v>0</v>
      </c>
      <c r="Y220" s="883"/>
      <c r="Z220" s="875">
        <f t="shared" si="29"/>
        <v>0</v>
      </c>
      <c r="AA220" s="875">
        <f t="shared" si="29"/>
        <v>0</v>
      </c>
      <c r="AB220" s="875">
        <f t="shared" si="29"/>
        <v>20000</v>
      </c>
      <c r="AC220" s="878"/>
    </row>
    <row r="221" spans="1:30" s="614" customFormat="1" ht="30" customHeight="1" x14ac:dyDescent="0.2">
      <c r="A221" s="630" t="s">
        <v>743</v>
      </c>
      <c r="B221" s="631"/>
      <c r="C221" s="624"/>
      <c r="D221" s="624"/>
      <c r="E221" s="596">
        <f t="shared" si="28"/>
        <v>20000</v>
      </c>
      <c r="F221" s="595">
        <f>'Прилож 4 24 (6)'!V219</f>
        <v>0</v>
      </c>
      <c r="G221" s="595">
        <f>'Прилож 4 24 (6)'!W219</f>
        <v>0</v>
      </c>
      <c r="H221" s="595">
        <f>'Прилож 4 24 (6)'!X219</f>
        <v>0</v>
      </c>
      <c r="I221" s="626"/>
      <c r="J221" s="595">
        <f>'Прилож 4 24 (6)'!Z219</f>
        <v>0</v>
      </c>
      <c r="K221" s="595">
        <f>'Прилож 4 24 (6)'!AA219</f>
        <v>0</v>
      </c>
      <c r="L221" s="595">
        <f>'Прилож 4 24 (6)'!AB219</f>
        <v>20000</v>
      </c>
      <c r="M221" s="876">
        <f t="shared" si="25"/>
        <v>0</v>
      </c>
      <c r="N221" s="876"/>
      <c r="O221" s="876"/>
      <c r="P221" s="876"/>
      <c r="Q221" s="881"/>
      <c r="R221" s="876"/>
      <c r="S221" s="876"/>
      <c r="T221" s="876"/>
      <c r="U221" s="876">
        <f t="shared" si="24"/>
        <v>20000</v>
      </c>
      <c r="V221" s="875">
        <f t="shared" si="24"/>
        <v>0</v>
      </c>
      <c r="W221" s="875">
        <f t="shared" si="23"/>
        <v>0</v>
      </c>
      <c r="X221" s="875">
        <f t="shared" si="23"/>
        <v>0</v>
      </c>
      <c r="Y221" s="881"/>
      <c r="Z221" s="875">
        <f t="shared" si="29"/>
        <v>0</v>
      </c>
      <c r="AA221" s="875">
        <f t="shared" si="29"/>
        <v>0</v>
      </c>
      <c r="AB221" s="875">
        <f t="shared" si="29"/>
        <v>20000</v>
      </c>
      <c r="AC221" s="879"/>
    </row>
    <row r="222" spans="1:30" ht="81.75" customHeight="1" x14ac:dyDescent="0.2">
      <c r="A222" s="618" t="s">
        <v>1301</v>
      </c>
      <c r="B222" s="619" t="s">
        <v>747</v>
      </c>
      <c r="C222" s="620">
        <v>244</v>
      </c>
      <c r="D222" s="620">
        <v>346</v>
      </c>
      <c r="E222" s="596">
        <f t="shared" si="28"/>
        <v>253362.76</v>
      </c>
      <c r="F222" s="595">
        <f>'Прилож 4 24 (6)'!V220</f>
        <v>80000</v>
      </c>
      <c r="G222" s="595">
        <f>'Прилож 4 24 (6)'!W220</f>
        <v>0</v>
      </c>
      <c r="H222" s="595">
        <f>'Прилож 4 24 (6)'!X220</f>
        <v>128215.05</v>
      </c>
      <c r="I222" s="621"/>
      <c r="J222" s="595">
        <f>'Прилож 4 24 (6)'!Z220</f>
        <v>0</v>
      </c>
      <c r="K222" s="595">
        <f>'Прилож 4 24 (6)'!AA220</f>
        <v>0</v>
      </c>
      <c r="L222" s="595">
        <f>'Прилож 4 24 (6)'!AB220</f>
        <v>45147.71</v>
      </c>
      <c r="M222" s="876">
        <f t="shared" si="25"/>
        <v>0</v>
      </c>
      <c r="N222" s="875"/>
      <c r="O222" s="875"/>
      <c r="P222" s="875"/>
      <c r="Q222" s="877"/>
      <c r="R222" s="875"/>
      <c r="S222" s="875"/>
      <c r="T222" s="875"/>
      <c r="U222" s="876">
        <f t="shared" si="24"/>
        <v>253362.76</v>
      </c>
      <c r="V222" s="875">
        <f t="shared" si="24"/>
        <v>80000</v>
      </c>
      <c r="W222" s="875">
        <f t="shared" si="23"/>
        <v>0</v>
      </c>
      <c r="X222" s="875">
        <f t="shared" si="23"/>
        <v>128215.05</v>
      </c>
      <c r="Y222" s="877"/>
      <c r="Z222" s="875">
        <f t="shared" si="29"/>
        <v>0</v>
      </c>
      <c r="AA222" s="875">
        <f t="shared" si="29"/>
        <v>0</v>
      </c>
      <c r="AB222" s="875">
        <f t="shared" si="29"/>
        <v>45147.71</v>
      </c>
      <c r="AC222" s="878"/>
    </row>
    <row r="223" spans="1:30" ht="96" customHeight="1" x14ac:dyDescent="0.2">
      <c r="A223" s="618" t="s">
        <v>1311</v>
      </c>
      <c r="B223" s="619" t="s">
        <v>747</v>
      </c>
      <c r="C223" s="620">
        <v>244</v>
      </c>
      <c r="D223" s="620">
        <v>346</v>
      </c>
      <c r="E223" s="596">
        <f t="shared" si="28"/>
        <v>1130430.01</v>
      </c>
      <c r="F223" s="595">
        <f>'Прилож 4 24 (6)'!V221</f>
        <v>1130430.01</v>
      </c>
      <c r="G223" s="595">
        <f>'Прилож 4 24 (6)'!W221</f>
        <v>0</v>
      </c>
      <c r="H223" s="595">
        <f>'Прилож 4 24 (6)'!X221</f>
        <v>0</v>
      </c>
      <c r="I223" s="621"/>
      <c r="J223" s="595">
        <f>'Прилож 4 24 (6)'!Z221</f>
        <v>0</v>
      </c>
      <c r="K223" s="595">
        <f>'Прилож 4 24 (6)'!AA221</f>
        <v>0</v>
      </c>
      <c r="L223" s="595">
        <f>'Прилож 4 24 (6)'!AB221</f>
        <v>0</v>
      </c>
      <c r="M223" s="876">
        <f t="shared" si="25"/>
        <v>0</v>
      </c>
      <c r="N223" s="875"/>
      <c r="O223" s="875"/>
      <c r="P223" s="875"/>
      <c r="Q223" s="877"/>
      <c r="R223" s="875"/>
      <c r="S223" s="875"/>
      <c r="T223" s="875"/>
      <c r="U223" s="876">
        <f t="shared" si="24"/>
        <v>1130430.01</v>
      </c>
      <c r="V223" s="875">
        <f t="shared" si="24"/>
        <v>1130430.01</v>
      </c>
      <c r="W223" s="875">
        <f t="shared" si="23"/>
        <v>0</v>
      </c>
      <c r="X223" s="875">
        <f t="shared" si="23"/>
        <v>0</v>
      </c>
      <c r="Y223" s="877"/>
      <c r="Z223" s="875">
        <f t="shared" si="29"/>
        <v>0</v>
      </c>
      <c r="AA223" s="875">
        <f t="shared" si="29"/>
        <v>0</v>
      </c>
      <c r="AB223" s="875">
        <f t="shared" si="29"/>
        <v>0</v>
      </c>
      <c r="AC223" s="878"/>
      <c r="AD223" s="820"/>
    </row>
    <row r="224" spans="1:30" ht="48" customHeight="1" x14ac:dyDescent="0.2">
      <c r="A224" s="618" t="s">
        <v>1419</v>
      </c>
      <c r="B224" s="619" t="s">
        <v>747</v>
      </c>
      <c r="C224" s="620">
        <v>244</v>
      </c>
      <c r="D224" s="620">
        <v>346</v>
      </c>
      <c r="E224" s="596">
        <f t="shared" si="28"/>
        <v>30000</v>
      </c>
      <c r="F224" s="595">
        <f>'Прилож 4 24 (6)'!V222</f>
        <v>30000</v>
      </c>
      <c r="G224" s="595">
        <f>'Прилож 4 24 (6)'!W222</f>
        <v>0</v>
      </c>
      <c r="H224" s="595">
        <f>'Прилож 4 24 (6)'!X222</f>
        <v>0</v>
      </c>
      <c r="I224" s="621"/>
      <c r="J224" s="595">
        <f>'Прилож 4 24 (6)'!Z222</f>
        <v>0</v>
      </c>
      <c r="K224" s="595">
        <f>'Прилож 4 24 (6)'!AA222</f>
        <v>0</v>
      </c>
      <c r="L224" s="595">
        <f>'Прилож 4 24 (6)'!AB222</f>
        <v>0</v>
      </c>
      <c r="M224" s="876">
        <f t="shared" si="25"/>
        <v>0</v>
      </c>
      <c r="N224" s="875"/>
      <c r="O224" s="875"/>
      <c r="P224" s="875"/>
      <c r="Q224" s="877"/>
      <c r="R224" s="875"/>
      <c r="S224" s="875"/>
      <c r="T224" s="875"/>
      <c r="U224" s="876">
        <f t="shared" si="24"/>
        <v>30000</v>
      </c>
      <c r="V224" s="875">
        <f t="shared" si="24"/>
        <v>30000</v>
      </c>
      <c r="W224" s="875">
        <f t="shared" si="23"/>
        <v>0</v>
      </c>
      <c r="X224" s="875">
        <f t="shared" si="23"/>
        <v>0</v>
      </c>
      <c r="Y224" s="877"/>
      <c r="Z224" s="875">
        <f t="shared" si="29"/>
        <v>0</v>
      </c>
      <c r="AA224" s="875">
        <f t="shared" si="29"/>
        <v>0</v>
      </c>
      <c r="AB224" s="875">
        <f t="shared" si="29"/>
        <v>0</v>
      </c>
      <c r="AC224" s="878"/>
      <c r="AD224" s="820"/>
    </row>
    <row r="225" spans="1:31" ht="42.75" customHeight="1" x14ac:dyDescent="0.2">
      <c r="A225" s="618" t="s">
        <v>1293</v>
      </c>
      <c r="B225" s="619" t="s">
        <v>747</v>
      </c>
      <c r="C225" s="620">
        <v>244</v>
      </c>
      <c r="D225" s="620">
        <v>346</v>
      </c>
      <c r="E225" s="596">
        <f t="shared" si="28"/>
        <v>12000</v>
      </c>
      <c r="F225" s="595">
        <f>'Прилож 4 24 (6)'!V223</f>
        <v>0</v>
      </c>
      <c r="G225" s="595">
        <f>'Прилож 4 24 (6)'!W223</f>
        <v>0</v>
      </c>
      <c r="H225" s="595">
        <f>'Прилож 4 24 (6)'!X223</f>
        <v>0</v>
      </c>
      <c r="I225" s="621"/>
      <c r="J225" s="595">
        <f>'Прилож 4 24 (6)'!Z223</f>
        <v>0</v>
      </c>
      <c r="K225" s="595">
        <f>'Прилож 4 24 (6)'!AA223</f>
        <v>0</v>
      </c>
      <c r="L225" s="595">
        <f>'Прилож 4 24 (6)'!AB223</f>
        <v>12000</v>
      </c>
      <c r="M225" s="876">
        <f t="shared" si="25"/>
        <v>0</v>
      </c>
      <c r="N225" s="875"/>
      <c r="O225" s="875"/>
      <c r="P225" s="875"/>
      <c r="Q225" s="877"/>
      <c r="R225" s="875"/>
      <c r="S225" s="875"/>
      <c r="T225" s="875"/>
      <c r="U225" s="876">
        <f t="shared" si="24"/>
        <v>12000</v>
      </c>
      <c r="V225" s="875">
        <f t="shared" si="24"/>
        <v>0</v>
      </c>
      <c r="W225" s="875">
        <f t="shared" si="23"/>
        <v>0</v>
      </c>
      <c r="X225" s="875">
        <f t="shared" si="23"/>
        <v>0</v>
      </c>
      <c r="Y225" s="877"/>
      <c r="Z225" s="875">
        <f t="shared" si="29"/>
        <v>0</v>
      </c>
      <c r="AA225" s="875">
        <f t="shared" si="29"/>
        <v>0</v>
      </c>
      <c r="AB225" s="875">
        <f t="shared" si="29"/>
        <v>12000</v>
      </c>
      <c r="AC225" s="878"/>
      <c r="AD225" s="820"/>
    </row>
    <row r="226" spans="1:31" s="637" customFormat="1" ht="19.5" customHeight="1" x14ac:dyDescent="0.2">
      <c r="A226" s="632" t="s">
        <v>1143</v>
      </c>
      <c r="B226" s="633" t="s">
        <v>747</v>
      </c>
      <c r="C226" s="634">
        <v>244</v>
      </c>
      <c r="D226" s="634">
        <v>346</v>
      </c>
      <c r="E226" s="596">
        <f t="shared" si="28"/>
        <v>1425792.77</v>
      </c>
      <c r="F226" s="595">
        <f>'Прилож 4 24 (6)'!V224</f>
        <v>1240430.01</v>
      </c>
      <c r="G226" s="595">
        <f>'Прилож 4 24 (6)'!W224</f>
        <v>0</v>
      </c>
      <c r="H226" s="595">
        <f>'Прилож 4 24 (6)'!X224</f>
        <v>128215.05</v>
      </c>
      <c r="I226" s="597">
        <f t="shared" ref="I226" si="30">SUM(I222:I225)</f>
        <v>0</v>
      </c>
      <c r="J226" s="595">
        <f>'Прилож 4 24 (6)'!Z224</f>
        <v>0</v>
      </c>
      <c r="K226" s="595">
        <f>'Прилож 4 24 (6)'!AA224</f>
        <v>0</v>
      </c>
      <c r="L226" s="595">
        <f>'Прилож 4 24 (6)'!AB224</f>
        <v>57147.71</v>
      </c>
      <c r="M226" s="876">
        <f t="shared" si="25"/>
        <v>0</v>
      </c>
      <c r="N226" s="876">
        <f>SUM(N222:N225)</f>
        <v>0</v>
      </c>
      <c r="O226" s="876"/>
      <c r="P226" s="876">
        <f>SUM(P222:P225)</f>
        <v>0</v>
      </c>
      <c r="Q226" s="876"/>
      <c r="R226" s="876"/>
      <c r="S226" s="876"/>
      <c r="T226" s="876"/>
      <c r="U226" s="876">
        <f t="shared" si="24"/>
        <v>1425792.77</v>
      </c>
      <c r="V226" s="875">
        <f t="shared" si="24"/>
        <v>1240430.01</v>
      </c>
      <c r="W226" s="875">
        <f t="shared" si="23"/>
        <v>0</v>
      </c>
      <c r="X226" s="875">
        <f t="shared" si="23"/>
        <v>128215.05</v>
      </c>
      <c r="Y226" s="884">
        <f t="shared" ref="Y226" si="31">SUM(Y222:Y225)</f>
        <v>0</v>
      </c>
      <c r="Z226" s="875">
        <f t="shared" si="29"/>
        <v>0</v>
      </c>
      <c r="AA226" s="875">
        <f t="shared" si="29"/>
        <v>0</v>
      </c>
      <c r="AB226" s="875">
        <f t="shared" si="29"/>
        <v>57147.71</v>
      </c>
      <c r="AC226" s="886"/>
      <c r="AD226" s="819"/>
      <c r="AE226" s="819"/>
    </row>
    <row r="227" spans="1:31" ht="51.75" customHeight="1" x14ac:dyDescent="0.2">
      <c r="A227" s="618" t="s">
        <v>1423</v>
      </c>
      <c r="B227" s="619" t="s">
        <v>729</v>
      </c>
      <c r="C227" s="620">
        <v>244</v>
      </c>
      <c r="D227" s="620">
        <v>346</v>
      </c>
      <c r="E227" s="596">
        <f t="shared" si="28"/>
        <v>102423.97</v>
      </c>
      <c r="F227" s="595">
        <f>'Прилож 4 24 (6)'!V225</f>
        <v>0</v>
      </c>
      <c r="G227" s="595">
        <f>'Прилож 4 24 (6)'!W225</f>
        <v>0</v>
      </c>
      <c r="H227" s="595">
        <f>'Прилож 4 24 (6)'!X225</f>
        <v>87913.900000000009</v>
      </c>
      <c r="I227" s="621"/>
      <c r="J227" s="595">
        <f>'Прилож 4 24 (6)'!Z225</f>
        <v>0</v>
      </c>
      <c r="K227" s="595">
        <f>'Прилож 4 24 (6)'!AA225</f>
        <v>0</v>
      </c>
      <c r="L227" s="595">
        <f>'Прилож 4 24 (6)'!AB225</f>
        <v>14510.07</v>
      </c>
      <c r="M227" s="876">
        <f t="shared" si="25"/>
        <v>0</v>
      </c>
      <c r="N227" s="875"/>
      <c r="O227" s="875"/>
      <c r="P227" s="875"/>
      <c r="Q227" s="877"/>
      <c r="R227" s="875"/>
      <c r="S227" s="875"/>
      <c r="T227" s="875"/>
      <c r="U227" s="876">
        <f t="shared" si="24"/>
        <v>102423.97</v>
      </c>
      <c r="V227" s="875">
        <f t="shared" si="24"/>
        <v>0</v>
      </c>
      <c r="W227" s="875">
        <f t="shared" si="23"/>
        <v>0</v>
      </c>
      <c r="X227" s="875">
        <f t="shared" si="23"/>
        <v>87913.900000000009</v>
      </c>
      <c r="Y227" s="877"/>
      <c r="Z227" s="875">
        <f t="shared" si="29"/>
        <v>0</v>
      </c>
      <c r="AA227" s="875">
        <f t="shared" si="29"/>
        <v>0</v>
      </c>
      <c r="AB227" s="875">
        <f t="shared" si="29"/>
        <v>14510.07</v>
      </c>
      <c r="AC227" s="878"/>
    </row>
    <row r="228" spans="1:31" ht="33" customHeight="1" x14ac:dyDescent="0.2">
      <c r="A228" s="618" t="s">
        <v>617</v>
      </c>
      <c r="B228" s="619" t="s">
        <v>729</v>
      </c>
      <c r="C228" s="620">
        <v>244</v>
      </c>
      <c r="D228" s="620">
        <v>346</v>
      </c>
      <c r="E228" s="596">
        <f t="shared" si="28"/>
        <v>43015</v>
      </c>
      <c r="F228" s="595">
        <f>'Прилож 4 24 (6)'!V226</f>
        <v>0</v>
      </c>
      <c r="G228" s="595">
        <f>'Прилож 4 24 (6)'!W226</f>
        <v>0</v>
      </c>
      <c r="H228" s="595">
        <f>'Прилож 4 24 (6)'!X226</f>
        <v>43015</v>
      </c>
      <c r="I228" s="621"/>
      <c r="J228" s="595">
        <f>'Прилож 4 24 (6)'!Z226</f>
        <v>0</v>
      </c>
      <c r="K228" s="595">
        <f>'Прилож 4 24 (6)'!AA226</f>
        <v>0</v>
      </c>
      <c r="L228" s="595">
        <f>'Прилож 4 24 (6)'!AB226</f>
        <v>0</v>
      </c>
      <c r="M228" s="876">
        <f t="shared" si="25"/>
        <v>0</v>
      </c>
      <c r="N228" s="875"/>
      <c r="O228" s="875"/>
      <c r="P228" s="875"/>
      <c r="Q228" s="877"/>
      <c r="R228" s="875"/>
      <c r="S228" s="875"/>
      <c r="T228" s="875"/>
      <c r="U228" s="876">
        <f t="shared" si="24"/>
        <v>43015</v>
      </c>
      <c r="V228" s="875">
        <f t="shared" si="24"/>
        <v>0</v>
      </c>
      <c r="W228" s="875">
        <f t="shared" si="23"/>
        <v>0</v>
      </c>
      <c r="X228" s="875">
        <f t="shared" si="23"/>
        <v>43015</v>
      </c>
      <c r="Y228" s="877"/>
      <c r="Z228" s="875">
        <f t="shared" si="29"/>
        <v>0</v>
      </c>
      <c r="AA228" s="875">
        <f t="shared" si="29"/>
        <v>0</v>
      </c>
      <c r="AB228" s="875">
        <f t="shared" si="29"/>
        <v>0</v>
      </c>
      <c r="AC228" s="878"/>
    </row>
    <row r="229" spans="1:31" ht="34.5" customHeight="1" x14ac:dyDescent="0.2">
      <c r="A229" s="618" t="s">
        <v>1427</v>
      </c>
      <c r="B229" s="619" t="s">
        <v>729</v>
      </c>
      <c r="C229" s="620">
        <v>244</v>
      </c>
      <c r="D229" s="620">
        <v>346</v>
      </c>
      <c r="E229" s="596">
        <f t="shared" si="28"/>
        <v>10000</v>
      </c>
      <c r="F229" s="595">
        <f>'Прилож 4 24 (6)'!V227</f>
        <v>10000</v>
      </c>
      <c r="G229" s="595">
        <f>'Прилож 4 24 (6)'!W227</f>
        <v>0</v>
      </c>
      <c r="H229" s="595">
        <f>'Прилож 4 24 (6)'!X227</f>
        <v>0</v>
      </c>
      <c r="I229" s="621"/>
      <c r="J229" s="595">
        <f>'Прилож 4 24 (6)'!Z227</f>
        <v>0</v>
      </c>
      <c r="K229" s="595">
        <f>'Прилож 4 24 (6)'!AA227</f>
        <v>0</v>
      </c>
      <c r="L229" s="595">
        <f>'Прилож 4 24 (6)'!AB227</f>
        <v>0</v>
      </c>
      <c r="M229" s="876"/>
      <c r="N229" s="875"/>
      <c r="O229" s="875"/>
      <c r="P229" s="875"/>
      <c r="Q229" s="877"/>
      <c r="R229" s="875"/>
      <c r="S229" s="875"/>
      <c r="T229" s="875"/>
      <c r="U229" s="876">
        <f t="shared" si="24"/>
        <v>10000</v>
      </c>
      <c r="V229" s="875">
        <f t="shared" si="24"/>
        <v>10000</v>
      </c>
      <c r="W229" s="875">
        <f t="shared" si="23"/>
        <v>0</v>
      </c>
      <c r="X229" s="875">
        <f t="shared" si="23"/>
        <v>0</v>
      </c>
      <c r="Y229" s="877"/>
      <c r="Z229" s="875">
        <f t="shared" si="29"/>
        <v>0</v>
      </c>
      <c r="AA229" s="875">
        <f t="shared" si="29"/>
        <v>0</v>
      </c>
      <c r="AB229" s="875">
        <f t="shared" si="29"/>
        <v>0</v>
      </c>
      <c r="AC229" s="878"/>
    </row>
    <row r="230" spans="1:31" ht="39" customHeight="1" x14ac:dyDescent="0.2">
      <c r="A230" s="618" t="s">
        <v>1285</v>
      </c>
      <c r="B230" s="619" t="s">
        <v>729</v>
      </c>
      <c r="C230" s="620">
        <v>244</v>
      </c>
      <c r="D230" s="620">
        <v>346</v>
      </c>
      <c r="E230" s="596">
        <f t="shared" si="28"/>
        <v>50000</v>
      </c>
      <c r="F230" s="595">
        <f>'Прилож 4 24 (6)'!V228</f>
        <v>50000</v>
      </c>
      <c r="G230" s="595">
        <f>'Прилож 4 24 (6)'!W228</f>
        <v>0</v>
      </c>
      <c r="H230" s="595">
        <f>'Прилож 4 24 (6)'!X228</f>
        <v>0</v>
      </c>
      <c r="I230" s="621"/>
      <c r="J230" s="595">
        <f>'Прилож 4 24 (6)'!Z228</f>
        <v>0</v>
      </c>
      <c r="K230" s="595">
        <f>'Прилож 4 24 (6)'!AA228</f>
        <v>0</v>
      </c>
      <c r="L230" s="595">
        <f>'Прилож 4 24 (6)'!AB228</f>
        <v>0</v>
      </c>
      <c r="M230" s="876">
        <f t="shared" si="25"/>
        <v>0</v>
      </c>
      <c r="N230" s="875"/>
      <c r="O230" s="875"/>
      <c r="P230" s="875"/>
      <c r="Q230" s="877"/>
      <c r="R230" s="875"/>
      <c r="S230" s="875"/>
      <c r="T230" s="875"/>
      <c r="U230" s="876">
        <f t="shared" si="24"/>
        <v>50000</v>
      </c>
      <c r="V230" s="875">
        <f t="shared" si="24"/>
        <v>50000</v>
      </c>
      <c r="W230" s="875">
        <f t="shared" si="23"/>
        <v>0</v>
      </c>
      <c r="X230" s="875">
        <f t="shared" si="23"/>
        <v>0</v>
      </c>
      <c r="Y230" s="877"/>
      <c r="Z230" s="875">
        <f t="shared" si="29"/>
        <v>0</v>
      </c>
      <c r="AA230" s="875">
        <f t="shared" si="29"/>
        <v>0</v>
      </c>
      <c r="AB230" s="875">
        <f t="shared" si="29"/>
        <v>0</v>
      </c>
      <c r="AC230" s="878"/>
    </row>
    <row r="231" spans="1:31" ht="50.25" customHeight="1" x14ac:dyDescent="0.2">
      <c r="A231" s="618" t="s">
        <v>1286</v>
      </c>
      <c r="B231" s="619" t="s">
        <v>729</v>
      </c>
      <c r="C231" s="620">
        <v>244</v>
      </c>
      <c r="D231" s="620">
        <v>346</v>
      </c>
      <c r="E231" s="596">
        <f t="shared" si="28"/>
        <v>90181.760000000009</v>
      </c>
      <c r="F231" s="595">
        <f>'Прилож 4 24 (6)'!V229</f>
        <v>90181.760000000009</v>
      </c>
      <c r="G231" s="595">
        <f>'Прилож 4 24 (6)'!W229</f>
        <v>0</v>
      </c>
      <c r="H231" s="595">
        <f>'Прилож 4 24 (6)'!X229</f>
        <v>0</v>
      </c>
      <c r="I231" s="621"/>
      <c r="J231" s="595">
        <f>'Прилож 4 24 (6)'!Z229</f>
        <v>0</v>
      </c>
      <c r="K231" s="595">
        <f>'Прилож 4 24 (6)'!AA229</f>
        <v>0</v>
      </c>
      <c r="L231" s="595">
        <f>'Прилож 4 24 (6)'!AB229</f>
        <v>0</v>
      </c>
      <c r="M231" s="876">
        <f t="shared" si="25"/>
        <v>0</v>
      </c>
      <c r="N231" s="875"/>
      <c r="O231" s="875"/>
      <c r="P231" s="875"/>
      <c r="Q231" s="877"/>
      <c r="R231" s="875"/>
      <c r="S231" s="875"/>
      <c r="T231" s="875"/>
      <c r="U231" s="876">
        <f t="shared" si="24"/>
        <v>90181.760000000009</v>
      </c>
      <c r="V231" s="875">
        <f t="shared" si="24"/>
        <v>90181.760000000009</v>
      </c>
      <c r="W231" s="875">
        <f t="shared" si="23"/>
        <v>0</v>
      </c>
      <c r="X231" s="875">
        <f t="shared" si="23"/>
        <v>0</v>
      </c>
      <c r="Y231" s="877"/>
      <c r="Z231" s="875">
        <f t="shared" si="29"/>
        <v>0</v>
      </c>
      <c r="AA231" s="875">
        <f t="shared" si="29"/>
        <v>0</v>
      </c>
      <c r="AB231" s="875">
        <f t="shared" si="29"/>
        <v>0</v>
      </c>
      <c r="AC231" s="878"/>
    </row>
    <row r="232" spans="1:31" ht="44.25" customHeight="1" x14ac:dyDescent="0.2">
      <c r="A232" s="618" t="s">
        <v>1421</v>
      </c>
      <c r="B232" s="619" t="s">
        <v>729</v>
      </c>
      <c r="C232" s="620">
        <v>244</v>
      </c>
      <c r="D232" s="620">
        <v>346</v>
      </c>
      <c r="E232" s="596">
        <f t="shared" si="28"/>
        <v>9550</v>
      </c>
      <c r="F232" s="595">
        <f>'Прилож 4 24 (6)'!V230</f>
        <v>9550</v>
      </c>
      <c r="G232" s="595">
        <f>'Прилож 4 24 (6)'!W230</f>
        <v>0</v>
      </c>
      <c r="H232" s="595">
        <f>'Прилож 4 24 (6)'!X230</f>
        <v>0</v>
      </c>
      <c r="I232" s="621"/>
      <c r="J232" s="595">
        <f>'Прилож 4 24 (6)'!Z230</f>
        <v>0</v>
      </c>
      <c r="K232" s="595">
        <f>'Прилож 4 24 (6)'!AA230</f>
        <v>0</v>
      </c>
      <c r="L232" s="595">
        <f>'Прилож 4 24 (6)'!AB230</f>
        <v>0</v>
      </c>
      <c r="M232" s="876">
        <f t="shared" si="25"/>
        <v>0</v>
      </c>
      <c r="N232" s="875"/>
      <c r="O232" s="875"/>
      <c r="P232" s="875"/>
      <c r="Q232" s="877"/>
      <c r="R232" s="875"/>
      <c r="S232" s="875"/>
      <c r="T232" s="875"/>
      <c r="U232" s="876">
        <f t="shared" si="24"/>
        <v>9550</v>
      </c>
      <c r="V232" s="875">
        <f t="shared" si="24"/>
        <v>9550</v>
      </c>
      <c r="W232" s="875"/>
      <c r="X232" s="875"/>
      <c r="Y232" s="877"/>
      <c r="Z232" s="875"/>
      <c r="AA232" s="875"/>
      <c r="AB232" s="875"/>
      <c r="AC232" s="878"/>
    </row>
    <row r="233" spans="1:31" ht="39.75" customHeight="1" x14ac:dyDescent="0.2">
      <c r="A233" s="618" t="s">
        <v>1422</v>
      </c>
      <c r="B233" s="619" t="s">
        <v>729</v>
      </c>
      <c r="C233" s="620">
        <v>244</v>
      </c>
      <c r="D233" s="620">
        <v>346</v>
      </c>
      <c r="E233" s="596">
        <f t="shared" si="28"/>
        <v>27035</v>
      </c>
      <c r="F233" s="595">
        <f>'Прилож 4 24 (6)'!V231</f>
        <v>27035</v>
      </c>
      <c r="G233" s="595">
        <f>'Прилож 4 24 (6)'!W231</f>
        <v>0</v>
      </c>
      <c r="H233" s="595">
        <f>'Прилож 4 24 (6)'!X231</f>
        <v>0</v>
      </c>
      <c r="I233" s="621"/>
      <c r="J233" s="595">
        <f>'Прилож 4 24 (6)'!Z231</f>
        <v>0</v>
      </c>
      <c r="K233" s="595">
        <f>'Прилож 4 24 (6)'!AA231</f>
        <v>0</v>
      </c>
      <c r="L233" s="595">
        <f>'Прилож 4 24 (6)'!AB231</f>
        <v>0</v>
      </c>
      <c r="M233" s="876">
        <f t="shared" si="25"/>
        <v>0</v>
      </c>
      <c r="N233" s="875"/>
      <c r="O233" s="875"/>
      <c r="P233" s="875"/>
      <c r="Q233" s="877"/>
      <c r="R233" s="875"/>
      <c r="S233" s="875"/>
      <c r="T233" s="875"/>
      <c r="U233" s="876">
        <f t="shared" si="24"/>
        <v>27035</v>
      </c>
      <c r="V233" s="875">
        <f t="shared" si="24"/>
        <v>27035</v>
      </c>
      <c r="W233" s="875">
        <f t="shared" si="23"/>
        <v>0</v>
      </c>
      <c r="X233" s="875">
        <f t="shared" si="23"/>
        <v>0</v>
      </c>
      <c r="Y233" s="877"/>
      <c r="Z233" s="875">
        <f t="shared" si="29"/>
        <v>0</v>
      </c>
      <c r="AA233" s="875">
        <f t="shared" si="29"/>
        <v>0</v>
      </c>
      <c r="AB233" s="875">
        <f t="shared" si="29"/>
        <v>0</v>
      </c>
      <c r="AC233" s="878"/>
    </row>
    <row r="234" spans="1:31" s="637" customFormat="1" ht="26.25" customHeight="1" x14ac:dyDescent="0.2">
      <c r="A234" s="632" t="s">
        <v>1143</v>
      </c>
      <c r="B234" s="633"/>
      <c r="C234" s="634"/>
      <c r="D234" s="634"/>
      <c r="E234" s="596">
        <f t="shared" si="28"/>
        <v>332205.73</v>
      </c>
      <c r="F234" s="595">
        <f>'Прилож 4 24 (6)'!V232</f>
        <v>186766.76</v>
      </c>
      <c r="G234" s="595">
        <f>'Прилож 4 24 (6)'!W232</f>
        <v>0</v>
      </c>
      <c r="H234" s="595">
        <f>'Прилож 4 24 (6)'!X232</f>
        <v>130928.90000000001</v>
      </c>
      <c r="I234" s="597">
        <f>SUM(I227:I231)</f>
        <v>0</v>
      </c>
      <c r="J234" s="595">
        <f>'Прилож 4 24 (6)'!Z232</f>
        <v>0</v>
      </c>
      <c r="K234" s="595">
        <f>'Прилож 4 24 (6)'!AA232</f>
        <v>0</v>
      </c>
      <c r="L234" s="595">
        <f>'Прилож 4 24 (6)'!AB232</f>
        <v>14510.07</v>
      </c>
      <c r="M234" s="876">
        <f t="shared" si="25"/>
        <v>0</v>
      </c>
      <c r="N234" s="876">
        <f>SUM(N227:N233)</f>
        <v>0</v>
      </c>
      <c r="O234" s="876"/>
      <c r="P234" s="876">
        <f>SUM(P227:P233)</f>
        <v>0</v>
      </c>
      <c r="Q234" s="876"/>
      <c r="R234" s="876"/>
      <c r="S234" s="876"/>
      <c r="T234" s="876">
        <f>SUM(T227:T233)</f>
        <v>0</v>
      </c>
      <c r="U234" s="876">
        <f t="shared" si="24"/>
        <v>332205.73</v>
      </c>
      <c r="V234" s="875">
        <f t="shared" si="24"/>
        <v>186766.76</v>
      </c>
      <c r="W234" s="875">
        <f t="shared" si="23"/>
        <v>0</v>
      </c>
      <c r="X234" s="875">
        <f t="shared" si="23"/>
        <v>130928.90000000001</v>
      </c>
      <c r="Y234" s="884">
        <f>SUM(Y227:Y231)</f>
        <v>0</v>
      </c>
      <c r="Z234" s="875">
        <f t="shared" si="29"/>
        <v>0</v>
      </c>
      <c r="AA234" s="875">
        <f t="shared" si="29"/>
        <v>0</v>
      </c>
      <c r="AB234" s="875">
        <f t="shared" si="29"/>
        <v>14510.07</v>
      </c>
      <c r="AC234" s="886"/>
      <c r="AD234" s="819"/>
    </row>
    <row r="235" spans="1:31" ht="22.5" customHeight="1" x14ac:dyDescent="0.2">
      <c r="A235" s="618" t="s">
        <v>67</v>
      </c>
      <c r="B235" s="619" t="s">
        <v>64</v>
      </c>
      <c r="C235" s="620">
        <v>244</v>
      </c>
      <c r="D235" s="620">
        <v>346</v>
      </c>
      <c r="E235" s="596">
        <f t="shared" si="28"/>
        <v>3200</v>
      </c>
      <c r="F235" s="595">
        <f>'Прилож 4 24 (6)'!V233</f>
        <v>0</v>
      </c>
      <c r="G235" s="595">
        <f>'Прилож 4 24 (6)'!W233</f>
        <v>0</v>
      </c>
      <c r="H235" s="595">
        <f>'Прилож 4 24 (6)'!X233</f>
        <v>0</v>
      </c>
      <c r="I235" s="621" t="s">
        <v>1235</v>
      </c>
      <c r="J235" s="595">
        <f>'Прилож 4 24 (6)'!Z233</f>
        <v>0</v>
      </c>
      <c r="K235" s="595">
        <f>'Прилож 4 24 (6)'!AA233</f>
        <v>3200</v>
      </c>
      <c r="L235" s="595">
        <f>'Прилож 4 24 (6)'!AB233</f>
        <v>0</v>
      </c>
      <c r="M235" s="876">
        <f t="shared" si="25"/>
        <v>0</v>
      </c>
      <c r="N235" s="875"/>
      <c r="O235" s="875"/>
      <c r="P235" s="875"/>
      <c r="Q235" s="877"/>
      <c r="R235" s="875"/>
      <c r="S235" s="875"/>
      <c r="T235" s="875"/>
      <c r="U235" s="876">
        <f t="shared" si="24"/>
        <v>3200</v>
      </c>
      <c r="V235" s="875">
        <f t="shared" si="24"/>
        <v>0</v>
      </c>
      <c r="W235" s="875">
        <f t="shared" si="23"/>
        <v>0</v>
      </c>
      <c r="X235" s="875">
        <f t="shared" si="23"/>
        <v>0</v>
      </c>
      <c r="Y235" s="621" t="s">
        <v>1235</v>
      </c>
      <c r="Z235" s="875">
        <f t="shared" si="29"/>
        <v>0</v>
      </c>
      <c r="AA235" s="875">
        <f t="shared" si="29"/>
        <v>3200</v>
      </c>
      <c r="AB235" s="875">
        <f t="shared" si="29"/>
        <v>0</v>
      </c>
      <c r="AC235" s="878"/>
    </row>
    <row r="236" spans="1:31" s="637" customFormat="1" ht="22.5" customHeight="1" x14ac:dyDescent="0.2">
      <c r="A236" s="632" t="s">
        <v>1143</v>
      </c>
      <c r="B236" s="633"/>
      <c r="C236" s="634"/>
      <c r="D236" s="634"/>
      <c r="E236" s="596">
        <f t="shared" si="28"/>
        <v>3200</v>
      </c>
      <c r="F236" s="595">
        <f>'Прилож 4 24 (6)'!V234</f>
        <v>0</v>
      </c>
      <c r="G236" s="595">
        <f>'Прилож 4 24 (6)'!W234</f>
        <v>0</v>
      </c>
      <c r="H236" s="595">
        <f>'Прилож 4 24 (6)'!X234</f>
        <v>0</v>
      </c>
      <c r="I236" s="597"/>
      <c r="J236" s="595">
        <f>'Прилож 4 24 (6)'!Z234</f>
        <v>0</v>
      </c>
      <c r="K236" s="595">
        <f>'Прилож 4 24 (6)'!AA234</f>
        <v>3200</v>
      </c>
      <c r="L236" s="595">
        <f>'Прилож 4 24 (6)'!AB234</f>
        <v>0</v>
      </c>
      <c r="M236" s="876">
        <f t="shared" si="25"/>
        <v>0</v>
      </c>
      <c r="N236" s="884"/>
      <c r="O236" s="884"/>
      <c r="P236" s="884"/>
      <c r="Q236" s="884"/>
      <c r="R236" s="884"/>
      <c r="S236" s="884"/>
      <c r="T236" s="884"/>
      <c r="U236" s="876">
        <f t="shared" si="24"/>
        <v>3200</v>
      </c>
      <c r="V236" s="875">
        <f t="shared" si="24"/>
        <v>0</v>
      </c>
      <c r="W236" s="875">
        <f t="shared" si="23"/>
        <v>0</v>
      </c>
      <c r="X236" s="875">
        <f t="shared" si="23"/>
        <v>0</v>
      </c>
      <c r="Y236" s="884"/>
      <c r="Z236" s="875">
        <f t="shared" si="29"/>
        <v>0</v>
      </c>
      <c r="AA236" s="875">
        <f t="shared" si="29"/>
        <v>3200</v>
      </c>
      <c r="AB236" s="875">
        <f t="shared" si="29"/>
        <v>0</v>
      </c>
      <c r="AC236" s="886"/>
    </row>
    <row r="237" spans="1:31" ht="44.25" customHeight="1" x14ac:dyDescent="0.2">
      <c r="A237" s="618" t="s">
        <v>710</v>
      </c>
      <c r="B237" s="619" t="s">
        <v>691</v>
      </c>
      <c r="C237" s="620">
        <v>244</v>
      </c>
      <c r="D237" s="620">
        <v>346</v>
      </c>
      <c r="E237" s="596">
        <f t="shared" si="28"/>
        <v>17057.180000000229</v>
      </c>
      <c r="F237" s="595">
        <f>'Прилож 4 24 (6)'!V235</f>
        <v>0</v>
      </c>
      <c r="G237" s="595">
        <f>'Прилож 4 24 (6)'!W235</f>
        <v>2.3283064365386963E-10</v>
      </c>
      <c r="H237" s="595">
        <f>'Прилож 4 24 (6)'!X235</f>
        <v>15649.169999999998</v>
      </c>
      <c r="I237" s="621"/>
      <c r="J237" s="595">
        <f>'Прилож 4 24 (6)'!Z235</f>
        <v>0</v>
      </c>
      <c r="K237" s="595">
        <f>'Прилож 4 24 (6)'!AA235</f>
        <v>0</v>
      </c>
      <c r="L237" s="595">
        <f>'Прилож 4 24 (6)'!AB235</f>
        <v>1408.01</v>
      </c>
      <c r="M237" s="876">
        <f t="shared" si="25"/>
        <v>0</v>
      </c>
      <c r="N237" s="875"/>
      <c r="O237" s="875"/>
      <c r="P237" s="875"/>
      <c r="Q237" s="877"/>
      <c r="R237" s="875"/>
      <c r="S237" s="875"/>
      <c r="T237" s="875"/>
      <c r="U237" s="876">
        <f t="shared" si="24"/>
        <v>17057.180000000229</v>
      </c>
      <c r="V237" s="875">
        <f t="shared" si="24"/>
        <v>0</v>
      </c>
      <c r="W237" s="875">
        <f t="shared" ref="W237:X246" si="32">O237+G237</f>
        <v>2.3283064365386963E-10</v>
      </c>
      <c r="X237" s="875">
        <f t="shared" si="32"/>
        <v>15649.169999999998</v>
      </c>
      <c r="Y237" s="877"/>
      <c r="Z237" s="875">
        <f t="shared" si="29"/>
        <v>0</v>
      </c>
      <c r="AA237" s="875">
        <f t="shared" si="29"/>
        <v>0</v>
      </c>
      <c r="AB237" s="875">
        <f t="shared" si="29"/>
        <v>1408.01</v>
      </c>
      <c r="AC237" s="878"/>
    </row>
    <row r="238" spans="1:31" ht="62.25" customHeight="1" x14ac:dyDescent="0.2">
      <c r="A238" s="618" t="s">
        <v>709</v>
      </c>
      <c r="B238" s="619" t="s">
        <v>691</v>
      </c>
      <c r="C238" s="620">
        <v>244</v>
      </c>
      <c r="D238" s="620">
        <v>346</v>
      </c>
      <c r="E238" s="596">
        <f t="shared" si="28"/>
        <v>5836.95</v>
      </c>
      <c r="F238" s="595">
        <f>'Прилож 4 24 (6)'!V236</f>
        <v>0</v>
      </c>
      <c r="G238" s="595">
        <f>'Прилож 4 24 (6)'!W236</f>
        <v>0</v>
      </c>
      <c r="H238" s="595">
        <f>'Прилож 4 24 (6)'!X236</f>
        <v>5171</v>
      </c>
      <c r="I238" s="621"/>
      <c r="J238" s="595">
        <f>'Прилож 4 24 (6)'!Z236</f>
        <v>0</v>
      </c>
      <c r="K238" s="595">
        <f>'Прилож 4 24 (6)'!AA236</f>
        <v>0</v>
      </c>
      <c r="L238" s="595">
        <f>'Прилож 4 24 (6)'!AB236</f>
        <v>665.95</v>
      </c>
      <c r="M238" s="876">
        <f t="shared" si="25"/>
        <v>0</v>
      </c>
      <c r="N238" s="875"/>
      <c r="O238" s="875"/>
      <c r="P238" s="875"/>
      <c r="Q238" s="877"/>
      <c r="R238" s="875"/>
      <c r="S238" s="875"/>
      <c r="T238" s="875"/>
      <c r="U238" s="876">
        <f t="shared" ref="U238:V246" si="33">E238+M238</f>
        <v>5836.95</v>
      </c>
      <c r="V238" s="875">
        <f t="shared" si="33"/>
        <v>0</v>
      </c>
      <c r="W238" s="875">
        <f t="shared" si="32"/>
        <v>0</v>
      </c>
      <c r="X238" s="875">
        <f t="shared" si="32"/>
        <v>5171</v>
      </c>
      <c r="Y238" s="877"/>
      <c r="Z238" s="875">
        <f t="shared" si="29"/>
        <v>0</v>
      </c>
      <c r="AA238" s="875">
        <f t="shared" si="29"/>
        <v>0</v>
      </c>
      <c r="AB238" s="875">
        <f t="shared" si="29"/>
        <v>665.95</v>
      </c>
      <c r="AC238" s="878"/>
    </row>
    <row r="239" spans="1:31" s="637" customFormat="1" ht="25.5" customHeight="1" x14ac:dyDescent="0.2">
      <c r="A239" s="632" t="s">
        <v>1143</v>
      </c>
      <c r="B239" s="633" t="s">
        <v>691</v>
      </c>
      <c r="C239" s="634">
        <v>244</v>
      </c>
      <c r="D239" s="634">
        <v>346</v>
      </c>
      <c r="E239" s="596">
        <f t="shared" si="28"/>
        <v>22894.13</v>
      </c>
      <c r="F239" s="595">
        <f>'Прилож 4 24 (6)'!V237</f>
        <v>0</v>
      </c>
      <c r="G239" s="595">
        <f>'Прилож 4 24 (6)'!W237</f>
        <v>0</v>
      </c>
      <c r="H239" s="595">
        <f>'Прилож 4 24 (6)'!X237</f>
        <v>20820.170000000002</v>
      </c>
      <c r="I239" s="635"/>
      <c r="J239" s="595">
        <f>'Прилож 4 24 (6)'!Z237</f>
        <v>0</v>
      </c>
      <c r="K239" s="595">
        <f>'Прилож 4 24 (6)'!AA237</f>
        <v>0</v>
      </c>
      <c r="L239" s="595">
        <f>'Прилож 4 24 (6)'!AB237</f>
        <v>2073.96</v>
      </c>
      <c r="M239" s="876">
        <f t="shared" ref="M239:M242" si="34">N239+P239+R239+S239+T239+O239</f>
        <v>0</v>
      </c>
      <c r="N239" s="884"/>
      <c r="O239" s="884"/>
      <c r="P239" s="884">
        <f>SUM(P237:P238)</f>
        <v>0</v>
      </c>
      <c r="Q239" s="885"/>
      <c r="R239" s="884"/>
      <c r="S239" s="884"/>
      <c r="T239" s="884">
        <f>SUM(T237:T238)</f>
        <v>0</v>
      </c>
      <c r="U239" s="876">
        <f t="shared" si="33"/>
        <v>22894.13</v>
      </c>
      <c r="V239" s="875">
        <f t="shared" si="33"/>
        <v>0</v>
      </c>
      <c r="W239" s="875">
        <f t="shared" si="32"/>
        <v>0</v>
      </c>
      <c r="X239" s="875">
        <f t="shared" si="32"/>
        <v>20820.170000000002</v>
      </c>
      <c r="Y239" s="885"/>
      <c r="Z239" s="875">
        <f t="shared" si="29"/>
        <v>0</v>
      </c>
      <c r="AA239" s="875">
        <f t="shared" si="29"/>
        <v>0</v>
      </c>
      <c r="AB239" s="875">
        <f t="shared" si="29"/>
        <v>2073.96</v>
      </c>
      <c r="AC239" s="1004"/>
    </row>
    <row r="240" spans="1:31" s="614" customFormat="1" ht="27.75" customHeight="1" x14ac:dyDescent="0.2">
      <c r="A240" s="630" t="s">
        <v>744</v>
      </c>
      <c r="B240" s="631"/>
      <c r="C240" s="624"/>
      <c r="D240" s="624"/>
      <c r="E240" s="596">
        <f t="shared" si="28"/>
        <v>1784092.63</v>
      </c>
      <c r="F240" s="595">
        <f>'Прилож 4 24 (6)'!V238</f>
        <v>1427196.77</v>
      </c>
      <c r="G240" s="595">
        <f>'Прилож 4 24 (6)'!W238</f>
        <v>0</v>
      </c>
      <c r="H240" s="595">
        <f>'Прилож 4 24 (6)'!X238</f>
        <v>279964.12</v>
      </c>
      <c r="I240" s="596"/>
      <c r="J240" s="595">
        <f>'Прилож 4 24 (6)'!Z238</f>
        <v>0</v>
      </c>
      <c r="K240" s="595">
        <f>'Прилож 4 24 (6)'!AA238</f>
        <v>3200</v>
      </c>
      <c r="L240" s="595">
        <f>'Прилож 4 24 (6)'!AB238</f>
        <v>73731.739999999991</v>
      </c>
      <c r="M240" s="876">
        <f t="shared" si="34"/>
        <v>0</v>
      </c>
      <c r="N240" s="876">
        <f>N239+N236+N234+N226</f>
        <v>0</v>
      </c>
      <c r="O240" s="876"/>
      <c r="P240" s="876">
        <f>P226+P234+P239</f>
        <v>0</v>
      </c>
      <c r="Q240" s="876"/>
      <c r="R240" s="876"/>
      <c r="S240" s="876"/>
      <c r="T240" s="876">
        <f>T226+T234+T239</f>
        <v>0</v>
      </c>
      <c r="U240" s="876">
        <f t="shared" si="33"/>
        <v>1784092.63</v>
      </c>
      <c r="V240" s="875">
        <f t="shared" si="33"/>
        <v>1427196.77</v>
      </c>
      <c r="W240" s="875">
        <f t="shared" si="32"/>
        <v>0</v>
      </c>
      <c r="X240" s="875">
        <f t="shared" si="32"/>
        <v>279964.12</v>
      </c>
      <c r="Y240" s="876"/>
      <c r="Z240" s="875">
        <f t="shared" si="29"/>
        <v>0</v>
      </c>
      <c r="AA240" s="875">
        <f t="shared" si="29"/>
        <v>3200</v>
      </c>
      <c r="AB240" s="875">
        <f t="shared" si="29"/>
        <v>73731.739999999991</v>
      </c>
      <c r="AC240" s="879"/>
      <c r="AD240" s="818"/>
    </row>
    <row r="241" spans="1:31" ht="46.5" customHeight="1" x14ac:dyDescent="0.2">
      <c r="A241" s="618" t="s">
        <v>948</v>
      </c>
      <c r="B241" s="619" t="s">
        <v>729</v>
      </c>
      <c r="C241" s="620">
        <v>244</v>
      </c>
      <c r="D241" s="620">
        <v>349</v>
      </c>
      <c r="E241" s="596">
        <f t="shared" si="28"/>
        <v>6000</v>
      </c>
      <c r="F241" s="595">
        <f>'Прилож 4 24 (6)'!V239</f>
        <v>6000</v>
      </c>
      <c r="G241" s="595">
        <f>'Прилож 4 24 (6)'!W239</f>
        <v>0</v>
      </c>
      <c r="H241" s="595">
        <f>'Прилож 4 24 (6)'!X239</f>
        <v>0</v>
      </c>
      <c r="I241" s="626"/>
      <c r="J241" s="595">
        <f>'Прилож 4 24 (6)'!Z239</f>
        <v>0</v>
      </c>
      <c r="K241" s="595">
        <f>'Прилож 4 24 (6)'!AA239</f>
        <v>0</v>
      </c>
      <c r="L241" s="595">
        <f>'Прилож 4 24 (6)'!AB239</f>
        <v>0</v>
      </c>
      <c r="M241" s="876">
        <f t="shared" si="34"/>
        <v>0</v>
      </c>
      <c r="N241" s="875"/>
      <c r="O241" s="876"/>
      <c r="P241" s="876"/>
      <c r="Q241" s="881"/>
      <c r="R241" s="876"/>
      <c r="S241" s="876"/>
      <c r="T241" s="875"/>
      <c r="U241" s="876">
        <f t="shared" si="33"/>
        <v>6000</v>
      </c>
      <c r="V241" s="875">
        <f t="shared" si="33"/>
        <v>6000</v>
      </c>
      <c r="W241" s="875">
        <f t="shared" si="32"/>
        <v>0</v>
      </c>
      <c r="X241" s="875">
        <f t="shared" si="32"/>
        <v>0</v>
      </c>
      <c r="Y241" s="881"/>
      <c r="Z241" s="875">
        <f t="shared" si="29"/>
        <v>0</v>
      </c>
      <c r="AA241" s="875">
        <f t="shared" si="29"/>
        <v>0</v>
      </c>
      <c r="AB241" s="875">
        <f t="shared" si="29"/>
        <v>0</v>
      </c>
      <c r="AC241" s="878"/>
    </row>
    <row r="242" spans="1:31" s="614" customFormat="1" ht="27.75" customHeight="1" x14ac:dyDescent="0.2">
      <c r="A242" s="630" t="s">
        <v>949</v>
      </c>
      <c r="B242" s="631"/>
      <c r="C242" s="624"/>
      <c r="D242" s="624"/>
      <c r="E242" s="596">
        <f t="shared" si="28"/>
        <v>6000</v>
      </c>
      <c r="F242" s="595">
        <f>'Прилож 4 24 (6)'!V240</f>
        <v>6000</v>
      </c>
      <c r="G242" s="595">
        <f>'Прилож 4 24 (6)'!W240</f>
        <v>0</v>
      </c>
      <c r="H242" s="595">
        <f>'Прилож 4 24 (6)'!X240</f>
        <v>0</v>
      </c>
      <c r="I242" s="626"/>
      <c r="J242" s="595">
        <f>'Прилож 4 24 (6)'!Z240</f>
        <v>0</v>
      </c>
      <c r="K242" s="595">
        <f>'Прилож 4 24 (6)'!AA240</f>
        <v>0</v>
      </c>
      <c r="L242" s="595">
        <f>'Прилож 4 24 (6)'!AB240</f>
        <v>0</v>
      </c>
      <c r="M242" s="876">
        <f t="shared" si="34"/>
        <v>0</v>
      </c>
      <c r="N242" s="876"/>
      <c r="O242" s="876">
        <f t="shared" ref="O242" si="35">O234+O236+O239</f>
        <v>0</v>
      </c>
      <c r="P242" s="876"/>
      <c r="Q242" s="881"/>
      <c r="R242" s="876">
        <f t="shared" ref="R242:S242" si="36">R234+R236+R239</f>
        <v>0</v>
      </c>
      <c r="S242" s="876">
        <f t="shared" si="36"/>
        <v>0</v>
      </c>
      <c r="T242" s="876"/>
      <c r="U242" s="876">
        <f t="shared" si="33"/>
        <v>6000</v>
      </c>
      <c r="V242" s="875">
        <f t="shared" si="33"/>
        <v>6000</v>
      </c>
      <c r="W242" s="875">
        <f t="shared" si="32"/>
        <v>0</v>
      </c>
      <c r="X242" s="875">
        <f t="shared" si="32"/>
        <v>0</v>
      </c>
      <c r="Y242" s="881"/>
      <c r="Z242" s="875">
        <f t="shared" si="29"/>
        <v>0</v>
      </c>
      <c r="AA242" s="875">
        <f t="shared" si="29"/>
        <v>0</v>
      </c>
      <c r="AB242" s="875">
        <f t="shared" si="29"/>
        <v>0</v>
      </c>
      <c r="AC242" s="879"/>
    </row>
    <row r="243" spans="1:31" s="614" customFormat="1" x14ac:dyDescent="0.2">
      <c r="A243" s="624" t="s">
        <v>745</v>
      </c>
      <c r="B243" s="631"/>
      <c r="C243" s="624"/>
      <c r="D243" s="624"/>
      <c r="E243" s="596">
        <f t="shared" si="28"/>
        <v>65084809.010000005</v>
      </c>
      <c r="F243" s="595">
        <f>'Прилож 4 24 (5)'!V238</f>
        <v>42188221.810000002</v>
      </c>
      <c r="G243" s="595">
        <f>'Прилож 4 24 (6)'!W241</f>
        <v>1541528.0899999999</v>
      </c>
      <c r="H243" s="595">
        <f>'Прилож 4 24 (6)'!X241</f>
        <v>11317923.020000001</v>
      </c>
      <c r="I243" s="626"/>
      <c r="J243" s="595">
        <f>'Прилож 4 24 (6)'!Z241</f>
        <v>0</v>
      </c>
      <c r="K243" s="595">
        <f>'Прилож 4 24 (6)'!AA241</f>
        <v>7491773.0999999996</v>
      </c>
      <c r="L243" s="595">
        <f>'Прилож 4 24 (6)'!AB241</f>
        <v>2545362.9899999993</v>
      </c>
      <c r="M243" s="876">
        <f>M242+M240+M221+M219+M217+M214+M212+M207++M189+M186+M152+M99+M97+M80+M59+M50+M43+M41+M36+M210+M38</f>
        <v>164513.04999999999</v>
      </c>
      <c r="N243" s="876">
        <f t="shared" ref="N243:T243" si="37">N240+N221+N219+N217+N214+N212+N210+N207+N189+N186+N152+N99+N97+N80+N59+N50+N43+N41+N38+N36</f>
        <v>0</v>
      </c>
      <c r="O243" s="876">
        <f t="shared" si="37"/>
        <v>0</v>
      </c>
      <c r="P243" s="876">
        <f t="shared" si="37"/>
        <v>0</v>
      </c>
      <c r="Q243" s="876">
        <f t="shared" si="37"/>
        <v>0</v>
      </c>
      <c r="R243" s="876">
        <f t="shared" si="37"/>
        <v>0</v>
      </c>
      <c r="S243" s="876">
        <f t="shared" si="37"/>
        <v>164513.04999999999</v>
      </c>
      <c r="T243" s="876">
        <f t="shared" si="37"/>
        <v>0</v>
      </c>
      <c r="U243" s="876">
        <f>U242+U240+U221+U219+U217+U214+U212+U207++U189+U186+U152+U99+U97+U80+U59+U50+U43+U41+U36+U210+U38</f>
        <v>65249322.060000002</v>
      </c>
      <c r="V243" s="875">
        <f t="shared" si="33"/>
        <v>42188221.810000002</v>
      </c>
      <c r="W243" s="875">
        <f t="shared" si="32"/>
        <v>1541528.0899999999</v>
      </c>
      <c r="X243" s="875">
        <f t="shared" si="32"/>
        <v>11317923.020000001</v>
      </c>
      <c r="Y243" s="876">
        <f>Y242+Y240+Y221+Y219+Y217+Y214+Y212+Y207++Y189+Y186+Y152+Y99+Y97+Y80+Y59+Y50+Y43+Y41+Y36+Y210</f>
        <v>0</v>
      </c>
      <c r="Z243" s="875">
        <f t="shared" si="29"/>
        <v>0</v>
      </c>
      <c r="AA243" s="875">
        <f t="shared" si="29"/>
        <v>7656286.1499999994</v>
      </c>
      <c r="AB243" s="875">
        <f t="shared" si="29"/>
        <v>2545362.9899999993</v>
      </c>
      <c r="AC243" s="879"/>
      <c r="AD243" s="818"/>
      <c r="AE243" s="818">
        <f>V243+W243+X243</f>
        <v>55047672.920000009</v>
      </c>
    </row>
    <row r="244" spans="1:31" ht="25.5" customHeight="1" x14ac:dyDescent="0.2">
      <c r="A244" s="618" t="s">
        <v>946</v>
      </c>
      <c r="B244" s="619"/>
      <c r="C244" s="620"/>
      <c r="D244" s="620">
        <v>189</v>
      </c>
      <c r="E244" s="596">
        <f t="shared" si="28"/>
        <v>-12500</v>
      </c>
      <c r="F244" s="595">
        <f>'Прилож 4 24 (2)'!V208</f>
        <v>0</v>
      </c>
      <c r="G244" s="595">
        <f>'Прилож 4 24 (2)'!W218</f>
        <v>0</v>
      </c>
      <c r="H244" s="595">
        <f>'Прилож 4 24 (2)'!X208</f>
        <v>0</v>
      </c>
      <c r="I244" s="621"/>
      <c r="J244" s="595">
        <f>'Прилож 4 24 (2)'!Z208</f>
        <v>0</v>
      </c>
      <c r="K244" s="595">
        <f>'Прилож 4 24 (2)'!AA208</f>
        <v>0</v>
      </c>
      <c r="L244" s="875">
        <f>'Прилож 4 24 (2)'!AB208</f>
        <v>-12500</v>
      </c>
      <c r="M244" s="876">
        <f t="shared" ref="M244:M246" si="38">N244+P244+R244+S244+T244+O244</f>
        <v>0</v>
      </c>
      <c r="N244" s="875"/>
      <c r="O244" s="875"/>
      <c r="P244" s="875"/>
      <c r="Q244" s="877"/>
      <c r="R244" s="875"/>
      <c r="S244" s="875"/>
      <c r="T244" s="875"/>
      <c r="U244" s="876">
        <f>V244+X244+Z244+AA244+AB244+W244</f>
        <v>-12500</v>
      </c>
      <c r="V244" s="875">
        <f t="shared" si="33"/>
        <v>0</v>
      </c>
      <c r="W244" s="875">
        <f t="shared" si="32"/>
        <v>0</v>
      </c>
      <c r="X244" s="875">
        <f t="shared" si="32"/>
        <v>0</v>
      </c>
      <c r="Y244" s="877"/>
      <c r="Z244" s="875">
        <f t="shared" ref="Z244:AB252" si="39">R244+J244</f>
        <v>0</v>
      </c>
      <c r="AA244" s="875">
        <f t="shared" si="39"/>
        <v>0</v>
      </c>
      <c r="AB244" s="875">
        <f t="shared" si="39"/>
        <v>-12500</v>
      </c>
      <c r="AC244" s="878"/>
    </row>
    <row r="245" spans="1:31" s="614" customFormat="1" ht="31.5" x14ac:dyDescent="0.2">
      <c r="A245" s="630" t="s">
        <v>746</v>
      </c>
      <c r="B245" s="624"/>
      <c r="C245" s="624"/>
      <c r="D245" s="624"/>
      <c r="E245" s="596">
        <f t="shared" si="28"/>
        <v>-12500</v>
      </c>
      <c r="F245" s="595">
        <f>'Прилож 4 24 (2)'!V209</f>
        <v>0</v>
      </c>
      <c r="G245" s="595">
        <f>'Прилож 4 24 (2)'!W219</f>
        <v>0</v>
      </c>
      <c r="H245" s="595">
        <f>'Прилож 4 24 (2)'!X209</f>
        <v>0</v>
      </c>
      <c r="I245" s="626"/>
      <c r="J245" s="595">
        <f>'Прилож 4 24 (2)'!Z209</f>
        <v>0</v>
      </c>
      <c r="K245" s="595">
        <f>'Прилож 4 24 (2)'!AA209</f>
        <v>0</v>
      </c>
      <c r="L245" s="875">
        <f>'Прилож 4 24 (2)'!AB209</f>
        <v>-12500</v>
      </c>
      <c r="M245" s="876">
        <f t="shared" si="38"/>
        <v>0</v>
      </c>
      <c r="N245" s="876">
        <f t="shared" ref="N245:Y246" si="40">N244</f>
        <v>0</v>
      </c>
      <c r="O245" s="876">
        <f t="shared" si="40"/>
        <v>0</v>
      </c>
      <c r="P245" s="876">
        <f t="shared" si="40"/>
        <v>0</v>
      </c>
      <c r="Q245" s="881"/>
      <c r="R245" s="876">
        <f t="shared" si="40"/>
        <v>0</v>
      </c>
      <c r="S245" s="876"/>
      <c r="T245" s="876">
        <f t="shared" si="40"/>
        <v>0</v>
      </c>
      <c r="U245" s="876">
        <f t="shared" ref="U245:U246" si="41">V245+X245+Z245+AA245+AB245+W245</f>
        <v>-12500</v>
      </c>
      <c r="V245" s="875">
        <f t="shared" si="33"/>
        <v>0</v>
      </c>
      <c r="W245" s="875">
        <f t="shared" si="32"/>
        <v>0</v>
      </c>
      <c r="X245" s="875">
        <f t="shared" si="32"/>
        <v>0</v>
      </c>
      <c r="Y245" s="881">
        <f t="shared" si="40"/>
        <v>0</v>
      </c>
      <c r="Z245" s="875">
        <f t="shared" si="39"/>
        <v>0</v>
      </c>
      <c r="AA245" s="875">
        <f t="shared" si="39"/>
        <v>0</v>
      </c>
      <c r="AB245" s="875">
        <f t="shared" si="39"/>
        <v>-12500</v>
      </c>
      <c r="AC245" s="878"/>
    </row>
    <row r="246" spans="1:31" s="614" customFormat="1" x14ac:dyDescent="0.2">
      <c r="A246" s="630" t="s">
        <v>950</v>
      </c>
      <c r="B246" s="631" t="s">
        <v>747</v>
      </c>
      <c r="C246" s="624"/>
      <c r="D246" s="624">
        <v>610</v>
      </c>
      <c r="E246" s="596">
        <f>L246+K246+J246+H246+G246+F246</f>
        <v>142385.88</v>
      </c>
      <c r="F246" s="595">
        <f>'Прилож 4 24 (2)'!V210</f>
        <v>0</v>
      </c>
      <c r="G246" s="595">
        <f>'Прилож 4 24 (2)'!W220</f>
        <v>0</v>
      </c>
      <c r="H246" s="595">
        <f>'Прилож 4 24 (2)'!X210</f>
        <v>142385.88</v>
      </c>
      <c r="I246" s="626"/>
      <c r="J246" s="595">
        <f>'Прилож 4 24 (2)'!Z210</f>
        <v>0</v>
      </c>
      <c r="K246" s="595">
        <f>'Прилож 4 24 (2)'!AA210</f>
        <v>0</v>
      </c>
      <c r="L246" s="875">
        <f>'Прилож 4 24 (2)'!AB210</f>
        <v>0</v>
      </c>
      <c r="M246" s="876">
        <f t="shared" si="38"/>
        <v>0</v>
      </c>
      <c r="N246" s="876">
        <f t="shared" si="40"/>
        <v>0</v>
      </c>
      <c r="O246" s="876">
        <f t="shared" si="40"/>
        <v>0</v>
      </c>
      <c r="P246" s="876"/>
      <c r="Q246" s="881"/>
      <c r="R246" s="876">
        <f t="shared" si="40"/>
        <v>0</v>
      </c>
      <c r="S246" s="876">
        <f t="shared" si="40"/>
        <v>0</v>
      </c>
      <c r="T246" s="876"/>
      <c r="U246" s="876">
        <f t="shared" si="41"/>
        <v>142385.88</v>
      </c>
      <c r="V246" s="875">
        <f t="shared" si="33"/>
        <v>0</v>
      </c>
      <c r="W246" s="875">
        <f t="shared" si="32"/>
        <v>0</v>
      </c>
      <c r="X246" s="875">
        <v>142385.88</v>
      </c>
      <c r="Y246" s="881">
        <f t="shared" si="40"/>
        <v>0</v>
      </c>
      <c r="Z246" s="875">
        <f t="shared" si="39"/>
        <v>0</v>
      </c>
      <c r="AA246" s="875">
        <f t="shared" si="39"/>
        <v>0</v>
      </c>
      <c r="AB246" s="875">
        <f t="shared" si="39"/>
        <v>0</v>
      </c>
      <c r="AC246" s="878"/>
    </row>
    <row r="247" spans="1:31" ht="33" customHeight="1" x14ac:dyDescent="0.2">
      <c r="A247" s="822" t="s">
        <v>1330</v>
      </c>
      <c r="E247" s="644">
        <f t="shared" ref="E247:U247" si="42">E11+E30-E243+E245-E246</f>
        <v>-4.7730281949043274E-9</v>
      </c>
      <c r="F247" s="644">
        <f t="shared" si="42"/>
        <v>0</v>
      </c>
      <c r="G247" s="644">
        <f t="shared" si="42"/>
        <v>2.3283064365386963E-10</v>
      </c>
      <c r="H247" s="644">
        <f t="shared" si="42"/>
        <v>-1.0477378964424133E-9</v>
      </c>
      <c r="I247" s="641">
        <f t="shared" si="42"/>
        <v>0</v>
      </c>
      <c r="J247" s="644">
        <f t="shared" si="42"/>
        <v>0</v>
      </c>
      <c r="K247" s="644">
        <f t="shared" si="42"/>
        <v>0</v>
      </c>
      <c r="L247" s="644">
        <f t="shared" si="42"/>
        <v>9.3132257461547852E-10</v>
      </c>
      <c r="M247" s="644">
        <f t="shared" si="42"/>
        <v>-2.9103830456733704E-11</v>
      </c>
      <c r="N247" s="644">
        <f t="shared" si="42"/>
        <v>0</v>
      </c>
      <c r="O247" s="644">
        <f t="shared" si="42"/>
        <v>0</v>
      </c>
      <c r="P247" s="644">
        <f t="shared" si="42"/>
        <v>0</v>
      </c>
      <c r="Q247" s="644">
        <f t="shared" si="42"/>
        <v>0</v>
      </c>
      <c r="R247" s="644">
        <f t="shared" si="42"/>
        <v>0</v>
      </c>
      <c r="S247" s="644">
        <f t="shared" si="42"/>
        <v>-2.9103830456733704E-11</v>
      </c>
      <c r="T247" s="644">
        <f t="shared" si="42"/>
        <v>0</v>
      </c>
      <c r="U247" s="644">
        <f t="shared" si="42"/>
        <v>-4.7730281949043274E-9</v>
      </c>
      <c r="V247" s="595">
        <f>F247+N247</f>
        <v>0</v>
      </c>
      <c r="W247" s="644">
        <f>W11+W30-W243+W245-W246</f>
        <v>2.3283064365386963E-10</v>
      </c>
      <c r="X247" s="644">
        <f>X11+X30-X243+X245-X246</f>
        <v>-1.0477378964424133E-9</v>
      </c>
      <c r="Y247" s="644">
        <f>Y11+Y30-Y243+Y245-Y246</f>
        <v>0</v>
      </c>
      <c r="Z247" s="595">
        <f t="shared" si="39"/>
        <v>0</v>
      </c>
      <c r="AA247" s="644">
        <f>AA11+AA30-AA243+AA245-AA246</f>
        <v>0</v>
      </c>
      <c r="AB247" s="595">
        <f t="shared" si="39"/>
        <v>9.3132257461547852E-10</v>
      </c>
      <c r="AC247" s="1005"/>
    </row>
    <row r="248" spans="1:31" x14ac:dyDescent="0.2">
      <c r="A248" s="624" t="s">
        <v>1266</v>
      </c>
      <c r="B248" s="620"/>
      <c r="C248" s="620"/>
      <c r="D248" s="620"/>
      <c r="E248" s="596"/>
      <c r="F248" s="595"/>
      <c r="G248" s="595"/>
      <c r="H248" s="595"/>
      <c r="W248" s="645">
        <f>SUM(W197:W206)</f>
        <v>0</v>
      </c>
      <c r="X248" s="645">
        <f>SUM(X197:X206)</f>
        <v>0</v>
      </c>
      <c r="AB248" s="595">
        <f t="shared" si="39"/>
        <v>0</v>
      </c>
      <c r="AC248" s="1002"/>
    </row>
    <row r="249" spans="1:31" x14ac:dyDescent="0.2">
      <c r="A249" s="624" t="s">
        <v>1268</v>
      </c>
      <c r="B249" s="620"/>
      <c r="C249" s="620"/>
      <c r="D249" s="620"/>
      <c r="E249" s="596"/>
      <c r="F249" s="595"/>
      <c r="G249" s="595"/>
      <c r="H249" s="595"/>
      <c r="AB249" s="595">
        <f t="shared" si="39"/>
        <v>0</v>
      </c>
      <c r="AC249" s="1002"/>
    </row>
    <row r="250" spans="1:31" x14ac:dyDescent="0.2">
      <c r="A250" s="620" t="s">
        <v>1265</v>
      </c>
      <c r="B250" s="619" t="s">
        <v>747</v>
      </c>
      <c r="C250" s="620">
        <v>247</v>
      </c>
      <c r="D250" s="620">
        <v>223</v>
      </c>
      <c r="E250" s="596"/>
      <c r="F250" s="595"/>
      <c r="G250" s="595"/>
      <c r="H250" s="595">
        <v>97172.91</v>
      </c>
      <c r="AB250" s="595">
        <f t="shared" si="39"/>
        <v>0</v>
      </c>
      <c r="AC250" s="1002"/>
    </row>
    <row r="251" spans="1:31" x14ac:dyDescent="0.2">
      <c r="A251" s="620" t="s">
        <v>1265</v>
      </c>
      <c r="B251" s="619" t="s">
        <v>729</v>
      </c>
      <c r="C251" s="620">
        <v>247</v>
      </c>
      <c r="D251" s="620">
        <v>223</v>
      </c>
      <c r="E251" s="596"/>
      <c r="F251" s="595"/>
      <c r="G251" s="595"/>
      <c r="H251" s="595">
        <v>149284.57</v>
      </c>
      <c r="AB251" s="595">
        <f t="shared" si="39"/>
        <v>0</v>
      </c>
      <c r="AC251" s="1002"/>
    </row>
    <row r="252" spans="1:31" x14ac:dyDescent="0.2">
      <c r="A252" s="620"/>
      <c r="B252" s="620"/>
      <c r="C252" s="620"/>
      <c r="D252" s="620"/>
      <c r="E252" s="596"/>
      <c r="F252" s="595"/>
      <c r="G252" s="595"/>
      <c r="H252" s="595">
        <f>SUM(H250:H251)</f>
        <v>246457.48</v>
      </c>
      <c r="AB252" s="595">
        <f t="shared" si="39"/>
        <v>0</v>
      </c>
    </row>
    <row r="253" spans="1:31" x14ac:dyDescent="0.2">
      <c r="A253" s="624" t="s">
        <v>1269</v>
      </c>
      <c r="B253" s="620"/>
      <c r="C253" s="620"/>
      <c r="D253" s="620"/>
      <c r="E253" s="596"/>
      <c r="F253" s="595"/>
      <c r="G253" s="595"/>
      <c r="H253" s="595"/>
    </row>
    <row r="254" spans="1:31" x14ac:dyDescent="0.2">
      <c r="A254" s="620" t="s">
        <v>735</v>
      </c>
      <c r="B254" s="619" t="s">
        <v>747</v>
      </c>
      <c r="C254" s="620">
        <v>244</v>
      </c>
      <c r="D254" s="620">
        <v>223</v>
      </c>
      <c r="E254" s="596"/>
      <c r="F254" s="595"/>
      <c r="G254" s="595"/>
      <c r="H254" s="595">
        <v>28336.69</v>
      </c>
    </row>
    <row r="255" spans="1:31" x14ac:dyDescent="0.2">
      <c r="A255" s="620" t="s">
        <v>1267</v>
      </c>
      <c r="B255" s="619" t="s">
        <v>747</v>
      </c>
      <c r="C255" s="620">
        <v>247</v>
      </c>
      <c r="D255" s="620">
        <v>223</v>
      </c>
      <c r="E255" s="596"/>
      <c r="F255" s="595"/>
      <c r="G255" s="595"/>
      <c r="H255" s="595">
        <v>19716.62</v>
      </c>
    </row>
    <row r="256" spans="1:31" x14ac:dyDescent="0.2">
      <c r="A256" s="620" t="s">
        <v>1267</v>
      </c>
      <c r="B256" s="619" t="s">
        <v>729</v>
      </c>
      <c r="C256" s="620">
        <v>247</v>
      </c>
      <c r="D256" s="620">
        <v>223</v>
      </c>
      <c r="E256" s="596"/>
      <c r="F256" s="595"/>
      <c r="G256" s="595"/>
      <c r="H256" s="595">
        <v>105588.85</v>
      </c>
    </row>
    <row r="257" spans="1:8" x14ac:dyDescent="0.2">
      <c r="A257" s="620"/>
      <c r="B257" s="620"/>
      <c r="C257" s="620"/>
      <c r="D257" s="620"/>
      <c r="E257" s="596"/>
      <c r="F257" s="595"/>
      <c r="G257" s="595"/>
      <c r="H257" s="595">
        <f>SUM(H254:H256)</f>
        <v>153642.16</v>
      </c>
    </row>
  </sheetData>
  <mergeCells count="28">
    <mergeCell ref="A7:A10"/>
    <mergeCell ref="B7:B10"/>
    <mergeCell ref="C7:C10"/>
    <mergeCell ref="D7:D10"/>
    <mergeCell ref="E7:L7"/>
    <mergeCell ref="E8:E10"/>
    <mergeCell ref="F8:L8"/>
    <mergeCell ref="F9:H9"/>
    <mergeCell ref="I9:K9"/>
    <mergeCell ref="L9:L10"/>
    <mergeCell ref="Z1:AB1"/>
    <mergeCell ref="Z2:AB2"/>
    <mergeCell ref="A3:X3"/>
    <mergeCell ref="A4:X4"/>
    <mergeCell ref="D5:P5"/>
    <mergeCell ref="AC7:AC10"/>
    <mergeCell ref="V8:AB8"/>
    <mergeCell ref="Y9:AA9"/>
    <mergeCell ref="AB9:AB10"/>
    <mergeCell ref="M8:M10"/>
    <mergeCell ref="N8:T8"/>
    <mergeCell ref="U8:U10"/>
    <mergeCell ref="T9:T10"/>
    <mergeCell ref="N9:P9"/>
    <mergeCell ref="Q9:S9"/>
    <mergeCell ref="V9:X9"/>
    <mergeCell ref="M7:T7"/>
    <mergeCell ref="U7:AB7"/>
  </mergeCells>
  <pageMargins left="0.25" right="0.25" top="0.75" bottom="0.75" header="0.3" footer="0.3"/>
  <pageSetup paperSize="9" scale="26" fitToHeight="0" orientation="landscape" r:id="rId1"/>
  <rowBreaks count="5" manualBreakCount="5">
    <brk id="30" max="28" man="1"/>
    <brk id="88" max="28" man="1"/>
    <brk id="148" max="28" man="1"/>
    <brk id="196" max="28" man="1"/>
    <brk id="234" max="28"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AF262"/>
  <sheetViews>
    <sheetView view="pageBreakPreview" zoomScale="53" zoomScaleNormal="56" zoomScaleSheetLayoutView="53" workbookViewId="0">
      <pane xSplit="1" ySplit="10" topLeftCell="O240" activePane="bottomRight" state="frozen"/>
      <selection pane="topRight" activeCell="B1" sqref="B1"/>
      <selection pane="bottomLeft" activeCell="A11" sqref="A11"/>
      <selection pane="bottomRight" activeCell="G242" sqref="G242"/>
    </sheetView>
  </sheetViews>
  <sheetFormatPr defaultColWidth="9.140625" defaultRowHeight="15.75" x14ac:dyDescent="0.2"/>
  <cols>
    <col min="1" max="1" width="40.28515625" style="610" customWidth="1"/>
    <col min="2" max="2" width="11.5703125" style="610" customWidth="1"/>
    <col min="3" max="3" width="9.42578125" style="610" customWidth="1"/>
    <col min="4" max="4" width="11.7109375" style="610" customWidth="1"/>
    <col min="5" max="5" width="20.85546875" style="644" customWidth="1"/>
    <col min="6" max="6" width="19.7109375" style="645" customWidth="1"/>
    <col min="7" max="7" width="20.28515625" style="645" customWidth="1"/>
    <col min="8" max="8" width="21.42578125" style="645" customWidth="1"/>
    <col min="9" max="9" width="14.42578125" style="611" customWidth="1"/>
    <col min="10" max="10" width="14.7109375" style="645" customWidth="1"/>
    <col min="11" max="11" width="20.140625" style="645" customWidth="1"/>
    <col min="12" max="12" width="19.85546875" style="645" customWidth="1"/>
    <col min="13" max="13" width="22.85546875" style="644" customWidth="1"/>
    <col min="14" max="14" width="18.42578125" style="645" customWidth="1"/>
    <col min="15" max="15" width="19.42578125" style="645" customWidth="1"/>
    <col min="16" max="16" width="18.5703125" style="645" customWidth="1"/>
    <col min="17" max="17" width="16.28515625" style="611" customWidth="1"/>
    <col min="18" max="19" width="19" style="645" customWidth="1"/>
    <col min="20" max="20" width="20.140625" style="645" customWidth="1"/>
    <col min="21" max="21" width="22.140625" style="644" customWidth="1"/>
    <col min="22" max="22" width="20" style="645" customWidth="1"/>
    <col min="23" max="23" width="20.42578125" style="645" customWidth="1"/>
    <col min="24" max="24" width="22.7109375" style="645" customWidth="1"/>
    <col min="25" max="25" width="14.140625" style="611" customWidth="1"/>
    <col min="26" max="26" width="15.42578125" style="645" customWidth="1"/>
    <col min="27" max="27" width="19" style="645" customWidth="1"/>
    <col min="28" max="28" width="22.42578125" style="645" customWidth="1"/>
    <col min="29" max="29" width="23.85546875" style="612" customWidth="1"/>
    <col min="30" max="30" width="19.28515625" style="610" customWidth="1"/>
    <col min="31" max="31" width="18" style="610" customWidth="1"/>
    <col min="32" max="32" width="17.5703125" style="610" bestFit="1" customWidth="1"/>
    <col min="33" max="16384" width="9.140625" style="610"/>
  </cols>
  <sheetData>
    <row r="1" spans="1:29" ht="51.75" customHeight="1" x14ac:dyDescent="0.2">
      <c r="Z1" s="1572" t="s">
        <v>721</v>
      </c>
      <c r="AA1" s="1573"/>
      <c r="AB1" s="1573"/>
    </row>
    <row r="2" spans="1:29" ht="31.9" customHeight="1" x14ac:dyDescent="0.2">
      <c r="Z2" s="1573" t="s">
        <v>722</v>
      </c>
      <c r="AA2" s="1573"/>
      <c r="AB2" s="1573"/>
    </row>
    <row r="3" spans="1:29" s="614" customFormat="1" ht="24.75" customHeight="1" x14ac:dyDescent="0.2">
      <c r="A3" s="1574" t="s">
        <v>1249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613"/>
      <c r="Z3" s="644"/>
      <c r="AA3" s="644"/>
      <c r="AB3" s="644"/>
      <c r="AC3" s="612"/>
    </row>
    <row r="4" spans="1:29" s="614" customFormat="1" ht="25.5" customHeight="1" x14ac:dyDescent="0.2">
      <c r="A4" s="1574" t="s">
        <v>1487</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613"/>
      <c r="Z4" s="644"/>
      <c r="AA4" s="644"/>
      <c r="AB4" s="644"/>
      <c r="AC4" s="612"/>
    </row>
    <row r="5" spans="1:29" x14ac:dyDescent="0.2">
      <c r="A5" s="610" t="s">
        <v>723</v>
      </c>
      <c r="D5" s="1575" t="s">
        <v>204</v>
      </c>
      <c r="E5" s="1576"/>
      <c r="F5" s="1576"/>
      <c r="G5" s="1576"/>
      <c r="H5" s="1576"/>
      <c r="I5" s="1576"/>
      <c r="J5" s="1576"/>
      <c r="K5" s="1576"/>
      <c r="L5" s="1576"/>
      <c r="M5" s="1576"/>
      <c r="N5" s="1576"/>
      <c r="O5" s="1576"/>
      <c r="P5" s="1576"/>
    </row>
    <row r="6" spans="1:29" x14ac:dyDescent="0.2">
      <c r="AC6" s="1002"/>
    </row>
    <row r="7" spans="1:29" s="614" customFormat="1" ht="37.5" customHeight="1" x14ac:dyDescent="0.2">
      <c r="A7" s="1565" t="s">
        <v>724</v>
      </c>
      <c r="B7" s="1566" t="s">
        <v>577</v>
      </c>
      <c r="C7" s="1566" t="s">
        <v>578</v>
      </c>
      <c r="D7" s="1566" t="s">
        <v>579</v>
      </c>
      <c r="E7" s="1567" t="s">
        <v>725</v>
      </c>
      <c r="F7" s="1567"/>
      <c r="G7" s="1567"/>
      <c r="H7" s="1567"/>
      <c r="I7" s="1567"/>
      <c r="J7" s="1567"/>
      <c r="K7" s="1567"/>
      <c r="L7" s="1567"/>
      <c r="M7" s="1567" t="s">
        <v>726</v>
      </c>
      <c r="N7" s="1567"/>
      <c r="O7" s="1567"/>
      <c r="P7" s="1567"/>
      <c r="Q7" s="1567"/>
      <c r="R7" s="1567"/>
      <c r="S7" s="1567"/>
      <c r="T7" s="1567"/>
      <c r="U7" s="1567" t="s">
        <v>727</v>
      </c>
      <c r="V7" s="1567"/>
      <c r="W7" s="1567"/>
      <c r="X7" s="1567"/>
      <c r="Y7" s="1567"/>
      <c r="Z7" s="1567"/>
      <c r="AA7" s="1567"/>
      <c r="AB7" s="1567"/>
      <c r="AC7" s="1577" t="s">
        <v>1178</v>
      </c>
    </row>
    <row r="8" spans="1:29" s="616" customFormat="1" ht="39.75" customHeight="1" x14ac:dyDescent="0.2">
      <c r="A8" s="1565"/>
      <c r="B8" s="1566"/>
      <c r="C8" s="1566"/>
      <c r="D8" s="1566"/>
      <c r="E8" s="1568" t="s">
        <v>6</v>
      </c>
      <c r="F8" s="1569" t="s">
        <v>52</v>
      </c>
      <c r="G8" s="1569"/>
      <c r="H8" s="1569"/>
      <c r="I8" s="1569"/>
      <c r="J8" s="1569"/>
      <c r="K8" s="1569"/>
      <c r="L8" s="1569"/>
      <c r="M8" s="1578" t="s">
        <v>6</v>
      </c>
      <c r="N8" s="1569" t="s">
        <v>52</v>
      </c>
      <c r="O8" s="1569"/>
      <c r="P8" s="1569"/>
      <c r="Q8" s="1569"/>
      <c r="R8" s="1569"/>
      <c r="S8" s="1569"/>
      <c r="T8" s="1569"/>
      <c r="U8" s="1578" t="s">
        <v>6</v>
      </c>
      <c r="V8" s="1569" t="s">
        <v>52</v>
      </c>
      <c r="W8" s="1569"/>
      <c r="X8" s="1569"/>
      <c r="Y8" s="1569"/>
      <c r="Z8" s="1569"/>
      <c r="AA8" s="1569"/>
      <c r="AB8" s="1569"/>
      <c r="AC8" s="1577"/>
    </row>
    <row r="9" spans="1:29" s="616" customFormat="1" ht="39.75" customHeight="1" x14ac:dyDescent="0.2">
      <c r="A9" s="1565"/>
      <c r="B9" s="1566"/>
      <c r="C9" s="1566"/>
      <c r="D9" s="1566"/>
      <c r="E9" s="1568"/>
      <c r="F9" s="1570" t="s">
        <v>35</v>
      </c>
      <c r="G9" s="1570"/>
      <c r="H9" s="1570"/>
      <c r="I9" s="1570" t="s">
        <v>45</v>
      </c>
      <c r="J9" s="1570"/>
      <c r="K9" s="1570"/>
      <c r="L9" s="1571" t="s">
        <v>46</v>
      </c>
      <c r="M9" s="1578"/>
      <c r="N9" s="1570" t="s">
        <v>35</v>
      </c>
      <c r="O9" s="1570"/>
      <c r="P9" s="1570"/>
      <c r="Q9" s="1570" t="s">
        <v>45</v>
      </c>
      <c r="R9" s="1570"/>
      <c r="S9" s="1570"/>
      <c r="T9" s="1571" t="s">
        <v>46</v>
      </c>
      <c r="U9" s="1578"/>
      <c r="V9" s="1570" t="s">
        <v>35</v>
      </c>
      <c r="W9" s="1570"/>
      <c r="X9" s="1570"/>
      <c r="Y9" s="1570" t="s">
        <v>45</v>
      </c>
      <c r="Z9" s="1570"/>
      <c r="AA9" s="1570"/>
      <c r="AB9" s="1571" t="s">
        <v>46</v>
      </c>
      <c r="AC9" s="1577"/>
    </row>
    <row r="10" spans="1:29" s="616" customFormat="1" ht="69" customHeight="1" x14ac:dyDescent="0.2">
      <c r="A10" s="1565"/>
      <c r="B10" s="1566"/>
      <c r="C10" s="1566"/>
      <c r="D10" s="1566"/>
      <c r="E10" s="1568"/>
      <c r="F10" s="642" t="s">
        <v>43</v>
      </c>
      <c r="G10" s="642" t="s">
        <v>592</v>
      </c>
      <c r="H10" s="642" t="s">
        <v>44</v>
      </c>
      <c r="I10" s="617" t="s">
        <v>55</v>
      </c>
      <c r="J10" s="642" t="s">
        <v>43</v>
      </c>
      <c r="K10" s="642" t="s">
        <v>44</v>
      </c>
      <c r="L10" s="1571"/>
      <c r="M10" s="1578"/>
      <c r="N10" s="642" t="s">
        <v>43</v>
      </c>
      <c r="O10" s="642" t="s">
        <v>592</v>
      </c>
      <c r="P10" s="642" t="s">
        <v>44</v>
      </c>
      <c r="Q10" s="617" t="s">
        <v>55</v>
      </c>
      <c r="R10" s="642" t="s">
        <v>43</v>
      </c>
      <c r="S10" s="642" t="s">
        <v>44</v>
      </c>
      <c r="T10" s="1571"/>
      <c r="U10" s="1578"/>
      <c r="V10" s="642" t="s">
        <v>43</v>
      </c>
      <c r="W10" s="642" t="s">
        <v>592</v>
      </c>
      <c r="X10" s="642" t="s">
        <v>44</v>
      </c>
      <c r="Y10" s="617" t="s">
        <v>55</v>
      </c>
      <c r="Z10" s="642" t="s">
        <v>43</v>
      </c>
      <c r="AA10" s="642" t="s">
        <v>44</v>
      </c>
      <c r="AB10" s="1571"/>
      <c r="AC10" s="1577"/>
    </row>
    <row r="11" spans="1:29" ht="31.5" x14ac:dyDescent="0.2">
      <c r="A11" s="618" t="s">
        <v>909</v>
      </c>
      <c r="B11" s="619" t="s">
        <v>747</v>
      </c>
      <c r="C11" s="620"/>
      <c r="D11" s="620">
        <v>510</v>
      </c>
      <c r="E11" s="596">
        <f t="shared" ref="E11:E48" si="0">L11+K11+J11+H11+G11+F11</f>
        <v>332433.68</v>
      </c>
      <c r="F11" s="595">
        <f>'Прилож 4 24 (7)'!V11</f>
        <v>0</v>
      </c>
      <c r="G11" s="595">
        <f>'Прилож 4 24 (7)'!W11</f>
        <v>0</v>
      </c>
      <c r="H11" s="595">
        <f>'Прилож 4 24 (7)'!X11</f>
        <v>255285.97</v>
      </c>
      <c r="I11" s="621"/>
      <c r="J11" s="595">
        <f>'Прилож 4 24 (7)'!Z11</f>
        <v>0</v>
      </c>
      <c r="K11" s="595">
        <f>'Прилож 4 24 (7)'!AA11</f>
        <v>0</v>
      </c>
      <c r="L11" s="595">
        <f>'Прилож 4 24 (7)'!AB11</f>
        <v>77147.710000000006</v>
      </c>
      <c r="M11" s="596">
        <f t="shared" ref="M11:M17" si="1">N11+P11+R11+S11+T11+O11</f>
        <v>0</v>
      </c>
      <c r="N11" s="595"/>
      <c r="O11" s="595"/>
      <c r="P11" s="595"/>
      <c r="Q11" s="621"/>
      <c r="R11" s="595"/>
      <c r="S11" s="595"/>
      <c r="T11" s="595"/>
      <c r="U11" s="999">
        <f>X11+AB11</f>
        <v>332433.68</v>
      </c>
      <c r="V11" s="835">
        <f t="shared" ref="V11:V27" si="2">F11+N11</f>
        <v>0</v>
      </c>
      <c r="W11" s="835">
        <f t="shared" ref="W11:X27" si="3">O11+G11</f>
        <v>0</v>
      </c>
      <c r="X11" s="835">
        <f t="shared" si="3"/>
        <v>255285.97</v>
      </c>
      <c r="Y11" s="1000"/>
      <c r="Z11" s="835">
        <f t="shared" ref="Z11:AB26" si="4">R11+J11</f>
        <v>0</v>
      </c>
      <c r="AA11" s="835">
        <f t="shared" si="4"/>
        <v>0</v>
      </c>
      <c r="AB11" s="835">
        <f t="shared" si="4"/>
        <v>77147.710000000006</v>
      </c>
      <c r="AC11" s="1003"/>
    </row>
    <row r="12" spans="1:29" ht="98.25" customHeight="1" x14ac:dyDescent="0.2">
      <c r="A12" s="618" t="s">
        <v>728</v>
      </c>
      <c r="B12" s="619" t="s">
        <v>747</v>
      </c>
      <c r="C12" s="620">
        <v>130</v>
      </c>
      <c r="D12" s="620">
        <v>131</v>
      </c>
      <c r="E12" s="596">
        <f t="shared" si="0"/>
        <v>23228700</v>
      </c>
      <c r="F12" s="595">
        <f>'Прилож 4 24 (7)'!V12</f>
        <v>16891100</v>
      </c>
      <c r="G12" s="595">
        <f>'Прилож 4 24 (7)'!W12</f>
        <v>0</v>
      </c>
      <c r="H12" s="595">
        <f>'Прилож 4 24 (7)'!X12</f>
        <v>6337600</v>
      </c>
      <c r="I12" s="621"/>
      <c r="J12" s="595">
        <f>'Прилож 4 24 (7)'!Z12</f>
        <v>0</v>
      </c>
      <c r="K12" s="595">
        <f>'Прилож 4 24 (7)'!AA12</f>
        <v>0</v>
      </c>
      <c r="L12" s="595">
        <f>'Прилож 4 24 (7)'!AB12</f>
        <v>0</v>
      </c>
      <c r="M12" s="596">
        <f t="shared" si="1"/>
        <v>0</v>
      </c>
      <c r="N12" s="595"/>
      <c r="O12" s="595"/>
      <c r="P12" s="595"/>
      <c r="Q12" s="621"/>
      <c r="R12" s="595"/>
      <c r="S12" s="595"/>
      <c r="T12" s="595"/>
      <c r="U12" s="999">
        <f t="shared" ref="U12:U29" si="5">V12+X12+Z12+AA12+AB12+W12</f>
        <v>23228700</v>
      </c>
      <c r="V12" s="835">
        <f t="shared" si="2"/>
        <v>16891100</v>
      </c>
      <c r="W12" s="835">
        <f t="shared" si="3"/>
        <v>0</v>
      </c>
      <c r="X12" s="835">
        <f t="shared" si="3"/>
        <v>6337600</v>
      </c>
      <c r="Y12" s="1000"/>
      <c r="Z12" s="835">
        <f t="shared" si="4"/>
        <v>0</v>
      </c>
      <c r="AA12" s="835">
        <f t="shared" si="4"/>
        <v>0</v>
      </c>
      <c r="AB12" s="835">
        <f t="shared" si="4"/>
        <v>0</v>
      </c>
      <c r="AC12" s="1003"/>
    </row>
    <row r="13" spans="1:29" ht="58.5" customHeight="1" x14ac:dyDescent="0.2">
      <c r="A13" s="618" t="s">
        <v>580</v>
      </c>
      <c r="B13" s="619" t="s">
        <v>729</v>
      </c>
      <c r="C13" s="620">
        <v>130</v>
      </c>
      <c r="D13" s="620">
        <v>131</v>
      </c>
      <c r="E13" s="596">
        <f t="shared" si="0"/>
        <v>926500</v>
      </c>
      <c r="F13" s="595">
        <f>'Прилож 4 24 (7)'!V13</f>
        <v>0</v>
      </c>
      <c r="G13" s="595">
        <f>'Прилож 4 24 (7)'!W13</f>
        <v>0</v>
      </c>
      <c r="H13" s="595">
        <f>'Прилож 4 24 (7)'!X13</f>
        <v>926500</v>
      </c>
      <c r="I13" s="621"/>
      <c r="J13" s="595">
        <f>'Прилож 4 24 (7)'!Z13</f>
        <v>0</v>
      </c>
      <c r="K13" s="595">
        <f>'Прилож 4 24 (7)'!AA13</f>
        <v>0</v>
      </c>
      <c r="L13" s="595">
        <f>'Прилож 4 24 (7)'!AB13</f>
        <v>0</v>
      </c>
      <c r="M13" s="596">
        <f t="shared" si="1"/>
        <v>0</v>
      </c>
      <c r="N13" s="595"/>
      <c r="O13" s="595"/>
      <c r="P13" s="595"/>
      <c r="Q13" s="621"/>
      <c r="R13" s="595"/>
      <c r="S13" s="595"/>
      <c r="T13" s="595"/>
      <c r="U13" s="999">
        <f t="shared" si="5"/>
        <v>926500</v>
      </c>
      <c r="V13" s="835">
        <f t="shared" si="2"/>
        <v>0</v>
      </c>
      <c r="W13" s="835">
        <f t="shared" si="3"/>
        <v>0</v>
      </c>
      <c r="X13" s="835">
        <f t="shared" si="3"/>
        <v>926500</v>
      </c>
      <c r="Y13" s="1000"/>
      <c r="Z13" s="835">
        <f t="shared" si="4"/>
        <v>0</v>
      </c>
      <c r="AA13" s="835">
        <f t="shared" si="4"/>
        <v>0</v>
      </c>
      <c r="AB13" s="835">
        <f t="shared" si="4"/>
        <v>0</v>
      </c>
      <c r="AC13" s="1003"/>
    </row>
    <row r="14" spans="1:29" ht="98.25" customHeight="1" x14ac:dyDescent="0.2">
      <c r="A14" s="618" t="s">
        <v>728</v>
      </c>
      <c r="B14" s="619" t="s">
        <v>729</v>
      </c>
      <c r="C14" s="620">
        <v>130</v>
      </c>
      <c r="D14" s="620">
        <v>131</v>
      </c>
      <c r="E14" s="596">
        <f t="shared" si="0"/>
        <v>29472976</v>
      </c>
      <c r="F14" s="595">
        <f>'Прилож 4 24 (7)'!V14</f>
        <v>24547930</v>
      </c>
      <c r="G14" s="595">
        <f>'Прилож 4 24 (7)'!W14</f>
        <v>1304180</v>
      </c>
      <c r="H14" s="595">
        <f>'Прилож 4 24 (7)'!X14</f>
        <v>3620866</v>
      </c>
      <c r="I14" s="621"/>
      <c r="J14" s="595">
        <f>'Прилож 4 24 (7)'!Z14</f>
        <v>0</v>
      </c>
      <c r="K14" s="595">
        <f>'Прилож 4 24 (7)'!AA14</f>
        <v>0</v>
      </c>
      <c r="L14" s="595">
        <f>'Прилож 4 24 (7)'!AB14</f>
        <v>0</v>
      </c>
      <c r="M14" s="596">
        <f t="shared" si="1"/>
        <v>748160</v>
      </c>
      <c r="N14" s="835"/>
      <c r="O14" s="595">
        <v>748160</v>
      </c>
      <c r="P14" s="595"/>
      <c r="Q14" s="621"/>
      <c r="R14" s="595"/>
      <c r="S14" s="595"/>
      <c r="T14" s="595"/>
      <c r="U14" s="999">
        <f t="shared" si="5"/>
        <v>30221136</v>
      </c>
      <c r="V14" s="835">
        <f t="shared" si="2"/>
        <v>24547930</v>
      </c>
      <c r="W14" s="835">
        <f t="shared" si="3"/>
        <v>2052340</v>
      </c>
      <c r="X14" s="835">
        <f t="shared" si="3"/>
        <v>3620866</v>
      </c>
      <c r="Y14" s="1000"/>
      <c r="Z14" s="835">
        <f t="shared" si="4"/>
        <v>0</v>
      </c>
      <c r="AA14" s="835">
        <f t="shared" si="4"/>
        <v>0</v>
      </c>
      <c r="AB14" s="835">
        <f t="shared" si="4"/>
        <v>0</v>
      </c>
      <c r="AC14" s="1003" t="s">
        <v>1488</v>
      </c>
    </row>
    <row r="15" spans="1:29" ht="96" customHeight="1" x14ac:dyDescent="0.2">
      <c r="A15" s="618" t="s">
        <v>945</v>
      </c>
      <c r="B15" s="619" t="s">
        <v>729</v>
      </c>
      <c r="C15" s="620">
        <v>130</v>
      </c>
      <c r="D15" s="620">
        <v>131</v>
      </c>
      <c r="E15" s="596">
        <f t="shared" si="0"/>
        <v>354251.13</v>
      </c>
      <c r="F15" s="595">
        <f>'Прилож 4 24 (7)'!V15</f>
        <v>116903.03999999999</v>
      </c>
      <c r="G15" s="595">
        <f>'Прилож 4 24 (7)'!W15</f>
        <v>237348.09</v>
      </c>
      <c r="H15" s="595">
        <f>'Прилож 4 24 (7)'!X15</f>
        <v>0</v>
      </c>
      <c r="I15" s="621"/>
      <c r="J15" s="595">
        <f>'Прилож 4 24 (7)'!Z15</f>
        <v>0</v>
      </c>
      <c r="K15" s="595">
        <f>'Прилож 4 24 (7)'!AA15</f>
        <v>0</v>
      </c>
      <c r="L15" s="595">
        <f>'Прилож 4 24 (7)'!AB15</f>
        <v>0</v>
      </c>
      <c r="M15" s="596">
        <f t="shared" si="1"/>
        <v>0</v>
      </c>
      <c r="N15" s="595"/>
      <c r="O15" s="595"/>
      <c r="P15" s="595"/>
      <c r="Q15" s="621"/>
      <c r="R15" s="595"/>
      <c r="S15" s="595"/>
      <c r="T15" s="595"/>
      <c r="U15" s="999">
        <f t="shared" si="5"/>
        <v>354251.13</v>
      </c>
      <c r="V15" s="835">
        <f t="shared" si="2"/>
        <v>116903.03999999999</v>
      </c>
      <c r="W15" s="835">
        <f t="shared" si="3"/>
        <v>237348.09</v>
      </c>
      <c r="X15" s="835">
        <f t="shared" si="3"/>
        <v>0</v>
      </c>
      <c r="Y15" s="1000"/>
      <c r="Z15" s="835">
        <f t="shared" si="4"/>
        <v>0</v>
      </c>
      <c r="AA15" s="835">
        <f t="shared" si="4"/>
        <v>0</v>
      </c>
      <c r="AB15" s="835">
        <f t="shared" si="4"/>
        <v>0</v>
      </c>
      <c r="AC15" s="1003"/>
    </row>
    <row r="16" spans="1:29" ht="45.75" customHeight="1" x14ac:dyDescent="0.2">
      <c r="A16" s="994" t="s">
        <v>582</v>
      </c>
      <c r="B16" s="995" t="s">
        <v>691</v>
      </c>
      <c r="C16" s="996">
        <v>130</v>
      </c>
      <c r="D16" s="996">
        <v>131</v>
      </c>
      <c r="E16" s="596">
        <f t="shared" si="0"/>
        <v>352345.7</v>
      </c>
      <c r="F16" s="595">
        <f>'Прилож 4 24 (7)'!V16</f>
        <v>32288.77</v>
      </c>
      <c r="G16" s="595">
        <f>'Прилож 4 24 (7)'!W16</f>
        <v>0</v>
      </c>
      <c r="H16" s="595">
        <f>'Прилож 4 24 (7)'!X16</f>
        <v>320056.93</v>
      </c>
      <c r="I16" s="993"/>
      <c r="J16" s="595">
        <f>'Прилож 4 24 (7)'!Z16</f>
        <v>0</v>
      </c>
      <c r="K16" s="595">
        <f>'Прилож 4 24 (7)'!AA16</f>
        <v>0</v>
      </c>
      <c r="L16" s="595">
        <f>'Прилож 4 24 (7)'!AB16</f>
        <v>0</v>
      </c>
      <c r="M16" s="991">
        <f t="shared" si="1"/>
        <v>0</v>
      </c>
      <c r="N16" s="992"/>
      <c r="O16" s="992"/>
      <c r="P16" s="992"/>
      <c r="R16" s="992"/>
      <c r="S16" s="992"/>
      <c r="T16" s="595"/>
      <c r="U16" s="999">
        <f t="shared" si="5"/>
        <v>352345.7</v>
      </c>
      <c r="V16" s="835">
        <f t="shared" si="2"/>
        <v>32288.77</v>
      </c>
      <c r="W16" s="835">
        <f t="shared" si="3"/>
        <v>0</v>
      </c>
      <c r="X16" s="835">
        <f t="shared" si="3"/>
        <v>320056.93</v>
      </c>
      <c r="Y16" s="1000"/>
      <c r="Z16" s="835">
        <f t="shared" si="4"/>
        <v>0</v>
      </c>
      <c r="AA16" s="835">
        <f t="shared" si="4"/>
        <v>0</v>
      </c>
      <c r="AB16" s="835">
        <f t="shared" si="4"/>
        <v>0</v>
      </c>
      <c r="AC16" s="1002"/>
    </row>
    <row r="17" spans="1:32" ht="46.5" customHeight="1" x14ac:dyDescent="0.2">
      <c r="A17" s="618" t="s">
        <v>283</v>
      </c>
      <c r="B17" s="619" t="s">
        <v>729</v>
      </c>
      <c r="C17" s="620">
        <v>130</v>
      </c>
      <c r="D17" s="620">
        <v>131</v>
      </c>
      <c r="E17" s="596">
        <f t="shared" si="0"/>
        <v>80080</v>
      </c>
      <c r="F17" s="595">
        <f>'Прилож 4 24 (7)'!V17</f>
        <v>0</v>
      </c>
      <c r="G17" s="595">
        <f>'Прилож 4 24 (7)'!W17</f>
        <v>0</v>
      </c>
      <c r="H17" s="595">
        <f>'Прилож 4 24 (7)'!X17</f>
        <v>0</v>
      </c>
      <c r="I17" s="621"/>
      <c r="J17" s="595">
        <f>'Прилож 4 24 (7)'!Z17</f>
        <v>0</v>
      </c>
      <c r="K17" s="595">
        <f>'Прилож 4 24 (7)'!AA17</f>
        <v>0</v>
      </c>
      <c r="L17" s="595">
        <f>'Прилож 4 24 (7)'!AB17</f>
        <v>80080</v>
      </c>
      <c r="M17" s="596">
        <f t="shared" si="1"/>
        <v>0</v>
      </c>
      <c r="N17" s="595"/>
      <c r="O17" s="595"/>
      <c r="P17" s="595"/>
      <c r="Q17" s="621"/>
      <c r="R17" s="595"/>
      <c r="S17" s="595"/>
      <c r="T17" s="595"/>
      <c r="U17" s="999">
        <f t="shared" si="5"/>
        <v>80080</v>
      </c>
      <c r="V17" s="835">
        <f t="shared" si="2"/>
        <v>0</v>
      </c>
      <c r="W17" s="835">
        <f t="shared" si="3"/>
        <v>0</v>
      </c>
      <c r="X17" s="835">
        <f t="shared" si="3"/>
        <v>0</v>
      </c>
      <c r="Y17" s="1000"/>
      <c r="Z17" s="835">
        <f t="shared" si="4"/>
        <v>0</v>
      </c>
      <c r="AA17" s="835">
        <f t="shared" si="4"/>
        <v>0</v>
      </c>
      <c r="AB17" s="835">
        <f t="shared" si="4"/>
        <v>80080</v>
      </c>
      <c r="AC17" s="1003"/>
    </row>
    <row r="18" spans="1:32" ht="48" customHeight="1" x14ac:dyDescent="0.2">
      <c r="A18" s="618" t="s">
        <v>282</v>
      </c>
      <c r="B18" s="619" t="s">
        <v>729</v>
      </c>
      <c r="C18" s="620">
        <v>130</v>
      </c>
      <c r="D18" s="620">
        <v>134</v>
      </c>
      <c r="E18" s="596">
        <f t="shared" si="0"/>
        <v>1214568.26</v>
      </c>
      <c r="F18" s="595">
        <f>'Прилож 4 24 (7)'!V18</f>
        <v>0</v>
      </c>
      <c r="G18" s="595">
        <f>'Прилож 4 24 (7)'!W18</f>
        <v>0</v>
      </c>
      <c r="H18" s="595">
        <f>'Прилож 4 24 (7)'!X18</f>
        <v>0</v>
      </c>
      <c r="I18" s="621"/>
      <c r="J18" s="595">
        <f>'Прилож 4 24 (7)'!Z18</f>
        <v>0</v>
      </c>
      <c r="K18" s="595">
        <f>'Прилож 4 24 (7)'!AA18</f>
        <v>0</v>
      </c>
      <c r="L18" s="595">
        <f>'Прилож 4 24 (7)'!AB18</f>
        <v>1214568.26</v>
      </c>
      <c r="M18" s="596"/>
      <c r="N18" s="595"/>
      <c r="O18" s="595"/>
      <c r="P18" s="595"/>
      <c r="Q18" s="621"/>
      <c r="R18" s="595"/>
      <c r="S18" s="595"/>
      <c r="T18" s="595"/>
      <c r="U18" s="999">
        <f t="shared" si="5"/>
        <v>1214568.26</v>
      </c>
      <c r="V18" s="835">
        <f t="shared" si="2"/>
        <v>0</v>
      </c>
      <c r="W18" s="835">
        <f t="shared" si="3"/>
        <v>0</v>
      </c>
      <c r="X18" s="835">
        <f t="shared" si="3"/>
        <v>0</v>
      </c>
      <c r="Y18" s="1000"/>
      <c r="Z18" s="835">
        <f t="shared" si="4"/>
        <v>0</v>
      </c>
      <c r="AA18" s="835">
        <f t="shared" si="4"/>
        <v>0</v>
      </c>
      <c r="AB18" s="835">
        <f t="shared" si="4"/>
        <v>1214568.26</v>
      </c>
      <c r="AC18" s="1003"/>
    </row>
    <row r="19" spans="1:32" ht="45.75" customHeight="1" x14ac:dyDescent="0.2">
      <c r="A19" s="1026" t="s">
        <v>273</v>
      </c>
      <c r="B19" s="1027" t="s">
        <v>729</v>
      </c>
      <c r="C19" s="1028">
        <v>130</v>
      </c>
      <c r="D19" s="620">
        <v>121</v>
      </c>
      <c r="E19" s="596">
        <f t="shared" si="0"/>
        <v>14510.07</v>
      </c>
      <c r="F19" s="595">
        <f>'Прилож 4 24 (7)'!V19</f>
        <v>0</v>
      </c>
      <c r="G19" s="595">
        <f>'Прилож 4 24 (7)'!W19</f>
        <v>0</v>
      </c>
      <c r="H19" s="595">
        <f>'Прилож 4 24 (7)'!X19</f>
        <v>0</v>
      </c>
      <c r="I19" s="621"/>
      <c r="J19" s="595">
        <f>'Прилож 4 24 (7)'!Z19</f>
        <v>0</v>
      </c>
      <c r="K19" s="595">
        <f>'Прилож 4 24 (7)'!AA19</f>
        <v>0</v>
      </c>
      <c r="L19" s="595">
        <f>'Прилож 4 24 (7)'!AB19</f>
        <v>14510.07</v>
      </c>
      <c r="M19" s="596"/>
      <c r="N19" s="595"/>
      <c r="O19" s="595"/>
      <c r="P19" s="595"/>
      <c r="Q19" s="621"/>
      <c r="R19" s="595"/>
      <c r="S19" s="595"/>
      <c r="T19" s="595"/>
      <c r="U19" s="999">
        <f t="shared" si="5"/>
        <v>14510.07</v>
      </c>
      <c r="V19" s="835">
        <f t="shared" si="2"/>
        <v>0</v>
      </c>
      <c r="W19" s="835">
        <f t="shared" si="3"/>
        <v>0</v>
      </c>
      <c r="X19" s="835">
        <f t="shared" si="3"/>
        <v>0</v>
      </c>
      <c r="Y19" s="1000"/>
      <c r="Z19" s="835">
        <f t="shared" si="4"/>
        <v>0</v>
      </c>
      <c r="AA19" s="835">
        <f t="shared" si="4"/>
        <v>0</v>
      </c>
      <c r="AB19" s="835">
        <f t="shared" si="4"/>
        <v>14510.07</v>
      </c>
      <c r="AC19" s="1003"/>
    </row>
    <row r="20" spans="1:32" ht="31.5" x14ac:dyDescent="0.2">
      <c r="A20" s="618" t="s">
        <v>789</v>
      </c>
      <c r="B20" s="619" t="s">
        <v>747</v>
      </c>
      <c r="C20" s="620">
        <v>130</v>
      </c>
      <c r="D20" s="620">
        <v>131</v>
      </c>
      <c r="E20" s="596">
        <f t="shared" si="0"/>
        <v>1170130</v>
      </c>
      <c r="F20" s="595">
        <f>'Прилож 4 24 (7)'!V20</f>
        <v>0</v>
      </c>
      <c r="G20" s="595">
        <f>'Прилож 4 24 (7)'!W20</f>
        <v>0</v>
      </c>
      <c r="H20" s="595">
        <f>'Прилож 4 24 (7)'!X20</f>
        <v>0</v>
      </c>
      <c r="I20" s="621"/>
      <c r="J20" s="595">
        <f>'Прилож 4 24 (7)'!Z20</f>
        <v>0</v>
      </c>
      <c r="K20" s="595">
        <f>'Прилож 4 24 (7)'!AA20</f>
        <v>0</v>
      </c>
      <c r="L20" s="595">
        <f>'Прилож 4 24 (7)'!AB20</f>
        <v>1170130</v>
      </c>
      <c r="M20" s="596">
        <f t="shared" ref="M20:M27" si="6">N20+P20+R20+S20+T20+O20</f>
        <v>0</v>
      </c>
      <c r="N20" s="595"/>
      <c r="O20" s="595"/>
      <c r="P20" s="595"/>
      <c r="Q20" s="621"/>
      <c r="R20" s="595"/>
      <c r="S20" s="595"/>
      <c r="T20" s="595"/>
      <c r="U20" s="999">
        <f t="shared" si="5"/>
        <v>1170130</v>
      </c>
      <c r="V20" s="835">
        <f t="shared" si="2"/>
        <v>0</v>
      </c>
      <c r="W20" s="835">
        <f t="shared" si="3"/>
        <v>0</v>
      </c>
      <c r="X20" s="835">
        <f t="shared" si="3"/>
        <v>0</v>
      </c>
      <c r="Y20" s="1000"/>
      <c r="Z20" s="835">
        <f t="shared" si="4"/>
        <v>0</v>
      </c>
      <c r="AA20" s="835">
        <f t="shared" si="4"/>
        <v>0</v>
      </c>
      <c r="AB20" s="835">
        <f t="shared" si="4"/>
        <v>1170130</v>
      </c>
      <c r="AC20" s="1003"/>
    </row>
    <row r="21" spans="1:32" ht="111.75" customHeight="1" x14ac:dyDescent="0.2">
      <c r="A21" s="618" t="s">
        <v>1237</v>
      </c>
      <c r="B21" s="619" t="s">
        <v>747</v>
      </c>
      <c r="C21" s="620">
        <v>150</v>
      </c>
      <c r="D21" s="620">
        <v>152</v>
      </c>
      <c r="E21" s="596">
        <f t="shared" si="0"/>
        <v>0</v>
      </c>
      <c r="F21" s="595">
        <f>'Прилож 4 24 (7)'!V21</f>
        <v>0</v>
      </c>
      <c r="G21" s="595">
        <f>'Прилож 4 24 (7)'!W21</f>
        <v>0</v>
      </c>
      <c r="H21" s="595">
        <f>'Прилож 4 24 (7)'!X21</f>
        <v>0</v>
      </c>
      <c r="I21" s="621"/>
      <c r="J21" s="595">
        <f>'Прилож 4 24 (7)'!Z21</f>
        <v>0</v>
      </c>
      <c r="K21" s="595">
        <f>'Прилож 4 24 (7)'!AA21</f>
        <v>0</v>
      </c>
      <c r="L21" s="595">
        <f>'Прилож 4 24 (7)'!AB21</f>
        <v>0</v>
      </c>
      <c r="M21" s="596">
        <f t="shared" si="6"/>
        <v>0</v>
      </c>
      <c r="N21" s="595"/>
      <c r="O21" s="595"/>
      <c r="P21" s="595"/>
      <c r="Q21" s="621"/>
      <c r="R21" s="595"/>
      <c r="S21" s="595"/>
      <c r="T21" s="595"/>
      <c r="U21" s="999">
        <f t="shared" si="5"/>
        <v>0</v>
      </c>
      <c r="V21" s="835">
        <f t="shared" si="2"/>
        <v>0</v>
      </c>
      <c r="W21" s="835">
        <f t="shared" si="3"/>
        <v>0</v>
      </c>
      <c r="X21" s="835">
        <f t="shared" si="3"/>
        <v>0</v>
      </c>
      <c r="Y21" s="1000"/>
      <c r="Z21" s="835">
        <f t="shared" si="4"/>
        <v>0</v>
      </c>
      <c r="AA21" s="835">
        <f t="shared" si="4"/>
        <v>0</v>
      </c>
      <c r="AB21" s="835">
        <f t="shared" si="4"/>
        <v>0</v>
      </c>
      <c r="AC21" s="1003"/>
    </row>
    <row r="22" spans="1:32" ht="111.75" customHeight="1" x14ac:dyDescent="0.2">
      <c r="A22" s="618" t="s">
        <v>1321</v>
      </c>
      <c r="B22" s="619" t="s">
        <v>729</v>
      </c>
      <c r="C22" s="620">
        <v>150</v>
      </c>
      <c r="D22" s="620">
        <v>152</v>
      </c>
      <c r="E22" s="596">
        <f t="shared" si="0"/>
        <v>216466</v>
      </c>
      <c r="F22" s="595">
        <f>'Прилож 4 24 (7)'!V22</f>
        <v>0</v>
      </c>
      <c r="G22" s="595">
        <f>'Прилож 4 24 (7)'!W22</f>
        <v>0</v>
      </c>
      <c r="H22" s="595">
        <f>'Прилож 4 24 (7)'!X22</f>
        <v>0</v>
      </c>
      <c r="I22" s="621" t="s">
        <v>1226</v>
      </c>
      <c r="J22" s="595">
        <f>'Прилож 4 24 (7)'!Z22</f>
        <v>0</v>
      </c>
      <c r="K22" s="595">
        <f>'Прилож 4 24 (7)'!AA22</f>
        <v>216466</v>
      </c>
      <c r="L22" s="595">
        <f>'Прилож 4 24 (7)'!AB22</f>
        <v>0</v>
      </c>
      <c r="M22" s="596">
        <f t="shared" si="6"/>
        <v>0</v>
      </c>
      <c r="N22" s="595"/>
      <c r="O22" s="595"/>
      <c r="P22" s="595"/>
      <c r="Q22" s="621"/>
      <c r="R22" s="595"/>
      <c r="S22" s="595"/>
      <c r="T22" s="595"/>
      <c r="U22" s="999">
        <f t="shared" si="5"/>
        <v>216466</v>
      </c>
      <c r="V22" s="835">
        <f t="shared" si="2"/>
        <v>0</v>
      </c>
      <c r="W22" s="835">
        <f t="shared" si="3"/>
        <v>0</v>
      </c>
      <c r="X22" s="835">
        <f t="shared" si="3"/>
        <v>0</v>
      </c>
      <c r="Y22" s="1000" t="s">
        <v>1226</v>
      </c>
      <c r="Z22" s="835">
        <f t="shared" si="4"/>
        <v>0</v>
      </c>
      <c r="AA22" s="835">
        <f t="shared" si="4"/>
        <v>216466</v>
      </c>
      <c r="AB22" s="835">
        <f t="shared" si="4"/>
        <v>0</v>
      </c>
      <c r="AC22" s="1003"/>
    </row>
    <row r="23" spans="1:32" ht="99" customHeight="1" x14ac:dyDescent="0.2">
      <c r="A23" s="618" t="s">
        <v>297</v>
      </c>
      <c r="B23" s="619" t="s">
        <v>729</v>
      </c>
      <c r="C23" s="620">
        <v>150</v>
      </c>
      <c r="D23" s="620">
        <v>152</v>
      </c>
      <c r="E23" s="596">
        <f t="shared" si="0"/>
        <v>6254280.2499999991</v>
      </c>
      <c r="F23" s="595">
        <f>'Прилож 4 24 (7)'!V23</f>
        <v>0</v>
      </c>
      <c r="G23" s="595">
        <f>'Прилож 4 24 (7)'!W23</f>
        <v>0</v>
      </c>
      <c r="H23" s="595">
        <f>'Прилож 4 24 (7)'!X23</f>
        <v>0</v>
      </c>
      <c r="I23" s="621" t="s">
        <v>1314</v>
      </c>
      <c r="J23" s="595">
        <f>'Прилож 4 24 (7)'!Z23</f>
        <v>0</v>
      </c>
      <c r="K23" s="595">
        <f>'Прилож 4 24 (7)'!AA23</f>
        <v>6254280.2499999991</v>
      </c>
      <c r="L23" s="595">
        <f>'Прилож 4 24 (7)'!AB23</f>
        <v>0</v>
      </c>
      <c r="M23" s="596">
        <f t="shared" si="6"/>
        <v>0</v>
      </c>
      <c r="N23" s="595"/>
      <c r="O23" s="595"/>
      <c r="P23" s="595"/>
      <c r="Q23" s="621"/>
      <c r="R23" s="595"/>
      <c r="S23" s="595"/>
      <c r="T23" s="595"/>
      <c r="U23" s="999">
        <f t="shared" si="5"/>
        <v>6254280.2499999991</v>
      </c>
      <c r="V23" s="835">
        <f t="shared" si="2"/>
        <v>0</v>
      </c>
      <c r="W23" s="835">
        <f t="shared" si="3"/>
        <v>0</v>
      </c>
      <c r="X23" s="835">
        <f t="shared" si="3"/>
        <v>0</v>
      </c>
      <c r="Y23" s="1000" t="s">
        <v>1314</v>
      </c>
      <c r="Z23" s="835">
        <f t="shared" si="4"/>
        <v>0</v>
      </c>
      <c r="AA23" s="835">
        <f t="shared" si="4"/>
        <v>6254280.2499999991</v>
      </c>
      <c r="AB23" s="835">
        <f t="shared" si="4"/>
        <v>0</v>
      </c>
      <c r="AC23" s="1003"/>
    </row>
    <row r="24" spans="1:32" ht="111.75" customHeight="1" x14ac:dyDescent="0.2">
      <c r="A24" s="618" t="s">
        <v>1253</v>
      </c>
      <c r="B24" s="619" t="s">
        <v>747</v>
      </c>
      <c r="C24" s="620">
        <v>150</v>
      </c>
      <c r="D24" s="620">
        <v>152</v>
      </c>
      <c r="E24" s="596">
        <f t="shared" si="0"/>
        <v>1066891.6000000001</v>
      </c>
      <c r="F24" s="595">
        <f>'Прилож 4 24 (7)'!V24</f>
        <v>0</v>
      </c>
      <c r="G24" s="595">
        <f>'Прилож 4 24 (7)'!W24</f>
        <v>0</v>
      </c>
      <c r="H24" s="595">
        <f>'Прилож 4 24 (7)'!X24</f>
        <v>0</v>
      </c>
      <c r="I24" s="621" t="s">
        <v>1322</v>
      </c>
      <c r="J24" s="595">
        <f>'Прилож 4 24 (7)'!Z24</f>
        <v>0</v>
      </c>
      <c r="K24" s="595">
        <f>'Прилож 4 24 (7)'!AA24</f>
        <v>1066891.6000000001</v>
      </c>
      <c r="L24" s="595">
        <f>'Прилож 4 24 (7)'!AB24</f>
        <v>0</v>
      </c>
      <c r="M24" s="596">
        <f>N24+P24+S24+T24+O24</f>
        <v>-57173.539999999994</v>
      </c>
      <c r="N24" s="595"/>
      <c r="O24" s="595"/>
      <c r="P24" s="595"/>
      <c r="Q24" s="1045">
        <v>963324045</v>
      </c>
      <c r="S24" s="595">
        <f>-93299.2+36125.66</f>
        <v>-57173.539999999994</v>
      </c>
      <c r="T24" s="595"/>
      <c r="U24" s="999">
        <f t="shared" si="5"/>
        <v>1009718.06</v>
      </c>
      <c r="V24" s="835">
        <f t="shared" si="2"/>
        <v>0</v>
      </c>
      <c r="W24" s="835">
        <f t="shared" si="3"/>
        <v>0</v>
      </c>
      <c r="X24" s="835">
        <f t="shared" si="3"/>
        <v>0</v>
      </c>
      <c r="Y24" s="1000" t="s">
        <v>1322</v>
      </c>
      <c r="Z24" s="1045"/>
      <c r="AA24" s="835">
        <f t="shared" si="4"/>
        <v>1009718.06</v>
      </c>
      <c r="AB24" s="835">
        <f t="shared" si="4"/>
        <v>0</v>
      </c>
      <c r="AC24" s="1003" t="s">
        <v>1489</v>
      </c>
    </row>
    <row r="25" spans="1:32" ht="32.25" customHeight="1" x14ac:dyDescent="0.2">
      <c r="A25" s="618" t="s">
        <v>581</v>
      </c>
      <c r="B25" s="619" t="s">
        <v>64</v>
      </c>
      <c r="C25" s="620">
        <v>150</v>
      </c>
      <c r="D25" s="620">
        <v>152</v>
      </c>
      <c r="E25" s="596">
        <f t="shared" si="0"/>
        <v>87037.3</v>
      </c>
      <c r="F25" s="595">
        <f>'Прилож 4 24 (7)'!V25</f>
        <v>0</v>
      </c>
      <c r="G25" s="595">
        <f>'Прилож 4 24 (7)'!W25</f>
        <v>0</v>
      </c>
      <c r="H25" s="595">
        <f>'Прилож 4 24 (7)'!X25</f>
        <v>0</v>
      </c>
      <c r="I25" s="621" t="s">
        <v>1235</v>
      </c>
      <c r="J25" s="595">
        <f>'Прилож 4 24 (7)'!Z25</f>
        <v>0</v>
      </c>
      <c r="K25" s="595">
        <f>'Прилож 4 24 (7)'!AA25</f>
        <v>87037.3</v>
      </c>
      <c r="L25" s="595">
        <f>'Прилож 4 24 (7)'!AB25</f>
        <v>0</v>
      </c>
      <c r="M25" s="596">
        <f t="shared" si="6"/>
        <v>0</v>
      </c>
      <c r="N25" s="595"/>
      <c r="O25" s="595"/>
      <c r="P25" s="595"/>
      <c r="Q25" s="621"/>
      <c r="R25" s="595"/>
      <c r="S25" s="595"/>
      <c r="T25" s="595"/>
      <c r="U25" s="999">
        <f t="shared" si="5"/>
        <v>87037.3</v>
      </c>
      <c r="V25" s="835">
        <f t="shared" si="2"/>
        <v>0</v>
      </c>
      <c r="W25" s="835">
        <f t="shared" si="3"/>
        <v>0</v>
      </c>
      <c r="X25" s="835">
        <f t="shared" si="3"/>
        <v>0</v>
      </c>
      <c r="Y25" s="1000" t="s">
        <v>1235</v>
      </c>
      <c r="Z25" s="835">
        <f>R25+J25</f>
        <v>0</v>
      </c>
      <c r="AA25" s="835">
        <f t="shared" si="4"/>
        <v>87037.3</v>
      </c>
      <c r="AB25" s="835">
        <f t="shared" si="4"/>
        <v>0</v>
      </c>
      <c r="AC25" s="1003"/>
    </row>
    <row r="26" spans="1:32" ht="77.25" customHeight="1" x14ac:dyDescent="0.2">
      <c r="A26" s="618" t="s">
        <v>790</v>
      </c>
      <c r="B26" s="619" t="s">
        <v>791</v>
      </c>
      <c r="C26" s="620">
        <v>130</v>
      </c>
      <c r="D26" s="620">
        <v>131</v>
      </c>
      <c r="E26" s="596">
        <f t="shared" si="0"/>
        <v>600000</v>
      </c>
      <c r="F26" s="595">
        <f>'Прилож 4 24 (7)'!V26</f>
        <v>600000</v>
      </c>
      <c r="G26" s="595">
        <f>'Прилож 4 24 (7)'!W26</f>
        <v>0</v>
      </c>
      <c r="H26" s="595">
        <f>'Прилож 4 24 (7)'!X26</f>
        <v>0</v>
      </c>
      <c r="I26" s="621"/>
      <c r="J26" s="595">
        <f>'Прилож 4 24 (7)'!Z26</f>
        <v>0</v>
      </c>
      <c r="K26" s="595">
        <f>'Прилож 4 24 (7)'!AA26</f>
        <v>0</v>
      </c>
      <c r="L26" s="595">
        <f>'Прилож 4 24 (7)'!AB26</f>
        <v>0</v>
      </c>
      <c r="M26" s="596">
        <f t="shared" si="6"/>
        <v>0</v>
      </c>
      <c r="N26" s="595"/>
      <c r="O26" s="595"/>
      <c r="P26" s="595"/>
      <c r="Q26" s="621"/>
      <c r="R26" s="595"/>
      <c r="S26" s="595"/>
      <c r="T26" s="595"/>
      <c r="U26" s="999">
        <f t="shared" si="5"/>
        <v>600000</v>
      </c>
      <c r="V26" s="835">
        <f t="shared" si="2"/>
        <v>600000</v>
      </c>
      <c r="W26" s="835">
        <f t="shared" si="3"/>
        <v>0</v>
      </c>
      <c r="X26" s="835">
        <f t="shared" si="3"/>
        <v>0</v>
      </c>
      <c r="Y26" s="1000"/>
      <c r="Z26" s="835">
        <f>R26+J26</f>
        <v>0</v>
      </c>
      <c r="AA26" s="835">
        <f t="shared" si="4"/>
        <v>0</v>
      </c>
      <c r="AB26" s="835">
        <f t="shared" si="4"/>
        <v>0</v>
      </c>
      <c r="AC26" s="1003"/>
    </row>
    <row r="27" spans="1:32" ht="62.25" customHeight="1" x14ac:dyDescent="0.2">
      <c r="A27" s="618" t="s">
        <v>1236</v>
      </c>
      <c r="B27" s="619" t="s">
        <v>729</v>
      </c>
      <c r="C27" s="620">
        <v>150</v>
      </c>
      <c r="D27" s="620">
        <v>152</v>
      </c>
      <c r="E27" s="596">
        <f t="shared" si="0"/>
        <v>0</v>
      </c>
      <c r="F27" s="595">
        <f>'Прилож 4 24 (7)'!V27</f>
        <v>0</v>
      </c>
      <c r="G27" s="595">
        <f>'Прилож 4 24 (7)'!W27</f>
        <v>0</v>
      </c>
      <c r="H27" s="595">
        <f>'Прилож 4 24 (7)'!X27</f>
        <v>0</v>
      </c>
      <c r="I27" s="621"/>
      <c r="J27" s="595">
        <f>'Прилож 4 24 (7)'!Z27</f>
        <v>0</v>
      </c>
      <c r="K27" s="595">
        <f>'Прилож 4 24 (7)'!AA27</f>
        <v>0</v>
      </c>
      <c r="L27" s="595">
        <f>'Прилож 4 24 (7)'!AB27</f>
        <v>0</v>
      </c>
      <c r="M27" s="596">
        <f t="shared" si="6"/>
        <v>0</v>
      </c>
      <c r="N27" s="595"/>
      <c r="O27" s="595"/>
      <c r="P27" s="595"/>
      <c r="Q27" s="623"/>
      <c r="R27" s="595"/>
      <c r="S27" s="595"/>
      <c r="T27" s="595"/>
      <c r="U27" s="999">
        <f t="shared" si="5"/>
        <v>0</v>
      </c>
      <c r="V27" s="835">
        <f t="shared" si="2"/>
        <v>0</v>
      </c>
      <c r="W27" s="835">
        <f t="shared" si="3"/>
        <v>0</v>
      </c>
      <c r="X27" s="835">
        <f t="shared" si="3"/>
        <v>0</v>
      </c>
      <c r="Y27" s="1000"/>
      <c r="Z27" s="835">
        <f>R27+J27</f>
        <v>0</v>
      </c>
      <c r="AA27" s="835">
        <f t="shared" ref="AA27:AB27" si="7">S27+K27</f>
        <v>0</v>
      </c>
      <c r="AB27" s="835">
        <f t="shared" si="7"/>
        <v>0</v>
      </c>
      <c r="AC27" s="1003"/>
    </row>
    <row r="28" spans="1:32" ht="93" customHeight="1" x14ac:dyDescent="0.2">
      <c r="A28" s="618" t="s">
        <v>1437</v>
      </c>
      <c r="B28" s="619" t="s">
        <v>691</v>
      </c>
      <c r="C28" s="620">
        <v>150</v>
      </c>
      <c r="D28" s="620">
        <v>152</v>
      </c>
      <c r="E28" s="596">
        <f t="shared" si="0"/>
        <v>31611</v>
      </c>
      <c r="F28" s="595">
        <f>'Прилож 4 24 (7)'!V28</f>
        <v>0</v>
      </c>
      <c r="G28" s="595">
        <f>'Прилож 4 24 (7)'!W28</f>
        <v>0</v>
      </c>
      <c r="H28" s="595">
        <f>'Прилож 4 24 (7)'!X28</f>
        <v>0</v>
      </c>
      <c r="I28" s="1020" t="s">
        <v>1440</v>
      </c>
      <c r="J28" s="595">
        <f>'Прилож 4 24 (7)'!Z28</f>
        <v>0</v>
      </c>
      <c r="K28" s="595">
        <f>'Прилож 4 24 (7)'!AA28</f>
        <v>31611</v>
      </c>
      <c r="L28" s="595">
        <f>'Прилож 4 24 (7)'!AB28</f>
        <v>0</v>
      </c>
      <c r="M28" s="596">
        <f>N28+O28+P28+R28+S28+T28</f>
        <v>0</v>
      </c>
      <c r="N28" s="595"/>
      <c r="O28" s="595"/>
      <c r="P28" s="595"/>
      <c r="Q28" s="993"/>
      <c r="R28" s="595"/>
      <c r="S28" s="595"/>
      <c r="T28" s="595"/>
      <c r="U28" s="876">
        <f t="shared" si="5"/>
        <v>31611</v>
      </c>
      <c r="V28" s="835"/>
      <c r="W28" s="835"/>
      <c r="X28" s="835"/>
      <c r="Y28" s="877" t="s">
        <v>1440</v>
      </c>
      <c r="Z28" s="835"/>
      <c r="AA28" s="835">
        <v>31611</v>
      </c>
      <c r="AB28" s="835"/>
      <c r="AC28" s="1003"/>
    </row>
    <row r="29" spans="1:32" ht="54" customHeight="1" x14ac:dyDescent="0.2">
      <c r="A29" s="618" t="s">
        <v>284</v>
      </c>
      <c r="B29" s="619" t="s">
        <v>691</v>
      </c>
      <c r="C29" s="620">
        <v>130</v>
      </c>
      <c r="D29" s="620">
        <v>134</v>
      </c>
      <c r="E29" s="596">
        <f t="shared" si="0"/>
        <v>1426.95</v>
      </c>
      <c r="F29" s="595">
        <f>'Прилож 4 24 (7)'!V29</f>
        <v>0</v>
      </c>
      <c r="G29" s="595">
        <f>'Прилож 4 24 (7)'!W29</f>
        <v>0</v>
      </c>
      <c r="H29" s="595">
        <f>'Прилож 4 24 (7)'!X29</f>
        <v>0</v>
      </c>
      <c r="I29" s="621"/>
      <c r="J29" s="595">
        <f>'Прилож 4 24 (7)'!Z29</f>
        <v>0</v>
      </c>
      <c r="K29" s="595">
        <f>'Прилож 4 24 (7)'!AA29</f>
        <v>0</v>
      </c>
      <c r="L29" s="595">
        <f>'Прилож 4 24 (7)'!AB29</f>
        <v>1426.95</v>
      </c>
      <c r="M29" s="876"/>
      <c r="N29" s="875"/>
      <c r="O29" s="875"/>
      <c r="P29" s="875"/>
      <c r="Q29" s="877"/>
      <c r="R29" s="875"/>
      <c r="S29" s="875"/>
      <c r="T29" s="875"/>
      <c r="U29" s="876">
        <f t="shared" si="5"/>
        <v>1426.95</v>
      </c>
      <c r="V29" s="875">
        <f t="shared" ref="V29:V92" si="8">F29+N29</f>
        <v>0</v>
      </c>
      <c r="W29" s="875">
        <f t="shared" ref="W29:X60" si="9">O29+G29</f>
        <v>0</v>
      </c>
      <c r="X29" s="875">
        <f t="shared" si="9"/>
        <v>0</v>
      </c>
      <c r="Y29" s="877"/>
      <c r="Z29" s="875">
        <f t="shared" ref="Z29:AB60" si="10">R29+J29</f>
        <v>0</v>
      </c>
      <c r="AA29" s="875">
        <f t="shared" si="10"/>
        <v>0</v>
      </c>
      <c r="AB29" s="875">
        <f t="shared" si="10"/>
        <v>1426.95</v>
      </c>
      <c r="AC29" s="878"/>
    </row>
    <row r="30" spans="1:32" s="614" customFormat="1" ht="38.25" customHeight="1" x14ac:dyDescent="0.2">
      <c r="A30" s="624" t="s">
        <v>730</v>
      </c>
      <c r="B30" s="596">
        <f>SUM(B12:B29)</f>
        <v>0</v>
      </c>
      <c r="C30" s="596"/>
      <c r="D30" s="596"/>
      <c r="E30" s="596">
        <f t="shared" si="0"/>
        <v>65071774.260000005</v>
      </c>
      <c r="F30" s="595">
        <f>'Прилож 4 24 (7)'!V30</f>
        <v>42188221.810000002</v>
      </c>
      <c r="G30" s="595">
        <f>'Прилож 4 24 (7)'!W30</f>
        <v>1541528.09</v>
      </c>
      <c r="H30" s="595">
        <f>'Прилож 4 24 (7)'!X30</f>
        <v>11205022.93</v>
      </c>
      <c r="I30" s="596">
        <f>SUM(I12:I29)</f>
        <v>0</v>
      </c>
      <c r="J30" s="595">
        <f>'Прилож 4 24 (7)'!Z30</f>
        <v>0</v>
      </c>
      <c r="K30" s="595">
        <f>'Прилож 4 24 (7)'!AA30</f>
        <v>7656286.1499999994</v>
      </c>
      <c r="L30" s="595">
        <f>'Прилож 4 24 (7)'!AB30</f>
        <v>2480715.2800000003</v>
      </c>
      <c r="M30" s="876">
        <f>SUM(M12:M29)</f>
        <v>690986.46</v>
      </c>
      <c r="N30" s="876">
        <f>SUM(N12:N29)</f>
        <v>0</v>
      </c>
      <c r="O30" s="876">
        <f>SUM(O12:O29)</f>
        <v>748160</v>
      </c>
      <c r="P30" s="876">
        <f>SUM(P12:P29)</f>
        <v>0</v>
      </c>
      <c r="Q30" s="876"/>
      <c r="R30" s="876">
        <f>SUM(R12:R29)</f>
        <v>0</v>
      </c>
      <c r="S30" s="876">
        <f>SUM(S12:S29)</f>
        <v>-57173.539999999994</v>
      </c>
      <c r="T30" s="876">
        <f>SUM(T12:T29)</f>
        <v>0</v>
      </c>
      <c r="U30" s="876">
        <f t="shared" ref="U30:U48" si="11">E30+M30</f>
        <v>65762760.720000006</v>
      </c>
      <c r="V30" s="875">
        <f t="shared" si="8"/>
        <v>42188221.810000002</v>
      </c>
      <c r="W30" s="875">
        <f t="shared" si="9"/>
        <v>2289688.09</v>
      </c>
      <c r="X30" s="875">
        <f t="shared" si="9"/>
        <v>11205022.93</v>
      </c>
      <c r="Y30" s="876">
        <f>SUM(Y12:Y29)</f>
        <v>0</v>
      </c>
      <c r="Z30" s="875">
        <f t="shared" si="10"/>
        <v>0</v>
      </c>
      <c r="AA30" s="875">
        <f t="shared" si="10"/>
        <v>7599112.6099999994</v>
      </c>
      <c r="AB30" s="875">
        <f t="shared" si="10"/>
        <v>2480715.2800000003</v>
      </c>
      <c r="AC30" s="879"/>
      <c r="AD30" s="818">
        <f>V30+W30+X30</f>
        <v>55682932.830000006</v>
      </c>
    </row>
    <row r="31" spans="1:32" ht="47.25" x14ac:dyDescent="0.2">
      <c r="A31" s="620" t="s">
        <v>731</v>
      </c>
      <c r="B31" s="619" t="s">
        <v>747</v>
      </c>
      <c r="C31" s="620">
        <v>111</v>
      </c>
      <c r="D31" s="620">
        <v>211</v>
      </c>
      <c r="E31" s="596">
        <f t="shared" si="0"/>
        <v>13902087.85</v>
      </c>
      <c r="F31" s="595">
        <f>'Прилож 4 24 (7)'!V31</f>
        <v>11657879.389999999</v>
      </c>
      <c r="G31" s="595">
        <f>'Прилож 4 24 (7)'!W31</f>
        <v>0</v>
      </c>
      <c r="H31" s="595">
        <f>'Прилож 4 24 (7)'!X31</f>
        <v>2244208.4600000004</v>
      </c>
      <c r="I31" s="621"/>
      <c r="J31" s="595">
        <f>'Прилож 4 24 (7)'!Z31</f>
        <v>0</v>
      </c>
      <c r="K31" s="595">
        <f>'Прилож 4 24 (7)'!AA31</f>
        <v>0</v>
      </c>
      <c r="L31" s="595">
        <f>'Прилож 4 24 (7)'!AB31</f>
        <v>0</v>
      </c>
      <c r="M31" s="876">
        <f t="shared" ref="M31:M41" si="12">N31+P31+R31+S31+T31+O31</f>
        <v>31918.44</v>
      </c>
      <c r="N31" s="875">
        <v>31918.44</v>
      </c>
      <c r="O31" s="875"/>
      <c r="P31" s="875"/>
      <c r="Q31" s="877"/>
      <c r="R31" s="875"/>
      <c r="S31" s="875"/>
      <c r="T31" s="875"/>
      <c r="U31" s="876">
        <f t="shared" si="11"/>
        <v>13934006.289999999</v>
      </c>
      <c r="V31" s="875">
        <f t="shared" si="8"/>
        <v>11689797.829999998</v>
      </c>
      <c r="W31" s="875">
        <f t="shared" si="9"/>
        <v>0</v>
      </c>
      <c r="X31" s="875">
        <f t="shared" si="9"/>
        <v>2244208.4600000004</v>
      </c>
      <c r="Y31" s="877"/>
      <c r="Z31" s="875">
        <f t="shared" si="10"/>
        <v>0</v>
      </c>
      <c r="AA31" s="875">
        <f t="shared" si="10"/>
        <v>0</v>
      </c>
      <c r="AB31" s="875">
        <f t="shared" si="10"/>
        <v>0</v>
      </c>
      <c r="AC31" s="878" t="s">
        <v>1490</v>
      </c>
      <c r="AD31" s="820"/>
      <c r="AF31" s="820">
        <f>X31+X32+X35</f>
        <v>3003367.0600000005</v>
      </c>
    </row>
    <row r="32" spans="1:32" ht="52.5" customHeight="1" x14ac:dyDescent="0.2">
      <c r="A32" s="620" t="s">
        <v>731</v>
      </c>
      <c r="B32" s="619" t="s">
        <v>729</v>
      </c>
      <c r="C32" s="620">
        <v>111</v>
      </c>
      <c r="D32" s="620">
        <v>211</v>
      </c>
      <c r="E32" s="596">
        <f t="shared" si="0"/>
        <v>19521296.150000002</v>
      </c>
      <c r="F32" s="595">
        <f>'Прилож 4 24 (7)'!V32</f>
        <v>17808021.800000001</v>
      </c>
      <c r="G32" s="595">
        <f>'Прилож 4 24 (7)'!W32</f>
        <v>1001674.35</v>
      </c>
      <c r="H32" s="595">
        <f>'Прилож 4 24 (7)'!X32</f>
        <v>711600</v>
      </c>
      <c r="I32" s="621"/>
      <c r="J32" s="595">
        <f>'Прилож 4 24 (7)'!Z32</f>
        <v>0</v>
      </c>
      <c r="K32" s="595">
        <f>'Прилож 4 24 (7)'!AA32</f>
        <v>0</v>
      </c>
      <c r="L32" s="595">
        <f>'Прилож 4 24 (7)'!AB32</f>
        <v>0</v>
      </c>
      <c r="M32" s="876">
        <f t="shared" si="12"/>
        <v>574623.66</v>
      </c>
      <c r="N32" s="875"/>
      <c r="O32" s="875">
        <v>574623.66</v>
      </c>
      <c r="P32" s="875"/>
      <c r="Q32" s="877"/>
      <c r="R32" s="875"/>
      <c r="S32" s="875"/>
      <c r="T32" s="875"/>
      <c r="U32" s="876">
        <f t="shared" si="11"/>
        <v>20095919.810000002</v>
      </c>
      <c r="V32" s="875">
        <f t="shared" si="8"/>
        <v>17808021.800000001</v>
      </c>
      <c r="W32" s="875">
        <f t="shared" si="9"/>
        <v>1576298.01</v>
      </c>
      <c r="X32" s="875">
        <f t="shared" si="9"/>
        <v>711600</v>
      </c>
      <c r="Y32" s="877"/>
      <c r="Z32" s="875">
        <f t="shared" si="10"/>
        <v>0</v>
      </c>
      <c r="AA32" s="875">
        <f t="shared" si="10"/>
        <v>0</v>
      </c>
      <c r="AB32" s="875">
        <f t="shared" si="10"/>
        <v>0</v>
      </c>
      <c r="AC32" s="879" t="s">
        <v>1488</v>
      </c>
      <c r="AD32" s="820"/>
    </row>
    <row r="33" spans="1:30" x14ac:dyDescent="0.2">
      <c r="A33" s="620" t="s">
        <v>943</v>
      </c>
      <c r="B33" s="619" t="s">
        <v>729</v>
      </c>
      <c r="C33" s="620">
        <v>111</v>
      </c>
      <c r="D33" s="620">
        <v>211</v>
      </c>
      <c r="E33" s="596">
        <f t="shared" si="0"/>
        <v>272082.28000000003</v>
      </c>
      <c r="F33" s="595">
        <f>'Прилож 4 24 (7)'!V33</f>
        <v>89787.28</v>
      </c>
      <c r="G33" s="595">
        <f>'Прилож 4 24 (7)'!W33</f>
        <v>182295</v>
      </c>
      <c r="H33" s="595">
        <f>'Прилож 4 24 (7)'!X33</f>
        <v>0</v>
      </c>
      <c r="I33" s="621"/>
      <c r="J33" s="595">
        <f>'Прилож 4 24 (7)'!Z33</f>
        <v>0</v>
      </c>
      <c r="K33" s="595">
        <f>'Прилож 4 24 (7)'!AA33</f>
        <v>0</v>
      </c>
      <c r="L33" s="595">
        <f>'Прилож 4 24 (7)'!AB33</f>
        <v>0</v>
      </c>
      <c r="M33" s="876">
        <f t="shared" si="12"/>
        <v>0</v>
      </c>
      <c r="N33" s="875"/>
      <c r="O33" s="875"/>
      <c r="P33" s="875"/>
      <c r="Q33" s="877"/>
      <c r="R33" s="875"/>
      <c r="S33" s="875"/>
      <c r="T33" s="875"/>
      <c r="U33" s="876">
        <f t="shared" si="11"/>
        <v>272082.28000000003</v>
      </c>
      <c r="V33" s="875">
        <f t="shared" si="8"/>
        <v>89787.28</v>
      </c>
      <c r="W33" s="875">
        <f t="shared" si="9"/>
        <v>182295</v>
      </c>
      <c r="X33" s="875">
        <f t="shared" si="9"/>
        <v>0</v>
      </c>
      <c r="Y33" s="877"/>
      <c r="Z33" s="875">
        <f t="shared" si="10"/>
        <v>0</v>
      </c>
      <c r="AA33" s="875">
        <f t="shared" si="10"/>
        <v>0</v>
      </c>
      <c r="AB33" s="875">
        <f t="shared" si="10"/>
        <v>0</v>
      </c>
      <c r="AC33" s="878"/>
      <c r="AD33" s="820"/>
    </row>
    <row r="34" spans="1:30" x14ac:dyDescent="0.2">
      <c r="A34" s="620" t="s">
        <v>731</v>
      </c>
      <c r="B34" s="619" t="s">
        <v>64</v>
      </c>
      <c r="C34" s="620">
        <v>111</v>
      </c>
      <c r="D34" s="620">
        <v>211</v>
      </c>
      <c r="E34" s="596">
        <f t="shared" si="0"/>
        <v>64391.3</v>
      </c>
      <c r="F34" s="595">
        <f>'Прилож 4 24 (7)'!V34</f>
        <v>0</v>
      </c>
      <c r="G34" s="595">
        <f>'Прилож 4 24 (7)'!W34</f>
        <v>0</v>
      </c>
      <c r="H34" s="595">
        <f>'Прилож 4 24 (7)'!X34</f>
        <v>0</v>
      </c>
      <c r="I34" s="621" t="s">
        <v>1235</v>
      </c>
      <c r="J34" s="595">
        <f>'Прилож 4 24 (7)'!Z34</f>
        <v>0</v>
      </c>
      <c r="K34" s="595">
        <f>'Прилож 4 24 (7)'!AA34</f>
        <v>64391.3</v>
      </c>
      <c r="L34" s="595">
        <f>'Прилож 4 24 (7)'!AB34</f>
        <v>0</v>
      </c>
      <c r="M34" s="876">
        <f t="shared" si="12"/>
        <v>0</v>
      </c>
      <c r="N34" s="875"/>
      <c r="O34" s="875"/>
      <c r="P34" s="875"/>
      <c r="Q34" s="877"/>
      <c r="R34" s="875"/>
      <c r="S34" s="875"/>
      <c r="T34" s="875"/>
      <c r="U34" s="876">
        <f t="shared" si="11"/>
        <v>64391.3</v>
      </c>
      <c r="V34" s="875">
        <f t="shared" si="8"/>
        <v>0</v>
      </c>
      <c r="W34" s="875">
        <f t="shared" si="9"/>
        <v>0</v>
      </c>
      <c r="X34" s="875">
        <f t="shared" si="9"/>
        <v>0</v>
      </c>
      <c r="Y34" s="621" t="s">
        <v>1235</v>
      </c>
      <c r="Z34" s="875">
        <f t="shared" si="10"/>
        <v>0</v>
      </c>
      <c r="AA34" s="875">
        <f t="shared" si="10"/>
        <v>64391.3</v>
      </c>
      <c r="AB34" s="875">
        <f t="shared" si="10"/>
        <v>0</v>
      </c>
      <c r="AC34" s="878"/>
      <c r="AD34" s="820"/>
    </row>
    <row r="35" spans="1:30" x14ac:dyDescent="0.2">
      <c r="A35" s="620" t="s">
        <v>731</v>
      </c>
      <c r="B35" s="619" t="s">
        <v>691</v>
      </c>
      <c r="C35" s="620">
        <v>111</v>
      </c>
      <c r="D35" s="620">
        <v>211</v>
      </c>
      <c r="E35" s="596">
        <f t="shared" si="0"/>
        <v>56017.74</v>
      </c>
      <c r="F35" s="595">
        <f>'Прилож 4 24 (7)'!V35</f>
        <v>0</v>
      </c>
      <c r="G35" s="595">
        <f>'Прилож 4 24 (7)'!W35</f>
        <v>0</v>
      </c>
      <c r="H35" s="595">
        <f>'Прилож 4 24 (7)'!X35</f>
        <v>47558.6</v>
      </c>
      <c r="I35" s="621"/>
      <c r="J35" s="595">
        <f>'Прилож 4 24 (7)'!Z35</f>
        <v>0</v>
      </c>
      <c r="K35" s="595">
        <f>'Прилож 4 24 (7)'!AA35</f>
        <v>0</v>
      </c>
      <c r="L35" s="595">
        <f>'Прилож 4 24 (7)'!AB35</f>
        <v>8459.14</v>
      </c>
      <c r="M35" s="876">
        <f t="shared" si="12"/>
        <v>0</v>
      </c>
      <c r="N35" s="875"/>
      <c r="O35" s="875"/>
      <c r="P35" s="875"/>
      <c r="Q35" s="877"/>
      <c r="R35" s="875"/>
      <c r="S35" s="875"/>
      <c r="T35" s="875"/>
      <c r="U35" s="876">
        <f t="shared" si="11"/>
        <v>56017.74</v>
      </c>
      <c r="V35" s="875">
        <f t="shared" si="8"/>
        <v>0</v>
      </c>
      <c r="W35" s="875">
        <f t="shared" si="9"/>
        <v>0</v>
      </c>
      <c r="X35" s="875">
        <f t="shared" si="9"/>
        <v>47558.6</v>
      </c>
      <c r="Y35" s="877"/>
      <c r="Z35" s="875">
        <f t="shared" si="10"/>
        <v>0</v>
      </c>
      <c r="AA35" s="875">
        <f t="shared" si="10"/>
        <v>0</v>
      </c>
      <c r="AB35" s="875">
        <f t="shared" si="10"/>
        <v>8459.14</v>
      </c>
      <c r="AC35" s="878"/>
      <c r="AD35" s="820"/>
    </row>
    <row r="36" spans="1:30" s="614" customFormat="1" x14ac:dyDescent="0.2">
      <c r="A36" s="624" t="s">
        <v>732</v>
      </c>
      <c r="B36" s="624"/>
      <c r="C36" s="624"/>
      <c r="D36" s="624"/>
      <c r="E36" s="596">
        <f t="shared" si="0"/>
        <v>33815875.32</v>
      </c>
      <c r="F36" s="595">
        <f>'Прилож 4 24 (7)'!V36</f>
        <v>29555688.470000003</v>
      </c>
      <c r="G36" s="595">
        <f>'Прилож 4 24 (7)'!W36</f>
        <v>1183969.3500000001</v>
      </c>
      <c r="H36" s="595">
        <f>'Прилож 4 24 (7)'!X36</f>
        <v>3003367.0600000005</v>
      </c>
      <c r="I36" s="626"/>
      <c r="J36" s="595">
        <f>'Прилож 4 24 (7)'!Z36</f>
        <v>0</v>
      </c>
      <c r="K36" s="595">
        <f>'Прилож 4 24 (7)'!AA36</f>
        <v>64391.3</v>
      </c>
      <c r="L36" s="595">
        <f>'Прилож 4 24 (7)'!AB36</f>
        <v>8459.14</v>
      </c>
      <c r="M36" s="876">
        <f t="shared" si="12"/>
        <v>606542.1</v>
      </c>
      <c r="N36" s="876">
        <f>SUM(N31:N35)</f>
        <v>31918.44</v>
      </c>
      <c r="O36" s="876">
        <f>SUM(O31:O35)</f>
        <v>574623.66</v>
      </c>
      <c r="P36" s="876">
        <f>SUM(P31:P35)</f>
        <v>0</v>
      </c>
      <c r="Q36" s="881"/>
      <c r="R36" s="876"/>
      <c r="S36" s="876"/>
      <c r="T36" s="876"/>
      <c r="U36" s="876">
        <f t="shared" si="11"/>
        <v>34422417.420000002</v>
      </c>
      <c r="V36" s="875">
        <f t="shared" si="8"/>
        <v>29587606.910000004</v>
      </c>
      <c r="W36" s="875">
        <f t="shared" si="9"/>
        <v>1758593.0100000002</v>
      </c>
      <c r="X36" s="875">
        <f t="shared" si="9"/>
        <v>3003367.0600000005</v>
      </c>
      <c r="Y36" s="881"/>
      <c r="Z36" s="875">
        <f t="shared" si="10"/>
        <v>0</v>
      </c>
      <c r="AA36" s="875">
        <f t="shared" si="10"/>
        <v>64391.3</v>
      </c>
      <c r="AB36" s="875">
        <f t="shared" si="10"/>
        <v>8459.14</v>
      </c>
      <c r="AC36" s="879"/>
      <c r="AD36" s="820"/>
    </row>
    <row r="37" spans="1:30" s="614" customFormat="1" ht="45" customHeight="1" x14ac:dyDescent="0.2">
      <c r="A37" s="618" t="s">
        <v>1339</v>
      </c>
      <c r="B37" s="620">
        <v>701</v>
      </c>
      <c r="C37" s="620">
        <v>321</v>
      </c>
      <c r="D37" s="620">
        <v>264</v>
      </c>
      <c r="E37" s="596">
        <f t="shared" si="0"/>
        <v>88171.02</v>
      </c>
      <c r="F37" s="595">
        <f>'Прилож 4 24 (7)'!V37</f>
        <v>88171.02</v>
      </c>
      <c r="G37" s="595">
        <f>'Прилож 4 24 (7)'!W37</f>
        <v>0</v>
      </c>
      <c r="H37" s="595">
        <f>'Прилож 4 24 (7)'!X37</f>
        <v>0</v>
      </c>
      <c r="I37" s="625"/>
      <c r="J37" s="595">
        <f>'Прилож 4 24 (7)'!Z37</f>
        <v>0</v>
      </c>
      <c r="K37" s="595">
        <f>'Прилож 4 24 (7)'!AA37</f>
        <v>0</v>
      </c>
      <c r="L37" s="595">
        <f>'Прилож 4 24 (7)'!AB37</f>
        <v>0</v>
      </c>
      <c r="M37" s="876">
        <f t="shared" si="12"/>
        <v>0</v>
      </c>
      <c r="N37" s="875"/>
      <c r="O37" s="875"/>
      <c r="P37" s="875"/>
      <c r="Q37" s="882"/>
      <c r="R37" s="875"/>
      <c r="S37" s="875"/>
      <c r="T37" s="875"/>
      <c r="U37" s="876">
        <f t="shared" si="11"/>
        <v>88171.02</v>
      </c>
      <c r="V37" s="875">
        <f t="shared" si="8"/>
        <v>88171.02</v>
      </c>
      <c r="W37" s="875">
        <f t="shared" si="9"/>
        <v>0</v>
      </c>
      <c r="X37" s="875">
        <f t="shared" si="9"/>
        <v>0</v>
      </c>
      <c r="Y37" s="882"/>
      <c r="Z37" s="875">
        <f t="shared" si="10"/>
        <v>0</v>
      </c>
      <c r="AA37" s="875">
        <f t="shared" si="10"/>
        <v>0</v>
      </c>
      <c r="AB37" s="875">
        <f t="shared" si="10"/>
        <v>0</v>
      </c>
      <c r="AC37" s="878"/>
      <c r="AD37" s="820"/>
    </row>
    <row r="38" spans="1:30" s="614" customFormat="1" x14ac:dyDescent="0.2">
      <c r="A38" s="624" t="s">
        <v>1342</v>
      </c>
      <c r="B38" s="624"/>
      <c r="C38" s="624"/>
      <c r="D38" s="624"/>
      <c r="E38" s="596">
        <f t="shared" si="0"/>
        <v>88171.02</v>
      </c>
      <c r="F38" s="595">
        <f>'Прилож 4 24 (7)'!V38</f>
        <v>88171.02</v>
      </c>
      <c r="G38" s="595">
        <f>'Прилож 4 24 (7)'!W38</f>
        <v>0</v>
      </c>
      <c r="H38" s="595">
        <f>'Прилож 4 24 (7)'!X38</f>
        <v>0</v>
      </c>
      <c r="I38" s="626"/>
      <c r="J38" s="595">
        <f>'Прилож 4 24 (7)'!Z38</f>
        <v>0</v>
      </c>
      <c r="K38" s="595">
        <f>'Прилож 4 24 (7)'!AA38</f>
        <v>0</v>
      </c>
      <c r="L38" s="595">
        <f>'Прилож 4 24 (7)'!AB38</f>
        <v>0</v>
      </c>
      <c r="M38" s="876">
        <f t="shared" si="12"/>
        <v>0</v>
      </c>
      <c r="N38" s="876"/>
      <c r="O38" s="876"/>
      <c r="P38" s="876"/>
      <c r="Q38" s="881"/>
      <c r="R38" s="876"/>
      <c r="S38" s="876"/>
      <c r="T38" s="876"/>
      <c r="U38" s="876">
        <f t="shared" si="11"/>
        <v>88171.02</v>
      </c>
      <c r="V38" s="875">
        <f t="shared" si="8"/>
        <v>88171.02</v>
      </c>
      <c r="W38" s="875">
        <f t="shared" si="9"/>
        <v>0</v>
      </c>
      <c r="X38" s="875">
        <f t="shared" si="9"/>
        <v>0</v>
      </c>
      <c r="Y38" s="881"/>
      <c r="Z38" s="875">
        <f t="shared" si="10"/>
        <v>0</v>
      </c>
      <c r="AA38" s="875">
        <f t="shared" si="10"/>
        <v>0</v>
      </c>
      <c r="AB38" s="875">
        <f t="shared" si="10"/>
        <v>0</v>
      </c>
      <c r="AC38" s="879"/>
      <c r="AD38" s="820"/>
    </row>
    <row r="39" spans="1:30" ht="58.5" customHeight="1" x14ac:dyDescent="0.2">
      <c r="A39" s="618" t="s">
        <v>845</v>
      </c>
      <c r="B39" s="619" t="s">
        <v>747</v>
      </c>
      <c r="C39" s="620">
        <v>111</v>
      </c>
      <c r="D39" s="620">
        <v>266</v>
      </c>
      <c r="E39" s="596">
        <f t="shared" si="0"/>
        <v>100000</v>
      </c>
      <c r="F39" s="595">
        <f>'Прилож 4 24 (7)'!V39</f>
        <v>100000</v>
      </c>
      <c r="G39" s="595">
        <f>'Прилож 4 24 (7)'!W39</f>
        <v>0</v>
      </c>
      <c r="H39" s="595">
        <f>'Прилож 4 24 (7)'!X39</f>
        <v>0</v>
      </c>
      <c r="I39" s="621"/>
      <c r="J39" s="595">
        <f>'Прилож 4 24 (7)'!Z39</f>
        <v>0</v>
      </c>
      <c r="K39" s="595">
        <f>'Прилож 4 24 (7)'!AA39</f>
        <v>0</v>
      </c>
      <c r="L39" s="595">
        <f>'Прилож 4 24 (7)'!AB39</f>
        <v>0</v>
      </c>
      <c r="M39" s="876">
        <f t="shared" si="12"/>
        <v>0</v>
      </c>
      <c r="N39" s="875"/>
      <c r="O39" s="875"/>
      <c r="P39" s="875"/>
      <c r="Q39" s="877"/>
      <c r="R39" s="875"/>
      <c r="S39" s="875"/>
      <c r="T39" s="875"/>
      <c r="U39" s="876">
        <f t="shared" si="11"/>
        <v>100000</v>
      </c>
      <c r="V39" s="875">
        <f t="shared" si="8"/>
        <v>100000</v>
      </c>
      <c r="W39" s="875">
        <f t="shared" si="9"/>
        <v>0</v>
      </c>
      <c r="X39" s="875">
        <f t="shared" si="9"/>
        <v>0</v>
      </c>
      <c r="Y39" s="877"/>
      <c r="Z39" s="875">
        <f t="shared" si="10"/>
        <v>0</v>
      </c>
      <c r="AA39" s="875">
        <f t="shared" si="10"/>
        <v>0</v>
      </c>
      <c r="AB39" s="875">
        <f t="shared" si="10"/>
        <v>0</v>
      </c>
      <c r="AC39" s="878"/>
    </row>
    <row r="40" spans="1:30" ht="51.75" customHeight="1" x14ac:dyDescent="0.2">
      <c r="A40" s="618" t="s">
        <v>845</v>
      </c>
      <c r="B40" s="619" t="s">
        <v>729</v>
      </c>
      <c r="C40" s="620">
        <v>111</v>
      </c>
      <c r="D40" s="620">
        <v>266</v>
      </c>
      <c r="E40" s="596">
        <f t="shared" si="0"/>
        <v>80000</v>
      </c>
      <c r="F40" s="595">
        <f>'Прилож 4 24 (7)'!V40</f>
        <v>80000</v>
      </c>
      <c r="G40" s="595">
        <f>'Прилож 4 24 (7)'!W40</f>
        <v>0</v>
      </c>
      <c r="H40" s="595">
        <f>'Прилож 4 24 (7)'!X40</f>
        <v>0</v>
      </c>
      <c r="I40" s="621"/>
      <c r="J40" s="595">
        <f>'Прилож 4 24 (7)'!Z40</f>
        <v>0</v>
      </c>
      <c r="K40" s="595">
        <f>'Прилож 4 24 (7)'!AA40</f>
        <v>0</v>
      </c>
      <c r="L40" s="595">
        <f>'Прилож 4 24 (7)'!AB40</f>
        <v>0</v>
      </c>
      <c r="M40" s="876">
        <f t="shared" si="12"/>
        <v>0</v>
      </c>
      <c r="N40" s="875"/>
      <c r="O40" s="875"/>
      <c r="P40" s="875"/>
      <c r="Q40" s="877"/>
      <c r="R40" s="875"/>
      <c r="S40" s="875"/>
      <c r="T40" s="875"/>
      <c r="U40" s="876">
        <f t="shared" si="11"/>
        <v>80000</v>
      </c>
      <c r="V40" s="875">
        <f t="shared" si="8"/>
        <v>80000</v>
      </c>
      <c r="W40" s="875">
        <f t="shared" si="9"/>
        <v>0</v>
      </c>
      <c r="X40" s="875">
        <f t="shared" si="9"/>
        <v>0</v>
      </c>
      <c r="Y40" s="877"/>
      <c r="Z40" s="875">
        <f t="shared" si="10"/>
        <v>0</v>
      </c>
      <c r="AA40" s="875">
        <f t="shared" si="10"/>
        <v>0</v>
      </c>
      <c r="AB40" s="875">
        <f t="shared" si="10"/>
        <v>0</v>
      </c>
      <c r="AC40" s="878"/>
    </row>
    <row r="41" spans="1:30" s="614" customFormat="1" x14ac:dyDescent="0.2">
      <c r="A41" s="624" t="s">
        <v>847</v>
      </c>
      <c r="B41" s="624"/>
      <c r="C41" s="624"/>
      <c r="D41" s="624"/>
      <c r="E41" s="596">
        <f t="shared" si="0"/>
        <v>180000</v>
      </c>
      <c r="F41" s="595">
        <f>'Прилож 4 24 (7)'!V41</f>
        <v>180000</v>
      </c>
      <c r="G41" s="595">
        <f>'Прилож 4 24 (7)'!W41</f>
        <v>0</v>
      </c>
      <c r="H41" s="595">
        <f>'Прилож 4 24 (7)'!X41</f>
        <v>0</v>
      </c>
      <c r="I41" s="626">
        <f>SUM(I39:I40)</f>
        <v>0</v>
      </c>
      <c r="J41" s="595">
        <f>'Прилож 4 24 (7)'!Z41</f>
        <v>0</v>
      </c>
      <c r="K41" s="595">
        <f>'Прилож 4 24 (7)'!AA41</f>
        <v>0</v>
      </c>
      <c r="L41" s="595">
        <f>'Прилож 4 24 (7)'!AB41</f>
        <v>0</v>
      </c>
      <c r="M41" s="876">
        <f t="shared" si="12"/>
        <v>0</v>
      </c>
      <c r="N41" s="876"/>
      <c r="O41" s="876"/>
      <c r="P41" s="876"/>
      <c r="Q41" s="881"/>
      <c r="R41" s="876"/>
      <c r="S41" s="876"/>
      <c r="T41" s="876"/>
      <c r="U41" s="876">
        <f t="shared" si="11"/>
        <v>180000</v>
      </c>
      <c r="V41" s="875">
        <f t="shared" si="8"/>
        <v>180000</v>
      </c>
      <c r="W41" s="875">
        <f t="shared" si="9"/>
        <v>0</v>
      </c>
      <c r="X41" s="875">
        <f t="shared" si="9"/>
        <v>0</v>
      </c>
      <c r="Y41" s="881">
        <f>SUM(Y39:Y40)</f>
        <v>0</v>
      </c>
      <c r="Z41" s="875">
        <f t="shared" si="10"/>
        <v>0</v>
      </c>
      <c r="AA41" s="875">
        <f t="shared" si="10"/>
        <v>0</v>
      </c>
      <c r="AB41" s="875">
        <f t="shared" si="10"/>
        <v>0</v>
      </c>
      <c r="AC41" s="879"/>
    </row>
    <row r="42" spans="1:30" ht="58.5" customHeight="1" x14ac:dyDescent="0.2">
      <c r="A42" s="618" t="s">
        <v>1270</v>
      </c>
      <c r="B42" s="619" t="s">
        <v>691</v>
      </c>
      <c r="C42" s="620">
        <v>112</v>
      </c>
      <c r="D42" s="620">
        <v>222</v>
      </c>
      <c r="E42" s="596">
        <f t="shared" si="0"/>
        <v>0</v>
      </c>
      <c r="F42" s="595">
        <f>'Прилож 4 24 (7)'!V42</f>
        <v>0</v>
      </c>
      <c r="G42" s="595">
        <f>'Прилож 4 24 (7)'!W42</f>
        <v>0</v>
      </c>
      <c r="H42" s="595">
        <f>'Прилож 4 24 (7)'!X42</f>
        <v>0</v>
      </c>
      <c r="I42" s="621"/>
      <c r="J42" s="595">
        <f>'Прилож 4 24 (7)'!Z42</f>
        <v>0</v>
      </c>
      <c r="K42" s="595">
        <f>'Прилож 4 24 (7)'!AA42</f>
        <v>0</v>
      </c>
      <c r="L42" s="595">
        <f>'Прилож 4 24 (7)'!AB42</f>
        <v>0</v>
      </c>
      <c r="M42" s="876"/>
      <c r="N42" s="875"/>
      <c r="O42" s="875"/>
      <c r="P42" s="875"/>
      <c r="Q42" s="877"/>
      <c r="R42" s="875"/>
      <c r="S42" s="875"/>
      <c r="T42" s="875"/>
      <c r="U42" s="876">
        <f t="shared" si="11"/>
        <v>0</v>
      </c>
      <c r="V42" s="875">
        <f t="shared" si="8"/>
        <v>0</v>
      </c>
      <c r="W42" s="875">
        <f t="shared" si="9"/>
        <v>0</v>
      </c>
      <c r="X42" s="875">
        <f t="shared" si="9"/>
        <v>0</v>
      </c>
      <c r="Y42" s="877"/>
      <c r="Z42" s="875">
        <f t="shared" si="10"/>
        <v>0</v>
      </c>
      <c r="AA42" s="875">
        <f t="shared" si="10"/>
        <v>0</v>
      </c>
      <c r="AB42" s="875">
        <f t="shared" si="10"/>
        <v>0</v>
      </c>
      <c r="AC42" s="878"/>
    </row>
    <row r="43" spans="1:30" s="614" customFormat="1" x14ac:dyDescent="0.2">
      <c r="A43" s="624" t="s">
        <v>1264</v>
      </c>
      <c r="B43" s="624"/>
      <c r="C43" s="624"/>
      <c r="D43" s="624"/>
      <c r="E43" s="596">
        <f t="shared" si="0"/>
        <v>0</v>
      </c>
      <c r="F43" s="595">
        <f>'Прилож 4 24 (7)'!V43</f>
        <v>0</v>
      </c>
      <c r="G43" s="595">
        <f>'Прилож 4 24 (7)'!W43</f>
        <v>0</v>
      </c>
      <c r="H43" s="595">
        <f>'Прилож 4 24 (7)'!X43</f>
        <v>0</v>
      </c>
      <c r="I43" s="626">
        <f>SUM(I41:I42)</f>
        <v>0</v>
      </c>
      <c r="J43" s="595">
        <f>'Прилож 4 24 (7)'!Z43</f>
        <v>0</v>
      </c>
      <c r="K43" s="595">
        <f>'Прилож 4 24 (7)'!AA43</f>
        <v>0</v>
      </c>
      <c r="L43" s="595">
        <f>'Прилож 4 24 (7)'!AB43</f>
        <v>0</v>
      </c>
      <c r="M43" s="876">
        <f t="shared" ref="M43:M106" si="13">N43+P43+R43+S43+T43+O43</f>
        <v>0</v>
      </c>
      <c r="N43" s="876"/>
      <c r="O43" s="876"/>
      <c r="P43" s="876">
        <f>SUM(P42)</f>
        <v>0</v>
      </c>
      <c r="Q43" s="881"/>
      <c r="R43" s="876"/>
      <c r="S43" s="876">
        <f>SUM(S42)</f>
        <v>0</v>
      </c>
      <c r="T43" s="876">
        <f>SUM(T42)</f>
        <v>0</v>
      </c>
      <c r="U43" s="876">
        <f t="shared" si="11"/>
        <v>0</v>
      </c>
      <c r="V43" s="875">
        <f t="shared" si="8"/>
        <v>0</v>
      </c>
      <c r="W43" s="875">
        <f t="shared" si="9"/>
        <v>0</v>
      </c>
      <c r="X43" s="875">
        <f t="shared" si="9"/>
        <v>0</v>
      </c>
      <c r="Y43" s="881">
        <f>SUM(Y41:Y42)</f>
        <v>0</v>
      </c>
      <c r="Z43" s="875">
        <f t="shared" si="10"/>
        <v>0</v>
      </c>
      <c r="AA43" s="875">
        <f t="shared" si="10"/>
        <v>0</v>
      </c>
      <c r="AB43" s="875">
        <f t="shared" si="10"/>
        <v>0</v>
      </c>
      <c r="AC43" s="879"/>
    </row>
    <row r="44" spans="1:30" s="614" customFormat="1" ht="78.75" x14ac:dyDescent="0.2">
      <c r="A44" s="618" t="s">
        <v>748</v>
      </c>
      <c r="B44" s="619" t="s">
        <v>747</v>
      </c>
      <c r="C44" s="620">
        <v>119</v>
      </c>
      <c r="D44" s="620">
        <v>213</v>
      </c>
      <c r="E44" s="596">
        <f t="shared" si="0"/>
        <v>4198430.53</v>
      </c>
      <c r="F44" s="595">
        <f>'Прилож 4 24 (7)'!V44</f>
        <v>3520679.58</v>
      </c>
      <c r="G44" s="595">
        <f>'Прилож 4 24 (7)'!W44</f>
        <v>0</v>
      </c>
      <c r="H44" s="595">
        <f>'Прилож 4 24 (7)'!X44</f>
        <v>677750.95</v>
      </c>
      <c r="I44" s="628"/>
      <c r="J44" s="595">
        <f>'Прилож 4 24 (7)'!Z44</f>
        <v>0</v>
      </c>
      <c r="K44" s="595">
        <f>'Прилож 4 24 (7)'!AA44</f>
        <v>0</v>
      </c>
      <c r="L44" s="595">
        <f>'Прилож 4 24 (7)'!AB44</f>
        <v>0</v>
      </c>
      <c r="M44" s="876">
        <f t="shared" si="13"/>
        <v>9639.3700000000008</v>
      </c>
      <c r="N44" s="875">
        <v>9639.3700000000008</v>
      </c>
      <c r="O44" s="875"/>
      <c r="P44" s="875"/>
      <c r="Q44" s="883"/>
      <c r="R44" s="875"/>
      <c r="S44" s="875"/>
      <c r="T44" s="875"/>
      <c r="U44" s="876">
        <f t="shared" si="11"/>
        <v>4208069.9000000004</v>
      </c>
      <c r="V44" s="875">
        <f t="shared" si="8"/>
        <v>3530318.95</v>
      </c>
      <c r="W44" s="875">
        <f t="shared" si="9"/>
        <v>0</v>
      </c>
      <c r="X44" s="875">
        <f t="shared" si="9"/>
        <v>677750.95</v>
      </c>
      <c r="Y44" s="883"/>
      <c r="Z44" s="875">
        <f t="shared" si="10"/>
        <v>0</v>
      </c>
      <c r="AA44" s="875">
        <f t="shared" si="10"/>
        <v>0</v>
      </c>
      <c r="AB44" s="875">
        <f t="shared" si="10"/>
        <v>0</v>
      </c>
      <c r="AC44" s="878" t="s">
        <v>1490</v>
      </c>
    </row>
    <row r="45" spans="1:30" s="614" customFormat="1" ht="78.75" x14ac:dyDescent="0.2">
      <c r="A45" s="618" t="s">
        <v>748</v>
      </c>
      <c r="B45" s="619" t="s">
        <v>729</v>
      </c>
      <c r="C45" s="620">
        <v>119</v>
      </c>
      <c r="D45" s="620">
        <v>213</v>
      </c>
      <c r="E45" s="596">
        <f t="shared" si="0"/>
        <v>5895428.2300000004</v>
      </c>
      <c r="F45" s="595">
        <f>'Прилож 4 24 (7)'!V45</f>
        <v>5378022.5800000001</v>
      </c>
      <c r="G45" s="595">
        <f>'Прилож 4 24 (7)'!W45</f>
        <v>302505.65000000002</v>
      </c>
      <c r="H45" s="595">
        <f>'Прилож 4 24 (7)'!X45</f>
        <v>214900</v>
      </c>
      <c r="I45" s="628"/>
      <c r="J45" s="595">
        <f>'Прилож 4 24 (7)'!Z45</f>
        <v>0</v>
      </c>
      <c r="K45" s="595">
        <f>'Прилож 4 24 (7)'!AA45</f>
        <v>0</v>
      </c>
      <c r="L45" s="595">
        <f>'Прилож 4 24 (7)'!AB45</f>
        <v>0</v>
      </c>
      <c r="M45" s="876">
        <f t="shared" si="13"/>
        <v>173536.34</v>
      </c>
      <c r="N45" s="875"/>
      <c r="O45" s="875">
        <v>173536.34</v>
      </c>
      <c r="P45" s="875"/>
      <c r="Q45" s="883"/>
      <c r="R45" s="875"/>
      <c r="S45" s="875"/>
      <c r="T45" s="875"/>
      <c r="U45" s="876">
        <f t="shared" si="11"/>
        <v>6068964.5700000003</v>
      </c>
      <c r="V45" s="875">
        <f t="shared" si="8"/>
        <v>5378022.5800000001</v>
      </c>
      <c r="W45" s="875">
        <f t="shared" si="9"/>
        <v>476041.99</v>
      </c>
      <c r="X45" s="875">
        <f t="shared" si="9"/>
        <v>214900</v>
      </c>
      <c r="Y45" s="883"/>
      <c r="Z45" s="875">
        <f t="shared" si="10"/>
        <v>0</v>
      </c>
      <c r="AA45" s="875">
        <f t="shared" si="10"/>
        <v>0</v>
      </c>
      <c r="AB45" s="875">
        <f t="shared" si="10"/>
        <v>0</v>
      </c>
      <c r="AC45" s="878" t="s">
        <v>1488</v>
      </c>
    </row>
    <row r="46" spans="1:30" s="614" customFormat="1" ht="78.75" x14ac:dyDescent="0.2">
      <c r="A46" s="618" t="s">
        <v>944</v>
      </c>
      <c r="B46" s="619" t="s">
        <v>729</v>
      </c>
      <c r="C46" s="620">
        <v>119</v>
      </c>
      <c r="D46" s="620">
        <v>213</v>
      </c>
      <c r="E46" s="596">
        <f t="shared" si="0"/>
        <v>82168.849999999991</v>
      </c>
      <c r="F46" s="595">
        <f>'Прилож 4 24 (7)'!V46</f>
        <v>27115.759999999998</v>
      </c>
      <c r="G46" s="595">
        <f>'Прилож 4 24 (7)'!W46</f>
        <v>55053.09</v>
      </c>
      <c r="H46" s="595">
        <f>'Прилож 4 24 (7)'!X46</f>
        <v>0</v>
      </c>
      <c r="I46" s="628"/>
      <c r="J46" s="595">
        <f>'Прилож 4 24 (7)'!Z46</f>
        <v>0</v>
      </c>
      <c r="K46" s="595">
        <f>'Прилож 4 24 (7)'!AA46</f>
        <v>0</v>
      </c>
      <c r="L46" s="595">
        <f>'Прилож 4 24 (7)'!AB46</f>
        <v>0</v>
      </c>
      <c r="M46" s="876">
        <f t="shared" si="13"/>
        <v>0</v>
      </c>
      <c r="N46" s="875"/>
      <c r="O46" s="875"/>
      <c r="P46" s="875"/>
      <c r="Q46" s="883"/>
      <c r="R46" s="875"/>
      <c r="S46" s="875"/>
      <c r="T46" s="875"/>
      <c r="U46" s="876">
        <f t="shared" si="11"/>
        <v>82168.849999999991</v>
      </c>
      <c r="V46" s="875">
        <f t="shared" si="8"/>
        <v>27115.759999999998</v>
      </c>
      <c r="W46" s="875">
        <f t="shared" si="9"/>
        <v>55053.09</v>
      </c>
      <c r="X46" s="875">
        <f t="shared" si="9"/>
        <v>0</v>
      </c>
      <c r="Y46" s="883"/>
      <c r="Z46" s="875">
        <f t="shared" si="10"/>
        <v>0</v>
      </c>
      <c r="AA46" s="875">
        <f t="shared" si="10"/>
        <v>0</v>
      </c>
      <c r="AB46" s="875">
        <f t="shared" si="10"/>
        <v>0</v>
      </c>
      <c r="AC46" s="878"/>
    </row>
    <row r="47" spans="1:30" s="614" customFormat="1" ht="78.75" x14ac:dyDescent="0.2">
      <c r="A47" s="618" t="s">
        <v>748</v>
      </c>
      <c r="B47" s="619" t="s">
        <v>64</v>
      </c>
      <c r="C47" s="620">
        <v>119</v>
      </c>
      <c r="D47" s="620">
        <v>213</v>
      </c>
      <c r="E47" s="596">
        <f t="shared" si="0"/>
        <v>19446</v>
      </c>
      <c r="F47" s="595">
        <f>'Прилож 4 24 (7)'!V47</f>
        <v>0</v>
      </c>
      <c r="G47" s="595">
        <f>'Прилож 4 24 (7)'!W47</f>
        <v>0</v>
      </c>
      <c r="H47" s="595">
        <f>'Прилож 4 24 (7)'!X47</f>
        <v>0</v>
      </c>
      <c r="I47" s="621" t="s">
        <v>1235</v>
      </c>
      <c r="J47" s="595">
        <f>'Прилож 4 24 (7)'!Z47</f>
        <v>0</v>
      </c>
      <c r="K47" s="595">
        <f>'Прилож 4 24 (7)'!AA47</f>
        <v>19446</v>
      </c>
      <c r="L47" s="595">
        <f>'Прилож 4 24 (7)'!AB47</f>
        <v>0</v>
      </c>
      <c r="M47" s="876">
        <f t="shared" si="13"/>
        <v>0</v>
      </c>
      <c r="N47" s="875"/>
      <c r="O47" s="875"/>
      <c r="P47" s="875"/>
      <c r="Q47" s="883"/>
      <c r="R47" s="875"/>
      <c r="S47" s="875"/>
      <c r="T47" s="875"/>
      <c r="U47" s="876">
        <f t="shared" si="11"/>
        <v>19446</v>
      </c>
      <c r="V47" s="875">
        <f t="shared" si="8"/>
        <v>0</v>
      </c>
      <c r="W47" s="875">
        <f t="shared" si="9"/>
        <v>0</v>
      </c>
      <c r="X47" s="875">
        <f t="shared" si="9"/>
        <v>0</v>
      </c>
      <c r="Y47" s="877" t="s">
        <v>1235</v>
      </c>
      <c r="Z47" s="875">
        <f t="shared" si="10"/>
        <v>0</v>
      </c>
      <c r="AA47" s="875">
        <f t="shared" si="10"/>
        <v>19446</v>
      </c>
      <c r="AB47" s="875">
        <f t="shared" si="10"/>
        <v>0</v>
      </c>
      <c r="AC47" s="878"/>
    </row>
    <row r="48" spans="1:30" s="614" customFormat="1" ht="78.75" x14ac:dyDescent="0.2">
      <c r="A48" s="618" t="s">
        <v>748</v>
      </c>
      <c r="B48" s="619" t="s">
        <v>691</v>
      </c>
      <c r="C48" s="620">
        <v>119</v>
      </c>
      <c r="D48" s="620">
        <v>213</v>
      </c>
      <c r="E48" s="596">
        <f t="shared" si="0"/>
        <v>16917.36</v>
      </c>
      <c r="F48" s="595">
        <f>'Прилож 4 24 (7)'!V48</f>
        <v>0</v>
      </c>
      <c r="G48" s="595">
        <f>'Прилож 4 24 (7)'!W48</f>
        <v>0</v>
      </c>
      <c r="H48" s="595">
        <f>'Прилож 4 24 (7)'!X48</f>
        <v>14362.7</v>
      </c>
      <c r="I48" s="628"/>
      <c r="J48" s="595">
        <f>'Прилож 4 24 (7)'!Z48</f>
        <v>0</v>
      </c>
      <c r="K48" s="595">
        <f>'Прилож 4 24 (7)'!AA48</f>
        <v>0</v>
      </c>
      <c r="L48" s="595">
        <f>'Прилож 4 24 (7)'!AB48</f>
        <v>2554.66</v>
      </c>
      <c r="M48" s="876">
        <f t="shared" si="13"/>
        <v>0</v>
      </c>
      <c r="N48" s="875"/>
      <c r="O48" s="875"/>
      <c r="P48" s="875"/>
      <c r="Q48" s="883"/>
      <c r="R48" s="875"/>
      <c r="S48" s="875"/>
      <c r="T48" s="875"/>
      <c r="U48" s="876">
        <f t="shared" si="11"/>
        <v>16917.36</v>
      </c>
      <c r="V48" s="875">
        <f t="shared" si="8"/>
        <v>0</v>
      </c>
      <c r="W48" s="875">
        <f t="shared" si="9"/>
        <v>0</v>
      </c>
      <c r="X48" s="875">
        <f t="shared" si="9"/>
        <v>14362.7</v>
      </c>
      <c r="Y48" s="883"/>
      <c r="Z48" s="875">
        <f t="shared" si="10"/>
        <v>0</v>
      </c>
      <c r="AA48" s="875">
        <f t="shared" si="10"/>
        <v>0</v>
      </c>
      <c r="AB48" s="875">
        <f t="shared" si="10"/>
        <v>2554.66</v>
      </c>
      <c r="AC48" s="878"/>
    </row>
    <row r="49" spans="1:30" s="614" customFormat="1" ht="110.25" x14ac:dyDescent="0.2">
      <c r="A49" s="618" t="s">
        <v>1468</v>
      </c>
      <c r="B49" s="619" t="s">
        <v>729</v>
      </c>
      <c r="C49" s="620">
        <v>119</v>
      </c>
      <c r="D49" s="620">
        <v>265</v>
      </c>
      <c r="E49" s="596">
        <v>8370.2000000000007</v>
      </c>
      <c r="F49" s="595">
        <f>'Прилож 4 24 (7)'!V49</f>
        <v>8370.2000000000007</v>
      </c>
      <c r="G49" s="595">
        <f>'Прилож 4 24 (7)'!W49</f>
        <v>0</v>
      </c>
      <c r="H49" s="595">
        <f>'Прилож 4 24 (7)'!X49</f>
        <v>0</v>
      </c>
      <c r="I49" s="628"/>
      <c r="J49" s="595">
        <f>'Прилож 4 24 (7)'!Z49</f>
        <v>0</v>
      </c>
      <c r="K49" s="595">
        <f>'Прилож 4 24 (7)'!AA49</f>
        <v>0</v>
      </c>
      <c r="L49" s="595">
        <f>'Прилож 4 24 (7)'!AB49</f>
        <v>0</v>
      </c>
      <c r="M49" s="876">
        <f t="shared" si="13"/>
        <v>0</v>
      </c>
      <c r="N49" s="875"/>
      <c r="O49" s="875"/>
      <c r="P49" s="875"/>
      <c r="Q49" s="883"/>
      <c r="R49" s="875"/>
      <c r="S49" s="875"/>
      <c r="T49" s="875"/>
      <c r="U49" s="876">
        <v>8370.2000000000007</v>
      </c>
      <c r="V49" s="875">
        <f t="shared" si="8"/>
        <v>8370.2000000000007</v>
      </c>
      <c r="W49" s="875">
        <f t="shared" si="9"/>
        <v>0</v>
      </c>
      <c r="X49" s="875">
        <f t="shared" si="9"/>
        <v>0</v>
      </c>
      <c r="Y49" s="883"/>
      <c r="Z49" s="875">
        <f t="shared" si="10"/>
        <v>0</v>
      </c>
      <c r="AA49" s="875">
        <f t="shared" si="10"/>
        <v>0</v>
      </c>
      <c r="AB49" s="875">
        <f t="shared" si="10"/>
        <v>0</v>
      </c>
      <c r="AC49" s="878"/>
    </row>
    <row r="50" spans="1:30" s="614" customFormat="1" x14ac:dyDescent="0.2">
      <c r="A50" s="630" t="s">
        <v>733</v>
      </c>
      <c r="B50" s="631"/>
      <c r="C50" s="624"/>
      <c r="D50" s="624"/>
      <c r="E50" s="596">
        <f t="shared" ref="E50:E113" si="14">L50+K50+J50+H50+G50+F50</f>
        <v>10220761.169999998</v>
      </c>
      <c r="F50" s="595">
        <f>'Прилож 4 24 (7)'!V50</f>
        <v>8934188.1199999992</v>
      </c>
      <c r="G50" s="595">
        <f>'Прилож 4 24 (7)'!W50</f>
        <v>357558.74</v>
      </c>
      <c r="H50" s="595">
        <f>'Прилож 4 24 (7)'!X50</f>
        <v>907013.64999999991</v>
      </c>
      <c r="I50" s="626"/>
      <c r="J50" s="595">
        <f>'Прилож 4 24 (7)'!Z50</f>
        <v>0</v>
      </c>
      <c r="K50" s="595">
        <f>'Прилож 4 24 (7)'!AA50</f>
        <v>19446</v>
      </c>
      <c r="L50" s="595">
        <f>'Прилож 4 24 (7)'!AB50</f>
        <v>2554.66</v>
      </c>
      <c r="M50" s="876">
        <f t="shared" si="13"/>
        <v>183175.71</v>
      </c>
      <c r="N50" s="876">
        <f>SUM(N44:N49)</f>
        <v>9639.3700000000008</v>
      </c>
      <c r="O50" s="876">
        <f>SUM(O44:O48)</f>
        <v>173536.34</v>
      </c>
      <c r="P50" s="876">
        <f>SUM(P44:P48)</f>
        <v>0</v>
      </c>
      <c r="Q50" s="881"/>
      <c r="R50" s="876"/>
      <c r="S50" s="876"/>
      <c r="T50" s="876"/>
      <c r="U50" s="876">
        <f t="shared" ref="U50:V93" si="15">E50+M50</f>
        <v>10403936.879999999</v>
      </c>
      <c r="V50" s="875">
        <f t="shared" si="8"/>
        <v>8943827.4899999984</v>
      </c>
      <c r="W50" s="875">
        <f t="shared" si="9"/>
        <v>531095.07999999996</v>
      </c>
      <c r="X50" s="875">
        <f t="shared" si="9"/>
        <v>907013.64999999991</v>
      </c>
      <c r="Y50" s="881"/>
      <c r="Z50" s="875">
        <f t="shared" si="10"/>
        <v>0</v>
      </c>
      <c r="AA50" s="875">
        <f t="shared" si="10"/>
        <v>19446</v>
      </c>
      <c r="AB50" s="875">
        <f t="shared" si="10"/>
        <v>2554.66</v>
      </c>
      <c r="AC50" s="879"/>
      <c r="AD50" s="818"/>
    </row>
    <row r="51" spans="1:30" ht="31.5" x14ac:dyDescent="0.2">
      <c r="A51" s="618" t="s">
        <v>1183</v>
      </c>
      <c r="B51" s="619" t="s">
        <v>747</v>
      </c>
      <c r="C51" s="620">
        <v>244</v>
      </c>
      <c r="D51" s="620">
        <v>221</v>
      </c>
      <c r="E51" s="596">
        <f t="shared" si="14"/>
        <v>14452.3</v>
      </c>
      <c r="F51" s="595">
        <f>'Прилож 4 24 (7)'!V51</f>
        <v>0</v>
      </c>
      <c r="G51" s="595">
        <f>'Прилож 4 24 (7)'!W51</f>
        <v>0</v>
      </c>
      <c r="H51" s="595">
        <f>'Прилож 4 24 (7)'!X51</f>
        <v>14452.3</v>
      </c>
      <c r="I51" s="628"/>
      <c r="J51" s="595">
        <f>'Прилож 4 24 (7)'!Z51</f>
        <v>0</v>
      </c>
      <c r="K51" s="595">
        <f>'Прилож 4 24 (7)'!AA51</f>
        <v>0</v>
      </c>
      <c r="L51" s="595">
        <f>'Прилож 4 24 (7)'!AB51</f>
        <v>0</v>
      </c>
      <c r="M51" s="876">
        <f t="shared" si="13"/>
        <v>0</v>
      </c>
      <c r="N51" s="875"/>
      <c r="O51" s="875"/>
      <c r="P51" s="875"/>
      <c r="Q51" s="877"/>
      <c r="R51" s="875"/>
      <c r="S51" s="875"/>
      <c r="T51" s="875"/>
      <c r="U51" s="876">
        <f t="shared" si="15"/>
        <v>14452.3</v>
      </c>
      <c r="V51" s="875">
        <f t="shared" si="8"/>
        <v>0</v>
      </c>
      <c r="W51" s="875">
        <f t="shared" si="9"/>
        <v>0</v>
      </c>
      <c r="X51" s="875">
        <f t="shared" si="9"/>
        <v>14452.3</v>
      </c>
      <c r="Y51" s="883"/>
      <c r="Z51" s="875">
        <f t="shared" si="10"/>
        <v>0</v>
      </c>
      <c r="AA51" s="875">
        <f t="shared" si="10"/>
        <v>0</v>
      </c>
      <c r="AB51" s="875">
        <f t="shared" si="10"/>
        <v>0</v>
      </c>
      <c r="AC51" s="878"/>
    </row>
    <row r="52" spans="1:30" x14ac:dyDescent="0.2">
      <c r="A52" s="618" t="s">
        <v>1184</v>
      </c>
      <c r="B52" s="619" t="s">
        <v>747</v>
      </c>
      <c r="C52" s="620">
        <v>244</v>
      </c>
      <c r="D52" s="620">
        <v>221</v>
      </c>
      <c r="E52" s="596">
        <f t="shared" si="14"/>
        <v>36000</v>
      </c>
      <c r="F52" s="595">
        <f>'Прилож 4 24 (7)'!V52</f>
        <v>0</v>
      </c>
      <c r="G52" s="595">
        <f>'Прилож 4 24 (7)'!W52</f>
        <v>0</v>
      </c>
      <c r="H52" s="595">
        <f>'Прилож 4 24 (7)'!X52</f>
        <v>36000</v>
      </c>
      <c r="I52" s="628"/>
      <c r="J52" s="595">
        <f>'Прилож 4 24 (7)'!Z52</f>
        <v>0</v>
      </c>
      <c r="K52" s="595">
        <f>'Прилож 4 24 (7)'!AA52</f>
        <v>0</v>
      </c>
      <c r="L52" s="595">
        <f>'Прилож 4 24 (7)'!AB52</f>
        <v>0</v>
      </c>
      <c r="M52" s="876">
        <f t="shared" si="13"/>
        <v>0</v>
      </c>
      <c r="N52" s="875"/>
      <c r="O52" s="875"/>
      <c r="P52" s="875"/>
      <c r="Q52" s="877"/>
      <c r="R52" s="875"/>
      <c r="S52" s="875"/>
      <c r="T52" s="875"/>
      <c r="U52" s="876">
        <f t="shared" si="15"/>
        <v>36000</v>
      </c>
      <c r="V52" s="875">
        <f t="shared" si="8"/>
        <v>0</v>
      </c>
      <c r="W52" s="875">
        <f t="shared" si="9"/>
        <v>0</v>
      </c>
      <c r="X52" s="875">
        <f t="shared" si="9"/>
        <v>36000</v>
      </c>
      <c r="Y52" s="883"/>
      <c r="Z52" s="875">
        <f t="shared" si="10"/>
        <v>0</v>
      </c>
      <c r="AA52" s="875">
        <f t="shared" si="10"/>
        <v>0</v>
      </c>
      <c r="AB52" s="875">
        <f t="shared" si="10"/>
        <v>0</v>
      </c>
      <c r="AC52" s="878"/>
    </row>
    <row r="53" spans="1:30" x14ac:dyDescent="0.2">
      <c r="A53" s="618" t="s">
        <v>158</v>
      </c>
      <c r="B53" s="619" t="s">
        <v>747</v>
      </c>
      <c r="C53" s="620">
        <v>244</v>
      </c>
      <c r="D53" s="620">
        <v>221</v>
      </c>
      <c r="E53" s="596">
        <f t="shared" si="14"/>
        <v>6600</v>
      </c>
      <c r="F53" s="595">
        <f>'Прилож 4 24 (7)'!V53</f>
        <v>0</v>
      </c>
      <c r="G53" s="595">
        <f>'Прилож 4 24 (7)'!W53</f>
        <v>0</v>
      </c>
      <c r="H53" s="595">
        <f>'Прилож 4 24 (7)'!X53</f>
        <v>6600</v>
      </c>
      <c r="I53" s="628"/>
      <c r="J53" s="595">
        <f>'Прилож 4 24 (7)'!Z53</f>
        <v>0</v>
      </c>
      <c r="K53" s="595">
        <f>'Прилож 4 24 (7)'!AA53</f>
        <v>0</v>
      </c>
      <c r="L53" s="595">
        <f>'Прилож 4 24 (7)'!AB53</f>
        <v>0</v>
      </c>
      <c r="M53" s="876">
        <f t="shared" si="13"/>
        <v>0</v>
      </c>
      <c r="N53" s="875"/>
      <c r="O53" s="875"/>
      <c r="P53" s="875"/>
      <c r="Q53" s="877"/>
      <c r="R53" s="875"/>
      <c r="S53" s="875"/>
      <c r="T53" s="875"/>
      <c r="U53" s="876">
        <f t="shared" si="15"/>
        <v>6600</v>
      </c>
      <c r="V53" s="875">
        <f t="shared" si="8"/>
        <v>0</v>
      </c>
      <c r="W53" s="875">
        <f t="shared" si="9"/>
        <v>0</v>
      </c>
      <c r="X53" s="875">
        <f t="shared" si="9"/>
        <v>6600</v>
      </c>
      <c r="Y53" s="883"/>
      <c r="Z53" s="875">
        <f t="shared" si="10"/>
        <v>0</v>
      </c>
      <c r="AA53" s="875">
        <f t="shared" si="10"/>
        <v>0</v>
      </c>
      <c r="AB53" s="875">
        <f t="shared" si="10"/>
        <v>0</v>
      </c>
      <c r="AC53" s="878"/>
    </row>
    <row r="54" spans="1:30" s="637" customFormat="1" x14ac:dyDescent="0.2">
      <c r="A54" s="632" t="s">
        <v>1143</v>
      </c>
      <c r="B54" s="633" t="s">
        <v>747</v>
      </c>
      <c r="C54" s="634">
        <v>244</v>
      </c>
      <c r="D54" s="634">
        <v>221</v>
      </c>
      <c r="E54" s="596">
        <f t="shared" si="14"/>
        <v>57052.3</v>
      </c>
      <c r="F54" s="595">
        <f>'Прилож 4 24 (7)'!V54</f>
        <v>0</v>
      </c>
      <c r="G54" s="595">
        <f>'Прилож 4 24 (7)'!W54</f>
        <v>0</v>
      </c>
      <c r="H54" s="595">
        <f>'Прилож 4 24 (7)'!X54</f>
        <v>57052.3</v>
      </c>
      <c r="I54" s="635"/>
      <c r="J54" s="595">
        <f>'Прилож 4 24 (7)'!Z54</f>
        <v>0</v>
      </c>
      <c r="K54" s="595">
        <f>'Прилож 4 24 (7)'!AA54</f>
        <v>0</v>
      </c>
      <c r="L54" s="595">
        <f>'Прилож 4 24 (7)'!AB54</f>
        <v>0</v>
      </c>
      <c r="M54" s="876">
        <f t="shared" si="13"/>
        <v>0</v>
      </c>
      <c r="N54" s="884"/>
      <c r="O54" s="884"/>
      <c r="P54" s="884"/>
      <c r="Q54" s="885"/>
      <c r="R54" s="884"/>
      <c r="S54" s="884"/>
      <c r="T54" s="884"/>
      <c r="U54" s="876">
        <f t="shared" si="15"/>
        <v>57052.3</v>
      </c>
      <c r="V54" s="875">
        <f t="shared" si="8"/>
        <v>0</v>
      </c>
      <c r="W54" s="875">
        <f t="shared" si="9"/>
        <v>0</v>
      </c>
      <c r="X54" s="875">
        <f t="shared" si="9"/>
        <v>57052.3</v>
      </c>
      <c r="Y54" s="885"/>
      <c r="Z54" s="875">
        <f t="shared" si="10"/>
        <v>0</v>
      </c>
      <c r="AA54" s="875">
        <f t="shared" si="10"/>
        <v>0</v>
      </c>
      <c r="AB54" s="875">
        <f t="shared" si="10"/>
        <v>0</v>
      </c>
      <c r="AC54" s="886"/>
    </row>
    <row r="55" spans="1:30" ht="31.5" x14ac:dyDescent="0.2">
      <c r="A55" s="618" t="s">
        <v>1183</v>
      </c>
      <c r="B55" s="619" t="s">
        <v>729</v>
      </c>
      <c r="C55" s="620">
        <v>244</v>
      </c>
      <c r="D55" s="620">
        <v>221</v>
      </c>
      <c r="E55" s="596">
        <f t="shared" si="14"/>
        <v>44560.93</v>
      </c>
      <c r="F55" s="595">
        <f>'Прилож 4 24 (7)'!V55</f>
        <v>0</v>
      </c>
      <c r="G55" s="595">
        <f>'Прилож 4 24 (7)'!W55</f>
        <v>0</v>
      </c>
      <c r="H55" s="595">
        <f>'Прилож 4 24 (7)'!X55</f>
        <v>44560.93</v>
      </c>
      <c r="I55" s="628"/>
      <c r="J55" s="595">
        <f>'Прилож 4 24 (7)'!Z55</f>
        <v>0</v>
      </c>
      <c r="K55" s="595">
        <f>'Прилож 4 24 (7)'!AA55</f>
        <v>0</v>
      </c>
      <c r="L55" s="595">
        <f>'Прилож 4 24 (7)'!AB55</f>
        <v>0</v>
      </c>
      <c r="M55" s="876">
        <f t="shared" si="13"/>
        <v>0</v>
      </c>
      <c r="N55" s="875"/>
      <c r="O55" s="875"/>
      <c r="P55" s="875"/>
      <c r="Q55" s="877"/>
      <c r="R55" s="875"/>
      <c r="S55" s="875"/>
      <c r="T55" s="875"/>
      <c r="U55" s="876">
        <f t="shared" si="15"/>
        <v>44560.93</v>
      </c>
      <c r="V55" s="875">
        <f t="shared" si="8"/>
        <v>0</v>
      </c>
      <c r="W55" s="875">
        <f t="shared" si="9"/>
        <v>0</v>
      </c>
      <c r="X55" s="875">
        <f t="shared" si="9"/>
        <v>44560.93</v>
      </c>
      <c r="Y55" s="883"/>
      <c r="Z55" s="875">
        <f t="shared" si="10"/>
        <v>0</v>
      </c>
      <c r="AA55" s="875">
        <f t="shared" si="10"/>
        <v>0</v>
      </c>
      <c r="AB55" s="875">
        <f t="shared" si="10"/>
        <v>0</v>
      </c>
      <c r="AC55" s="878"/>
    </row>
    <row r="56" spans="1:30" ht="32.25" customHeight="1" x14ac:dyDescent="0.2">
      <c r="A56" s="618" t="s">
        <v>597</v>
      </c>
      <c r="B56" s="619" t="s">
        <v>729</v>
      </c>
      <c r="C56" s="620">
        <v>244</v>
      </c>
      <c r="D56" s="620">
        <v>221</v>
      </c>
      <c r="E56" s="596">
        <f t="shared" si="14"/>
        <v>11360</v>
      </c>
      <c r="F56" s="595">
        <f>'Прилож 4 24 (7)'!V56</f>
        <v>0</v>
      </c>
      <c r="G56" s="595">
        <f>'Прилож 4 24 (7)'!W56</f>
        <v>0</v>
      </c>
      <c r="H56" s="595">
        <f>'Прилож 4 24 (7)'!X56</f>
        <v>11360</v>
      </c>
      <c r="I56" s="628"/>
      <c r="J56" s="595">
        <f>'Прилож 4 24 (7)'!Z56</f>
        <v>0</v>
      </c>
      <c r="K56" s="595">
        <f>'Прилож 4 24 (7)'!AA56</f>
        <v>0</v>
      </c>
      <c r="L56" s="595">
        <f>'Прилож 4 24 (7)'!AB56</f>
        <v>0</v>
      </c>
      <c r="M56" s="876">
        <f t="shared" si="13"/>
        <v>0</v>
      </c>
      <c r="N56" s="875"/>
      <c r="O56" s="875"/>
      <c r="P56" s="875"/>
      <c r="Q56" s="877"/>
      <c r="R56" s="875"/>
      <c r="S56" s="875"/>
      <c r="T56" s="875"/>
      <c r="U56" s="876">
        <f t="shared" si="15"/>
        <v>11360</v>
      </c>
      <c r="V56" s="875">
        <f t="shared" si="8"/>
        <v>0</v>
      </c>
      <c r="W56" s="875">
        <f t="shared" si="9"/>
        <v>0</v>
      </c>
      <c r="X56" s="875">
        <f t="shared" si="9"/>
        <v>11360</v>
      </c>
      <c r="Y56" s="883"/>
      <c r="Z56" s="875">
        <f t="shared" si="10"/>
        <v>0</v>
      </c>
      <c r="AA56" s="875">
        <f t="shared" si="10"/>
        <v>0</v>
      </c>
      <c r="AB56" s="875">
        <f t="shared" si="10"/>
        <v>0</v>
      </c>
      <c r="AC56" s="878"/>
    </row>
    <row r="57" spans="1:30" x14ac:dyDescent="0.2">
      <c r="A57" s="618" t="s">
        <v>158</v>
      </c>
      <c r="B57" s="619" t="s">
        <v>729</v>
      </c>
      <c r="C57" s="620">
        <v>244</v>
      </c>
      <c r="D57" s="620">
        <v>221</v>
      </c>
      <c r="E57" s="596">
        <f t="shared" si="14"/>
        <v>6600</v>
      </c>
      <c r="F57" s="595">
        <f>'Прилож 4 24 (7)'!V57</f>
        <v>0</v>
      </c>
      <c r="G57" s="595">
        <f>'Прилож 4 24 (7)'!W57</f>
        <v>0</v>
      </c>
      <c r="H57" s="595">
        <f>'Прилож 4 24 (7)'!X57</f>
        <v>6600</v>
      </c>
      <c r="I57" s="628"/>
      <c r="J57" s="595">
        <f>'Прилож 4 24 (7)'!Z57</f>
        <v>0</v>
      </c>
      <c r="K57" s="595">
        <f>'Прилож 4 24 (7)'!AA57</f>
        <v>0</v>
      </c>
      <c r="L57" s="595">
        <f>'Прилож 4 24 (7)'!AB57</f>
        <v>0</v>
      </c>
      <c r="M57" s="876">
        <f t="shared" si="13"/>
        <v>0</v>
      </c>
      <c r="N57" s="875"/>
      <c r="O57" s="875"/>
      <c r="P57" s="875"/>
      <c r="Q57" s="877"/>
      <c r="R57" s="875"/>
      <c r="S57" s="875"/>
      <c r="T57" s="875"/>
      <c r="U57" s="876">
        <f t="shared" si="15"/>
        <v>6600</v>
      </c>
      <c r="V57" s="875">
        <f t="shared" si="8"/>
        <v>0</v>
      </c>
      <c r="W57" s="875">
        <f t="shared" si="9"/>
        <v>0</v>
      </c>
      <c r="X57" s="875">
        <f t="shared" si="9"/>
        <v>6600</v>
      </c>
      <c r="Y57" s="883"/>
      <c r="Z57" s="875">
        <f t="shared" si="10"/>
        <v>0</v>
      </c>
      <c r="AA57" s="875">
        <f t="shared" si="10"/>
        <v>0</v>
      </c>
      <c r="AB57" s="875">
        <f t="shared" si="10"/>
        <v>0</v>
      </c>
      <c r="AC57" s="878"/>
    </row>
    <row r="58" spans="1:30" s="637" customFormat="1" x14ac:dyDescent="0.2">
      <c r="A58" s="632" t="s">
        <v>1143</v>
      </c>
      <c r="B58" s="633" t="s">
        <v>729</v>
      </c>
      <c r="C58" s="634">
        <v>244</v>
      </c>
      <c r="D58" s="634">
        <v>221</v>
      </c>
      <c r="E58" s="596">
        <f t="shared" si="14"/>
        <v>62520.929999999993</v>
      </c>
      <c r="F58" s="595">
        <f>'Прилож 4 24 (7)'!V58</f>
        <v>0</v>
      </c>
      <c r="G58" s="595">
        <f>'Прилож 4 24 (7)'!W58</f>
        <v>0</v>
      </c>
      <c r="H58" s="595">
        <f>'Прилож 4 24 (7)'!X58</f>
        <v>62520.929999999993</v>
      </c>
      <c r="I58" s="635"/>
      <c r="J58" s="595">
        <f>'Прилож 4 24 (7)'!Z58</f>
        <v>0</v>
      </c>
      <c r="K58" s="595">
        <f>'Прилож 4 24 (7)'!AA58</f>
        <v>0</v>
      </c>
      <c r="L58" s="595">
        <f>'Прилож 4 24 (7)'!AB58</f>
        <v>0</v>
      </c>
      <c r="M58" s="876">
        <f t="shared" si="13"/>
        <v>0</v>
      </c>
      <c r="N58" s="884"/>
      <c r="O58" s="884"/>
      <c r="P58" s="884">
        <f>SUM(P55:P57)</f>
        <v>0</v>
      </c>
      <c r="Q58" s="885"/>
      <c r="R58" s="884"/>
      <c r="S58" s="884"/>
      <c r="T58" s="884"/>
      <c r="U58" s="876">
        <f t="shared" si="15"/>
        <v>62520.929999999993</v>
      </c>
      <c r="V58" s="875">
        <f t="shared" si="8"/>
        <v>0</v>
      </c>
      <c r="W58" s="875">
        <f t="shared" si="9"/>
        <v>0</v>
      </c>
      <c r="X58" s="875">
        <f t="shared" si="9"/>
        <v>62520.929999999993</v>
      </c>
      <c r="Y58" s="885"/>
      <c r="Z58" s="875">
        <f t="shared" si="10"/>
        <v>0</v>
      </c>
      <c r="AA58" s="875">
        <f t="shared" si="10"/>
        <v>0</v>
      </c>
      <c r="AB58" s="875">
        <f t="shared" si="10"/>
        <v>0</v>
      </c>
      <c r="AC58" s="886"/>
    </row>
    <row r="59" spans="1:30" s="614" customFormat="1" x14ac:dyDescent="0.2">
      <c r="A59" s="630" t="s">
        <v>734</v>
      </c>
      <c r="B59" s="631"/>
      <c r="C59" s="624"/>
      <c r="D59" s="624"/>
      <c r="E59" s="596">
        <f t="shared" si="14"/>
        <v>119573.22999999998</v>
      </c>
      <c r="F59" s="595">
        <f>'Прилож 4 24 (7)'!V59</f>
        <v>0</v>
      </c>
      <c r="G59" s="595">
        <f>'Прилож 4 24 (7)'!W59</f>
        <v>0</v>
      </c>
      <c r="H59" s="595">
        <f>'Прилож 4 24 (7)'!X59</f>
        <v>119573.22999999998</v>
      </c>
      <c r="I59" s="626"/>
      <c r="J59" s="595">
        <f>'Прилож 4 24 (7)'!Z59</f>
        <v>0</v>
      </c>
      <c r="K59" s="595">
        <f>'Прилож 4 24 (7)'!AA59</f>
        <v>0</v>
      </c>
      <c r="L59" s="595">
        <f>'Прилож 4 24 (7)'!AB59</f>
        <v>0</v>
      </c>
      <c r="M59" s="876">
        <f t="shared" si="13"/>
        <v>0</v>
      </c>
      <c r="N59" s="876"/>
      <c r="O59" s="876"/>
      <c r="P59" s="876">
        <f>P58+P54</f>
        <v>0</v>
      </c>
      <c r="Q59" s="881"/>
      <c r="R59" s="876"/>
      <c r="S59" s="876"/>
      <c r="T59" s="876"/>
      <c r="U59" s="876">
        <f t="shared" si="15"/>
        <v>119573.22999999998</v>
      </c>
      <c r="V59" s="875">
        <f t="shared" si="8"/>
        <v>0</v>
      </c>
      <c r="W59" s="875">
        <f t="shared" si="9"/>
        <v>0</v>
      </c>
      <c r="X59" s="875">
        <f t="shared" si="9"/>
        <v>119573.22999999998</v>
      </c>
      <c r="Y59" s="881"/>
      <c r="Z59" s="875">
        <f t="shared" si="10"/>
        <v>0</v>
      </c>
      <c r="AA59" s="875">
        <f t="shared" si="10"/>
        <v>0</v>
      </c>
      <c r="AB59" s="875">
        <f t="shared" si="10"/>
        <v>0</v>
      </c>
      <c r="AC59" s="879"/>
    </row>
    <row r="60" spans="1:30" x14ac:dyDescent="0.2">
      <c r="A60" s="618" t="s">
        <v>126</v>
      </c>
      <c r="B60" s="619" t="s">
        <v>747</v>
      </c>
      <c r="C60" s="620">
        <v>244</v>
      </c>
      <c r="D60" s="620">
        <v>223</v>
      </c>
      <c r="E60" s="596">
        <f t="shared" si="14"/>
        <v>30113.4</v>
      </c>
      <c r="F60" s="595">
        <f>'Прилож 4 24 (7)'!V60</f>
        <v>0</v>
      </c>
      <c r="G60" s="595">
        <f>'Прилож 4 24 (7)'!W60</f>
        <v>0</v>
      </c>
      <c r="H60" s="595">
        <f>'Прилож 4 24 (7)'!X60</f>
        <v>30113.4</v>
      </c>
      <c r="I60" s="628"/>
      <c r="J60" s="595">
        <f>'Прилож 4 24 (7)'!Z60</f>
        <v>0</v>
      </c>
      <c r="K60" s="595">
        <f>'Прилож 4 24 (7)'!AA60</f>
        <v>0</v>
      </c>
      <c r="L60" s="595">
        <f>'Прилож 4 24 (7)'!AB60</f>
        <v>0</v>
      </c>
      <c r="M60" s="876">
        <f t="shared" si="13"/>
        <v>0</v>
      </c>
      <c r="N60" s="875"/>
      <c r="O60" s="875"/>
      <c r="P60" s="875"/>
      <c r="Q60" s="877"/>
      <c r="R60" s="875"/>
      <c r="S60" s="875"/>
      <c r="T60" s="875"/>
      <c r="U60" s="876">
        <f t="shared" si="15"/>
        <v>30113.4</v>
      </c>
      <c r="V60" s="875">
        <f t="shared" si="8"/>
        <v>0</v>
      </c>
      <c r="W60" s="875">
        <f t="shared" si="9"/>
        <v>0</v>
      </c>
      <c r="X60" s="875">
        <f t="shared" si="9"/>
        <v>30113.4</v>
      </c>
      <c r="Y60" s="883"/>
      <c r="Z60" s="875">
        <f t="shared" si="10"/>
        <v>0</v>
      </c>
      <c r="AA60" s="875">
        <f t="shared" si="10"/>
        <v>0</v>
      </c>
      <c r="AB60" s="875">
        <f t="shared" si="10"/>
        <v>0</v>
      </c>
      <c r="AC60" s="878"/>
    </row>
    <row r="61" spans="1:30" x14ac:dyDescent="0.2">
      <c r="A61" s="618" t="s">
        <v>1261</v>
      </c>
      <c r="B61" s="619" t="s">
        <v>747</v>
      </c>
      <c r="C61" s="620">
        <v>244</v>
      </c>
      <c r="D61" s="620">
        <v>223</v>
      </c>
      <c r="E61" s="596">
        <f t="shared" si="14"/>
        <v>40636.9</v>
      </c>
      <c r="F61" s="595">
        <f>'Прилож 4 24 (7)'!V61</f>
        <v>0</v>
      </c>
      <c r="G61" s="595">
        <f>'Прилож 4 24 (7)'!W61</f>
        <v>0</v>
      </c>
      <c r="H61" s="595">
        <f>'Прилож 4 24 (7)'!X61</f>
        <v>40636.9</v>
      </c>
      <c r="I61" s="628"/>
      <c r="J61" s="595">
        <f>'Прилож 4 24 (7)'!Z61</f>
        <v>0</v>
      </c>
      <c r="K61" s="595">
        <f>'Прилож 4 24 (7)'!AA61</f>
        <v>0</v>
      </c>
      <c r="L61" s="595">
        <f>'Прилож 4 24 (7)'!AB61</f>
        <v>0</v>
      </c>
      <c r="M61" s="876">
        <f t="shared" si="13"/>
        <v>0</v>
      </c>
      <c r="N61" s="875"/>
      <c r="O61" s="875"/>
      <c r="P61" s="875"/>
      <c r="Q61" s="877"/>
      <c r="R61" s="875"/>
      <c r="S61" s="875"/>
      <c r="T61" s="875"/>
      <c r="U61" s="876">
        <f t="shared" si="15"/>
        <v>40636.9</v>
      </c>
      <c r="V61" s="875">
        <f t="shared" si="8"/>
        <v>0</v>
      </c>
      <c r="W61" s="875">
        <f t="shared" ref="W61:X92" si="16">O61+G61</f>
        <v>0</v>
      </c>
      <c r="X61" s="875">
        <f t="shared" si="16"/>
        <v>40636.9</v>
      </c>
      <c r="Y61" s="883"/>
      <c r="Z61" s="875">
        <f t="shared" ref="Z61:AB92" si="17">R61+J61</f>
        <v>0</v>
      </c>
      <c r="AA61" s="875">
        <f t="shared" si="17"/>
        <v>0</v>
      </c>
      <c r="AB61" s="875">
        <f t="shared" si="17"/>
        <v>0</v>
      </c>
      <c r="AC61" s="878"/>
    </row>
    <row r="62" spans="1:30" x14ac:dyDescent="0.2">
      <c r="A62" s="618" t="s">
        <v>128</v>
      </c>
      <c r="B62" s="619" t="s">
        <v>747</v>
      </c>
      <c r="C62" s="620">
        <v>244</v>
      </c>
      <c r="D62" s="620">
        <v>223</v>
      </c>
      <c r="E62" s="596">
        <f t="shared" si="14"/>
        <v>75941.84</v>
      </c>
      <c r="F62" s="595">
        <f>'Прилож 4 24 (7)'!V62</f>
        <v>0</v>
      </c>
      <c r="G62" s="595">
        <f>'Прилож 4 24 (7)'!W62</f>
        <v>0</v>
      </c>
      <c r="H62" s="595">
        <f>'Прилож 4 24 (7)'!X62</f>
        <v>75941.84</v>
      </c>
      <c r="I62" s="628"/>
      <c r="J62" s="595">
        <f>'Прилож 4 24 (7)'!Z62</f>
        <v>0</v>
      </c>
      <c r="K62" s="595">
        <f>'Прилож 4 24 (7)'!AA62</f>
        <v>0</v>
      </c>
      <c r="L62" s="595">
        <f>'Прилож 4 24 (7)'!AB62</f>
        <v>0</v>
      </c>
      <c r="M62" s="876">
        <f t="shared" si="13"/>
        <v>0</v>
      </c>
      <c r="N62" s="875"/>
      <c r="O62" s="875"/>
      <c r="P62" s="875"/>
      <c r="Q62" s="877"/>
      <c r="R62" s="875"/>
      <c r="S62" s="875"/>
      <c r="T62" s="875"/>
      <c r="U62" s="876">
        <f t="shared" si="15"/>
        <v>75941.84</v>
      </c>
      <c r="V62" s="875">
        <f t="shared" si="8"/>
        <v>0</v>
      </c>
      <c r="W62" s="875">
        <f t="shared" si="16"/>
        <v>0</v>
      </c>
      <c r="X62" s="875">
        <f t="shared" si="16"/>
        <v>75941.84</v>
      </c>
      <c r="Y62" s="883"/>
      <c r="Z62" s="875">
        <f t="shared" si="17"/>
        <v>0</v>
      </c>
      <c r="AA62" s="875">
        <f t="shared" si="17"/>
        <v>0</v>
      </c>
      <c r="AB62" s="875">
        <f t="shared" si="17"/>
        <v>0</v>
      </c>
      <c r="AC62" s="878"/>
    </row>
    <row r="63" spans="1:30" x14ac:dyDescent="0.2">
      <c r="A63" s="618" t="s">
        <v>1259</v>
      </c>
      <c r="B63" s="619" t="s">
        <v>747</v>
      </c>
      <c r="C63" s="620">
        <v>244</v>
      </c>
      <c r="D63" s="620">
        <v>223</v>
      </c>
      <c r="E63" s="596">
        <f t="shared" si="14"/>
        <v>78343.55</v>
      </c>
      <c r="F63" s="595">
        <f>'Прилож 4 24 (7)'!V63</f>
        <v>0</v>
      </c>
      <c r="G63" s="595">
        <f>'Прилож 4 24 (7)'!W63</f>
        <v>0</v>
      </c>
      <c r="H63" s="595">
        <f>'Прилож 4 24 (7)'!X63</f>
        <v>78343.55</v>
      </c>
      <c r="I63" s="628"/>
      <c r="J63" s="595">
        <f>'Прилож 4 24 (7)'!Z63</f>
        <v>0</v>
      </c>
      <c r="K63" s="595">
        <f>'Прилож 4 24 (7)'!AA63</f>
        <v>0</v>
      </c>
      <c r="L63" s="595">
        <f>'Прилож 4 24 (7)'!AB63</f>
        <v>0</v>
      </c>
      <c r="M63" s="876">
        <f t="shared" si="13"/>
        <v>0</v>
      </c>
      <c r="N63" s="875"/>
      <c r="O63" s="875"/>
      <c r="P63" s="875"/>
      <c r="Q63" s="877"/>
      <c r="R63" s="875"/>
      <c r="S63" s="875"/>
      <c r="T63" s="875"/>
      <c r="U63" s="876">
        <f t="shared" si="15"/>
        <v>78343.55</v>
      </c>
      <c r="V63" s="875">
        <f t="shared" si="8"/>
        <v>0</v>
      </c>
      <c r="W63" s="875">
        <f t="shared" si="16"/>
        <v>0</v>
      </c>
      <c r="X63" s="875">
        <f t="shared" si="16"/>
        <v>78343.55</v>
      </c>
      <c r="Y63" s="883"/>
      <c r="Z63" s="875">
        <f t="shared" si="17"/>
        <v>0</v>
      </c>
      <c r="AA63" s="875">
        <f t="shared" si="17"/>
        <v>0</v>
      </c>
      <c r="AB63" s="875">
        <f t="shared" si="17"/>
        <v>0</v>
      </c>
      <c r="AC63" s="878"/>
    </row>
    <row r="64" spans="1:30" ht="31.5" x14ac:dyDescent="0.2">
      <c r="A64" s="618" t="s">
        <v>1238</v>
      </c>
      <c r="B64" s="619" t="s">
        <v>747</v>
      </c>
      <c r="C64" s="620">
        <v>244</v>
      </c>
      <c r="D64" s="620">
        <v>223</v>
      </c>
      <c r="E64" s="596">
        <f t="shared" si="14"/>
        <v>37970.92</v>
      </c>
      <c r="F64" s="595">
        <f>'Прилож 4 24 (7)'!V64</f>
        <v>0</v>
      </c>
      <c r="G64" s="595">
        <f>'Прилож 4 24 (7)'!W64</f>
        <v>0</v>
      </c>
      <c r="H64" s="595">
        <f>'Прилож 4 24 (7)'!X64</f>
        <v>37970.92</v>
      </c>
      <c r="I64" s="628"/>
      <c r="J64" s="595">
        <f>'Прилож 4 24 (7)'!Z64</f>
        <v>0</v>
      </c>
      <c r="K64" s="595">
        <f>'Прилож 4 24 (7)'!AA64</f>
        <v>0</v>
      </c>
      <c r="L64" s="595">
        <f>'Прилож 4 24 (7)'!AB64</f>
        <v>0</v>
      </c>
      <c r="M64" s="876">
        <f t="shared" si="13"/>
        <v>0</v>
      </c>
      <c r="N64" s="875"/>
      <c r="O64" s="875"/>
      <c r="P64" s="875"/>
      <c r="Q64" s="877"/>
      <c r="R64" s="875"/>
      <c r="S64" s="875"/>
      <c r="T64" s="875"/>
      <c r="U64" s="876">
        <f t="shared" si="15"/>
        <v>37970.92</v>
      </c>
      <c r="V64" s="875">
        <f t="shared" si="8"/>
        <v>0</v>
      </c>
      <c r="W64" s="875">
        <f t="shared" si="16"/>
        <v>0</v>
      </c>
      <c r="X64" s="875">
        <f t="shared" si="16"/>
        <v>37970.92</v>
      </c>
      <c r="Y64" s="883"/>
      <c r="Z64" s="875">
        <f t="shared" si="17"/>
        <v>0</v>
      </c>
      <c r="AA64" s="875">
        <f t="shared" si="17"/>
        <v>0</v>
      </c>
      <c r="AB64" s="875">
        <f t="shared" si="17"/>
        <v>0</v>
      </c>
      <c r="AC64" s="878"/>
    </row>
    <row r="65" spans="1:29" ht="31.5" x14ac:dyDescent="0.2">
      <c r="A65" s="618" t="s">
        <v>1262</v>
      </c>
      <c r="B65" s="619" t="s">
        <v>747</v>
      </c>
      <c r="C65" s="620">
        <v>244</v>
      </c>
      <c r="D65" s="620">
        <v>223</v>
      </c>
      <c r="E65" s="596">
        <f t="shared" si="14"/>
        <v>39171.78</v>
      </c>
      <c r="F65" s="595">
        <f>'Прилож 4 24 (7)'!V65</f>
        <v>0</v>
      </c>
      <c r="G65" s="595">
        <f>'Прилож 4 24 (7)'!W65</f>
        <v>0</v>
      </c>
      <c r="H65" s="595">
        <f>'Прилож 4 24 (7)'!X65</f>
        <v>39171.78</v>
      </c>
      <c r="I65" s="628"/>
      <c r="J65" s="595">
        <f>'Прилож 4 24 (7)'!Z65</f>
        <v>0</v>
      </c>
      <c r="K65" s="595">
        <f>'Прилож 4 24 (7)'!AA65</f>
        <v>0</v>
      </c>
      <c r="L65" s="595">
        <f>'Прилож 4 24 (7)'!AB65</f>
        <v>0</v>
      </c>
      <c r="M65" s="876">
        <f t="shared" si="13"/>
        <v>0</v>
      </c>
      <c r="N65" s="875"/>
      <c r="O65" s="875"/>
      <c r="P65" s="875"/>
      <c r="Q65" s="877"/>
      <c r="R65" s="875"/>
      <c r="S65" s="875"/>
      <c r="T65" s="875"/>
      <c r="U65" s="876">
        <f t="shared" si="15"/>
        <v>39171.78</v>
      </c>
      <c r="V65" s="875">
        <f t="shared" si="8"/>
        <v>0</v>
      </c>
      <c r="W65" s="875">
        <f t="shared" si="16"/>
        <v>0</v>
      </c>
      <c r="X65" s="875">
        <f t="shared" si="16"/>
        <v>39171.78</v>
      </c>
      <c r="Y65" s="883"/>
      <c r="Z65" s="875">
        <f t="shared" si="17"/>
        <v>0</v>
      </c>
      <c r="AA65" s="875">
        <f t="shared" si="17"/>
        <v>0</v>
      </c>
      <c r="AB65" s="875">
        <f t="shared" si="17"/>
        <v>0</v>
      </c>
      <c r="AC65" s="878"/>
    </row>
    <row r="66" spans="1:29" ht="31.5" x14ac:dyDescent="0.2">
      <c r="A66" s="618" t="s">
        <v>1140</v>
      </c>
      <c r="B66" s="619" t="s">
        <v>747</v>
      </c>
      <c r="C66" s="620">
        <v>244</v>
      </c>
      <c r="D66" s="620">
        <v>223</v>
      </c>
      <c r="E66" s="596">
        <f t="shared" si="14"/>
        <v>9612.2000000000007</v>
      </c>
      <c r="F66" s="595">
        <f>'Прилож 4 24 (7)'!V66</f>
        <v>0</v>
      </c>
      <c r="G66" s="595">
        <f>'Прилож 4 24 (7)'!W66</f>
        <v>0</v>
      </c>
      <c r="H66" s="595">
        <f>'Прилож 4 24 (7)'!X66</f>
        <v>9612.2000000000007</v>
      </c>
      <c r="I66" s="628"/>
      <c r="J66" s="595">
        <f>'Прилож 4 24 (7)'!Z66</f>
        <v>0</v>
      </c>
      <c r="K66" s="595">
        <f>'Прилож 4 24 (7)'!AA66</f>
        <v>0</v>
      </c>
      <c r="L66" s="595">
        <f>'Прилож 4 24 (7)'!AB66</f>
        <v>0</v>
      </c>
      <c r="M66" s="876">
        <f t="shared" si="13"/>
        <v>0</v>
      </c>
      <c r="N66" s="875"/>
      <c r="O66" s="875"/>
      <c r="P66" s="875"/>
      <c r="Q66" s="877"/>
      <c r="R66" s="875"/>
      <c r="S66" s="875"/>
      <c r="T66" s="875"/>
      <c r="U66" s="876">
        <f t="shared" si="15"/>
        <v>9612.2000000000007</v>
      </c>
      <c r="V66" s="875">
        <f t="shared" si="8"/>
        <v>0</v>
      </c>
      <c r="W66" s="875">
        <f t="shared" si="16"/>
        <v>0</v>
      </c>
      <c r="X66" s="875">
        <f t="shared" si="16"/>
        <v>9612.2000000000007</v>
      </c>
      <c r="Y66" s="883"/>
      <c r="Z66" s="875">
        <f t="shared" si="17"/>
        <v>0</v>
      </c>
      <c r="AA66" s="875">
        <f t="shared" si="17"/>
        <v>0</v>
      </c>
      <c r="AB66" s="875">
        <f t="shared" si="17"/>
        <v>0</v>
      </c>
      <c r="AC66" s="878"/>
    </row>
    <row r="67" spans="1:29" ht="48.75" customHeight="1" x14ac:dyDescent="0.2">
      <c r="A67" s="618" t="s">
        <v>1141</v>
      </c>
      <c r="B67" s="619" t="s">
        <v>747</v>
      </c>
      <c r="C67" s="620">
        <v>244</v>
      </c>
      <c r="D67" s="620">
        <v>223</v>
      </c>
      <c r="E67" s="596">
        <f t="shared" si="14"/>
        <v>9008.24</v>
      </c>
      <c r="F67" s="595">
        <f>'Прилож 4 24 (7)'!V67</f>
        <v>0</v>
      </c>
      <c r="G67" s="595">
        <f>'Прилож 4 24 (7)'!W67</f>
        <v>0</v>
      </c>
      <c r="H67" s="595">
        <f>'Прилож 4 24 (7)'!X67</f>
        <v>9008.24</v>
      </c>
      <c r="I67" s="628"/>
      <c r="J67" s="595">
        <f>'Прилож 4 24 (7)'!Z67</f>
        <v>0</v>
      </c>
      <c r="K67" s="595">
        <f>'Прилож 4 24 (7)'!AA67</f>
        <v>0</v>
      </c>
      <c r="L67" s="595">
        <f>'Прилож 4 24 (7)'!AB67</f>
        <v>0</v>
      </c>
      <c r="M67" s="876">
        <f t="shared" si="13"/>
        <v>0</v>
      </c>
      <c r="N67" s="875"/>
      <c r="O67" s="875"/>
      <c r="P67" s="875"/>
      <c r="Q67" s="877"/>
      <c r="R67" s="875"/>
      <c r="S67" s="875"/>
      <c r="T67" s="875"/>
      <c r="U67" s="876">
        <f t="shared" si="15"/>
        <v>9008.24</v>
      </c>
      <c r="V67" s="875">
        <f t="shared" si="8"/>
        <v>0</v>
      </c>
      <c r="W67" s="875">
        <f t="shared" si="16"/>
        <v>0</v>
      </c>
      <c r="X67" s="875">
        <f t="shared" si="16"/>
        <v>9008.24</v>
      </c>
      <c r="Y67" s="883"/>
      <c r="Z67" s="875">
        <f t="shared" si="17"/>
        <v>0</v>
      </c>
      <c r="AA67" s="875">
        <f t="shared" si="17"/>
        <v>0</v>
      </c>
      <c r="AB67" s="875">
        <f t="shared" si="17"/>
        <v>0</v>
      </c>
      <c r="AC67" s="878"/>
    </row>
    <row r="68" spans="1:29" ht="36" customHeight="1" x14ac:dyDescent="0.2">
      <c r="A68" s="618" t="s">
        <v>130</v>
      </c>
      <c r="B68" s="619" t="s">
        <v>747</v>
      </c>
      <c r="C68" s="620">
        <v>244</v>
      </c>
      <c r="D68" s="620">
        <v>223</v>
      </c>
      <c r="E68" s="596">
        <f t="shared" si="14"/>
        <v>50838.7</v>
      </c>
      <c r="F68" s="595">
        <f>'Прилож 4 24 (7)'!V68</f>
        <v>0</v>
      </c>
      <c r="G68" s="595">
        <f>'Прилож 4 24 (7)'!W68</f>
        <v>0</v>
      </c>
      <c r="H68" s="595">
        <f>'Прилож 4 24 (7)'!X68</f>
        <v>50838.7</v>
      </c>
      <c r="I68" s="628"/>
      <c r="J68" s="595">
        <f>'Прилож 4 24 (7)'!Z68</f>
        <v>0</v>
      </c>
      <c r="K68" s="595">
        <f>'Прилож 4 24 (7)'!AA68</f>
        <v>0</v>
      </c>
      <c r="L68" s="595">
        <f>'Прилож 4 24 (7)'!AB68</f>
        <v>0</v>
      </c>
      <c r="M68" s="876">
        <f t="shared" si="13"/>
        <v>0</v>
      </c>
      <c r="N68" s="875"/>
      <c r="O68" s="875"/>
      <c r="P68" s="875"/>
      <c r="Q68" s="877"/>
      <c r="R68" s="875"/>
      <c r="S68" s="875"/>
      <c r="T68" s="875"/>
      <c r="U68" s="876">
        <f t="shared" si="15"/>
        <v>50838.7</v>
      </c>
      <c r="V68" s="875">
        <f t="shared" si="8"/>
        <v>0</v>
      </c>
      <c r="W68" s="875">
        <f t="shared" si="16"/>
        <v>0</v>
      </c>
      <c r="X68" s="875">
        <f t="shared" si="16"/>
        <v>50838.7</v>
      </c>
      <c r="Y68" s="883"/>
      <c r="Z68" s="875">
        <f t="shared" si="17"/>
        <v>0</v>
      </c>
      <c r="AA68" s="875">
        <f t="shared" si="17"/>
        <v>0</v>
      </c>
      <c r="AB68" s="875">
        <f t="shared" si="17"/>
        <v>0</v>
      </c>
      <c r="AC68" s="878"/>
    </row>
    <row r="69" spans="1:29" s="637" customFormat="1" ht="16.5" customHeight="1" x14ac:dyDescent="0.2">
      <c r="A69" s="632" t="s">
        <v>1143</v>
      </c>
      <c r="B69" s="633" t="s">
        <v>747</v>
      </c>
      <c r="C69" s="634">
        <v>244</v>
      </c>
      <c r="D69" s="634">
        <v>223</v>
      </c>
      <c r="E69" s="596">
        <f t="shared" si="14"/>
        <v>371637.53</v>
      </c>
      <c r="F69" s="595">
        <f>'Прилож 4 24 (7)'!V69</f>
        <v>0</v>
      </c>
      <c r="G69" s="595">
        <f>'Прилож 4 24 (7)'!W69</f>
        <v>0</v>
      </c>
      <c r="H69" s="595">
        <f>'Прилож 4 24 (7)'!X69</f>
        <v>371637.53</v>
      </c>
      <c r="I69" s="639"/>
      <c r="J69" s="595">
        <f>'Прилож 4 24 (7)'!Z69</f>
        <v>0</v>
      </c>
      <c r="K69" s="595">
        <f>'Прилож 4 24 (7)'!AA69</f>
        <v>0</v>
      </c>
      <c r="L69" s="595">
        <f>'Прилож 4 24 (7)'!AB69</f>
        <v>0</v>
      </c>
      <c r="M69" s="876">
        <f t="shared" si="13"/>
        <v>0</v>
      </c>
      <c r="N69" s="887"/>
      <c r="O69" s="887"/>
      <c r="P69" s="887"/>
      <c r="Q69" s="888"/>
      <c r="R69" s="887"/>
      <c r="S69" s="887"/>
      <c r="T69" s="887"/>
      <c r="U69" s="876">
        <f t="shared" si="15"/>
        <v>371637.53</v>
      </c>
      <c r="V69" s="875">
        <f t="shared" si="8"/>
        <v>0</v>
      </c>
      <c r="W69" s="875">
        <f t="shared" si="16"/>
        <v>0</v>
      </c>
      <c r="X69" s="875">
        <f t="shared" si="16"/>
        <v>371637.53</v>
      </c>
      <c r="Y69" s="889"/>
      <c r="Z69" s="875">
        <f t="shared" si="17"/>
        <v>0</v>
      </c>
      <c r="AA69" s="875">
        <f t="shared" si="17"/>
        <v>0</v>
      </c>
      <c r="AB69" s="875">
        <f t="shared" si="17"/>
        <v>0</v>
      </c>
      <c r="AC69" s="886"/>
    </row>
    <row r="70" spans="1:29" x14ac:dyDescent="0.2">
      <c r="A70" s="618" t="s">
        <v>126</v>
      </c>
      <c r="B70" s="619" t="s">
        <v>729</v>
      </c>
      <c r="C70" s="620">
        <v>244</v>
      </c>
      <c r="D70" s="620">
        <v>223</v>
      </c>
      <c r="E70" s="596">
        <f t="shared" si="14"/>
        <v>17818.059999999998</v>
      </c>
      <c r="F70" s="595">
        <f>'Прилож 4 24 (7)'!V70</f>
        <v>0</v>
      </c>
      <c r="G70" s="595">
        <f>'Прилож 4 24 (7)'!W70</f>
        <v>0</v>
      </c>
      <c r="H70" s="595">
        <f>'Прилож 4 24 (7)'!X70</f>
        <v>9511.2999999999993</v>
      </c>
      <c r="I70" s="628"/>
      <c r="J70" s="595">
        <f>'Прилож 4 24 (7)'!Z70</f>
        <v>0</v>
      </c>
      <c r="K70" s="595">
        <f>'Прилож 4 24 (7)'!AA70</f>
        <v>0</v>
      </c>
      <c r="L70" s="595">
        <f>'Прилож 4 24 (7)'!AB70</f>
        <v>8306.76</v>
      </c>
      <c r="M70" s="876">
        <f t="shared" si="13"/>
        <v>0</v>
      </c>
      <c r="N70" s="875"/>
      <c r="O70" s="875"/>
      <c r="P70" s="875"/>
      <c r="Q70" s="877"/>
      <c r="R70" s="875"/>
      <c r="S70" s="875"/>
      <c r="T70" s="875"/>
      <c r="U70" s="876">
        <f t="shared" si="15"/>
        <v>17818.059999999998</v>
      </c>
      <c r="V70" s="875">
        <f t="shared" si="8"/>
        <v>0</v>
      </c>
      <c r="W70" s="875">
        <f t="shared" si="16"/>
        <v>0</v>
      </c>
      <c r="X70" s="875">
        <f t="shared" si="16"/>
        <v>9511.2999999999993</v>
      </c>
      <c r="Y70" s="883"/>
      <c r="Z70" s="875">
        <f t="shared" si="17"/>
        <v>0</v>
      </c>
      <c r="AA70" s="875">
        <f t="shared" si="17"/>
        <v>0</v>
      </c>
      <c r="AB70" s="875">
        <f t="shared" si="17"/>
        <v>8306.76</v>
      </c>
      <c r="AC70" s="878"/>
    </row>
    <row r="71" spans="1:29" x14ac:dyDescent="0.2">
      <c r="A71" s="618" t="s">
        <v>127</v>
      </c>
      <c r="B71" s="619" t="s">
        <v>729</v>
      </c>
      <c r="C71" s="620">
        <v>244</v>
      </c>
      <c r="D71" s="620">
        <v>223</v>
      </c>
      <c r="E71" s="596">
        <f t="shared" si="14"/>
        <v>10576.599999999999</v>
      </c>
      <c r="F71" s="595">
        <f>'Прилож 4 24 (7)'!V71</f>
        <v>0</v>
      </c>
      <c r="G71" s="595">
        <f>'Прилож 4 24 (7)'!W71</f>
        <v>0</v>
      </c>
      <c r="H71" s="595">
        <f>'Прилож 4 24 (7)'!X71</f>
        <v>4191.91</v>
      </c>
      <c r="I71" s="628"/>
      <c r="J71" s="595">
        <f>'Прилож 4 24 (7)'!Z71</f>
        <v>0</v>
      </c>
      <c r="K71" s="595">
        <f>'Прилож 4 24 (7)'!AA71</f>
        <v>0</v>
      </c>
      <c r="L71" s="595">
        <f>'Прилож 4 24 (7)'!AB71</f>
        <v>6384.69</v>
      </c>
      <c r="M71" s="876">
        <f t="shared" si="13"/>
        <v>0</v>
      </c>
      <c r="N71" s="875"/>
      <c r="O71" s="875"/>
      <c r="P71" s="875"/>
      <c r="Q71" s="877"/>
      <c r="R71" s="875"/>
      <c r="S71" s="875"/>
      <c r="T71" s="875"/>
      <c r="U71" s="876">
        <f t="shared" si="15"/>
        <v>10576.599999999999</v>
      </c>
      <c r="V71" s="875">
        <f t="shared" si="8"/>
        <v>0</v>
      </c>
      <c r="W71" s="875">
        <f t="shared" si="16"/>
        <v>0</v>
      </c>
      <c r="X71" s="875">
        <f t="shared" si="16"/>
        <v>4191.91</v>
      </c>
      <c r="Y71" s="883"/>
      <c r="Z71" s="875">
        <f t="shared" si="17"/>
        <v>0</v>
      </c>
      <c r="AA71" s="875">
        <f t="shared" si="17"/>
        <v>0</v>
      </c>
      <c r="AB71" s="875">
        <f t="shared" si="17"/>
        <v>6384.69</v>
      </c>
      <c r="AC71" s="878"/>
    </row>
    <row r="72" spans="1:29" x14ac:dyDescent="0.2">
      <c r="A72" s="618" t="s">
        <v>128</v>
      </c>
      <c r="B72" s="619" t="s">
        <v>729</v>
      </c>
      <c r="C72" s="620">
        <v>244</v>
      </c>
      <c r="D72" s="620">
        <v>223</v>
      </c>
      <c r="E72" s="596">
        <f t="shared" si="14"/>
        <v>36541.259999999995</v>
      </c>
      <c r="F72" s="595">
        <f>'Прилож 4 24 (7)'!V72</f>
        <v>0</v>
      </c>
      <c r="G72" s="595">
        <f>'Прилож 4 24 (7)'!W72</f>
        <v>0</v>
      </c>
      <c r="H72" s="595">
        <f>'Прилож 4 24 (7)'!X72</f>
        <v>19267.8</v>
      </c>
      <c r="I72" s="628"/>
      <c r="J72" s="595">
        <f>'Прилож 4 24 (7)'!Z72</f>
        <v>0</v>
      </c>
      <c r="K72" s="595">
        <f>'Прилож 4 24 (7)'!AA72</f>
        <v>0</v>
      </c>
      <c r="L72" s="595">
        <f>'Прилож 4 24 (7)'!AB72</f>
        <v>17273.46</v>
      </c>
      <c r="M72" s="876">
        <f t="shared" si="13"/>
        <v>0</v>
      </c>
      <c r="N72" s="875"/>
      <c r="O72" s="875"/>
      <c r="P72" s="875"/>
      <c r="Q72" s="877"/>
      <c r="R72" s="875"/>
      <c r="S72" s="875"/>
      <c r="T72" s="875"/>
      <c r="U72" s="876">
        <f t="shared" si="15"/>
        <v>36541.259999999995</v>
      </c>
      <c r="V72" s="875">
        <f t="shared" si="8"/>
        <v>0</v>
      </c>
      <c r="W72" s="875">
        <f t="shared" si="16"/>
        <v>0</v>
      </c>
      <c r="X72" s="875">
        <f t="shared" si="16"/>
        <v>19267.8</v>
      </c>
      <c r="Y72" s="883"/>
      <c r="Z72" s="875">
        <f t="shared" si="17"/>
        <v>0</v>
      </c>
      <c r="AA72" s="875">
        <f t="shared" si="17"/>
        <v>0</v>
      </c>
      <c r="AB72" s="875">
        <f t="shared" si="17"/>
        <v>17273.46</v>
      </c>
      <c r="AC72" s="878"/>
    </row>
    <row r="73" spans="1:29" x14ac:dyDescent="0.2">
      <c r="A73" s="618" t="s">
        <v>129</v>
      </c>
      <c r="B73" s="619" t="s">
        <v>729</v>
      </c>
      <c r="C73" s="620">
        <v>244</v>
      </c>
      <c r="D73" s="620">
        <v>223</v>
      </c>
      <c r="E73" s="596">
        <f t="shared" si="14"/>
        <v>26001.4</v>
      </c>
      <c r="F73" s="595">
        <f>'Прилож 4 24 (7)'!V73</f>
        <v>0</v>
      </c>
      <c r="G73" s="595">
        <f>'Прилож 4 24 (7)'!W73</f>
        <v>0</v>
      </c>
      <c r="H73" s="595">
        <f>'Прилож 4 24 (7)'!X73</f>
        <v>12829.48</v>
      </c>
      <c r="I73" s="628"/>
      <c r="J73" s="595">
        <f>'Прилож 4 24 (7)'!Z73</f>
        <v>0</v>
      </c>
      <c r="K73" s="595">
        <f>'Прилож 4 24 (7)'!AA73</f>
        <v>0</v>
      </c>
      <c r="L73" s="595">
        <f>'Прилож 4 24 (7)'!AB73</f>
        <v>13171.92</v>
      </c>
      <c r="M73" s="876">
        <f t="shared" si="13"/>
        <v>0</v>
      </c>
      <c r="N73" s="875"/>
      <c r="O73" s="875"/>
      <c r="P73" s="875"/>
      <c r="Q73" s="877"/>
      <c r="R73" s="875"/>
      <c r="S73" s="875"/>
      <c r="T73" s="875"/>
      <c r="U73" s="876">
        <f t="shared" si="15"/>
        <v>26001.4</v>
      </c>
      <c r="V73" s="875">
        <f t="shared" si="8"/>
        <v>0</v>
      </c>
      <c r="W73" s="875">
        <f t="shared" si="16"/>
        <v>0</v>
      </c>
      <c r="X73" s="875">
        <f t="shared" si="16"/>
        <v>12829.48</v>
      </c>
      <c r="Y73" s="883"/>
      <c r="Z73" s="875">
        <f t="shared" si="17"/>
        <v>0</v>
      </c>
      <c r="AA73" s="875">
        <f t="shared" si="17"/>
        <v>0</v>
      </c>
      <c r="AB73" s="875">
        <f t="shared" si="17"/>
        <v>13171.92</v>
      </c>
      <c r="AC73" s="878"/>
    </row>
    <row r="74" spans="1:29" ht="31.5" x14ac:dyDescent="0.2">
      <c r="A74" s="618" t="s">
        <v>1238</v>
      </c>
      <c r="B74" s="619" t="s">
        <v>729</v>
      </c>
      <c r="C74" s="620">
        <v>244</v>
      </c>
      <c r="D74" s="620">
        <v>223</v>
      </c>
      <c r="E74" s="596">
        <f t="shared" si="14"/>
        <v>18270.629999999997</v>
      </c>
      <c r="F74" s="595">
        <f>'Прилож 4 24 (7)'!V74</f>
        <v>0</v>
      </c>
      <c r="G74" s="595">
        <f>'Прилож 4 24 (7)'!W74</f>
        <v>0</v>
      </c>
      <c r="H74" s="595">
        <f>'Прилож 4 24 (7)'!X74</f>
        <v>9633.9</v>
      </c>
      <c r="I74" s="628"/>
      <c r="J74" s="595">
        <f>'Прилож 4 24 (7)'!Z74</f>
        <v>0</v>
      </c>
      <c r="K74" s="595">
        <f>'Прилож 4 24 (7)'!AA74</f>
        <v>0</v>
      </c>
      <c r="L74" s="595">
        <f>'Прилож 4 24 (7)'!AB74</f>
        <v>8636.73</v>
      </c>
      <c r="M74" s="876">
        <f t="shared" si="13"/>
        <v>0</v>
      </c>
      <c r="N74" s="875"/>
      <c r="O74" s="875"/>
      <c r="P74" s="875"/>
      <c r="Q74" s="877"/>
      <c r="R74" s="875"/>
      <c r="S74" s="875"/>
      <c r="T74" s="875"/>
      <c r="U74" s="876">
        <f t="shared" si="15"/>
        <v>18270.629999999997</v>
      </c>
      <c r="V74" s="875">
        <f t="shared" si="8"/>
        <v>0</v>
      </c>
      <c r="W74" s="875">
        <f t="shared" si="16"/>
        <v>0</v>
      </c>
      <c r="X74" s="875">
        <f t="shared" si="16"/>
        <v>9633.9</v>
      </c>
      <c r="Y74" s="883"/>
      <c r="Z74" s="875">
        <f t="shared" si="17"/>
        <v>0</v>
      </c>
      <c r="AA74" s="875">
        <f t="shared" si="17"/>
        <v>0</v>
      </c>
      <c r="AB74" s="875">
        <f t="shared" si="17"/>
        <v>8636.73</v>
      </c>
      <c r="AC74" s="878"/>
    </row>
    <row r="75" spans="1:29" ht="31.5" x14ac:dyDescent="0.2">
      <c r="A75" s="618" t="s">
        <v>1239</v>
      </c>
      <c r="B75" s="619" t="s">
        <v>729</v>
      </c>
      <c r="C75" s="620">
        <v>244</v>
      </c>
      <c r="D75" s="620">
        <v>223</v>
      </c>
      <c r="E75" s="596">
        <f t="shared" si="14"/>
        <v>13000.7</v>
      </c>
      <c r="F75" s="595">
        <f>'Прилож 4 24 (7)'!V75</f>
        <v>0</v>
      </c>
      <c r="G75" s="595">
        <f>'Прилож 4 24 (7)'!W75</f>
        <v>0</v>
      </c>
      <c r="H75" s="595">
        <f>'Прилож 4 24 (7)'!X75</f>
        <v>6414.74</v>
      </c>
      <c r="I75" s="628"/>
      <c r="J75" s="595">
        <f>'Прилож 4 24 (7)'!Z75</f>
        <v>0</v>
      </c>
      <c r="K75" s="595">
        <f>'Прилож 4 24 (7)'!AA75</f>
        <v>0</v>
      </c>
      <c r="L75" s="595">
        <f>'Прилож 4 24 (7)'!AB75</f>
        <v>6585.96</v>
      </c>
      <c r="M75" s="876">
        <f t="shared" si="13"/>
        <v>0</v>
      </c>
      <c r="N75" s="875"/>
      <c r="O75" s="875"/>
      <c r="P75" s="875"/>
      <c r="Q75" s="877"/>
      <c r="R75" s="875"/>
      <c r="S75" s="875"/>
      <c r="T75" s="875"/>
      <c r="U75" s="876">
        <f t="shared" si="15"/>
        <v>13000.7</v>
      </c>
      <c r="V75" s="875">
        <f t="shared" si="8"/>
        <v>0</v>
      </c>
      <c r="W75" s="875">
        <f t="shared" si="16"/>
        <v>0</v>
      </c>
      <c r="X75" s="875">
        <f t="shared" si="16"/>
        <v>6414.74</v>
      </c>
      <c r="Y75" s="883"/>
      <c r="Z75" s="875">
        <f t="shared" si="17"/>
        <v>0</v>
      </c>
      <c r="AA75" s="875">
        <f t="shared" si="17"/>
        <v>0</v>
      </c>
      <c r="AB75" s="875">
        <f t="shared" si="17"/>
        <v>6585.96</v>
      </c>
      <c r="AC75" s="878"/>
    </row>
    <row r="76" spans="1:29" ht="31.5" x14ac:dyDescent="0.2">
      <c r="A76" s="618" t="s">
        <v>1140</v>
      </c>
      <c r="B76" s="619" t="s">
        <v>729</v>
      </c>
      <c r="C76" s="620">
        <v>244</v>
      </c>
      <c r="D76" s="620">
        <v>223</v>
      </c>
      <c r="E76" s="596">
        <f t="shared" si="14"/>
        <v>30788.12</v>
      </c>
      <c r="F76" s="595">
        <f>'Прилож 4 24 (7)'!V76</f>
        <v>0</v>
      </c>
      <c r="G76" s="595">
        <f>'Прилож 4 24 (7)'!W76</f>
        <v>0</v>
      </c>
      <c r="H76" s="595">
        <f>'Прилож 4 24 (7)'!X76</f>
        <v>30788.12</v>
      </c>
      <c r="I76" s="628"/>
      <c r="J76" s="595">
        <f>'Прилож 4 24 (7)'!Z76</f>
        <v>0</v>
      </c>
      <c r="K76" s="595">
        <f>'Прилож 4 24 (7)'!AA76</f>
        <v>0</v>
      </c>
      <c r="L76" s="595">
        <f>'Прилож 4 24 (7)'!AB76</f>
        <v>0</v>
      </c>
      <c r="M76" s="876">
        <f t="shared" si="13"/>
        <v>0</v>
      </c>
      <c r="N76" s="875"/>
      <c r="O76" s="875"/>
      <c r="P76" s="875"/>
      <c r="Q76" s="877"/>
      <c r="R76" s="875"/>
      <c r="S76" s="875"/>
      <c r="T76" s="875"/>
      <c r="U76" s="876">
        <f t="shared" si="15"/>
        <v>30788.12</v>
      </c>
      <c r="V76" s="875">
        <f t="shared" si="8"/>
        <v>0</v>
      </c>
      <c r="W76" s="875">
        <f t="shared" si="16"/>
        <v>0</v>
      </c>
      <c r="X76" s="875">
        <f t="shared" si="16"/>
        <v>30788.12</v>
      </c>
      <c r="Y76" s="883"/>
      <c r="Z76" s="875">
        <f t="shared" si="17"/>
        <v>0</v>
      </c>
      <c r="AA76" s="875">
        <f t="shared" si="17"/>
        <v>0</v>
      </c>
      <c r="AB76" s="875">
        <f t="shared" si="17"/>
        <v>0</v>
      </c>
      <c r="AC76" s="878"/>
    </row>
    <row r="77" spans="1:29" ht="31.5" x14ac:dyDescent="0.2">
      <c r="A77" s="618" t="s">
        <v>1141</v>
      </c>
      <c r="B77" s="619" t="s">
        <v>729</v>
      </c>
      <c r="C77" s="620">
        <v>244</v>
      </c>
      <c r="D77" s="620">
        <v>223</v>
      </c>
      <c r="E77" s="596">
        <f t="shared" si="14"/>
        <v>28826.37</v>
      </c>
      <c r="F77" s="595">
        <f>'Прилож 4 24 (7)'!V77</f>
        <v>0</v>
      </c>
      <c r="G77" s="595">
        <f>'Прилож 4 24 (7)'!W77</f>
        <v>0</v>
      </c>
      <c r="H77" s="595">
        <f>'Прилож 4 24 (7)'!X77</f>
        <v>28826.37</v>
      </c>
      <c r="I77" s="628"/>
      <c r="J77" s="595">
        <f>'Прилож 4 24 (7)'!Z77</f>
        <v>0</v>
      </c>
      <c r="K77" s="595">
        <f>'Прилож 4 24 (7)'!AA77</f>
        <v>0</v>
      </c>
      <c r="L77" s="595">
        <f>'Прилож 4 24 (7)'!AB77</f>
        <v>0</v>
      </c>
      <c r="M77" s="876">
        <f t="shared" si="13"/>
        <v>0</v>
      </c>
      <c r="N77" s="875"/>
      <c r="O77" s="875"/>
      <c r="P77" s="875"/>
      <c r="Q77" s="877"/>
      <c r="R77" s="875"/>
      <c r="S77" s="875"/>
      <c r="T77" s="875"/>
      <c r="U77" s="876">
        <f t="shared" si="15"/>
        <v>28826.37</v>
      </c>
      <c r="V77" s="875">
        <f t="shared" si="8"/>
        <v>0</v>
      </c>
      <c r="W77" s="875">
        <f t="shared" si="16"/>
        <v>0</v>
      </c>
      <c r="X77" s="875">
        <f t="shared" si="16"/>
        <v>28826.37</v>
      </c>
      <c r="Y77" s="883"/>
      <c r="Z77" s="875">
        <f t="shared" si="17"/>
        <v>0</v>
      </c>
      <c r="AA77" s="875">
        <f t="shared" si="17"/>
        <v>0</v>
      </c>
      <c r="AB77" s="875">
        <f t="shared" si="17"/>
        <v>0</v>
      </c>
      <c r="AC77" s="878"/>
    </row>
    <row r="78" spans="1:29" ht="27" customHeight="1" x14ac:dyDescent="0.2">
      <c r="A78" s="618" t="s">
        <v>130</v>
      </c>
      <c r="B78" s="619" t="s">
        <v>729</v>
      </c>
      <c r="C78" s="620">
        <v>244</v>
      </c>
      <c r="D78" s="620">
        <v>223</v>
      </c>
      <c r="E78" s="596">
        <f t="shared" si="14"/>
        <v>51300</v>
      </c>
      <c r="F78" s="595">
        <f>'Прилож 4 24 (7)'!V78</f>
        <v>0</v>
      </c>
      <c r="G78" s="595">
        <f>'Прилож 4 24 (7)'!W78</f>
        <v>0</v>
      </c>
      <c r="H78" s="595">
        <f>'Прилож 4 24 (7)'!X78</f>
        <v>51300</v>
      </c>
      <c r="I78" s="628"/>
      <c r="J78" s="595">
        <f>'Прилож 4 24 (7)'!Z78</f>
        <v>0</v>
      </c>
      <c r="K78" s="595">
        <f>'Прилож 4 24 (7)'!AA78</f>
        <v>0</v>
      </c>
      <c r="L78" s="595">
        <f>'Прилож 4 24 (7)'!AB78</f>
        <v>0</v>
      </c>
      <c r="M78" s="876">
        <f t="shared" si="13"/>
        <v>12000</v>
      </c>
      <c r="N78" s="875"/>
      <c r="O78" s="875"/>
      <c r="P78" s="875">
        <v>12000</v>
      </c>
      <c r="Q78" s="877"/>
      <c r="R78" s="875"/>
      <c r="S78" s="875"/>
      <c r="T78" s="875"/>
      <c r="U78" s="876">
        <f t="shared" si="15"/>
        <v>63300</v>
      </c>
      <c r="V78" s="875">
        <f t="shared" si="8"/>
        <v>0</v>
      </c>
      <c r="W78" s="875">
        <f t="shared" si="16"/>
        <v>0</v>
      </c>
      <c r="X78" s="875">
        <f t="shared" si="16"/>
        <v>63300</v>
      </c>
      <c r="Y78" s="883"/>
      <c r="Z78" s="875">
        <f t="shared" si="17"/>
        <v>0</v>
      </c>
      <c r="AA78" s="875">
        <f t="shared" si="17"/>
        <v>0</v>
      </c>
      <c r="AB78" s="875">
        <f t="shared" si="17"/>
        <v>0</v>
      </c>
      <c r="AC78" s="878" t="s">
        <v>1458</v>
      </c>
    </row>
    <row r="79" spans="1:29" s="637" customFormat="1" ht="35.25" customHeight="1" x14ac:dyDescent="0.2">
      <c r="A79" s="1046" t="s">
        <v>1143</v>
      </c>
      <c r="B79" s="1047" t="s">
        <v>729</v>
      </c>
      <c r="C79" s="1048">
        <v>244</v>
      </c>
      <c r="D79" s="1048">
        <v>223</v>
      </c>
      <c r="E79" s="596">
        <f t="shared" si="14"/>
        <v>233123.13999999998</v>
      </c>
      <c r="F79" s="596">
        <f>'Прилож 4 24 (7)'!V79</f>
        <v>0</v>
      </c>
      <c r="G79" s="596">
        <f>'Прилож 4 24 (7)'!W79</f>
        <v>0</v>
      </c>
      <c r="H79" s="596">
        <f>'Прилож 4 24 (7)'!X79</f>
        <v>172763.62</v>
      </c>
      <c r="I79" s="635"/>
      <c r="J79" s="596">
        <f>'Прилож 4 24 (7)'!Z79</f>
        <v>0</v>
      </c>
      <c r="K79" s="596">
        <f>'Прилож 4 24 (7)'!AA79</f>
        <v>0</v>
      </c>
      <c r="L79" s="596">
        <f>'Прилож 4 24 (7)'!AB79</f>
        <v>60359.519999999997</v>
      </c>
      <c r="M79" s="876">
        <f t="shared" si="13"/>
        <v>12000</v>
      </c>
      <c r="N79" s="884"/>
      <c r="O79" s="884"/>
      <c r="P79" s="884">
        <f>SUM(P70:P78)</f>
        <v>12000</v>
      </c>
      <c r="Q79" s="885"/>
      <c r="R79" s="884"/>
      <c r="S79" s="884"/>
      <c r="T79" s="884">
        <f>SUM(T70:T78)</f>
        <v>0</v>
      </c>
      <c r="U79" s="876">
        <f t="shared" si="15"/>
        <v>245123.13999999998</v>
      </c>
      <c r="V79" s="876">
        <f t="shared" si="8"/>
        <v>0</v>
      </c>
      <c r="W79" s="876">
        <f t="shared" si="16"/>
        <v>0</v>
      </c>
      <c r="X79" s="876">
        <f t="shared" si="16"/>
        <v>184763.62</v>
      </c>
      <c r="Y79" s="885"/>
      <c r="Z79" s="876">
        <f t="shared" si="17"/>
        <v>0</v>
      </c>
      <c r="AA79" s="876">
        <f t="shared" si="17"/>
        <v>0</v>
      </c>
      <c r="AB79" s="876">
        <f t="shared" si="17"/>
        <v>60359.519999999997</v>
      </c>
      <c r="AC79" s="878"/>
    </row>
    <row r="80" spans="1:29" s="614" customFormat="1" x14ac:dyDescent="0.2">
      <c r="A80" s="630" t="s">
        <v>736</v>
      </c>
      <c r="B80" s="631"/>
      <c r="C80" s="624"/>
      <c r="D80" s="624"/>
      <c r="E80" s="596">
        <f t="shared" si="14"/>
        <v>604760.67000000004</v>
      </c>
      <c r="F80" s="595">
        <f>'Прилож 4 24 (7)'!V80</f>
        <v>0</v>
      </c>
      <c r="G80" s="595">
        <f>'Прилож 4 24 (7)'!W80</f>
        <v>0</v>
      </c>
      <c r="H80" s="595">
        <f>'Прилож 4 24 (7)'!X80</f>
        <v>544401.15</v>
      </c>
      <c r="I80" s="626"/>
      <c r="J80" s="595">
        <f>'Прилож 4 24 (7)'!Z80</f>
        <v>0</v>
      </c>
      <c r="K80" s="595">
        <f>'Прилож 4 24 (7)'!AA80</f>
        <v>0</v>
      </c>
      <c r="L80" s="595">
        <f>'Прилож 4 24 (7)'!AB80</f>
        <v>60359.519999999997</v>
      </c>
      <c r="M80" s="876">
        <f t="shared" si="13"/>
        <v>12000</v>
      </c>
      <c r="N80" s="876"/>
      <c r="O80" s="876"/>
      <c r="P80" s="876">
        <f>P79+P69</f>
        <v>12000</v>
      </c>
      <c r="Q80" s="881"/>
      <c r="R80" s="876"/>
      <c r="S80" s="876"/>
      <c r="T80" s="876">
        <f>T69+T79</f>
        <v>0</v>
      </c>
      <c r="U80" s="876">
        <f t="shared" si="15"/>
        <v>616760.67000000004</v>
      </c>
      <c r="V80" s="875">
        <f t="shared" si="8"/>
        <v>0</v>
      </c>
      <c r="W80" s="875">
        <f t="shared" si="16"/>
        <v>0</v>
      </c>
      <c r="X80" s="875">
        <f t="shared" si="16"/>
        <v>556401.15</v>
      </c>
      <c r="Y80" s="881"/>
      <c r="Z80" s="875">
        <f t="shared" si="17"/>
        <v>0</v>
      </c>
      <c r="AA80" s="875">
        <f t="shared" si="17"/>
        <v>0</v>
      </c>
      <c r="AB80" s="875">
        <f t="shared" si="17"/>
        <v>60359.519999999997</v>
      </c>
      <c r="AC80" s="878"/>
    </row>
    <row r="81" spans="1:29" x14ac:dyDescent="0.2">
      <c r="A81" s="618" t="s">
        <v>131</v>
      </c>
      <c r="B81" s="619" t="s">
        <v>747</v>
      </c>
      <c r="C81" s="620">
        <v>247</v>
      </c>
      <c r="D81" s="620">
        <v>223</v>
      </c>
      <c r="E81" s="596">
        <f t="shared" si="14"/>
        <v>546600</v>
      </c>
      <c r="F81" s="595">
        <f>'Прилож 4 24 (7)'!V81</f>
        <v>0</v>
      </c>
      <c r="G81" s="595">
        <f>'Прилож 4 24 (7)'!W81</f>
        <v>0</v>
      </c>
      <c r="H81" s="595">
        <f>'Прилож 4 24 (7)'!X81</f>
        <v>546600</v>
      </c>
      <c r="I81" s="621"/>
      <c r="J81" s="595">
        <f>'Прилож 4 24 (7)'!Z81</f>
        <v>0</v>
      </c>
      <c r="K81" s="595">
        <f>'Прилож 4 24 (7)'!AA81</f>
        <v>0</v>
      </c>
      <c r="L81" s="595">
        <f>'Прилож 4 24 (7)'!AB81</f>
        <v>0</v>
      </c>
      <c r="M81" s="876">
        <f t="shared" si="13"/>
        <v>0</v>
      </c>
      <c r="N81" s="875"/>
      <c r="O81" s="875"/>
      <c r="P81" s="875"/>
      <c r="Q81" s="877"/>
      <c r="R81" s="875"/>
      <c r="S81" s="875"/>
      <c r="T81" s="875"/>
      <c r="U81" s="876">
        <f t="shared" si="15"/>
        <v>546600</v>
      </c>
      <c r="V81" s="875">
        <f t="shared" si="8"/>
        <v>0</v>
      </c>
      <c r="W81" s="875">
        <f t="shared" si="16"/>
        <v>0</v>
      </c>
      <c r="X81" s="875">
        <f t="shared" si="16"/>
        <v>546600</v>
      </c>
      <c r="Y81" s="877"/>
      <c r="Z81" s="875">
        <f t="shared" si="17"/>
        <v>0</v>
      </c>
      <c r="AA81" s="875">
        <f t="shared" si="17"/>
        <v>0</v>
      </c>
      <c r="AB81" s="875">
        <f t="shared" si="17"/>
        <v>0</v>
      </c>
      <c r="AC81" s="878"/>
    </row>
    <row r="82" spans="1:29" ht="16.5" customHeight="1" x14ac:dyDescent="0.2">
      <c r="A82" s="618" t="s">
        <v>133</v>
      </c>
      <c r="B82" s="619" t="s">
        <v>747</v>
      </c>
      <c r="C82" s="620">
        <v>247</v>
      </c>
      <c r="D82" s="620">
        <v>223</v>
      </c>
      <c r="E82" s="596">
        <f t="shared" si="14"/>
        <v>465510.83</v>
      </c>
      <c r="F82" s="595">
        <f>'Прилож 4 24 (7)'!V82</f>
        <v>0</v>
      </c>
      <c r="G82" s="595">
        <f>'Прилож 4 24 (7)'!W82</f>
        <v>0</v>
      </c>
      <c r="H82" s="595">
        <f>'Прилож 4 24 (7)'!X82</f>
        <v>465510.83</v>
      </c>
      <c r="I82" s="621"/>
      <c r="J82" s="595">
        <f>'Прилож 4 24 (7)'!Z82</f>
        <v>0</v>
      </c>
      <c r="K82" s="595">
        <f>'Прилож 4 24 (7)'!AA82</f>
        <v>0</v>
      </c>
      <c r="L82" s="595">
        <f>'Прилож 4 24 (7)'!AB82</f>
        <v>0</v>
      </c>
      <c r="M82" s="876">
        <f t="shared" si="13"/>
        <v>0</v>
      </c>
      <c r="N82" s="875"/>
      <c r="O82" s="875"/>
      <c r="P82" s="875"/>
      <c r="Q82" s="877"/>
      <c r="R82" s="875"/>
      <c r="S82" s="875"/>
      <c r="T82" s="875"/>
      <c r="U82" s="876">
        <f t="shared" si="15"/>
        <v>465510.83</v>
      </c>
      <c r="V82" s="875">
        <f t="shared" si="8"/>
        <v>0</v>
      </c>
      <c r="W82" s="875">
        <f t="shared" si="16"/>
        <v>0</v>
      </c>
      <c r="X82" s="875">
        <f t="shared" si="16"/>
        <v>465510.83</v>
      </c>
      <c r="Y82" s="877"/>
      <c r="Z82" s="875">
        <f t="shared" si="17"/>
        <v>0</v>
      </c>
      <c r="AA82" s="875">
        <f t="shared" si="17"/>
        <v>0</v>
      </c>
      <c r="AB82" s="875">
        <f t="shared" si="17"/>
        <v>0</v>
      </c>
      <c r="AC82" s="878"/>
    </row>
    <row r="83" spans="1:29" ht="16.5" customHeight="1" x14ac:dyDescent="0.2">
      <c r="A83" s="618" t="s">
        <v>1260</v>
      </c>
      <c r="B83" s="619" t="s">
        <v>747</v>
      </c>
      <c r="C83" s="620">
        <v>247</v>
      </c>
      <c r="D83" s="620">
        <v>223</v>
      </c>
      <c r="E83" s="596">
        <f t="shared" si="14"/>
        <v>318968.24</v>
      </c>
      <c r="F83" s="595">
        <f>'Прилож 4 24 (7)'!V83</f>
        <v>0</v>
      </c>
      <c r="G83" s="595">
        <f>'Прилож 4 24 (7)'!W83</f>
        <v>0</v>
      </c>
      <c r="H83" s="595">
        <f>'Прилож 4 24 (7)'!X83</f>
        <v>318968.24</v>
      </c>
      <c r="I83" s="621"/>
      <c r="J83" s="595">
        <f>'Прилож 4 24 (7)'!Z83</f>
        <v>0</v>
      </c>
      <c r="K83" s="595">
        <f>'Прилож 4 24 (7)'!AA83</f>
        <v>0</v>
      </c>
      <c r="L83" s="595">
        <f>'Прилож 4 24 (7)'!AB83</f>
        <v>0</v>
      </c>
      <c r="M83" s="876">
        <f t="shared" si="13"/>
        <v>0</v>
      </c>
      <c r="N83" s="875"/>
      <c r="O83" s="875"/>
      <c r="P83" s="875"/>
      <c r="Q83" s="877"/>
      <c r="R83" s="875"/>
      <c r="S83" s="875"/>
      <c r="T83" s="875"/>
      <c r="U83" s="876">
        <f t="shared" si="15"/>
        <v>318968.24</v>
      </c>
      <c r="V83" s="875">
        <f t="shared" si="8"/>
        <v>0</v>
      </c>
      <c r="W83" s="875">
        <f t="shared" si="16"/>
        <v>0</v>
      </c>
      <c r="X83" s="875">
        <f t="shared" si="16"/>
        <v>318968.24</v>
      </c>
      <c r="Y83" s="877"/>
      <c r="Z83" s="875">
        <f t="shared" si="17"/>
        <v>0</v>
      </c>
      <c r="AA83" s="875">
        <f t="shared" si="17"/>
        <v>0</v>
      </c>
      <c r="AB83" s="875">
        <f t="shared" si="17"/>
        <v>0</v>
      </c>
      <c r="AC83" s="878"/>
    </row>
    <row r="84" spans="1:29" ht="31.5" x14ac:dyDescent="0.2">
      <c r="A84" s="618" t="s">
        <v>1240</v>
      </c>
      <c r="B84" s="619" t="s">
        <v>747</v>
      </c>
      <c r="C84" s="620">
        <v>247</v>
      </c>
      <c r="D84" s="620">
        <v>223</v>
      </c>
      <c r="E84" s="596">
        <f t="shared" si="14"/>
        <v>63447.51</v>
      </c>
      <c r="F84" s="595">
        <f>'Прилож 4 24 (7)'!V84</f>
        <v>0</v>
      </c>
      <c r="G84" s="595">
        <f>'Прилож 4 24 (7)'!W84</f>
        <v>0</v>
      </c>
      <c r="H84" s="595">
        <f>'Прилож 4 24 (7)'!X84</f>
        <v>63447.51</v>
      </c>
      <c r="I84" s="621"/>
      <c r="J84" s="595">
        <f>'Прилож 4 24 (7)'!Z84</f>
        <v>0</v>
      </c>
      <c r="K84" s="595">
        <f>'Прилож 4 24 (7)'!AA84</f>
        <v>0</v>
      </c>
      <c r="L84" s="595">
        <f>'Прилож 4 24 (7)'!AB84</f>
        <v>0</v>
      </c>
      <c r="M84" s="876">
        <f t="shared" si="13"/>
        <v>0</v>
      </c>
      <c r="N84" s="875"/>
      <c r="O84" s="875"/>
      <c r="P84" s="875"/>
      <c r="Q84" s="877"/>
      <c r="R84" s="875"/>
      <c r="S84" s="875"/>
      <c r="T84" s="875"/>
      <c r="U84" s="876">
        <f t="shared" si="15"/>
        <v>63447.51</v>
      </c>
      <c r="V84" s="875">
        <f t="shared" si="8"/>
        <v>0</v>
      </c>
      <c r="W84" s="875">
        <f t="shared" si="16"/>
        <v>0</v>
      </c>
      <c r="X84" s="875">
        <f t="shared" si="16"/>
        <v>63447.51</v>
      </c>
      <c r="Y84" s="877"/>
      <c r="Z84" s="875">
        <f t="shared" si="17"/>
        <v>0</v>
      </c>
      <c r="AA84" s="875">
        <f t="shared" si="17"/>
        <v>0</v>
      </c>
      <c r="AB84" s="875">
        <f t="shared" si="17"/>
        <v>0</v>
      </c>
      <c r="AC84" s="878"/>
    </row>
    <row r="85" spans="1:29" ht="31.5" x14ac:dyDescent="0.2">
      <c r="A85" s="618" t="s">
        <v>1241</v>
      </c>
      <c r="B85" s="619" t="s">
        <v>747</v>
      </c>
      <c r="C85" s="620">
        <v>247</v>
      </c>
      <c r="D85" s="620">
        <v>223</v>
      </c>
      <c r="E85" s="596">
        <f t="shared" si="14"/>
        <v>52047.07</v>
      </c>
      <c r="F85" s="595">
        <f>'Прилож 4 24 (7)'!V85</f>
        <v>0</v>
      </c>
      <c r="G85" s="595">
        <f>'Прилож 4 24 (7)'!W85</f>
        <v>0</v>
      </c>
      <c r="H85" s="595">
        <f>'Прилож 4 24 (7)'!X85</f>
        <v>52047.07</v>
      </c>
      <c r="I85" s="621"/>
      <c r="J85" s="595">
        <f>'Прилож 4 24 (7)'!Z85</f>
        <v>0</v>
      </c>
      <c r="K85" s="595">
        <f>'Прилож 4 24 (7)'!AA85</f>
        <v>0</v>
      </c>
      <c r="L85" s="595">
        <f>'Прилож 4 24 (7)'!AB85</f>
        <v>0</v>
      </c>
      <c r="M85" s="876">
        <f t="shared" si="13"/>
        <v>0</v>
      </c>
      <c r="N85" s="875"/>
      <c r="O85" s="875"/>
      <c r="P85" s="875"/>
      <c r="Q85" s="877"/>
      <c r="R85" s="875"/>
      <c r="S85" s="875"/>
      <c r="T85" s="875"/>
      <c r="U85" s="876">
        <f t="shared" si="15"/>
        <v>52047.07</v>
      </c>
      <c r="V85" s="875">
        <f t="shared" si="8"/>
        <v>0</v>
      </c>
      <c r="W85" s="875">
        <f t="shared" si="16"/>
        <v>0</v>
      </c>
      <c r="X85" s="875">
        <f t="shared" si="16"/>
        <v>52047.07</v>
      </c>
      <c r="Y85" s="877"/>
      <c r="Z85" s="875">
        <f t="shared" si="17"/>
        <v>0</v>
      </c>
      <c r="AA85" s="875">
        <f t="shared" si="17"/>
        <v>0</v>
      </c>
      <c r="AB85" s="875">
        <f t="shared" si="17"/>
        <v>0</v>
      </c>
      <c r="AC85" s="878"/>
    </row>
    <row r="86" spans="1:29" ht="31.5" x14ac:dyDescent="0.2">
      <c r="A86" s="618" t="s">
        <v>1242</v>
      </c>
      <c r="B86" s="619" t="s">
        <v>747</v>
      </c>
      <c r="C86" s="620">
        <v>247</v>
      </c>
      <c r="D86" s="620">
        <v>223</v>
      </c>
      <c r="E86" s="596">
        <f t="shared" si="14"/>
        <v>40719.379999999997</v>
      </c>
      <c r="F86" s="595">
        <f>'Прилож 4 24 (7)'!V86</f>
        <v>0</v>
      </c>
      <c r="G86" s="595">
        <f>'Прилож 4 24 (7)'!W86</f>
        <v>0</v>
      </c>
      <c r="H86" s="595">
        <f>'Прилож 4 24 (7)'!X86</f>
        <v>40719.379999999997</v>
      </c>
      <c r="I86" s="621"/>
      <c r="J86" s="595">
        <f>'Прилож 4 24 (7)'!Z86</f>
        <v>0</v>
      </c>
      <c r="K86" s="595">
        <f>'Прилож 4 24 (7)'!AA86</f>
        <v>0</v>
      </c>
      <c r="L86" s="595">
        <f>'Прилож 4 24 (7)'!AB86</f>
        <v>0</v>
      </c>
      <c r="M86" s="876">
        <f t="shared" si="13"/>
        <v>0</v>
      </c>
      <c r="N86" s="875"/>
      <c r="O86" s="875"/>
      <c r="P86" s="875"/>
      <c r="Q86" s="877"/>
      <c r="R86" s="875"/>
      <c r="S86" s="875"/>
      <c r="T86" s="875"/>
      <c r="U86" s="876">
        <f t="shared" si="15"/>
        <v>40719.379999999997</v>
      </c>
      <c r="V86" s="875">
        <f t="shared" si="8"/>
        <v>0</v>
      </c>
      <c r="W86" s="875">
        <f t="shared" si="16"/>
        <v>0</v>
      </c>
      <c r="X86" s="875">
        <f t="shared" si="16"/>
        <v>40719.379999999997</v>
      </c>
      <c r="Y86" s="877"/>
      <c r="Z86" s="875">
        <f t="shared" si="17"/>
        <v>0</v>
      </c>
      <c r="AA86" s="875">
        <f t="shared" si="17"/>
        <v>0</v>
      </c>
      <c r="AB86" s="875">
        <f t="shared" si="17"/>
        <v>0</v>
      </c>
      <c r="AC86" s="878"/>
    </row>
    <row r="87" spans="1:29" ht="31.5" x14ac:dyDescent="0.2">
      <c r="A87" s="618" t="s">
        <v>1242</v>
      </c>
      <c r="B87" s="619" t="s">
        <v>747</v>
      </c>
      <c r="C87" s="620">
        <v>247</v>
      </c>
      <c r="D87" s="620">
        <v>223</v>
      </c>
      <c r="E87" s="596">
        <f t="shared" si="14"/>
        <v>52360.07</v>
      </c>
      <c r="F87" s="595">
        <f>'Прилож 4 24 (7)'!V87</f>
        <v>0</v>
      </c>
      <c r="G87" s="595">
        <f>'Прилож 4 24 (7)'!W87</f>
        <v>0</v>
      </c>
      <c r="H87" s="595">
        <f>'Прилож 4 24 (7)'!X87</f>
        <v>52360.07</v>
      </c>
      <c r="I87" s="621"/>
      <c r="J87" s="595">
        <f>'Прилож 4 24 (7)'!Z87</f>
        <v>0</v>
      </c>
      <c r="K87" s="595">
        <f>'Прилож 4 24 (7)'!AA87</f>
        <v>0</v>
      </c>
      <c r="L87" s="595">
        <f>'Прилож 4 24 (7)'!AB87</f>
        <v>0</v>
      </c>
      <c r="M87" s="876">
        <f t="shared" si="13"/>
        <v>0</v>
      </c>
      <c r="N87" s="875"/>
      <c r="O87" s="875"/>
      <c r="P87" s="875"/>
      <c r="Q87" s="877"/>
      <c r="R87" s="875"/>
      <c r="S87" s="875"/>
      <c r="T87" s="875"/>
      <c r="U87" s="876">
        <f t="shared" si="15"/>
        <v>52360.07</v>
      </c>
      <c r="V87" s="875">
        <f t="shared" si="8"/>
        <v>0</v>
      </c>
      <c r="W87" s="875">
        <f t="shared" si="16"/>
        <v>0</v>
      </c>
      <c r="X87" s="875">
        <f t="shared" si="16"/>
        <v>52360.07</v>
      </c>
      <c r="Y87" s="877"/>
      <c r="Z87" s="875">
        <f t="shared" si="17"/>
        <v>0</v>
      </c>
      <c r="AA87" s="875">
        <f t="shared" si="17"/>
        <v>0</v>
      </c>
      <c r="AB87" s="875">
        <f t="shared" si="17"/>
        <v>0</v>
      </c>
      <c r="AC87" s="878"/>
    </row>
    <row r="88" spans="1:29" s="637" customFormat="1" ht="25.5" customHeight="1" x14ac:dyDescent="0.2">
      <c r="A88" s="1046" t="s">
        <v>1143</v>
      </c>
      <c r="B88" s="1047" t="s">
        <v>747</v>
      </c>
      <c r="C88" s="1048">
        <v>247</v>
      </c>
      <c r="D88" s="1048">
        <v>223</v>
      </c>
      <c r="E88" s="596">
        <f t="shared" si="14"/>
        <v>1539653.1</v>
      </c>
      <c r="F88" s="596">
        <f>'Прилож 4 24 (7)'!V88</f>
        <v>0</v>
      </c>
      <c r="G88" s="596">
        <f>'Прилож 4 24 (7)'!W88</f>
        <v>0</v>
      </c>
      <c r="H88" s="596">
        <f>'Прилож 4 24 (7)'!X88</f>
        <v>1539653.1</v>
      </c>
      <c r="I88" s="635"/>
      <c r="J88" s="596">
        <f>'Прилож 4 24 (7)'!Z88</f>
        <v>0</v>
      </c>
      <c r="K88" s="596">
        <f>'Прилож 4 24 (7)'!AA88</f>
        <v>0</v>
      </c>
      <c r="L88" s="596">
        <f>'Прилож 4 24 (7)'!AB88</f>
        <v>0</v>
      </c>
      <c r="M88" s="876">
        <f t="shared" si="13"/>
        <v>0</v>
      </c>
      <c r="N88" s="884"/>
      <c r="O88" s="884"/>
      <c r="P88" s="884"/>
      <c r="Q88" s="885"/>
      <c r="R88" s="884"/>
      <c r="S88" s="884"/>
      <c r="T88" s="884"/>
      <c r="U88" s="876">
        <f t="shared" si="15"/>
        <v>1539653.1</v>
      </c>
      <c r="V88" s="876">
        <f t="shared" si="8"/>
        <v>0</v>
      </c>
      <c r="W88" s="876">
        <f t="shared" si="16"/>
        <v>0</v>
      </c>
      <c r="X88" s="876">
        <f t="shared" si="16"/>
        <v>1539653.1</v>
      </c>
      <c r="Y88" s="885"/>
      <c r="Z88" s="876">
        <f t="shared" si="17"/>
        <v>0</v>
      </c>
      <c r="AA88" s="876">
        <f t="shared" si="17"/>
        <v>0</v>
      </c>
      <c r="AB88" s="876">
        <f t="shared" si="17"/>
        <v>0</v>
      </c>
      <c r="AC88" s="1049"/>
    </row>
    <row r="89" spans="1:29" x14ac:dyDescent="0.2">
      <c r="A89" s="618" t="s">
        <v>131</v>
      </c>
      <c r="B89" s="619" t="s">
        <v>729</v>
      </c>
      <c r="C89" s="620">
        <v>247</v>
      </c>
      <c r="D89" s="620">
        <v>223</v>
      </c>
      <c r="E89" s="596">
        <f t="shared" si="14"/>
        <v>939599.21</v>
      </c>
      <c r="F89" s="595">
        <f>'Прилож 4 24 (7)'!V89</f>
        <v>0</v>
      </c>
      <c r="G89" s="595">
        <f>'Прилож 4 24 (7)'!W89</f>
        <v>0</v>
      </c>
      <c r="H89" s="595">
        <f>'Прилож 4 24 (7)'!X89</f>
        <v>446000</v>
      </c>
      <c r="I89" s="621"/>
      <c r="J89" s="595">
        <f>'Прилож 4 24 (7)'!Z89</f>
        <v>0</v>
      </c>
      <c r="K89" s="595">
        <f>'Прилож 4 24 (7)'!AA89</f>
        <v>0</v>
      </c>
      <c r="L89" s="595">
        <f>'Прилож 4 24 (7)'!AB89</f>
        <v>493599.21</v>
      </c>
      <c r="M89" s="876">
        <f t="shared" si="13"/>
        <v>0</v>
      </c>
      <c r="N89" s="875"/>
      <c r="O89" s="875"/>
      <c r="P89" s="875"/>
      <c r="Q89" s="877"/>
      <c r="R89" s="875"/>
      <c r="S89" s="875"/>
      <c r="T89" s="875"/>
      <c r="U89" s="876">
        <f t="shared" si="15"/>
        <v>939599.21</v>
      </c>
      <c r="V89" s="875">
        <f t="shared" si="8"/>
        <v>0</v>
      </c>
      <c r="W89" s="875">
        <f t="shared" si="16"/>
        <v>0</v>
      </c>
      <c r="X89" s="875">
        <f t="shared" si="16"/>
        <v>446000</v>
      </c>
      <c r="Y89" s="877"/>
      <c r="Z89" s="875">
        <f t="shared" si="17"/>
        <v>0</v>
      </c>
      <c r="AA89" s="875">
        <f t="shared" si="17"/>
        <v>0</v>
      </c>
      <c r="AB89" s="875">
        <f t="shared" si="17"/>
        <v>493599.21</v>
      </c>
      <c r="AC89" s="878"/>
    </row>
    <row r="90" spans="1:29" ht="30" customHeight="1" x14ac:dyDescent="0.2">
      <c r="A90" s="618" t="s">
        <v>133</v>
      </c>
      <c r="B90" s="619" t="s">
        <v>729</v>
      </c>
      <c r="C90" s="620">
        <v>247</v>
      </c>
      <c r="D90" s="620">
        <v>223</v>
      </c>
      <c r="E90" s="596">
        <f t="shared" si="14"/>
        <v>1433105.62</v>
      </c>
      <c r="F90" s="595">
        <f>'Прилож 4 24 (7)'!V90</f>
        <v>0</v>
      </c>
      <c r="G90" s="595">
        <f>'Прилож 4 24 (7)'!W90</f>
        <v>0</v>
      </c>
      <c r="H90" s="595">
        <f>'Прилож 4 24 (7)'!X90</f>
        <v>1088533.3600000001</v>
      </c>
      <c r="I90" s="621"/>
      <c r="J90" s="595">
        <f>'Прилож 4 24 (7)'!Z90</f>
        <v>0</v>
      </c>
      <c r="K90" s="595">
        <f>'Прилож 4 24 (7)'!AA90</f>
        <v>0</v>
      </c>
      <c r="L90" s="595">
        <f>'Прилож 4 24 (7)'!AB90</f>
        <v>344572.26</v>
      </c>
      <c r="M90" s="876">
        <f t="shared" si="13"/>
        <v>0</v>
      </c>
      <c r="N90" s="875"/>
      <c r="O90" s="875"/>
      <c r="P90" s="875"/>
      <c r="Q90" s="877"/>
      <c r="R90" s="875"/>
      <c r="S90" s="875"/>
      <c r="T90" s="875"/>
      <c r="U90" s="876">
        <f t="shared" si="15"/>
        <v>1433105.62</v>
      </c>
      <c r="V90" s="875">
        <f t="shared" si="8"/>
        <v>0</v>
      </c>
      <c r="W90" s="875">
        <f t="shared" si="16"/>
        <v>0</v>
      </c>
      <c r="X90" s="875">
        <f t="shared" si="16"/>
        <v>1088533.3600000001</v>
      </c>
      <c r="Y90" s="877"/>
      <c r="Z90" s="875">
        <f t="shared" si="17"/>
        <v>0</v>
      </c>
      <c r="AA90" s="875">
        <f t="shared" si="17"/>
        <v>0</v>
      </c>
      <c r="AB90" s="875">
        <f t="shared" si="17"/>
        <v>344572.26</v>
      </c>
      <c r="AC90" s="878"/>
    </row>
    <row r="91" spans="1:29" ht="34.5" customHeight="1" x14ac:dyDescent="0.2">
      <c r="A91" s="618" t="s">
        <v>1260</v>
      </c>
      <c r="B91" s="619" t="s">
        <v>729</v>
      </c>
      <c r="C91" s="620">
        <v>247</v>
      </c>
      <c r="D91" s="620">
        <v>223</v>
      </c>
      <c r="E91" s="596">
        <f t="shared" si="14"/>
        <v>899813.5</v>
      </c>
      <c r="F91" s="595">
        <f>'Прилож 4 24 (7)'!V91</f>
        <v>0</v>
      </c>
      <c r="G91" s="595">
        <f>'Прилож 4 24 (7)'!W91</f>
        <v>0</v>
      </c>
      <c r="H91" s="595">
        <f>'Прилож 4 24 (7)'!X91</f>
        <v>618609.81999999995</v>
      </c>
      <c r="I91" s="621"/>
      <c r="J91" s="595">
        <f>'Прилож 4 24 (7)'!Z91</f>
        <v>0</v>
      </c>
      <c r="K91" s="595">
        <f>'Прилож 4 24 (7)'!AA91</f>
        <v>0</v>
      </c>
      <c r="L91" s="595">
        <f>'Прилож 4 24 (7)'!AB91</f>
        <v>281203.68</v>
      </c>
      <c r="M91" s="876">
        <f t="shared" si="13"/>
        <v>0</v>
      </c>
      <c r="N91" s="875"/>
      <c r="O91" s="875"/>
      <c r="P91" s="875"/>
      <c r="Q91" s="877"/>
      <c r="R91" s="875"/>
      <c r="S91" s="875"/>
      <c r="T91" s="875"/>
      <c r="U91" s="876">
        <f t="shared" si="15"/>
        <v>899813.5</v>
      </c>
      <c r="V91" s="875">
        <f t="shared" si="8"/>
        <v>0</v>
      </c>
      <c r="W91" s="875">
        <f t="shared" si="16"/>
        <v>0</v>
      </c>
      <c r="X91" s="875">
        <f t="shared" si="16"/>
        <v>618609.81999999995</v>
      </c>
      <c r="Y91" s="877"/>
      <c r="Z91" s="875">
        <f t="shared" si="17"/>
        <v>0</v>
      </c>
      <c r="AA91" s="875">
        <f t="shared" si="17"/>
        <v>0</v>
      </c>
      <c r="AB91" s="875">
        <f t="shared" si="17"/>
        <v>281203.68</v>
      </c>
      <c r="AC91" s="878"/>
    </row>
    <row r="92" spans="1:29" ht="31.5" x14ac:dyDescent="0.2">
      <c r="A92" s="618" t="s">
        <v>1240</v>
      </c>
      <c r="B92" s="619" t="s">
        <v>729</v>
      </c>
      <c r="C92" s="620">
        <v>247</v>
      </c>
      <c r="D92" s="620">
        <v>223</v>
      </c>
      <c r="E92" s="596">
        <f t="shared" si="14"/>
        <v>26226.5</v>
      </c>
      <c r="F92" s="595">
        <f>'Прилож 4 24 (7)'!V92</f>
        <v>0</v>
      </c>
      <c r="G92" s="595">
        <f>'Прилож 4 24 (7)'!W92</f>
        <v>0</v>
      </c>
      <c r="H92" s="595">
        <f>'Прилож 4 24 (7)'!X92</f>
        <v>15346.51</v>
      </c>
      <c r="I92" s="621"/>
      <c r="J92" s="595">
        <f>'Прилож 4 24 (7)'!Z92</f>
        <v>0</v>
      </c>
      <c r="K92" s="595">
        <f>'Прилож 4 24 (7)'!AA92</f>
        <v>0</v>
      </c>
      <c r="L92" s="595">
        <f>'Прилож 4 24 (7)'!AB92</f>
        <v>10879.99</v>
      </c>
      <c r="M92" s="876">
        <f t="shared" si="13"/>
        <v>0</v>
      </c>
      <c r="N92" s="875"/>
      <c r="O92" s="875"/>
      <c r="P92" s="875"/>
      <c r="Q92" s="877"/>
      <c r="R92" s="875"/>
      <c r="S92" s="875"/>
      <c r="T92" s="875"/>
      <c r="U92" s="876">
        <f t="shared" si="15"/>
        <v>26226.5</v>
      </c>
      <c r="V92" s="875">
        <f t="shared" si="8"/>
        <v>0</v>
      </c>
      <c r="W92" s="875">
        <f t="shared" si="16"/>
        <v>0</v>
      </c>
      <c r="X92" s="875">
        <f t="shared" si="16"/>
        <v>15346.51</v>
      </c>
      <c r="Y92" s="877"/>
      <c r="Z92" s="875">
        <f t="shared" si="17"/>
        <v>0</v>
      </c>
      <c r="AA92" s="875">
        <f t="shared" si="17"/>
        <v>0</v>
      </c>
      <c r="AB92" s="875">
        <f t="shared" si="17"/>
        <v>10879.99</v>
      </c>
      <c r="AC92" s="878"/>
    </row>
    <row r="93" spans="1:29" ht="31.5" x14ac:dyDescent="0.2">
      <c r="A93" s="618" t="s">
        <v>1241</v>
      </c>
      <c r="B93" s="619" t="s">
        <v>729</v>
      </c>
      <c r="C93" s="620">
        <v>247</v>
      </c>
      <c r="D93" s="620">
        <v>223</v>
      </c>
      <c r="E93" s="596">
        <f t="shared" si="14"/>
        <v>22442.33</v>
      </c>
      <c r="F93" s="595">
        <f>'Прилож 4 24 (7)'!V93</f>
        <v>0</v>
      </c>
      <c r="G93" s="595">
        <f>'Прилож 4 24 (7)'!W93</f>
        <v>0</v>
      </c>
      <c r="H93" s="595">
        <f>'Прилож 4 24 (7)'!X93</f>
        <v>13515.22</v>
      </c>
      <c r="I93" s="621"/>
      <c r="J93" s="595">
        <f>'Прилож 4 24 (7)'!Z93</f>
        <v>0</v>
      </c>
      <c r="K93" s="595">
        <f>'Прилож 4 24 (7)'!AA93</f>
        <v>0</v>
      </c>
      <c r="L93" s="595">
        <f>'Прилож 4 24 (7)'!AB93</f>
        <v>8927.11</v>
      </c>
      <c r="M93" s="876">
        <f t="shared" si="13"/>
        <v>0</v>
      </c>
      <c r="N93" s="875"/>
      <c r="O93" s="875"/>
      <c r="P93" s="875"/>
      <c r="Q93" s="877"/>
      <c r="R93" s="875"/>
      <c r="S93" s="875"/>
      <c r="T93" s="875"/>
      <c r="U93" s="876">
        <f t="shared" si="15"/>
        <v>22442.33</v>
      </c>
      <c r="V93" s="875">
        <f t="shared" si="15"/>
        <v>0</v>
      </c>
      <c r="W93" s="875">
        <f t="shared" ref="W93:X121" si="18">O93+G93</f>
        <v>0</v>
      </c>
      <c r="X93" s="875">
        <f t="shared" si="18"/>
        <v>13515.22</v>
      </c>
      <c r="Y93" s="877"/>
      <c r="Z93" s="875">
        <f t="shared" ref="Z93:AB119" si="19">R93+J93</f>
        <v>0</v>
      </c>
      <c r="AA93" s="875">
        <f t="shared" si="19"/>
        <v>0</v>
      </c>
      <c r="AB93" s="875">
        <f t="shared" si="19"/>
        <v>8927.11</v>
      </c>
      <c r="AC93" s="878"/>
    </row>
    <row r="94" spans="1:29" ht="31.5" x14ac:dyDescent="0.2">
      <c r="A94" s="618" t="s">
        <v>1242</v>
      </c>
      <c r="B94" s="619" t="s">
        <v>729</v>
      </c>
      <c r="C94" s="620">
        <v>247</v>
      </c>
      <c r="D94" s="620">
        <v>223</v>
      </c>
      <c r="E94" s="596">
        <f t="shared" si="14"/>
        <v>17091.29</v>
      </c>
      <c r="F94" s="595">
        <f>'Прилож 4 24 (7)'!V94</f>
        <v>0</v>
      </c>
      <c r="G94" s="595">
        <f>'Прилож 4 24 (7)'!W94</f>
        <v>0</v>
      </c>
      <c r="H94" s="595">
        <f>'Прилож 4 24 (7)'!X94</f>
        <v>9599.83</v>
      </c>
      <c r="I94" s="621"/>
      <c r="J94" s="595">
        <f>'Прилож 4 24 (7)'!Z94</f>
        <v>0</v>
      </c>
      <c r="K94" s="595">
        <f>'Прилож 4 24 (7)'!AA94</f>
        <v>0</v>
      </c>
      <c r="L94" s="595">
        <f>'Прилож 4 24 (7)'!AB94</f>
        <v>7491.46</v>
      </c>
      <c r="M94" s="876">
        <f t="shared" si="13"/>
        <v>0</v>
      </c>
      <c r="N94" s="875"/>
      <c r="O94" s="875"/>
      <c r="P94" s="875"/>
      <c r="Q94" s="877"/>
      <c r="R94" s="875"/>
      <c r="S94" s="875"/>
      <c r="T94" s="875"/>
      <c r="U94" s="876">
        <f t="shared" ref="U94:V125" si="20">E94+M94</f>
        <v>17091.29</v>
      </c>
      <c r="V94" s="875">
        <f t="shared" si="20"/>
        <v>0</v>
      </c>
      <c r="W94" s="875">
        <f t="shared" si="18"/>
        <v>0</v>
      </c>
      <c r="X94" s="875">
        <f t="shared" si="18"/>
        <v>9599.83</v>
      </c>
      <c r="Y94" s="877"/>
      <c r="Z94" s="875">
        <f t="shared" si="19"/>
        <v>0</v>
      </c>
      <c r="AA94" s="875">
        <f t="shared" si="19"/>
        <v>0</v>
      </c>
      <c r="AB94" s="875">
        <f t="shared" si="19"/>
        <v>7491.46</v>
      </c>
      <c r="AC94" s="878"/>
    </row>
    <row r="95" spans="1:29" ht="31.5" x14ac:dyDescent="0.2">
      <c r="A95" s="618" t="s">
        <v>1242</v>
      </c>
      <c r="B95" s="619" t="s">
        <v>729</v>
      </c>
      <c r="C95" s="620">
        <v>247</v>
      </c>
      <c r="D95" s="620">
        <v>223</v>
      </c>
      <c r="E95" s="596">
        <f t="shared" si="14"/>
        <v>18156.04</v>
      </c>
      <c r="F95" s="595">
        <f>'Прилож 4 24 (7)'!V95</f>
        <v>0</v>
      </c>
      <c r="G95" s="595">
        <f>'Прилож 4 24 (7)'!W95</f>
        <v>0</v>
      </c>
      <c r="H95" s="595">
        <f>'Прилож 4 24 (7)'!X95</f>
        <v>10621.01</v>
      </c>
      <c r="I95" s="621"/>
      <c r="J95" s="595">
        <f>'Прилож 4 24 (7)'!Z95</f>
        <v>0</v>
      </c>
      <c r="K95" s="595">
        <f>'Прилож 4 24 (7)'!AA95</f>
        <v>0</v>
      </c>
      <c r="L95" s="595">
        <f>'Прилож 4 24 (7)'!AB95</f>
        <v>7535.03</v>
      </c>
      <c r="M95" s="876">
        <f t="shared" si="13"/>
        <v>0</v>
      </c>
      <c r="N95" s="875"/>
      <c r="O95" s="875"/>
      <c r="P95" s="875"/>
      <c r="Q95" s="877"/>
      <c r="R95" s="875"/>
      <c r="S95" s="875"/>
      <c r="T95" s="875"/>
      <c r="U95" s="876">
        <f t="shared" si="20"/>
        <v>18156.04</v>
      </c>
      <c r="V95" s="875">
        <f t="shared" si="20"/>
        <v>0</v>
      </c>
      <c r="W95" s="875">
        <f t="shared" si="18"/>
        <v>0</v>
      </c>
      <c r="X95" s="875">
        <f t="shared" si="18"/>
        <v>10621.01</v>
      </c>
      <c r="Y95" s="877"/>
      <c r="Z95" s="875">
        <f t="shared" si="19"/>
        <v>0</v>
      </c>
      <c r="AA95" s="875">
        <f t="shared" si="19"/>
        <v>0</v>
      </c>
      <c r="AB95" s="875">
        <f t="shared" si="19"/>
        <v>7535.03</v>
      </c>
      <c r="AC95" s="878"/>
    </row>
    <row r="96" spans="1:29" s="637" customFormat="1" x14ac:dyDescent="0.2">
      <c r="A96" s="632" t="s">
        <v>1143</v>
      </c>
      <c r="B96" s="633" t="s">
        <v>729</v>
      </c>
      <c r="C96" s="634">
        <v>247</v>
      </c>
      <c r="D96" s="634">
        <v>223</v>
      </c>
      <c r="E96" s="596">
        <f t="shared" si="14"/>
        <v>3356434.49</v>
      </c>
      <c r="F96" s="595">
        <f>'Прилож 4 24 (7)'!V96</f>
        <v>0</v>
      </c>
      <c r="G96" s="595">
        <f>'Прилож 4 24 (7)'!W96</f>
        <v>0</v>
      </c>
      <c r="H96" s="595">
        <f>'Прилож 4 24 (7)'!X96</f>
        <v>2202225.75</v>
      </c>
      <c r="I96" s="635"/>
      <c r="J96" s="595">
        <f>'Прилож 4 24 (7)'!Z96</f>
        <v>0</v>
      </c>
      <c r="K96" s="595">
        <f>'Прилож 4 24 (7)'!AA96</f>
        <v>0</v>
      </c>
      <c r="L96" s="595">
        <f>'Прилож 4 24 (7)'!AB96</f>
        <v>1154208.74</v>
      </c>
      <c r="M96" s="876">
        <f t="shared" si="13"/>
        <v>0</v>
      </c>
      <c r="N96" s="884"/>
      <c r="O96" s="884"/>
      <c r="P96" s="884"/>
      <c r="Q96" s="885"/>
      <c r="R96" s="884"/>
      <c r="S96" s="884"/>
      <c r="T96" s="884">
        <f>SUM(T89:T95)</f>
        <v>0</v>
      </c>
      <c r="U96" s="876">
        <f t="shared" si="20"/>
        <v>3356434.49</v>
      </c>
      <c r="V96" s="875">
        <f t="shared" si="20"/>
        <v>0</v>
      </c>
      <c r="W96" s="875">
        <f t="shared" si="18"/>
        <v>0</v>
      </c>
      <c r="X96" s="875">
        <f t="shared" si="18"/>
        <v>2202225.75</v>
      </c>
      <c r="Y96" s="885"/>
      <c r="Z96" s="875">
        <f t="shared" si="19"/>
        <v>0</v>
      </c>
      <c r="AA96" s="875">
        <f t="shared" si="19"/>
        <v>0</v>
      </c>
      <c r="AB96" s="875">
        <f t="shared" si="19"/>
        <v>1154208.74</v>
      </c>
      <c r="AC96" s="878"/>
    </row>
    <row r="97" spans="1:29" s="614" customFormat="1" x14ac:dyDescent="0.2">
      <c r="A97" s="630" t="s">
        <v>737</v>
      </c>
      <c r="B97" s="631"/>
      <c r="C97" s="624"/>
      <c r="D97" s="624"/>
      <c r="E97" s="596">
        <f t="shared" si="14"/>
        <v>4896087.59</v>
      </c>
      <c r="F97" s="595">
        <f>'Прилож 4 24 (7)'!V97</f>
        <v>0</v>
      </c>
      <c r="G97" s="595">
        <f>'Прилож 4 24 (7)'!W97</f>
        <v>0</v>
      </c>
      <c r="H97" s="595">
        <f>'Прилож 4 24 (7)'!X97</f>
        <v>3741878.85</v>
      </c>
      <c r="I97" s="626"/>
      <c r="J97" s="595">
        <f>'Прилож 4 24 (7)'!Z97</f>
        <v>0</v>
      </c>
      <c r="K97" s="595">
        <f>'Прилож 4 24 (7)'!AA97</f>
        <v>0</v>
      </c>
      <c r="L97" s="595">
        <f>'Прилож 4 24 (7)'!AB97</f>
        <v>1154208.74</v>
      </c>
      <c r="M97" s="876">
        <f t="shared" si="13"/>
        <v>0</v>
      </c>
      <c r="N97" s="876"/>
      <c r="O97" s="876"/>
      <c r="P97" s="876"/>
      <c r="Q97" s="881"/>
      <c r="R97" s="876"/>
      <c r="S97" s="876"/>
      <c r="T97" s="876">
        <f>T88+T96</f>
        <v>0</v>
      </c>
      <c r="U97" s="876">
        <f t="shared" si="20"/>
        <v>4896087.59</v>
      </c>
      <c r="V97" s="875">
        <f t="shared" si="20"/>
        <v>0</v>
      </c>
      <c r="W97" s="875">
        <f t="shared" si="18"/>
        <v>0</v>
      </c>
      <c r="X97" s="875">
        <f t="shared" si="18"/>
        <v>3741878.85</v>
      </c>
      <c r="Y97" s="881"/>
      <c r="Z97" s="875">
        <f t="shared" si="19"/>
        <v>0</v>
      </c>
      <c r="AA97" s="875">
        <f t="shared" si="19"/>
        <v>0</v>
      </c>
      <c r="AB97" s="875">
        <f t="shared" si="19"/>
        <v>1154208.74</v>
      </c>
      <c r="AC97" s="879"/>
    </row>
    <row r="98" spans="1:29" ht="31.5" x14ac:dyDescent="0.2">
      <c r="A98" s="618" t="s">
        <v>1230</v>
      </c>
      <c r="B98" s="619" t="s">
        <v>729</v>
      </c>
      <c r="C98" s="620">
        <v>243</v>
      </c>
      <c r="D98" s="620">
        <v>225</v>
      </c>
      <c r="E98" s="596">
        <f t="shared" si="14"/>
        <v>0</v>
      </c>
      <c r="F98" s="595">
        <f>'Прилож 4 24 (7)'!V98</f>
        <v>0</v>
      </c>
      <c r="G98" s="595">
        <f>'Прилож 4 24 (7)'!W98</f>
        <v>0</v>
      </c>
      <c r="H98" s="595">
        <f>'Прилож 4 24 (7)'!X98</f>
        <v>0</v>
      </c>
      <c r="I98" s="621"/>
      <c r="J98" s="595">
        <f>'Прилож 4 24 (7)'!Z98</f>
        <v>0</v>
      </c>
      <c r="K98" s="595">
        <f>'Прилож 4 24 (7)'!AA98</f>
        <v>0</v>
      </c>
      <c r="L98" s="595">
        <f>'Прилож 4 24 (7)'!AB98</f>
        <v>0</v>
      </c>
      <c r="M98" s="876">
        <f t="shared" si="13"/>
        <v>0</v>
      </c>
      <c r="N98" s="875"/>
      <c r="O98" s="875"/>
      <c r="P98" s="875"/>
      <c r="Q98" s="890"/>
      <c r="R98" s="875"/>
      <c r="S98" s="875"/>
      <c r="T98" s="875"/>
      <c r="U98" s="876">
        <f t="shared" si="20"/>
        <v>0</v>
      </c>
      <c r="V98" s="875">
        <f t="shared" si="20"/>
        <v>0</v>
      </c>
      <c r="W98" s="875">
        <f t="shared" si="18"/>
        <v>0</v>
      </c>
      <c r="X98" s="875">
        <f t="shared" si="18"/>
        <v>0</v>
      </c>
      <c r="Y98" s="877"/>
      <c r="Z98" s="875">
        <f t="shared" si="19"/>
        <v>0</v>
      </c>
      <c r="AA98" s="875">
        <f t="shared" si="19"/>
        <v>0</v>
      </c>
      <c r="AB98" s="875">
        <f t="shared" si="19"/>
        <v>0</v>
      </c>
      <c r="AC98" s="878"/>
    </row>
    <row r="99" spans="1:29" s="614" customFormat="1" ht="28.5" customHeight="1" x14ac:dyDescent="0.2">
      <c r="A99" s="630" t="s">
        <v>1312</v>
      </c>
      <c r="B99" s="631" t="s">
        <v>729</v>
      </c>
      <c r="C99" s="624">
        <v>243</v>
      </c>
      <c r="D99" s="624">
        <v>225</v>
      </c>
      <c r="E99" s="596">
        <f t="shared" si="14"/>
        <v>0</v>
      </c>
      <c r="F99" s="595">
        <f>'Прилож 4 24 (7)'!V99</f>
        <v>0</v>
      </c>
      <c r="G99" s="595">
        <f>'Прилож 4 24 (7)'!W99</f>
        <v>0</v>
      </c>
      <c r="H99" s="595">
        <f>'Прилож 4 24 (7)'!X99</f>
        <v>0</v>
      </c>
      <c r="I99" s="626"/>
      <c r="J99" s="595">
        <f>'Прилож 4 24 (7)'!Z99</f>
        <v>0</v>
      </c>
      <c r="K99" s="595">
        <f>'Прилож 4 24 (7)'!AA99</f>
        <v>0</v>
      </c>
      <c r="L99" s="595">
        <f>'Прилож 4 24 (7)'!AB99</f>
        <v>0</v>
      </c>
      <c r="M99" s="876">
        <f t="shared" si="13"/>
        <v>0</v>
      </c>
      <c r="N99" s="876"/>
      <c r="O99" s="876"/>
      <c r="P99" s="876"/>
      <c r="Q99" s="881"/>
      <c r="R99" s="876"/>
      <c r="S99" s="876"/>
      <c r="T99" s="876"/>
      <c r="U99" s="876">
        <f t="shared" si="20"/>
        <v>0</v>
      </c>
      <c r="V99" s="875">
        <f t="shared" si="20"/>
        <v>0</v>
      </c>
      <c r="W99" s="875">
        <f t="shared" si="18"/>
        <v>0</v>
      </c>
      <c r="X99" s="875">
        <f t="shared" si="18"/>
        <v>0</v>
      </c>
      <c r="Y99" s="881"/>
      <c r="Z99" s="875">
        <f t="shared" si="19"/>
        <v>0</v>
      </c>
      <c r="AA99" s="875">
        <f t="shared" si="19"/>
        <v>0</v>
      </c>
      <c r="AB99" s="875">
        <f t="shared" si="19"/>
        <v>0</v>
      </c>
      <c r="AC99" s="879"/>
    </row>
    <row r="100" spans="1:29" ht="69" customHeight="1" x14ac:dyDescent="0.2">
      <c r="A100" s="618" t="s">
        <v>1188</v>
      </c>
      <c r="B100" s="619" t="s">
        <v>747</v>
      </c>
      <c r="C100" s="620">
        <v>244</v>
      </c>
      <c r="D100" s="620">
        <v>225</v>
      </c>
      <c r="E100" s="596">
        <f t="shared" si="14"/>
        <v>50400</v>
      </c>
      <c r="F100" s="595">
        <f>'Прилож 4 24 (7)'!V100</f>
        <v>0</v>
      </c>
      <c r="G100" s="595">
        <f>'Прилож 4 24 (7)'!W100</f>
        <v>0</v>
      </c>
      <c r="H100" s="595">
        <f>'Прилож 4 24 (7)'!X100</f>
        <v>50400</v>
      </c>
      <c r="I100" s="628"/>
      <c r="J100" s="595">
        <f>'Прилож 4 24 (7)'!Z100</f>
        <v>0</v>
      </c>
      <c r="K100" s="595">
        <f>'Прилож 4 24 (7)'!AA100</f>
        <v>0</v>
      </c>
      <c r="L100" s="595">
        <f>'Прилож 4 24 (7)'!AB100</f>
        <v>0</v>
      </c>
      <c r="M100" s="876">
        <f t="shared" si="13"/>
        <v>0</v>
      </c>
      <c r="N100" s="875"/>
      <c r="O100" s="875"/>
      <c r="P100" s="875"/>
      <c r="Q100" s="877"/>
      <c r="R100" s="875"/>
      <c r="S100" s="875"/>
      <c r="T100" s="875"/>
      <c r="U100" s="876">
        <f t="shared" si="20"/>
        <v>50400</v>
      </c>
      <c r="V100" s="875">
        <f t="shared" si="20"/>
        <v>0</v>
      </c>
      <c r="W100" s="875">
        <f t="shared" si="18"/>
        <v>0</v>
      </c>
      <c r="X100" s="875">
        <f t="shared" si="18"/>
        <v>50400</v>
      </c>
      <c r="Y100" s="883"/>
      <c r="Z100" s="875">
        <f t="shared" si="19"/>
        <v>0</v>
      </c>
      <c r="AA100" s="875">
        <f t="shared" si="19"/>
        <v>0</v>
      </c>
      <c r="AB100" s="875">
        <f t="shared" si="19"/>
        <v>0</v>
      </c>
      <c r="AC100" s="878"/>
    </row>
    <row r="101" spans="1:29" x14ac:dyDescent="0.2">
      <c r="A101" s="618" t="s">
        <v>1193</v>
      </c>
      <c r="B101" s="619" t="s">
        <v>747</v>
      </c>
      <c r="C101" s="620">
        <v>244</v>
      </c>
      <c r="D101" s="620">
        <v>225</v>
      </c>
      <c r="E101" s="596">
        <f t="shared" si="14"/>
        <v>49836</v>
      </c>
      <c r="F101" s="595">
        <f>'Прилож 4 24 (7)'!V101</f>
        <v>0</v>
      </c>
      <c r="G101" s="595">
        <f>'Прилож 4 24 (7)'!W101</f>
        <v>0</v>
      </c>
      <c r="H101" s="595">
        <f>'Прилож 4 24 (7)'!X101</f>
        <v>49836</v>
      </c>
      <c r="I101" s="628"/>
      <c r="J101" s="595">
        <f>'Прилож 4 24 (7)'!Z101</f>
        <v>0</v>
      </c>
      <c r="K101" s="595">
        <f>'Прилож 4 24 (7)'!AA101</f>
        <v>0</v>
      </c>
      <c r="L101" s="595">
        <f>'Прилож 4 24 (7)'!AB101</f>
        <v>0</v>
      </c>
      <c r="M101" s="876">
        <f t="shared" si="13"/>
        <v>0</v>
      </c>
      <c r="N101" s="875"/>
      <c r="O101" s="875"/>
      <c r="P101" s="875"/>
      <c r="Q101" s="877"/>
      <c r="R101" s="875"/>
      <c r="S101" s="875"/>
      <c r="T101" s="875"/>
      <c r="U101" s="876">
        <f t="shared" si="20"/>
        <v>49836</v>
      </c>
      <c r="V101" s="875">
        <f t="shared" si="20"/>
        <v>0</v>
      </c>
      <c r="W101" s="875">
        <f t="shared" si="18"/>
        <v>0</v>
      </c>
      <c r="X101" s="875">
        <f t="shared" si="18"/>
        <v>49836</v>
      </c>
      <c r="Y101" s="883"/>
      <c r="Z101" s="875">
        <f t="shared" si="19"/>
        <v>0</v>
      </c>
      <c r="AA101" s="875">
        <f t="shared" si="19"/>
        <v>0</v>
      </c>
      <c r="AB101" s="875">
        <f t="shared" si="19"/>
        <v>0</v>
      </c>
      <c r="AC101" s="878"/>
    </row>
    <row r="102" spans="1:29" ht="41.25" customHeight="1" x14ac:dyDescent="0.2">
      <c r="A102" s="618" t="s">
        <v>1192</v>
      </c>
      <c r="B102" s="619" t="s">
        <v>747</v>
      </c>
      <c r="C102" s="620">
        <v>244</v>
      </c>
      <c r="D102" s="620">
        <v>225</v>
      </c>
      <c r="E102" s="596">
        <f t="shared" si="14"/>
        <v>3859</v>
      </c>
      <c r="F102" s="595">
        <f>'Прилож 4 24 (7)'!V102</f>
        <v>0</v>
      </c>
      <c r="G102" s="595">
        <f>'Прилож 4 24 (7)'!W102</f>
        <v>0</v>
      </c>
      <c r="H102" s="595">
        <f>'Прилож 4 24 (7)'!X102</f>
        <v>3859</v>
      </c>
      <c r="I102" s="628"/>
      <c r="J102" s="595">
        <f>'Прилож 4 24 (7)'!Z102</f>
        <v>0</v>
      </c>
      <c r="K102" s="595">
        <f>'Прилож 4 24 (7)'!AA102</f>
        <v>0</v>
      </c>
      <c r="L102" s="595">
        <f>'Прилож 4 24 (7)'!AB102</f>
        <v>0</v>
      </c>
      <c r="M102" s="876">
        <f t="shared" si="13"/>
        <v>0</v>
      </c>
      <c r="N102" s="875"/>
      <c r="O102" s="875"/>
      <c r="P102" s="875"/>
      <c r="Q102" s="877"/>
      <c r="R102" s="875"/>
      <c r="S102" s="875"/>
      <c r="T102" s="875"/>
      <c r="U102" s="876">
        <f t="shared" si="20"/>
        <v>3859</v>
      </c>
      <c r="V102" s="875">
        <f t="shared" si="20"/>
        <v>0</v>
      </c>
      <c r="W102" s="875">
        <f t="shared" si="18"/>
        <v>0</v>
      </c>
      <c r="X102" s="875">
        <f t="shared" si="18"/>
        <v>3859</v>
      </c>
      <c r="Y102" s="883"/>
      <c r="Z102" s="875">
        <f t="shared" si="19"/>
        <v>0</v>
      </c>
      <c r="AA102" s="875">
        <f t="shared" si="19"/>
        <v>0</v>
      </c>
      <c r="AB102" s="875">
        <f t="shared" si="19"/>
        <v>0</v>
      </c>
      <c r="AC102" s="878"/>
    </row>
    <row r="103" spans="1:29" ht="31.5" x14ac:dyDescent="0.2">
      <c r="A103" s="618" t="s">
        <v>1187</v>
      </c>
      <c r="B103" s="619" t="s">
        <v>747</v>
      </c>
      <c r="C103" s="620">
        <v>244</v>
      </c>
      <c r="D103" s="620">
        <v>225</v>
      </c>
      <c r="E103" s="596">
        <f t="shared" si="14"/>
        <v>21600</v>
      </c>
      <c r="F103" s="595">
        <f>'Прилож 4 24 (7)'!V103</f>
        <v>0</v>
      </c>
      <c r="G103" s="595">
        <f>'Прилож 4 24 (7)'!W103</f>
        <v>0</v>
      </c>
      <c r="H103" s="595">
        <f>'Прилож 4 24 (7)'!X103</f>
        <v>21600</v>
      </c>
      <c r="I103" s="628"/>
      <c r="J103" s="595">
        <f>'Прилож 4 24 (7)'!Z103</f>
        <v>0</v>
      </c>
      <c r="K103" s="595">
        <f>'Прилож 4 24 (7)'!AA103</f>
        <v>0</v>
      </c>
      <c r="L103" s="595">
        <f>'Прилож 4 24 (7)'!AB103</f>
        <v>0</v>
      </c>
      <c r="M103" s="876">
        <f t="shared" si="13"/>
        <v>0</v>
      </c>
      <c r="N103" s="875"/>
      <c r="O103" s="875"/>
      <c r="P103" s="875"/>
      <c r="Q103" s="877"/>
      <c r="R103" s="875"/>
      <c r="S103" s="875"/>
      <c r="T103" s="875"/>
      <c r="U103" s="876">
        <f t="shared" si="20"/>
        <v>21600</v>
      </c>
      <c r="V103" s="875">
        <f t="shared" si="20"/>
        <v>0</v>
      </c>
      <c r="W103" s="875">
        <f t="shared" si="18"/>
        <v>0</v>
      </c>
      <c r="X103" s="875">
        <f t="shared" si="18"/>
        <v>21600</v>
      </c>
      <c r="Y103" s="883"/>
      <c r="Z103" s="875">
        <f t="shared" si="19"/>
        <v>0</v>
      </c>
      <c r="AA103" s="875">
        <f t="shared" si="19"/>
        <v>0</v>
      </c>
      <c r="AB103" s="875">
        <f t="shared" si="19"/>
        <v>0</v>
      </c>
      <c r="AC103" s="878"/>
    </row>
    <row r="104" spans="1:29" s="612" customFormat="1" ht="31.5" x14ac:dyDescent="0.2">
      <c r="A104" s="618" t="s">
        <v>1203</v>
      </c>
      <c r="B104" s="619" t="s">
        <v>747</v>
      </c>
      <c r="C104" s="620">
        <v>244</v>
      </c>
      <c r="D104" s="620">
        <v>225</v>
      </c>
      <c r="E104" s="596">
        <f t="shared" si="14"/>
        <v>16551.099999999999</v>
      </c>
      <c r="F104" s="595">
        <f>'Прилож 4 24 (7)'!V104</f>
        <v>0</v>
      </c>
      <c r="G104" s="595">
        <f>'Прилож 4 24 (7)'!W104</f>
        <v>0</v>
      </c>
      <c r="H104" s="595">
        <f>'Прилож 4 24 (7)'!X104</f>
        <v>16551.099999999999</v>
      </c>
      <c r="I104" s="628"/>
      <c r="J104" s="595">
        <f>'Прилож 4 24 (7)'!Z104</f>
        <v>0</v>
      </c>
      <c r="K104" s="595">
        <f>'Прилож 4 24 (7)'!AA104</f>
        <v>0</v>
      </c>
      <c r="L104" s="595">
        <f>'Прилож 4 24 (7)'!AB104</f>
        <v>0</v>
      </c>
      <c r="M104" s="876">
        <f t="shared" si="13"/>
        <v>0</v>
      </c>
      <c r="N104" s="875"/>
      <c r="O104" s="875"/>
      <c r="P104" s="875"/>
      <c r="Q104" s="877"/>
      <c r="R104" s="875"/>
      <c r="S104" s="875"/>
      <c r="T104" s="875"/>
      <c r="U104" s="876">
        <f t="shared" si="20"/>
        <v>16551.099999999999</v>
      </c>
      <c r="V104" s="875">
        <f t="shared" si="20"/>
        <v>0</v>
      </c>
      <c r="W104" s="875">
        <f t="shared" si="18"/>
        <v>0</v>
      </c>
      <c r="X104" s="875">
        <f t="shared" si="18"/>
        <v>16551.099999999999</v>
      </c>
      <c r="Y104" s="883"/>
      <c r="Z104" s="875">
        <f t="shared" si="19"/>
        <v>0</v>
      </c>
      <c r="AA104" s="875">
        <f t="shared" si="19"/>
        <v>0</v>
      </c>
      <c r="AB104" s="875">
        <f t="shared" si="19"/>
        <v>0</v>
      </c>
      <c r="AC104" s="878"/>
    </row>
    <row r="105" spans="1:29" s="612" customFormat="1" ht="32.25" customHeight="1" x14ac:dyDescent="0.2">
      <c r="A105" s="618" t="s">
        <v>583</v>
      </c>
      <c r="B105" s="619" t="s">
        <v>747</v>
      </c>
      <c r="C105" s="620">
        <v>244</v>
      </c>
      <c r="D105" s="620">
        <v>225</v>
      </c>
      <c r="E105" s="596">
        <f t="shared" si="14"/>
        <v>8330</v>
      </c>
      <c r="F105" s="595">
        <f>'Прилож 4 24 (7)'!V105</f>
        <v>0</v>
      </c>
      <c r="G105" s="595">
        <f>'Прилож 4 24 (7)'!W105</f>
        <v>0</v>
      </c>
      <c r="H105" s="595">
        <f>'Прилож 4 24 (7)'!X105</f>
        <v>8330</v>
      </c>
      <c r="I105" s="628"/>
      <c r="J105" s="595">
        <f>'Прилож 4 24 (7)'!Z105</f>
        <v>0</v>
      </c>
      <c r="K105" s="595">
        <f>'Прилож 4 24 (7)'!AA105</f>
        <v>0</v>
      </c>
      <c r="L105" s="595">
        <f>'Прилож 4 24 (7)'!AB105</f>
        <v>0</v>
      </c>
      <c r="M105" s="876">
        <f t="shared" si="13"/>
        <v>0</v>
      </c>
      <c r="N105" s="875"/>
      <c r="O105" s="875"/>
      <c r="P105" s="875"/>
      <c r="Q105" s="877"/>
      <c r="R105" s="875"/>
      <c r="S105" s="875"/>
      <c r="T105" s="875"/>
      <c r="U105" s="876">
        <f t="shared" si="20"/>
        <v>8330</v>
      </c>
      <c r="V105" s="875">
        <f t="shared" si="20"/>
        <v>0</v>
      </c>
      <c r="W105" s="875">
        <f t="shared" si="18"/>
        <v>0</v>
      </c>
      <c r="X105" s="875">
        <f t="shared" si="18"/>
        <v>8330</v>
      </c>
      <c r="Y105" s="883"/>
      <c r="Z105" s="875">
        <f t="shared" si="19"/>
        <v>0</v>
      </c>
      <c r="AA105" s="875">
        <f t="shared" si="19"/>
        <v>0</v>
      </c>
      <c r="AB105" s="875">
        <f t="shared" si="19"/>
        <v>0</v>
      </c>
      <c r="AC105" s="878"/>
    </row>
    <row r="106" spans="1:29" s="612" customFormat="1" x14ac:dyDescent="0.2">
      <c r="A106" s="618" t="s">
        <v>1297</v>
      </c>
      <c r="B106" s="619" t="s">
        <v>747</v>
      </c>
      <c r="C106" s="620">
        <v>244</v>
      </c>
      <c r="D106" s="620">
        <v>225</v>
      </c>
      <c r="E106" s="596">
        <f t="shared" si="14"/>
        <v>4000</v>
      </c>
      <c r="F106" s="595">
        <f>'Прилож 4 24 (7)'!V106</f>
        <v>0</v>
      </c>
      <c r="G106" s="595">
        <f>'Прилож 4 24 (7)'!W106</f>
        <v>0</v>
      </c>
      <c r="H106" s="595">
        <f>'Прилож 4 24 (7)'!X106</f>
        <v>4000</v>
      </c>
      <c r="I106" s="628"/>
      <c r="J106" s="595">
        <f>'Прилож 4 24 (7)'!Z106</f>
        <v>0</v>
      </c>
      <c r="K106" s="595">
        <f>'Прилож 4 24 (7)'!AA106</f>
        <v>0</v>
      </c>
      <c r="L106" s="595">
        <f>'Прилож 4 24 (7)'!AB106</f>
        <v>0</v>
      </c>
      <c r="M106" s="876">
        <f t="shared" si="13"/>
        <v>0</v>
      </c>
      <c r="N106" s="875"/>
      <c r="O106" s="875"/>
      <c r="P106" s="875"/>
      <c r="Q106" s="877"/>
      <c r="R106" s="875"/>
      <c r="S106" s="875"/>
      <c r="T106" s="875"/>
      <c r="U106" s="876">
        <f t="shared" si="20"/>
        <v>4000</v>
      </c>
      <c r="V106" s="875">
        <f t="shared" si="20"/>
        <v>0</v>
      </c>
      <c r="W106" s="875">
        <f t="shared" si="18"/>
        <v>0</v>
      </c>
      <c r="X106" s="875">
        <f t="shared" si="18"/>
        <v>4000</v>
      </c>
      <c r="Y106" s="883"/>
      <c r="Z106" s="875">
        <f t="shared" si="19"/>
        <v>0</v>
      </c>
      <c r="AA106" s="875">
        <f t="shared" si="19"/>
        <v>0</v>
      </c>
      <c r="AB106" s="875">
        <f t="shared" si="19"/>
        <v>0</v>
      </c>
      <c r="AC106" s="878"/>
    </row>
    <row r="107" spans="1:29" s="612" customFormat="1" x14ac:dyDescent="0.2">
      <c r="A107" s="618" t="s">
        <v>1204</v>
      </c>
      <c r="B107" s="619" t="s">
        <v>747</v>
      </c>
      <c r="C107" s="620">
        <v>244</v>
      </c>
      <c r="D107" s="620">
        <v>225</v>
      </c>
      <c r="E107" s="596">
        <f t="shared" si="14"/>
        <v>20000</v>
      </c>
      <c r="F107" s="595">
        <f>'Прилож 4 24 (7)'!V107</f>
        <v>0</v>
      </c>
      <c r="G107" s="595">
        <f>'Прилож 4 24 (7)'!W107</f>
        <v>0</v>
      </c>
      <c r="H107" s="595">
        <f>'Прилож 4 24 (7)'!X107</f>
        <v>20000</v>
      </c>
      <c r="I107" s="628"/>
      <c r="J107" s="595">
        <f>'Прилож 4 24 (7)'!Z107</f>
        <v>0</v>
      </c>
      <c r="K107" s="595">
        <f>'Прилож 4 24 (7)'!AA107</f>
        <v>0</v>
      </c>
      <c r="L107" s="595">
        <f>'Прилож 4 24 (7)'!AB107</f>
        <v>0</v>
      </c>
      <c r="M107" s="876">
        <f t="shared" ref="M107:M162" si="21">N107+P107+R107+S107+T107+O107</f>
        <v>0</v>
      </c>
      <c r="N107" s="875"/>
      <c r="O107" s="875"/>
      <c r="P107" s="875"/>
      <c r="Q107" s="877"/>
      <c r="R107" s="875"/>
      <c r="S107" s="875"/>
      <c r="T107" s="875"/>
      <c r="U107" s="876">
        <f t="shared" si="20"/>
        <v>20000</v>
      </c>
      <c r="V107" s="875">
        <f t="shared" si="20"/>
        <v>0</v>
      </c>
      <c r="W107" s="875">
        <f t="shared" si="18"/>
        <v>0</v>
      </c>
      <c r="X107" s="875">
        <f t="shared" si="18"/>
        <v>20000</v>
      </c>
      <c r="Y107" s="883"/>
      <c r="Z107" s="875">
        <f t="shared" si="19"/>
        <v>0</v>
      </c>
      <c r="AA107" s="875">
        <f t="shared" si="19"/>
        <v>0</v>
      </c>
      <c r="AB107" s="875">
        <f t="shared" si="19"/>
        <v>0</v>
      </c>
      <c r="AC107" s="878"/>
    </row>
    <row r="108" spans="1:29" s="612" customFormat="1" ht="31.5" customHeight="1" x14ac:dyDescent="0.2">
      <c r="A108" s="618" t="s">
        <v>143</v>
      </c>
      <c r="B108" s="619" t="s">
        <v>747</v>
      </c>
      <c r="C108" s="620">
        <v>244</v>
      </c>
      <c r="D108" s="620">
        <v>225</v>
      </c>
      <c r="E108" s="596">
        <f t="shared" si="14"/>
        <v>12104.58</v>
      </c>
      <c r="F108" s="595">
        <f>'Прилож 4 24 (7)'!V108</f>
        <v>0</v>
      </c>
      <c r="G108" s="595">
        <f>'Прилож 4 24 (7)'!W108</f>
        <v>0</v>
      </c>
      <c r="H108" s="595">
        <f>'Прилож 4 24 (7)'!X108</f>
        <v>12104.58</v>
      </c>
      <c r="I108" s="628"/>
      <c r="J108" s="595">
        <f>'Прилож 4 24 (7)'!Z108</f>
        <v>0</v>
      </c>
      <c r="K108" s="595">
        <f>'Прилож 4 24 (7)'!AA108</f>
        <v>0</v>
      </c>
      <c r="L108" s="595">
        <f>'Прилож 4 24 (7)'!AB108</f>
        <v>0</v>
      </c>
      <c r="M108" s="876">
        <f t="shared" si="21"/>
        <v>0</v>
      </c>
      <c r="N108" s="875"/>
      <c r="O108" s="875"/>
      <c r="P108" s="875"/>
      <c r="Q108" s="877"/>
      <c r="R108" s="875"/>
      <c r="S108" s="875"/>
      <c r="T108" s="875"/>
      <c r="U108" s="876">
        <f t="shared" si="20"/>
        <v>12104.58</v>
      </c>
      <c r="V108" s="875">
        <f t="shared" si="20"/>
        <v>0</v>
      </c>
      <c r="W108" s="875">
        <f t="shared" si="18"/>
        <v>0</v>
      </c>
      <c r="X108" s="875">
        <f t="shared" si="18"/>
        <v>12104.58</v>
      </c>
      <c r="Y108" s="883"/>
      <c r="Z108" s="875">
        <f t="shared" si="19"/>
        <v>0</v>
      </c>
      <c r="AA108" s="875">
        <f t="shared" si="19"/>
        <v>0</v>
      </c>
      <c r="AB108" s="875">
        <f t="shared" si="19"/>
        <v>0</v>
      </c>
      <c r="AC108" s="878"/>
    </row>
    <row r="109" spans="1:29" s="612" customFormat="1" ht="31.5" x14ac:dyDescent="0.2">
      <c r="A109" s="618" t="s">
        <v>645</v>
      </c>
      <c r="B109" s="619" t="s">
        <v>747</v>
      </c>
      <c r="C109" s="620">
        <v>244</v>
      </c>
      <c r="D109" s="620">
        <v>225</v>
      </c>
      <c r="E109" s="596">
        <f t="shared" si="14"/>
        <v>0</v>
      </c>
      <c r="F109" s="595">
        <f>'Прилож 4 24 (7)'!V109</f>
        <v>0</v>
      </c>
      <c r="G109" s="595">
        <f>'Прилож 4 24 (7)'!W109</f>
        <v>0</v>
      </c>
      <c r="H109" s="595">
        <f>'Прилож 4 24 (7)'!X109</f>
        <v>0</v>
      </c>
      <c r="I109" s="628"/>
      <c r="J109" s="595">
        <f>'Прилож 4 24 (7)'!Z109</f>
        <v>0</v>
      </c>
      <c r="K109" s="595">
        <f>'Прилож 4 24 (7)'!AA109</f>
        <v>0</v>
      </c>
      <c r="L109" s="595">
        <f>'Прилож 4 24 (7)'!AB109</f>
        <v>0</v>
      </c>
      <c r="M109" s="876">
        <f t="shared" si="21"/>
        <v>0</v>
      </c>
      <c r="N109" s="875"/>
      <c r="O109" s="875"/>
      <c r="P109" s="875"/>
      <c r="Q109" s="877"/>
      <c r="R109" s="875"/>
      <c r="S109" s="875"/>
      <c r="T109" s="875"/>
      <c r="U109" s="876">
        <f t="shared" si="20"/>
        <v>0</v>
      </c>
      <c r="V109" s="875">
        <f t="shared" si="20"/>
        <v>0</v>
      </c>
      <c r="W109" s="875">
        <f t="shared" si="18"/>
        <v>0</v>
      </c>
      <c r="X109" s="875">
        <f t="shared" si="18"/>
        <v>0</v>
      </c>
      <c r="Y109" s="883"/>
      <c r="Z109" s="875">
        <f t="shared" si="19"/>
        <v>0</v>
      </c>
      <c r="AA109" s="875">
        <f t="shared" si="19"/>
        <v>0</v>
      </c>
      <c r="AB109" s="875">
        <f t="shared" si="19"/>
        <v>0</v>
      </c>
      <c r="AC109" s="878"/>
    </row>
    <row r="110" spans="1:29" s="612" customFormat="1" ht="31.5" x14ac:dyDescent="0.2">
      <c r="A110" s="618" t="s">
        <v>646</v>
      </c>
      <c r="B110" s="619" t="s">
        <v>747</v>
      </c>
      <c r="C110" s="620">
        <v>244</v>
      </c>
      <c r="D110" s="620">
        <v>225</v>
      </c>
      <c r="E110" s="596">
        <f t="shared" si="14"/>
        <v>44200</v>
      </c>
      <c r="F110" s="595">
        <f>'Прилож 4 24 (7)'!V110</f>
        <v>0</v>
      </c>
      <c r="G110" s="595">
        <f>'Прилож 4 24 (7)'!W110</f>
        <v>0</v>
      </c>
      <c r="H110" s="595">
        <f>'Прилож 4 24 (7)'!X110</f>
        <v>44200</v>
      </c>
      <c r="I110" s="628"/>
      <c r="J110" s="595">
        <f>'Прилож 4 24 (7)'!Z110</f>
        <v>0</v>
      </c>
      <c r="K110" s="595">
        <f>'Прилож 4 24 (7)'!AA110</f>
        <v>0</v>
      </c>
      <c r="L110" s="595">
        <f>'Прилож 4 24 (7)'!AB110</f>
        <v>0</v>
      </c>
      <c r="M110" s="876">
        <f t="shared" si="21"/>
        <v>0</v>
      </c>
      <c r="N110" s="875"/>
      <c r="O110" s="875"/>
      <c r="P110" s="875"/>
      <c r="Q110" s="877"/>
      <c r="R110" s="875"/>
      <c r="S110" s="875"/>
      <c r="T110" s="875"/>
      <c r="U110" s="876">
        <f t="shared" si="20"/>
        <v>44200</v>
      </c>
      <c r="V110" s="875">
        <f t="shared" si="20"/>
        <v>0</v>
      </c>
      <c r="W110" s="875">
        <f t="shared" si="18"/>
        <v>0</v>
      </c>
      <c r="X110" s="875">
        <f t="shared" si="18"/>
        <v>44200</v>
      </c>
      <c r="Y110" s="883"/>
      <c r="Z110" s="875">
        <f t="shared" si="19"/>
        <v>0</v>
      </c>
      <c r="AA110" s="875">
        <f t="shared" si="19"/>
        <v>0</v>
      </c>
      <c r="AB110" s="875">
        <f t="shared" si="19"/>
        <v>0</v>
      </c>
      <c r="AC110" s="878"/>
    </row>
    <row r="111" spans="1:29" s="612" customFormat="1" ht="38.25" customHeight="1" x14ac:dyDescent="0.2">
      <c r="A111" s="618" t="s">
        <v>146</v>
      </c>
      <c r="B111" s="619" t="s">
        <v>747</v>
      </c>
      <c r="C111" s="620">
        <v>244</v>
      </c>
      <c r="D111" s="620">
        <v>225</v>
      </c>
      <c r="E111" s="596">
        <f t="shared" si="14"/>
        <v>20000</v>
      </c>
      <c r="F111" s="595">
        <f>'Прилож 4 24 (7)'!V111</f>
        <v>0</v>
      </c>
      <c r="G111" s="595">
        <f>'Прилож 4 24 (7)'!W111</f>
        <v>0</v>
      </c>
      <c r="H111" s="595">
        <f>'Прилож 4 24 (7)'!X111</f>
        <v>20000</v>
      </c>
      <c r="I111" s="628"/>
      <c r="J111" s="595">
        <f>'Прилож 4 24 (7)'!Z111</f>
        <v>0</v>
      </c>
      <c r="K111" s="595">
        <f>'Прилож 4 24 (7)'!AA111</f>
        <v>0</v>
      </c>
      <c r="L111" s="595">
        <f>'Прилож 4 24 (7)'!AB111</f>
        <v>0</v>
      </c>
      <c r="M111" s="876">
        <f t="shared" si="21"/>
        <v>0</v>
      </c>
      <c r="N111" s="875"/>
      <c r="O111" s="875"/>
      <c r="P111" s="875"/>
      <c r="Q111" s="877"/>
      <c r="R111" s="875"/>
      <c r="S111" s="875"/>
      <c r="T111" s="875"/>
      <c r="U111" s="876">
        <f t="shared" si="20"/>
        <v>20000</v>
      </c>
      <c r="V111" s="875">
        <f t="shared" si="20"/>
        <v>0</v>
      </c>
      <c r="W111" s="875">
        <f t="shared" si="18"/>
        <v>0</v>
      </c>
      <c r="X111" s="875">
        <f t="shared" si="18"/>
        <v>20000</v>
      </c>
      <c r="Y111" s="883"/>
      <c r="Z111" s="875">
        <f t="shared" si="19"/>
        <v>0</v>
      </c>
      <c r="AA111" s="875">
        <f t="shared" si="19"/>
        <v>0</v>
      </c>
      <c r="AB111" s="875">
        <f t="shared" si="19"/>
        <v>0</v>
      </c>
      <c r="AC111" s="878"/>
    </row>
    <row r="112" spans="1:29" s="612" customFormat="1" ht="47.25" x14ac:dyDescent="0.2">
      <c r="A112" s="618" t="s">
        <v>148</v>
      </c>
      <c r="B112" s="619" t="s">
        <v>747</v>
      </c>
      <c r="C112" s="620">
        <v>244</v>
      </c>
      <c r="D112" s="620">
        <v>225</v>
      </c>
      <c r="E112" s="596">
        <f t="shared" si="14"/>
        <v>12000</v>
      </c>
      <c r="F112" s="595">
        <f>'Прилож 4 24 (7)'!V112</f>
        <v>0</v>
      </c>
      <c r="G112" s="595">
        <f>'Прилож 4 24 (7)'!W112</f>
        <v>0</v>
      </c>
      <c r="H112" s="595">
        <f>'Прилож 4 24 (7)'!X112</f>
        <v>12000</v>
      </c>
      <c r="I112" s="628"/>
      <c r="J112" s="595">
        <f>'Прилож 4 24 (7)'!Z112</f>
        <v>0</v>
      </c>
      <c r="K112" s="595">
        <f>'Прилож 4 24 (7)'!AA112</f>
        <v>0</v>
      </c>
      <c r="L112" s="595">
        <f>'Прилож 4 24 (7)'!AB112</f>
        <v>0</v>
      </c>
      <c r="M112" s="876">
        <f t="shared" si="21"/>
        <v>0</v>
      </c>
      <c r="N112" s="875"/>
      <c r="O112" s="875"/>
      <c r="P112" s="875"/>
      <c r="Q112" s="877"/>
      <c r="R112" s="875"/>
      <c r="S112" s="875"/>
      <c r="T112" s="875"/>
      <c r="U112" s="876">
        <f t="shared" si="20"/>
        <v>12000</v>
      </c>
      <c r="V112" s="875">
        <f t="shared" si="20"/>
        <v>0</v>
      </c>
      <c r="W112" s="875">
        <f t="shared" si="18"/>
        <v>0</v>
      </c>
      <c r="X112" s="875">
        <f t="shared" si="18"/>
        <v>12000</v>
      </c>
      <c r="Y112" s="883"/>
      <c r="Z112" s="875">
        <f t="shared" si="19"/>
        <v>0</v>
      </c>
      <c r="AA112" s="875">
        <f t="shared" si="19"/>
        <v>0</v>
      </c>
      <c r="AB112" s="875">
        <f t="shared" si="19"/>
        <v>0</v>
      </c>
      <c r="AC112" s="878"/>
    </row>
    <row r="113" spans="1:29" s="612" customFormat="1" ht="42" customHeight="1" x14ac:dyDescent="0.2">
      <c r="A113" s="618" t="s">
        <v>149</v>
      </c>
      <c r="B113" s="619" t="s">
        <v>747</v>
      </c>
      <c r="C113" s="620">
        <v>244</v>
      </c>
      <c r="D113" s="620">
        <v>225</v>
      </c>
      <c r="E113" s="596">
        <f t="shared" si="14"/>
        <v>3033.2200000000003</v>
      </c>
      <c r="F113" s="595">
        <f>'Прилож 4 24 (7)'!V113</f>
        <v>0</v>
      </c>
      <c r="G113" s="595">
        <f>'Прилож 4 24 (7)'!W113</f>
        <v>0</v>
      </c>
      <c r="H113" s="595">
        <f>'Прилож 4 24 (7)'!X113</f>
        <v>3033.2200000000003</v>
      </c>
      <c r="I113" s="628"/>
      <c r="J113" s="595">
        <f>'Прилож 4 24 (7)'!Z113</f>
        <v>0</v>
      </c>
      <c r="K113" s="595">
        <f>'Прилож 4 24 (7)'!AA113</f>
        <v>0</v>
      </c>
      <c r="L113" s="595">
        <f>'Прилож 4 24 (7)'!AB113</f>
        <v>0</v>
      </c>
      <c r="M113" s="876">
        <f t="shared" si="21"/>
        <v>0</v>
      </c>
      <c r="N113" s="875"/>
      <c r="O113" s="875"/>
      <c r="P113" s="875"/>
      <c r="Q113" s="877"/>
      <c r="R113" s="875"/>
      <c r="S113" s="875"/>
      <c r="T113" s="875"/>
      <c r="U113" s="876">
        <f t="shared" si="20"/>
        <v>3033.2200000000003</v>
      </c>
      <c r="V113" s="875">
        <f t="shared" si="20"/>
        <v>0</v>
      </c>
      <c r="W113" s="875">
        <f t="shared" si="18"/>
        <v>0</v>
      </c>
      <c r="X113" s="875">
        <f t="shared" si="18"/>
        <v>3033.2200000000003</v>
      </c>
      <c r="Y113" s="883"/>
      <c r="Z113" s="875">
        <f t="shared" si="19"/>
        <v>0</v>
      </c>
      <c r="AA113" s="875">
        <f t="shared" si="19"/>
        <v>0</v>
      </c>
      <c r="AB113" s="875">
        <f t="shared" si="19"/>
        <v>0</v>
      </c>
      <c r="AC113" s="878"/>
    </row>
    <row r="114" spans="1:29" s="612" customFormat="1" x14ac:dyDescent="0.2">
      <c r="A114" s="618" t="s">
        <v>647</v>
      </c>
      <c r="B114" s="619" t="s">
        <v>747</v>
      </c>
      <c r="C114" s="620">
        <v>244</v>
      </c>
      <c r="D114" s="620">
        <v>225</v>
      </c>
      <c r="E114" s="596">
        <f t="shared" ref="E114:E121" si="22">L114+K114+J114+H114+G114+F114</f>
        <v>10000</v>
      </c>
      <c r="F114" s="595">
        <f>'Прилож 4 24 (7)'!V114</f>
        <v>0</v>
      </c>
      <c r="G114" s="595">
        <f>'Прилож 4 24 (7)'!W114</f>
        <v>0</v>
      </c>
      <c r="H114" s="595">
        <f>'Прилож 4 24 (7)'!X114</f>
        <v>10000</v>
      </c>
      <c r="I114" s="628"/>
      <c r="J114" s="595">
        <f>'Прилож 4 24 (7)'!Z114</f>
        <v>0</v>
      </c>
      <c r="K114" s="595">
        <f>'Прилож 4 24 (7)'!AA114</f>
        <v>0</v>
      </c>
      <c r="L114" s="595">
        <f>'Прилож 4 24 (7)'!AB114</f>
        <v>0</v>
      </c>
      <c r="M114" s="876">
        <f t="shared" si="21"/>
        <v>0</v>
      </c>
      <c r="N114" s="875"/>
      <c r="O114" s="875"/>
      <c r="P114" s="875"/>
      <c r="Q114" s="877"/>
      <c r="R114" s="875"/>
      <c r="S114" s="875"/>
      <c r="T114" s="875"/>
      <c r="U114" s="876">
        <f t="shared" si="20"/>
        <v>10000</v>
      </c>
      <c r="V114" s="875">
        <f t="shared" si="20"/>
        <v>0</v>
      </c>
      <c r="W114" s="875">
        <f t="shared" si="18"/>
        <v>0</v>
      </c>
      <c r="X114" s="875">
        <f t="shared" si="18"/>
        <v>10000</v>
      </c>
      <c r="Y114" s="883"/>
      <c r="Z114" s="875">
        <f t="shared" si="19"/>
        <v>0</v>
      </c>
      <c r="AA114" s="875">
        <f t="shared" si="19"/>
        <v>0</v>
      </c>
      <c r="AB114" s="875">
        <f t="shared" si="19"/>
        <v>0</v>
      </c>
      <c r="AC114" s="878"/>
    </row>
    <row r="115" spans="1:29" s="612" customFormat="1" ht="31.5" x14ac:dyDescent="0.2">
      <c r="A115" s="618" t="s">
        <v>1185</v>
      </c>
      <c r="B115" s="619" t="s">
        <v>747</v>
      </c>
      <c r="C115" s="620">
        <v>244</v>
      </c>
      <c r="D115" s="620">
        <v>225</v>
      </c>
      <c r="E115" s="596">
        <f t="shared" si="22"/>
        <v>19716</v>
      </c>
      <c r="F115" s="595">
        <f>'Прилож 4 24 (7)'!V115</f>
        <v>0</v>
      </c>
      <c r="G115" s="595">
        <f>'Прилож 4 24 (7)'!W115</f>
        <v>0</v>
      </c>
      <c r="H115" s="595">
        <f>'Прилож 4 24 (7)'!X115</f>
        <v>19716</v>
      </c>
      <c r="I115" s="628"/>
      <c r="J115" s="595">
        <f>'Прилож 4 24 (7)'!Z115</f>
        <v>0</v>
      </c>
      <c r="K115" s="595">
        <f>'Прилож 4 24 (7)'!AA115</f>
        <v>0</v>
      </c>
      <c r="L115" s="595">
        <f>'Прилож 4 24 (7)'!AB115</f>
        <v>0</v>
      </c>
      <c r="M115" s="876">
        <f t="shared" si="21"/>
        <v>0</v>
      </c>
      <c r="N115" s="875"/>
      <c r="O115" s="875"/>
      <c r="P115" s="875"/>
      <c r="Q115" s="877"/>
      <c r="R115" s="875"/>
      <c r="S115" s="875"/>
      <c r="T115" s="875"/>
      <c r="U115" s="876">
        <f t="shared" si="20"/>
        <v>19716</v>
      </c>
      <c r="V115" s="875">
        <f t="shared" si="20"/>
        <v>0</v>
      </c>
      <c r="W115" s="875">
        <f t="shared" si="18"/>
        <v>0</v>
      </c>
      <c r="X115" s="875">
        <f t="shared" si="18"/>
        <v>19716</v>
      </c>
      <c r="Y115" s="883"/>
      <c r="Z115" s="875">
        <f t="shared" si="19"/>
        <v>0</v>
      </c>
      <c r="AA115" s="875">
        <f t="shared" si="19"/>
        <v>0</v>
      </c>
      <c r="AB115" s="875">
        <f t="shared" si="19"/>
        <v>0</v>
      </c>
      <c r="AC115" s="878"/>
    </row>
    <row r="116" spans="1:29" s="612" customFormat="1" ht="31.5" x14ac:dyDescent="0.2">
      <c r="A116" s="618" t="s">
        <v>587</v>
      </c>
      <c r="B116" s="619" t="s">
        <v>747</v>
      </c>
      <c r="C116" s="620">
        <v>244</v>
      </c>
      <c r="D116" s="620">
        <v>225</v>
      </c>
      <c r="E116" s="596">
        <f t="shared" si="22"/>
        <v>14952</v>
      </c>
      <c r="F116" s="595">
        <f>'Прилож 4 24 (7)'!V116</f>
        <v>0</v>
      </c>
      <c r="G116" s="595">
        <f>'Прилож 4 24 (7)'!W116</f>
        <v>0</v>
      </c>
      <c r="H116" s="595">
        <f>'Прилож 4 24 (7)'!X116</f>
        <v>14952</v>
      </c>
      <c r="I116" s="628"/>
      <c r="J116" s="595">
        <f>'Прилож 4 24 (7)'!Z116</f>
        <v>0</v>
      </c>
      <c r="K116" s="595">
        <f>'Прилож 4 24 (7)'!AA116</f>
        <v>0</v>
      </c>
      <c r="L116" s="595">
        <f>'Прилож 4 24 (7)'!AB116</f>
        <v>0</v>
      </c>
      <c r="M116" s="876">
        <f t="shared" si="21"/>
        <v>0</v>
      </c>
      <c r="N116" s="875"/>
      <c r="O116" s="875"/>
      <c r="P116" s="875"/>
      <c r="Q116" s="877"/>
      <c r="R116" s="875"/>
      <c r="S116" s="875"/>
      <c r="T116" s="875"/>
      <c r="U116" s="876">
        <f t="shared" si="20"/>
        <v>14952</v>
      </c>
      <c r="V116" s="875">
        <f t="shared" si="20"/>
        <v>0</v>
      </c>
      <c r="W116" s="875">
        <f t="shared" si="18"/>
        <v>0</v>
      </c>
      <c r="X116" s="875">
        <f t="shared" si="18"/>
        <v>14952</v>
      </c>
      <c r="Y116" s="883"/>
      <c r="Z116" s="875">
        <f t="shared" si="19"/>
        <v>0</v>
      </c>
      <c r="AA116" s="875">
        <f t="shared" si="19"/>
        <v>0</v>
      </c>
      <c r="AB116" s="875">
        <f t="shared" si="19"/>
        <v>0</v>
      </c>
      <c r="AC116" s="878"/>
    </row>
    <row r="117" spans="1:29" s="612" customFormat="1" x14ac:dyDescent="0.2">
      <c r="A117" s="618" t="s">
        <v>1109</v>
      </c>
      <c r="B117" s="619" t="s">
        <v>747</v>
      </c>
      <c r="C117" s="620">
        <v>244</v>
      </c>
      <c r="D117" s="620">
        <v>225</v>
      </c>
      <c r="E117" s="596">
        <f t="shared" si="22"/>
        <v>45398.879999999997</v>
      </c>
      <c r="F117" s="595">
        <f>'Прилож 4 24 (7)'!V117</f>
        <v>0</v>
      </c>
      <c r="G117" s="595">
        <f>'Прилож 4 24 (7)'!W117</f>
        <v>0</v>
      </c>
      <c r="H117" s="595">
        <f>'Прилож 4 24 (7)'!X117</f>
        <v>45398.879999999997</v>
      </c>
      <c r="I117" s="621"/>
      <c r="J117" s="595">
        <f>'Прилож 4 24 (7)'!Z117</f>
        <v>0</v>
      </c>
      <c r="K117" s="595">
        <f>'Прилож 4 24 (7)'!AA117</f>
        <v>0</v>
      </c>
      <c r="L117" s="595">
        <f>'Прилож 4 24 (7)'!AB117</f>
        <v>0</v>
      </c>
      <c r="M117" s="876">
        <f t="shared" si="21"/>
        <v>0</v>
      </c>
      <c r="N117" s="875"/>
      <c r="O117" s="875"/>
      <c r="P117" s="875"/>
      <c r="Q117" s="877"/>
      <c r="R117" s="875"/>
      <c r="S117" s="875"/>
      <c r="T117" s="875"/>
      <c r="U117" s="876">
        <f t="shared" si="20"/>
        <v>45398.879999999997</v>
      </c>
      <c r="V117" s="875">
        <f t="shared" si="20"/>
        <v>0</v>
      </c>
      <c r="W117" s="875">
        <f t="shared" si="18"/>
        <v>0</v>
      </c>
      <c r="X117" s="875">
        <f t="shared" si="18"/>
        <v>45398.879999999997</v>
      </c>
      <c r="Y117" s="877"/>
      <c r="Z117" s="875">
        <f t="shared" si="19"/>
        <v>0</v>
      </c>
      <c r="AA117" s="875">
        <f t="shared" si="19"/>
        <v>0</v>
      </c>
      <c r="AB117" s="875">
        <f t="shared" si="19"/>
        <v>0</v>
      </c>
      <c r="AC117" s="878"/>
    </row>
    <row r="118" spans="1:29" ht="47.25" x14ac:dyDescent="0.2">
      <c r="A118" s="618" t="s">
        <v>157</v>
      </c>
      <c r="B118" s="619" t="s">
        <v>747</v>
      </c>
      <c r="C118" s="620">
        <v>244</v>
      </c>
      <c r="D118" s="620">
        <v>225</v>
      </c>
      <c r="E118" s="596">
        <f t="shared" si="22"/>
        <v>10000</v>
      </c>
      <c r="F118" s="595">
        <f>'Прилож 4 24 (7)'!V118</f>
        <v>0</v>
      </c>
      <c r="G118" s="595">
        <f>'Прилож 4 24 (7)'!W118</f>
        <v>0</v>
      </c>
      <c r="H118" s="595">
        <f>'Прилож 4 24 (7)'!X118</f>
        <v>10000</v>
      </c>
      <c r="I118" s="628"/>
      <c r="J118" s="595">
        <f>'Прилож 4 24 (7)'!Z118</f>
        <v>0</v>
      </c>
      <c r="K118" s="595">
        <f>'Прилож 4 24 (7)'!AA118</f>
        <v>0</v>
      </c>
      <c r="L118" s="595">
        <f>'Прилож 4 24 (7)'!AB118</f>
        <v>0</v>
      </c>
      <c r="M118" s="876">
        <f t="shared" si="21"/>
        <v>-1500</v>
      </c>
      <c r="N118" s="875"/>
      <c r="O118" s="875"/>
      <c r="P118" s="875">
        <v>-1500</v>
      </c>
      <c r="Q118" s="877"/>
      <c r="R118" s="875"/>
      <c r="S118" s="875"/>
      <c r="T118" s="875"/>
      <c r="U118" s="876">
        <f t="shared" si="20"/>
        <v>8500</v>
      </c>
      <c r="V118" s="875">
        <f t="shared" si="20"/>
        <v>0</v>
      </c>
      <c r="W118" s="875">
        <f t="shared" si="18"/>
        <v>0</v>
      </c>
      <c r="X118" s="875">
        <f t="shared" si="18"/>
        <v>8500</v>
      </c>
      <c r="Y118" s="883"/>
      <c r="Z118" s="875">
        <f t="shared" si="19"/>
        <v>0</v>
      </c>
      <c r="AA118" s="875">
        <f t="shared" si="19"/>
        <v>0</v>
      </c>
      <c r="AB118" s="875">
        <f t="shared" si="19"/>
        <v>0</v>
      </c>
      <c r="AC118" s="878" t="s">
        <v>1491</v>
      </c>
    </row>
    <row r="119" spans="1:29" ht="34.15" customHeight="1" x14ac:dyDescent="0.2">
      <c r="A119" s="618" t="s">
        <v>1317</v>
      </c>
      <c r="B119" s="619" t="s">
        <v>747</v>
      </c>
      <c r="C119" s="620">
        <v>244</v>
      </c>
      <c r="D119" s="620">
        <v>225</v>
      </c>
      <c r="E119" s="596">
        <f t="shared" si="22"/>
        <v>202823.2</v>
      </c>
      <c r="F119" s="595">
        <f>'Прилож 4 24 (7)'!V119</f>
        <v>0</v>
      </c>
      <c r="G119" s="595">
        <f>'Прилож 4 24 (7)'!W119</f>
        <v>0</v>
      </c>
      <c r="H119" s="595">
        <f>'Прилож 4 24 (7)'!X119</f>
        <v>0</v>
      </c>
      <c r="I119" s="623" t="s">
        <v>1322</v>
      </c>
      <c r="J119" s="595">
        <f>'Прилож 4 24 (7)'!Z119</f>
        <v>0</v>
      </c>
      <c r="K119" s="595">
        <f>'Прилож 4 24 (7)'!AA119</f>
        <v>202823.2</v>
      </c>
      <c r="L119" s="595">
        <f>'Прилож 4 24 (7)'!AB119</f>
        <v>0</v>
      </c>
      <c r="M119" s="876">
        <f t="shared" si="21"/>
        <v>0</v>
      </c>
      <c r="N119" s="875"/>
      <c r="O119" s="875"/>
      <c r="P119" s="875"/>
      <c r="Q119" s="877"/>
      <c r="R119" s="875"/>
      <c r="S119" s="875"/>
      <c r="T119" s="875"/>
      <c r="U119" s="876">
        <f t="shared" si="20"/>
        <v>202823.2</v>
      </c>
      <c r="V119" s="875">
        <f t="shared" si="20"/>
        <v>0</v>
      </c>
      <c r="W119" s="875">
        <f t="shared" si="18"/>
        <v>0</v>
      </c>
      <c r="X119" s="875">
        <f t="shared" si="18"/>
        <v>0</v>
      </c>
      <c r="Y119" s="877" t="s">
        <v>1322</v>
      </c>
      <c r="Z119" s="875">
        <f t="shared" si="19"/>
        <v>0</v>
      </c>
      <c r="AA119" s="875">
        <f t="shared" si="19"/>
        <v>202823.2</v>
      </c>
      <c r="AB119" s="875">
        <f t="shared" si="19"/>
        <v>0</v>
      </c>
      <c r="AC119" s="878"/>
    </row>
    <row r="120" spans="1:29" ht="34.15" customHeight="1" x14ac:dyDescent="0.2">
      <c r="A120" s="618" t="s">
        <v>1319</v>
      </c>
      <c r="B120" s="619" t="s">
        <v>747</v>
      </c>
      <c r="C120" s="620">
        <v>244</v>
      </c>
      <c r="D120" s="620">
        <v>225</v>
      </c>
      <c r="E120" s="596">
        <f t="shared" si="22"/>
        <v>271171.20000000001</v>
      </c>
      <c r="F120" s="595">
        <f>'Прилож 4 24 (7)'!V120</f>
        <v>0</v>
      </c>
      <c r="G120" s="595">
        <f>'Прилож 4 24 (7)'!W120</f>
        <v>0</v>
      </c>
      <c r="H120" s="595">
        <f>'Прилож 4 24 (7)'!X120</f>
        <v>0</v>
      </c>
      <c r="I120" s="623" t="s">
        <v>1322</v>
      </c>
      <c r="J120" s="595">
        <f>'Прилож 4 24 (7)'!Z120</f>
        <v>0</v>
      </c>
      <c r="K120" s="595">
        <f>'Прилож 4 24 (7)'!AA120</f>
        <v>271171.20000000001</v>
      </c>
      <c r="L120" s="595">
        <f>'Прилож 4 24 (7)'!AB120</f>
        <v>0</v>
      </c>
      <c r="M120" s="876">
        <f t="shared" si="21"/>
        <v>-52171.199999999997</v>
      </c>
      <c r="N120" s="875"/>
      <c r="O120" s="875"/>
      <c r="P120" s="875"/>
      <c r="Q120" s="1050" t="s">
        <v>1322</v>
      </c>
      <c r="S120" s="875">
        <v>-52171.199999999997</v>
      </c>
      <c r="T120" s="875"/>
      <c r="U120" s="876">
        <f t="shared" si="20"/>
        <v>219000</v>
      </c>
      <c r="V120" s="875">
        <f t="shared" si="20"/>
        <v>0</v>
      </c>
      <c r="W120" s="875">
        <f t="shared" si="18"/>
        <v>0</v>
      </c>
      <c r="X120" s="875">
        <f t="shared" si="18"/>
        <v>0</v>
      </c>
      <c r="Y120" s="877" t="s">
        <v>1322</v>
      </c>
      <c r="Z120" s="875"/>
      <c r="AA120" s="875">
        <f>S120+K120</f>
        <v>219000</v>
      </c>
      <c r="AB120" s="875">
        <f>T120+L120</f>
        <v>0</v>
      </c>
      <c r="AC120" s="878" t="s">
        <v>1492</v>
      </c>
    </row>
    <row r="121" spans="1:29" ht="47.25" x14ac:dyDescent="0.2">
      <c r="A121" s="618" t="s">
        <v>1320</v>
      </c>
      <c r="B121" s="619" t="s">
        <v>747</v>
      </c>
      <c r="C121" s="620">
        <v>244</v>
      </c>
      <c r="D121" s="620">
        <v>225</v>
      </c>
      <c r="E121" s="596">
        <f t="shared" si="22"/>
        <v>340128</v>
      </c>
      <c r="F121" s="595">
        <f>'Прилож 4 24 (7)'!V121</f>
        <v>0</v>
      </c>
      <c r="G121" s="595">
        <f>'Прилож 4 24 (7)'!W121</f>
        <v>0</v>
      </c>
      <c r="H121" s="595">
        <f>'Прилож 4 24 (7)'!X121</f>
        <v>0</v>
      </c>
      <c r="I121" s="623" t="s">
        <v>1322</v>
      </c>
      <c r="J121" s="595">
        <f>'Прилож 4 24 (7)'!Z121</f>
        <v>0</v>
      </c>
      <c r="K121" s="595">
        <f>'Прилож 4 24 (7)'!AA121</f>
        <v>340128</v>
      </c>
      <c r="L121" s="595">
        <f>'Прилож 4 24 (7)'!AB121</f>
        <v>0</v>
      </c>
      <c r="M121" s="876">
        <f t="shared" si="21"/>
        <v>-41128</v>
      </c>
      <c r="N121" s="875"/>
      <c r="O121" s="875"/>
      <c r="P121" s="875"/>
      <c r="Q121" s="1050" t="s">
        <v>1322</v>
      </c>
      <c r="S121" s="875">
        <v>-41128</v>
      </c>
      <c r="T121" s="875"/>
      <c r="U121" s="876">
        <f t="shared" si="20"/>
        <v>299000</v>
      </c>
      <c r="V121" s="875">
        <f t="shared" si="20"/>
        <v>0</v>
      </c>
      <c r="W121" s="875">
        <f t="shared" si="18"/>
        <v>0</v>
      </c>
      <c r="X121" s="875">
        <f t="shared" si="18"/>
        <v>0</v>
      </c>
      <c r="Y121" s="877" t="s">
        <v>1322</v>
      </c>
      <c r="Z121" s="875"/>
      <c r="AA121" s="875">
        <f>S121+K121</f>
        <v>299000</v>
      </c>
      <c r="AB121" s="875">
        <f>T121+L121</f>
        <v>0</v>
      </c>
      <c r="AC121" s="878" t="s">
        <v>1492</v>
      </c>
    </row>
    <row r="122" spans="1:29" ht="31.5" x14ac:dyDescent="0.2">
      <c r="A122" s="618" t="s">
        <v>1481</v>
      </c>
      <c r="B122" s="619" t="s">
        <v>747</v>
      </c>
      <c r="C122" s="620">
        <v>244</v>
      </c>
      <c r="D122" s="620">
        <v>225</v>
      </c>
      <c r="E122" s="596"/>
      <c r="F122" s="595"/>
      <c r="G122" s="595"/>
      <c r="H122" s="595"/>
      <c r="I122" s="623" t="s">
        <v>1322</v>
      </c>
      <c r="J122" s="595"/>
      <c r="K122" s="595"/>
      <c r="L122" s="595"/>
      <c r="M122" s="876">
        <f t="shared" si="21"/>
        <v>36125.660000000003</v>
      </c>
      <c r="N122" s="875"/>
      <c r="O122" s="875"/>
      <c r="P122" s="875"/>
      <c r="Q122" s="623" t="s">
        <v>1322</v>
      </c>
      <c r="S122" s="875">
        <v>36125.660000000003</v>
      </c>
      <c r="T122" s="875"/>
      <c r="U122" s="876">
        <f t="shared" si="20"/>
        <v>36125.660000000003</v>
      </c>
      <c r="V122" s="875"/>
      <c r="W122" s="875"/>
      <c r="X122" s="875">
        <f>P122+H122</f>
        <v>0</v>
      </c>
      <c r="Y122" s="877" t="s">
        <v>1322</v>
      </c>
      <c r="Z122" s="875"/>
      <c r="AA122" s="875">
        <f t="shared" ref="AA122:AB150" si="23">S122+K122</f>
        <v>36125.660000000003</v>
      </c>
      <c r="AB122" s="875"/>
      <c r="AC122" s="878" t="s">
        <v>1492</v>
      </c>
    </row>
    <row r="123" spans="1:29" ht="31.5" x14ac:dyDescent="0.2">
      <c r="A123" s="618" t="s">
        <v>1318</v>
      </c>
      <c r="B123" s="619" t="s">
        <v>747</v>
      </c>
      <c r="C123" s="620">
        <v>244</v>
      </c>
      <c r="D123" s="620">
        <v>225</v>
      </c>
      <c r="E123" s="596"/>
      <c r="F123" s="595"/>
      <c r="G123" s="595"/>
      <c r="H123" s="595"/>
      <c r="I123" s="1051">
        <v>963324045</v>
      </c>
      <c r="J123" s="595"/>
      <c r="K123" s="595"/>
      <c r="L123" s="595"/>
      <c r="M123" s="876">
        <f t="shared" si="21"/>
        <v>252769.2</v>
      </c>
      <c r="N123" s="875"/>
      <c r="O123" s="875"/>
      <c r="P123" s="875"/>
      <c r="Q123" s="623" t="s">
        <v>1322</v>
      </c>
      <c r="S123" s="875">
        <v>252769.2</v>
      </c>
      <c r="T123" s="875"/>
      <c r="U123" s="876">
        <f t="shared" si="20"/>
        <v>252769.2</v>
      </c>
      <c r="V123" s="875"/>
      <c r="W123" s="875"/>
      <c r="X123" s="875"/>
      <c r="Y123" s="877" t="s">
        <v>1322</v>
      </c>
      <c r="Z123" s="875"/>
      <c r="AA123" s="875">
        <f t="shared" si="23"/>
        <v>252769.2</v>
      </c>
      <c r="AB123" s="875"/>
      <c r="AC123" s="878" t="s">
        <v>1493</v>
      </c>
    </row>
    <row r="124" spans="1:29" s="637" customFormat="1" x14ac:dyDescent="0.2">
      <c r="A124" s="632" t="s">
        <v>1143</v>
      </c>
      <c r="B124" s="633" t="s">
        <v>747</v>
      </c>
      <c r="C124" s="634">
        <v>244</v>
      </c>
      <c r="D124" s="634">
        <v>225</v>
      </c>
      <c r="E124" s="596">
        <f t="shared" ref="E124:E146" si="24">L124+K124+J124+H124+G124+F124</f>
        <v>1180103.18</v>
      </c>
      <c r="F124" s="595">
        <f>'Прилож 4 24 (7)'!V122</f>
        <v>0</v>
      </c>
      <c r="G124" s="595">
        <f>'Прилож 4 24 (7)'!W122</f>
        <v>0</v>
      </c>
      <c r="H124" s="595">
        <f>'Прилож 4 24 (7)'!X122</f>
        <v>365980.77999999997</v>
      </c>
      <c r="I124" s="635"/>
      <c r="J124" s="595">
        <f>'Прилож 4 24 (7)'!Z122</f>
        <v>0</v>
      </c>
      <c r="K124" s="595">
        <f>'Прилож 4 24 (7)'!AA122</f>
        <v>814122.4</v>
      </c>
      <c r="L124" s="595">
        <f>'Прилож 4 24 (7)'!AB122</f>
        <v>0</v>
      </c>
      <c r="M124" s="876">
        <f t="shared" si="21"/>
        <v>194095.66000000003</v>
      </c>
      <c r="N124" s="884">
        <f>SUM(N100:N121)</f>
        <v>0</v>
      </c>
      <c r="O124" s="884"/>
      <c r="P124" s="884">
        <f>SUM(P100:P121)</f>
        <v>-1500</v>
      </c>
      <c r="Q124" s="885"/>
      <c r="R124" s="884"/>
      <c r="S124" s="884">
        <f>SUM(S100:S123)</f>
        <v>195595.66000000003</v>
      </c>
      <c r="T124" s="884"/>
      <c r="U124" s="876">
        <f t="shared" si="20"/>
        <v>1374198.8399999999</v>
      </c>
      <c r="V124" s="875">
        <f t="shared" si="20"/>
        <v>0</v>
      </c>
      <c r="W124" s="875">
        <f t="shared" ref="W124:X150" si="25">O124+G124</f>
        <v>0</v>
      </c>
      <c r="X124" s="875">
        <f t="shared" si="25"/>
        <v>364480.77999999997</v>
      </c>
      <c r="Y124" s="885"/>
      <c r="Z124" s="875">
        <f t="shared" ref="Z124:Z150" si="26">R124+J124</f>
        <v>0</v>
      </c>
      <c r="AA124" s="875">
        <f t="shared" si="23"/>
        <v>1009718.06</v>
      </c>
      <c r="AB124" s="875">
        <f t="shared" si="23"/>
        <v>0</v>
      </c>
      <c r="AC124" s="886"/>
    </row>
    <row r="125" spans="1:29" ht="66.75" customHeight="1" x14ac:dyDescent="0.2">
      <c r="A125" s="618" t="s">
        <v>1188</v>
      </c>
      <c r="B125" s="619" t="s">
        <v>729</v>
      </c>
      <c r="C125" s="620">
        <v>244</v>
      </c>
      <c r="D125" s="620">
        <v>225</v>
      </c>
      <c r="E125" s="596">
        <f t="shared" si="24"/>
        <v>50400</v>
      </c>
      <c r="F125" s="595">
        <f>'Прилож 4 24 (7)'!V123</f>
        <v>0</v>
      </c>
      <c r="G125" s="595">
        <f>'Прилож 4 24 (7)'!W123</f>
        <v>0</v>
      </c>
      <c r="H125" s="595">
        <f>'Прилож 4 24 (7)'!X123</f>
        <v>50400</v>
      </c>
      <c r="I125" s="628"/>
      <c r="J125" s="595">
        <f>'Прилож 4 24 (7)'!Z123</f>
        <v>0</v>
      </c>
      <c r="K125" s="595">
        <f>'Прилож 4 24 (7)'!AA123</f>
        <v>0</v>
      </c>
      <c r="L125" s="595">
        <f>'Прилож 4 24 (7)'!AB123</f>
        <v>0</v>
      </c>
      <c r="M125" s="876">
        <f t="shared" si="21"/>
        <v>0</v>
      </c>
      <c r="N125" s="875"/>
      <c r="O125" s="875"/>
      <c r="P125" s="875"/>
      <c r="Q125" s="877"/>
      <c r="R125" s="875"/>
      <c r="S125" s="875"/>
      <c r="T125" s="875"/>
      <c r="U125" s="876">
        <f t="shared" si="20"/>
        <v>50400</v>
      </c>
      <c r="V125" s="875">
        <f t="shared" si="20"/>
        <v>0</v>
      </c>
      <c r="W125" s="875">
        <f t="shared" si="25"/>
        <v>0</v>
      </c>
      <c r="X125" s="875">
        <f t="shared" si="25"/>
        <v>50400</v>
      </c>
      <c r="Y125" s="883"/>
      <c r="Z125" s="875">
        <f t="shared" si="26"/>
        <v>0</v>
      </c>
      <c r="AA125" s="875">
        <f t="shared" si="23"/>
        <v>0</v>
      </c>
      <c r="AB125" s="875">
        <f t="shared" si="23"/>
        <v>0</v>
      </c>
      <c r="AC125" s="878"/>
    </row>
    <row r="126" spans="1:29" x14ac:dyDescent="0.2">
      <c r="A126" s="618" t="s">
        <v>1193</v>
      </c>
      <c r="B126" s="619" t="s">
        <v>729</v>
      </c>
      <c r="C126" s="620">
        <v>244</v>
      </c>
      <c r="D126" s="620">
        <v>225</v>
      </c>
      <c r="E126" s="596">
        <f t="shared" si="24"/>
        <v>73152</v>
      </c>
      <c r="F126" s="595">
        <f>'Прилож 4 24 (7)'!V124</f>
        <v>0</v>
      </c>
      <c r="G126" s="595">
        <f>'Прилож 4 24 (7)'!W124</f>
        <v>0</v>
      </c>
      <c r="H126" s="595">
        <f>'Прилож 4 24 (7)'!X124</f>
        <v>73152</v>
      </c>
      <c r="I126" s="628"/>
      <c r="J126" s="595">
        <f>'Прилож 4 24 (7)'!Z124</f>
        <v>0</v>
      </c>
      <c r="K126" s="595">
        <f>'Прилож 4 24 (7)'!AA124</f>
        <v>0</v>
      </c>
      <c r="L126" s="595">
        <f>'Прилож 4 24 (7)'!AB124</f>
        <v>0</v>
      </c>
      <c r="M126" s="876">
        <f t="shared" si="21"/>
        <v>0</v>
      </c>
      <c r="N126" s="875"/>
      <c r="O126" s="875"/>
      <c r="P126" s="875"/>
      <c r="Q126" s="877"/>
      <c r="R126" s="875"/>
      <c r="S126" s="875"/>
      <c r="T126" s="875"/>
      <c r="U126" s="876">
        <f t="shared" ref="U126:V157" si="27">E126+M126</f>
        <v>73152</v>
      </c>
      <c r="V126" s="875">
        <f t="shared" si="27"/>
        <v>0</v>
      </c>
      <c r="W126" s="875">
        <f t="shared" si="25"/>
        <v>0</v>
      </c>
      <c r="X126" s="875">
        <f t="shared" si="25"/>
        <v>73152</v>
      </c>
      <c r="Y126" s="883"/>
      <c r="Z126" s="875">
        <f t="shared" si="26"/>
        <v>0</v>
      </c>
      <c r="AA126" s="875">
        <f t="shared" si="23"/>
        <v>0</v>
      </c>
      <c r="AB126" s="875">
        <f t="shared" si="23"/>
        <v>0</v>
      </c>
      <c r="AC126" s="878"/>
    </row>
    <row r="127" spans="1:29" ht="36.75" customHeight="1" x14ac:dyDescent="0.2">
      <c r="A127" s="618" t="s">
        <v>1192</v>
      </c>
      <c r="B127" s="619" t="s">
        <v>729</v>
      </c>
      <c r="C127" s="620">
        <v>244</v>
      </c>
      <c r="D127" s="620">
        <v>225</v>
      </c>
      <c r="E127" s="596">
        <f t="shared" si="24"/>
        <v>3859</v>
      </c>
      <c r="F127" s="595">
        <f>'Прилож 4 24 (7)'!V125</f>
        <v>0</v>
      </c>
      <c r="G127" s="595">
        <f>'Прилож 4 24 (7)'!W125</f>
        <v>0</v>
      </c>
      <c r="H127" s="595">
        <f>'Прилож 4 24 (7)'!X125</f>
        <v>3859</v>
      </c>
      <c r="I127" s="628"/>
      <c r="J127" s="595">
        <f>'Прилож 4 24 (7)'!Z125</f>
        <v>0</v>
      </c>
      <c r="K127" s="595">
        <f>'Прилож 4 24 (7)'!AA125</f>
        <v>0</v>
      </c>
      <c r="L127" s="595">
        <f>'Прилож 4 24 (7)'!AB125</f>
        <v>0</v>
      </c>
      <c r="M127" s="876">
        <f t="shared" si="21"/>
        <v>0</v>
      </c>
      <c r="N127" s="875"/>
      <c r="O127" s="875"/>
      <c r="P127" s="875"/>
      <c r="Q127" s="877"/>
      <c r="R127" s="875"/>
      <c r="S127" s="875"/>
      <c r="T127" s="875"/>
      <c r="U127" s="876">
        <f t="shared" si="27"/>
        <v>3859</v>
      </c>
      <c r="V127" s="875">
        <f t="shared" si="27"/>
        <v>0</v>
      </c>
      <c r="W127" s="875">
        <f t="shared" si="25"/>
        <v>0</v>
      </c>
      <c r="X127" s="875">
        <f t="shared" si="25"/>
        <v>3859</v>
      </c>
      <c r="Y127" s="883"/>
      <c r="Z127" s="875">
        <f t="shared" si="26"/>
        <v>0</v>
      </c>
      <c r="AA127" s="875">
        <f t="shared" si="23"/>
        <v>0</v>
      </c>
      <c r="AB127" s="875">
        <f t="shared" si="23"/>
        <v>0</v>
      </c>
      <c r="AC127" s="878"/>
    </row>
    <row r="128" spans="1:29" ht="31.5" x14ac:dyDescent="0.2">
      <c r="A128" s="618" t="s">
        <v>1186</v>
      </c>
      <c r="B128" s="619" t="s">
        <v>729</v>
      </c>
      <c r="C128" s="620">
        <v>244</v>
      </c>
      <c r="D128" s="620">
        <v>225</v>
      </c>
      <c r="E128" s="596">
        <f t="shared" si="24"/>
        <v>23457.360000000001</v>
      </c>
      <c r="F128" s="595">
        <f>'Прилож 4 24 (7)'!V126</f>
        <v>0</v>
      </c>
      <c r="G128" s="595">
        <f>'Прилож 4 24 (7)'!W126</f>
        <v>0</v>
      </c>
      <c r="H128" s="595">
        <f>'Прилож 4 24 (7)'!X126</f>
        <v>23457.360000000001</v>
      </c>
      <c r="I128" s="628"/>
      <c r="J128" s="595">
        <f>'Прилож 4 24 (7)'!Z126</f>
        <v>0</v>
      </c>
      <c r="K128" s="595">
        <f>'Прилож 4 24 (7)'!AA126</f>
        <v>0</v>
      </c>
      <c r="L128" s="595">
        <f>'Прилож 4 24 (7)'!AB126</f>
        <v>0</v>
      </c>
      <c r="M128" s="876">
        <f t="shared" si="21"/>
        <v>0</v>
      </c>
      <c r="N128" s="875"/>
      <c r="O128" s="875"/>
      <c r="P128" s="875"/>
      <c r="Q128" s="877"/>
      <c r="R128" s="875"/>
      <c r="S128" s="875"/>
      <c r="T128" s="875"/>
      <c r="U128" s="876">
        <f t="shared" si="27"/>
        <v>23457.360000000001</v>
      </c>
      <c r="V128" s="875">
        <f t="shared" si="27"/>
        <v>0</v>
      </c>
      <c r="W128" s="875">
        <f t="shared" si="25"/>
        <v>0</v>
      </c>
      <c r="X128" s="875">
        <f t="shared" si="25"/>
        <v>23457.360000000001</v>
      </c>
      <c r="Y128" s="883"/>
      <c r="Z128" s="875">
        <f t="shared" si="26"/>
        <v>0</v>
      </c>
      <c r="AA128" s="875">
        <f t="shared" si="23"/>
        <v>0</v>
      </c>
      <c r="AB128" s="875">
        <f t="shared" si="23"/>
        <v>0</v>
      </c>
      <c r="AC128" s="878"/>
    </row>
    <row r="129" spans="1:29" ht="55.5" customHeight="1" x14ac:dyDescent="0.2">
      <c r="A129" s="618" t="s">
        <v>148</v>
      </c>
      <c r="B129" s="619" t="s">
        <v>729</v>
      </c>
      <c r="C129" s="620">
        <v>244</v>
      </c>
      <c r="D129" s="620">
        <v>225</v>
      </c>
      <c r="E129" s="596">
        <f t="shared" si="24"/>
        <v>4000</v>
      </c>
      <c r="F129" s="595">
        <f>'Прилож 4 24 (7)'!V127</f>
        <v>0</v>
      </c>
      <c r="G129" s="595">
        <f>'Прилож 4 24 (7)'!W127</f>
        <v>0</v>
      </c>
      <c r="H129" s="595">
        <f>'Прилож 4 24 (7)'!X127</f>
        <v>4000</v>
      </c>
      <c r="I129" s="628"/>
      <c r="J129" s="595">
        <f>'Прилож 4 24 (7)'!Z127</f>
        <v>0</v>
      </c>
      <c r="K129" s="595">
        <f>'Прилож 4 24 (7)'!AA127</f>
        <v>0</v>
      </c>
      <c r="L129" s="595">
        <f>'Прилож 4 24 (7)'!AB127</f>
        <v>0</v>
      </c>
      <c r="M129" s="876">
        <f t="shared" si="21"/>
        <v>0</v>
      </c>
      <c r="N129" s="875"/>
      <c r="O129" s="875"/>
      <c r="P129" s="875"/>
      <c r="Q129" s="877"/>
      <c r="R129" s="875"/>
      <c r="S129" s="875"/>
      <c r="T129" s="875"/>
      <c r="U129" s="876">
        <f t="shared" si="27"/>
        <v>4000</v>
      </c>
      <c r="V129" s="875">
        <f t="shared" si="27"/>
        <v>0</v>
      </c>
      <c r="W129" s="875">
        <f t="shared" si="25"/>
        <v>0</v>
      </c>
      <c r="X129" s="875">
        <f t="shared" si="25"/>
        <v>4000</v>
      </c>
      <c r="Y129" s="883"/>
      <c r="Z129" s="875">
        <f t="shared" si="26"/>
        <v>0</v>
      </c>
      <c r="AA129" s="875">
        <f t="shared" si="23"/>
        <v>0</v>
      </c>
      <c r="AB129" s="875">
        <f t="shared" si="23"/>
        <v>0</v>
      </c>
      <c r="AC129" s="878"/>
    </row>
    <row r="130" spans="1:29" x14ac:dyDescent="0.2">
      <c r="A130" s="618" t="s">
        <v>627</v>
      </c>
      <c r="B130" s="619" t="s">
        <v>729</v>
      </c>
      <c r="C130" s="620">
        <v>244</v>
      </c>
      <c r="D130" s="620">
        <v>225</v>
      </c>
      <c r="E130" s="596">
        <f t="shared" si="24"/>
        <v>126092.16</v>
      </c>
      <c r="F130" s="595">
        <f>'Прилож 4 24 (7)'!V128</f>
        <v>0</v>
      </c>
      <c r="G130" s="595">
        <f>'Прилож 4 24 (7)'!W128</f>
        <v>0</v>
      </c>
      <c r="H130" s="595">
        <f>'Прилож 4 24 (7)'!X128</f>
        <v>126092.16</v>
      </c>
      <c r="I130" s="628"/>
      <c r="J130" s="595">
        <f>'Прилож 4 24 (7)'!Z128</f>
        <v>0</v>
      </c>
      <c r="K130" s="595">
        <f>'Прилож 4 24 (7)'!AA128</f>
        <v>0</v>
      </c>
      <c r="L130" s="595">
        <f>'Прилож 4 24 (7)'!AB128</f>
        <v>0</v>
      </c>
      <c r="M130" s="876">
        <f t="shared" si="21"/>
        <v>0</v>
      </c>
      <c r="N130" s="875"/>
      <c r="O130" s="875"/>
      <c r="P130" s="875"/>
      <c r="Q130" s="877"/>
      <c r="R130" s="875"/>
      <c r="S130" s="875"/>
      <c r="T130" s="875"/>
      <c r="U130" s="876">
        <f t="shared" si="27"/>
        <v>126092.16</v>
      </c>
      <c r="V130" s="875">
        <f t="shared" si="27"/>
        <v>0</v>
      </c>
      <c r="W130" s="875">
        <f t="shared" si="25"/>
        <v>0</v>
      </c>
      <c r="X130" s="875">
        <f t="shared" si="25"/>
        <v>126092.16</v>
      </c>
      <c r="Y130" s="883"/>
      <c r="Z130" s="875">
        <f t="shared" si="26"/>
        <v>0</v>
      </c>
      <c r="AA130" s="875">
        <f t="shared" si="23"/>
        <v>0</v>
      </c>
      <c r="AB130" s="875">
        <f t="shared" si="23"/>
        <v>0</v>
      </c>
      <c r="AC130" s="878"/>
    </row>
    <row r="131" spans="1:29" ht="34.5" customHeight="1" x14ac:dyDescent="0.2">
      <c r="A131" s="618" t="s">
        <v>759</v>
      </c>
      <c r="B131" s="619" t="s">
        <v>729</v>
      </c>
      <c r="C131" s="620">
        <v>244</v>
      </c>
      <c r="D131" s="620">
        <v>225</v>
      </c>
      <c r="E131" s="596">
        <f t="shared" si="24"/>
        <v>0</v>
      </c>
      <c r="F131" s="595">
        <f>'Прилож 4 24 (7)'!V129</f>
        <v>0</v>
      </c>
      <c r="G131" s="595">
        <f>'Прилож 4 24 (7)'!W129</f>
        <v>0</v>
      </c>
      <c r="H131" s="595">
        <f>'Прилож 4 24 (7)'!X129</f>
        <v>0</v>
      </c>
      <c r="I131" s="628"/>
      <c r="J131" s="595">
        <f>'Прилож 4 24 (7)'!Z129</f>
        <v>0</v>
      </c>
      <c r="K131" s="595">
        <f>'Прилож 4 24 (7)'!AA129</f>
        <v>0</v>
      </c>
      <c r="L131" s="595">
        <f>'Прилож 4 24 (7)'!AB129</f>
        <v>0</v>
      </c>
      <c r="M131" s="876">
        <f t="shared" si="21"/>
        <v>0</v>
      </c>
      <c r="N131" s="875"/>
      <c r="O131" s="875"/>
      <c r="P131" s="875"/>
      <c r="Q131" s="877"/>
      <c r="R131" s="875"/>
      <c r="S131" s="875"/>
      <c r="T131" s="875"/>
      <c r="U131" s="876">
        <f t="shared" si="27"/>
        <v>0</v>
      </c>
      <c r="V131" s="875">
        <f t="shared" si="27"/>
        <v>0</v>
      </c>
      <c r="W131" s="875">
        <f t="shared" si="25"/>
        <v>0</v>
      </c>
      <c r="X131" s="875">
        <f t="shared" si="25"/>
        <v>0</v>
      </c>
      <c r="Y131" s="883"/>
      <c r="Z131" s="875">
        <f t="shared" si="26"/>
        <v>0</v>
      </c>
      <c r="AA131" s="875">
        <f t="shared" si="23"/>
        <v>0</v>
      </c>
      <c r="AB131" s="875">
        <f t="shared" si="23"/>
        <v>0</v>
      </c>
      <c r="AC131" s="878"/>
    </row>
    <row r="132" spans="1:29" ht="28.5" customHeight="1" x14ac:dyDescent="0.2">
      <c r="A132" s="618" t="s">
        <v>143</v>
      </c>
      <c r="B132" s="619" t="s">
        <v>729</v>
      </c>
      <c r="C132" s="620">
        <v>244</v>
      </c>
      <c r="D132" s="620">
        <v>225</v>
      </c>
      <c r="E132" s="596">
        <f t="shared" si="24"/>
        <v>43576.47</v>
      </c>
      <c r="F132" s="595">
        <f>'Прилож 4 24 (7)'!V130</f>
        <v>0</v>
      </c>
      <c r="G132" s="595">
        <f>'Прилож 4 24 (7)'!W130</f>
        <v>0</v>
      </c>
      <c r="H132" s="595">
        <f>'Прилож 4 24 (7)'!X130</f>
        <v>43576.47</v>
      </c>
      <c r="I132" s="628"/>
      <c r="J132" s="595">
        <f>'Прилож 4 24 (7)'!Z130</f>
        <v>0</v>
      </c>
      <c r="K132" s="595">
        <f>'Прилож 4 24 (7)'!AA130</f>
        <v>0</v>
      </c>
      <c r="L132" s="595">
        <f>'Прилож 4 24 (7)'!AB130</f>
        <v>0</v>
      </c>
      <c r="M132" s="876">
        <f t="shared" si="21"/>
        <v>0</v>
      </c>
      <c r="N132" s="875"/>
      <c r="O132" s="875"/>
      <c r="P132" s="875"/>
      <c r="Q132" s="877"/>
      <c r="R132" s="875"/>
      <c r="S132" s="875"/>
      <c r="T132" s="875"/>
      <c r="U132" s="876">
        <f t="shared" si="27"/>
        <v>43576.47</v>
      </c>
      <c r="V132" s="875">
        <f t="shared" si="27"/>
        <v>0</v>
      </c>
      <c r="W132" s="875">
        <f t="shared" si="25"/>
        <v>0</v>
      </c>
      <c r="X132" s="875">
        <f t="shared" si="25"/>
        <v>43576.47</v>
      </c>
      <c r="Y132" s="883"/>
      <c r="Z132" s="875">
        <f t="shared" si="26"/>
        <v>0</v>
      </c>
      <c r="AA132" s="875">
        <f t="shared" si="23"/>
        <v>0</v>
      </c>
      <c r="AB132" s="875">
        <f t="shared" si="23"/>
        <v>0</v>
      </c>
      <c r="AC132" s="878"/>
    </row>
    <row r="133" spans="1:29" ht="39" customHeight="1" x14ac:dyDescent="0.2">
      <c r="A133" s="618" t="s">
        <v>635</v>
      </c>
      <c r="B133" s="619" t="s">
        <v>729</v>
      </c>
      <c r="C133" s="620">
        <v>244</v>
      </c>
      <c r="D133" s="620">
        <v>225</v>
      </c>
      <c r="E133" s="596">
        <f t="shared" si="24"/>
        <v>70000</v>
      </c>
      <c r="F133" s="595">
        <f>'Прилож 4 24 (7)'!V131</f>
        <v>0</v>
      </c>
      <c r="G133" s="595">
        <f>'Прилож 4 24 (7)'!W131</f>
        <v>0</v>
      </c>
      <c r="H133" s="595">
        <f>'Прилож 4 24 (7)'!X131</f>
        <v>70000</v>
      </c>
      <c r="I133" s="628"/>
      <c r="J133" s="595">
        <f>'Прилож 4 24 (7)'!Z131</f>
        <v>0</v>
      </c>
      <c r="K133" s="595">
        <f>'Прилож 4 24 (7)'!AA131</f>
        <v>0</v>
      </c>
      <c r="L133" s="595">
        <f>'Прилож 4 24 (7)'!AB131</f>
        <v>0</v>
      </c>
      <c r="M133" s="876">
        <f t="shared" si="21"/>
        <v>6500</v>
      </c>
      <c r="N133" s="875"/>
      <c r="O133" s="875"/>
      <c r="P133" s="875">
        <f>1500+5000</f>
        <v>6500</v>
      </c>
      <c r="Q133" s="877"/>
      <c r="R133" s="875"/>
      <c r="S133" s="875"/>
      <c r="T133" s="875"/>
      <c r="U133" s="876">
        <f t="shared" si="27"/>
        <v>76500</v>
      </c>
      <c r="V133" s="875">
        <f t="shared" si="27"/>
        <v>0</v>
      </c>
      <c r="W133" s="875">
        <f t="shared" si="25"/>
        <v>0</v>
      </c>
      <c r="X133" s="875">
        <f t="shared" si="25"/>
        <v>76500</v>
      </c>
      <c r="Y133" s="883"/>
      <c r="Z133" s="875">
        <f t="shared" si="26"/>
        <v>0</v>
      </c>
      <c r="AA133" s="875">
        <f t="shared" si="23"/>
        <v>0</v>
      </c>
      <c r="AB133" s="875">
        <f t="shared" si="23"/>
        <v>0</v>
      </c>
      <c r="AC133" s="878" t="s">
        <v>1458</v>
      </c>
    </row>
    <row r="134" spans="1:29" ht="36.75" customHeight="1" x14ac:dyDescent="0.2">
      <c r="A134" s="618" t="s">
        <v>951</v>
      </c>
      <c r="B134" s="619" t="s">
        <v>729</v>
      </c>
      <c r="C134" s="620">
        <v>244</v>
      </c>
      <c r="D134" s="620">
        <v>225</v>
      </c>
      <c r="E134" s="596">
        <f t="shared" si="24"/>
        <v>24062.89</v>
      </c>
      <c r="F134" s="595">
        <f>'Прилож 4 24 (7)'!V132</f>
        <v>0</v>
      </c>
      <c r="G134" s="595">
        <f>'Прилож 4 24 (7)'!W132</f>
        <v>0</v>
      </c>
      <c r="H134" s="595">
        <f>'Прилож 4 24 (7)'!X132</f>
        <v>24062.89</v>
      </c>
      <c r="I134" s="628"/>
      <c r="J134" s="595">
        <f>'Прилож 4 24 (7)'!Z132</f>
        <v>0</v>
      </c>
      <c r="K134" s="595">
        <f>'Прилож 4 24 (7)'!AA132</f>
        <v>0</v>
      </c>
      <c r="L134" s="595">
        <f>'Прилож 4 24 (7)'!AB132</f>
        <v>0</v>
      </c>
      <c r="M134" s="876">
        <f t="shared" si="21"/>
        <v>0</v>
      </c>
      <c r="N134" s="875"/>
      <c r="O134" s="875"/>
      <c r="P134" s="875"/>
      <c r="Q134" s="877"/>
      <c r="R134" s="875"/>
      <c r="S134" s="875"/>
      <c r="T134" s="875"/>
      <c r="U134" s="876">
        <f t="shared" si="27"/>
        <v>24062.89</v>
      </c>
      <c r="V134" s="875">
        <f t="shared" si="27"/>
        <v>0</v>
      </c>
      <c r="W134" s="875">
        <f t="shared" si="25"/>
        <v>0</v>
      </c>
      <c r="X134" s="875">
        <f t="shared" si="25"/>
        <v>24062.89</v>
      </c>
      <c r="Y134" s="883"/>
      <c r="Z134" s="875">
        <f t="shared" si="26"/>
        <v>0</v>
      </c>
      <c r="AA134" s="875">
        <f t="shared" si="23"/>
        <v>0</v>
      </c>
      <c r="AB134" s="875">
        <f t="shared" si="23"/>
        <v>0</v>
      </c>
      <c r="AC134" s="878"/>
    </row>
    <row r="135" spans="1:29" ht="34.5" customHeight="1" x14ac:dyDescent="0.2">
      <c r="A135" s="618" t="s">
        <v>150</v>
      </c>
      <c r="B135" s="619" t="s">
        <v>729</v>
      </c>
      <c r="C135" s="620">
        <v>244</v>
      </c>
      <c r="D135" s="620">
        <v>225</v>
      </c>
      <c r="E135" s="596">
        <f t="shared" si="24"/>
        <v>0</v>
      </c>
      <c r="F135" s="595">
        <f>'Прилож 4 24 (7)'!V133</f>
        <v>0</v>
      </c>
      <c r="G135" s="595">
        <f>'Прилож 4 24 (7)'!W133</f>
        <v>0</v>
      </c>
      <c r="H135" s="595">
        <f>'Прилож 4 24 (7)'!X133</f>
        <v>0</v>
      </c>
      <c r="I135" s="628"/>
      <c r="J135" s="595">
        <f>'Прилож 4 24 (7)'!Z133</f>
        <v>0</v>
      </c>
      <c r="K135" s="595">
        <f>'Прилож 4 24 (7)'!AA133</f>
        <v>0</v>
      </c>
      <c r="L135" s="595">
        <f>'Прилож 4 24 (7)'!AB133</f>
        <v>0</v>
      </c>
      <c r="M135" s="876">
        <f t="shared" si="21"/>
        <v>0</v>
      </c>
      <c r="N135" s="875"/>
      <c r="O135" s="875"/>
      <c r="P135" s="875"/>
      <c r="Q135" s="877"/>
      <c r="R135" s="875"/>
      <c r="S135" s="875"/>
      <c r="T135" s="875"/>
      <c r="U135" s="876">
        <f t="shared" si="27"/>
        <v>0</v>
      </c>
      <c r="V135" s="875">
        <f t="shared" si="27"/>
        <v>0</v>
      </c>
      <c r="W135" s="875">
        <f t="shared" si="25"/>
        <v>0</v>
      </c>
      <c r="X135" s="875">
        <f t="shared" si="25"/>
        <v>0</v>
      </c>
      <c r="Y135" s="883"/>
      <c r="Z135" s="875">
        <f t="shared" si="26"/>
        <v>0</v>
      </c>
      <c r="AA135" s="875">
        <f t="shared" si="23"/>
        <v>0</v>
      </c>
      <c r="AB135" s="875">
        <f t="shared" si="23"/>
        <v>0</v>
      </c>
      <c r="AC135" s="878"/>
    </row>
    <row r="136" spans="1:29" ht="41.25" customHeight="1" x14ac:dyDescent="0.2">
      <c r="A136" s="618" t="s">
        <v>952</v>
      </c>
      <c r="B136" s="619" t="s">
        <v>729</v>
      </c>
      <c r="C136" s="620">
        <v>244</v>
      </c>
      <c r="D136" s="620">
        <v>225</v>
      </c>
      <c r="E136" s="596">
        <f t="shared" si="24"/>
        <v>21188</v>
      </c>
      <c r="F136" s="595">
        <f>'Прилож 4 24 (7)'!V134</f>
        <v>0</v>
      </c>
      <c r="G136" s="595">
        <f>'Прилож 4 24 (7)'!W134</f>
        <v>0</v>
      </c>
      <c r="H136" s="595">
        <f>'Прилож 4 24 (7)'!X134</f>
        <v>21188</v>
      </c>
      <c r="I136" s="628"/>
      <c r="J136" s="595">
        <f>'Прилож 4 24 (7)'!Z134</f>
        <v>0</v>
      </c>
      <c r="K136" s="595">
        <f>'Прилож 4 24 (7)'!AA134</f>
        <v>0</v>
      </c>
      <c r="L136" s="595">
        <f>'Прилож 4 24 (7)'!AB134</f>
        <v>0</v>
      </c>
      <c r="M136" s="876">
        <f t="shared" si="21"/>
        <v>0</v>
      </c>
      <c r="N136" s="875"/>
      <c r="O136" s="875"/>
      <c r="P136" s="875"/>
      <c r="Q136" s="877"/>
      <c r="R136" s="875"/>
      <c r="S136" s="875"/>
      <c r="T136" s="875"/>
      <c r="U136" s="876">
        <f t="shared" si="27"/>
        <v>21188</v>
      </c>
      <c r="V136" s="875">
        <f t="shared" si="27"/>
        <v>0</v>
      </c>
      <c r="W136" s="875">
        <f t="shared" si="25"/>
        <v>0</v>
      </c>
      <c r="X136" s="875">
        <f t="shared" si="25"/>
        <v>21188</v>
      </c>
      <c r="Y136" s="883"/>
      <c r="Z136" s="875">
        <f t="shared" si="26"/>
        <v>0</v>
      </c>
      <c r="AA136" s="875">
        <f t="shared" si="23"/>
        <v>0</v>
      </c>
      <c r="AB136" s="875">
        <f t="shared" si="23"/>
        <v>0</v>
      </c>
      <c r="AC136" s="878"/>
    </row>
    <row r="137" spans="1:29" ht="39.75" customHeight="1" x14ac:dyDescent="0.2">
      <c r="A137" s="618" t="s">
        <v>149</v>
      </c>
      <c r="B137" s="619" t="s">
        <v>729</v>
      </c>
      <c r="C137" s="620">
        <v>244</v>
      </c>
      <c r="D137" s="620">
        <v>225</v>
      </c>
      <c r="E137" s="596">
        <f t="shared" si="24"/>
        <v>2652</v>
      </c>
      <c r="F137" s="595">
        <f>'Прилож 4 24 (7)'!V135</f>
        <v>0</v>
      </c>
      <c r="G137" s="595">
        <f>'Прилож 4 24 (7)'!W135</f>
        <v>0</v>
      </c>
      <c r="H137" s="595">
        <f>'Прилож 4 24 (7)'!X135</f>
        <v>2652</v>
      </c>
      <c r="I137" s="628"/>
      <c r="J137" s="595">
        <f>'Прилож 4 24 (7)'!Z135</f>
        <v>0</v>
      </c>
      <c r="K137" s="595">
        <f>'Прилож 4 24 (7)'!AA135</f>
        <v>0</v>
      </c>
      <c r="L137" s="595">
        <f>'Прилож 4 24 (7)'!AB135</f>
        <v>0</v>
      </c>
      <c r="M137" s="876">
        <f t="shared" si="21"/>
        <v>0</v>
      </c>
      <c r="N137" s="875"/>
      <c r="O137" s="875"/>
      <c r="P137" s="875"/>
      <c r="Q137" s="877"/>
      <c r="R137" s="875"/>
      <c r="S137" s="875"/>
      <c r="T137" s="875"/>
      <c r="U137" s="876">
        <f t="shared" si="27"/>
        <v>2652</v>
      </c>
      <c r="V137" s="875">
        <f t="shared" si="27"/>
        <v>0</v>
      </c>
      <c r="W137" s="875">
        <f t="shared" si="25"/>
        <v>0</v>
      </c>
      <c r="X137" s="875">
        <f t="shared" si="25"/>
        <v>2652</v>
      </c>
      <c r="Y137" s="883"/>
      <c r="Z137" s="875">
        <f t="shared" si="26"/>
        <v>0</v>
      </c>
      <c r="AA137" s="875">
        <f t="shared" si="23"/>
        <v>0</v>
      </c>
      <c r="AB137" s="875">
        <f t="shared" si="23"/>
        <v>0</v>
      </c>
      <c r="AC137" s="878"/>
    </row>
    <row r="138" spans="1:29" ht="31.5" x14ac:dyDescent="0.2">
      <c r="A138" s="618" t="s">
        <v>644</v>
      </c>
      <c r="B138" s="619" t="s">
        <v>729</v>
      </c>
      <c r="C138" s="620">
        <v>244</v>
      </c>
      <c r="D138" s="620">
        <v>225</v>
      </c>
      <c r="E138" s="596">
        <f t="shared" si="24"/>
        <v>15000</v>
      </c>
      <c r="F138" s="595">
        <f>'Прилож 4 24 (7)'!V136</f>
        <v>0</v>
      </c>
      <c r="G138" s="595">
        <f>'Прилож 4 24 (7)'!W136</f>
        <v>0</v>
      </c>
      <c r="H138" s="595">
        <f>'Прилож 4 24 (7)'!X136</f>
        <v>15000</v>
      </c>
      <c r="I138" s="628"/>
      <c r="J138" s="595">
        <f>'Прилож 4 24 (7)'!Z136</f>
        <v>0</v>
      </c>
      <c r="K138" s="595">
        <f>'Прилож 4 24 (7)'!AA136</f>
        <v>0</v>
      </c>
      <c r="L138" s="595">
        <f>'Прилож 4 24 (7)'!AB136</f>
        <v>0</v>
      </c>
      <c r="M138" s="876">
        <f t="shared" si="21"/>
        <v>0</v>
      </c>
      <c r="N138" s="875"/>
      <c r="O138" s="875"/>
      <c r="P138" s="875"/>
      <c r="Q138" s="877"/>
      <c r="R138" s="875"/>
      <c r="S138" s="875"/>
      <c r="T138" s="875"/>
      <c r="U138" s="876">
        <f t="shared" si="27"/>
        <v>15000</v>
      </c>
      <c r="V138" s="875">
        <f t="shared" si="27"/>
        <v>0</v>
      </c>
      <c r="W138" s="875">
        <f t="shared" si="25"/>
        <v>0</v>
      </c>
      <c r="X138" s="875">
        <f t="shared" si="25"/>
        <v>15000</v>
      </c>
      <c r="Y138" s="883"/>
      <c r="Z138" s="875">
        <f t="shared" si="26"/>
        <v>0</v>
      </c>
      <c r="AA138" s="875">
        <f t="shared" si="23"/>
        <v>0</v>
      </c>
      <c r="AB138" s="875">
        <f t="shared" si="23"/>
        <v>0</v>
      </c>
      <c r="AC138" s="878"/>
    </row>
    <row r="139" spans="1:29" ht="31.5" x14ac:dyDescent="0.2">
      <c r="A139" s="618" t="s">
        <v>587</v>
      </c>
      <c r="B139" s="619" t="s">
        <v>729</v>
      </c>
      <c r="C139" s="620">
        <v>244</v>
      </c>
      <c r="D139" s="620">
        <v>225</v>
      </c>
      <c r="E139" s="596">
        <f t="shared" si="24"/>
        <v>15624</v>
      </c>
      <c r="F139" s="595">
        <f>'Прилож 4 24 (7)'!V137</f>
        <v>0</v>
      </c>
      <c r="G139" s="595">
        <f>'Прилож 4 24 (7)'!W137</f>
        <v>0</v>
      </c>
      <c r="H139" s="595">
        <f>'Прилож 4 24 (7)'!X137</f>
        <v>15624</v>
      </c>
      <c r="I139" s="628"/>
      <c r="J139" s="595">
        <f>'Прилож 4 24 (7)'!Z137</f>
        <v>0</v>
      </c>
      <c r="K139" s="595">
        <f>'Прилож 4 24 (7)'!AA137</f>
        <v>0</v>
      </c>
      <c r="L139" s="595">
        <f>'Прилож 4 24 (7)'!AB137</f>
        <v>0</v>
      </c>
      <c r="M139" s="876">
        <f t="shared" si="21"/>
        <v>0</v>
      </c>
      <c r="N139" s="875"/>
      <c r="O139" s="875"/>
      <c r="P139" s="875"/>
      <c r="Q139" s="877"/>
      <c r="R139" s="875"/>
      <c r="S139" s="875"/>
      <c r="T139" s="875"/>
      <c r="U139" s="876">
        <f t="shared" si="27"/>
        <v>15624</v>
      </c>
      <c r="V139" s="875">
        <f t="shared" si="27"/>
        <v>0</v>
      </c>
      <c r="W139" s="875">
        <f t="shared" si="25"/>
        <v>0</v>
      </c>
      <c r="X139" s="875">
        <f t="shared" si="25"/>
        <v>15624</v>
      </c>
      <c r="Y139" s="883"/>
      <c r="Z139" s="875">
        <f t="shared" si="26"/>
        <v>0</v>
      </c>
      <c r="AA139" s="875">
        <f t="shared" si="23"/>
        <v>0</v>
      </c>
      <c r="AB139" s="875">
        <f t="shared" si="23"/>
        <v>0</v>
      </c>
      <c r="AC139" s="878"/>
    </row>
    <row r="140" spans="1:29" ht="28.5" customHeight="1" x14ac:dyDescent="0.2">
      <c r="A140" s="618" t="s">
        <v>1208</v>
      </c>
      <c r="B140" s="619" t="s">
        <v>729</v>
      </c>
      <c r="C140" s="620">
        <v>244</v>
      </c>
      <c r="D140" s="620">
        <v>225</v>
      </c>
      <c r="E140" s="596">
        <f t="shared" si="24"/>
        <v>0</v>
      </c>
      <c r="F140" s="595">
        <f>'Прилож 4 24 (7)'!V138</f>
        <v>0</v>
      </c>
      <c r="G140" s="595">
        <f>'Прилож 4 24 (7)'!W138</f>
        <v>0</v>
      </c>
      <c r="H140" s="595">
        <f>'Прилож 4 24 (7)'!X138</f>
        <v>0</v>
      </c>
      <c r="I140" s="628"/>
      <c r="J140" s="595">
        <f>'Прилож 4 24 (7)'!Z138</f>
        <v>0</v>
      </c>
      <c r="K140" s="595">
        <f>'Прилож 4 24 (7)'!AA138</f>
        <v>0</v>
      </c>
      <c r="L140" s="595">
        <f>'Прилож 4 24 (7)'!AB138</f>
        <v>0</v>
      </c>
      <c r="M140" s="876">
        <f t="shared" si="21"/>
        <v>0</v>
      </c>
      <c r="N140" s="875"/>
      <c r="O140" s="875"/>
      <c r="P140" s="875"/>
      <c r="Q140" s="877"/>
      <c r="R140" s="875"/>
      <c r="S140" s="875"/>
      <c r="T140" s="875"/>
      <c r="U140" s="876">
        <f t="shared" si="27"/>
        <v>0</v>
      </c>
      <c r="V140" s="875">
        <f t="shared" si="27"/>
        <v>0</v>
      </c>
      <c r="W140" s="875">
        <f t="shared" si="25"/>
        <v>0</v>
      </c>
      <c r="X140" s="875">
        <f t="shared" si="25"/>
        <v>0</v>
      </c>
      <c r="Y140" s="883"/>
      <c r="Z140" s="875">
        <f t="shared" si="26"/>
        <v>0</v>
      </c>
      <c r="AA140" s="875">
        <f t="shared" si="23"/>
        <v>0</v>
      </c>
      <c r="AB140" s="875">
        <f t="shared" si="23"/>
        <v>0</v>
      </c>
      <c r="AC140" s="878"/>
    </row>
    <row r="141" spans="1:29" ht="47.25" x14ac:dyDescent="0.2">
      <c r="A141" s="618" t="s">
        <v>157</v>
      </c>
      <c r="B141" s="619" t="s">
        <v>729</v>
      </c>
      <c r="C141" s="620">
        <v>244</v>
      </c>
      <c r="D141" s="620">
        <v>225</v>
      </c>
      <c r="E141" s="596">
        <f t="shared" si="24"/>
        <v>10000</v>
      </c>
      <c r="F141" s="595">
        <f>'Прилож 4 24 (7)'!V139</f>
        <v>0</v>
      </c>
      <c r="G141" s="595">
        <f>'Прилож 4 24 (7)'!W139</f>
        <v>0</v>
      </c>
      <c r="H141" s="595">
        <f>'Прилож 4 24 (7)'!X139</f>
        <v>10000</v>
      </c>
      <c r="I141" s="628"/>
      <c r="J141" s="595">
        <f>'Прилож 4 24 (7)'!Z139</f>
        <v>0</v>
      </c>
      <c r="K141" s="595">
        <f>'Прилож 4 24 (7)'!AA139</f>
        <v>0</v>
      </c>
      <c r="L141" s="595">
        <f>'Прилож 4 24 (7)'!AB139</f>
        <v>0</v>
      </c>
      <c r="M141" s="876">
        <f t="shared" si="21"/>
        <v>-1500</v>
      </c>
      <c r="N141" s="875"/>
      <c r="O141" s="875"/>
      <c r="P141" s="875">
        <v>-1500</v>
      </c>
      <c r="Q141" s="877"/>
      <c r="R141" s="875"/>
      <c r="S141" s="875"/>
      <c r="T141" s="875"/>
      <c r="U141" s="876">
        <f t="shared" si="27"/>
        <v>8500</v>
      </c>
      <c r="V141" s="875">
        <f t="shared" si="27"/>
        <v>0</v>
      </c>
      <c r="W141" s="875">
        <f t="shared" si="25"/>
        <v>0</v>
      </c>
      <c r="X141" s="875">
        <f t="shared" si="25"/>
        <v>8500</v>
      </c>
      <c r="Y141" s="883"/>
      <c r="Z141" s="875">
        <f t="shared" si="26"/>
        <v>0</v>
      </c>
      <c r="AA141" s="875">
        <f t="shared" si="23"/>
        <v>0</v>
      </c>
      <c r="AB141" s="875">
        <f t="shared" si="23"/>
        <v>0</v>
      </c>
      <c r="AC141" s="878" t="s">
        <v>1494</v>
      </c>
    </row>
    <row r="142" spans="1:29" ht="30" customHeight="1" x14ac:dyDescent="0.2">
      <c r="A142" s="618" t="s">
        <v>583</v>
      </c>
      <c r="B142" s="619" t="s">
        <v>729</v>
      </c>
      <c r="C142" s="620">
        <v>244</v>
      </c>
      <c r="D142" s="620">
        <v>225</v>
      </c>
      <c r="E142" s="596">
        <f t="shared" si="24"/>
        <v>10310</v>
      </c>
      <c r="F142" s="595">
        <f>'Прилож 4 24 (7)'!V140</f>
        <v>0</v>
      </c>
      <c r="G142" s="595">
        <f>'Прилож 4 24 (7)'!W140</f>
        <v>0</v>
      </c>
      <c r="H142" s="595">
        <f>'Прилож 4 24 (7)'!X140</f>
        <v>10310</v>
      </c>
      <c r="I142" s="628"/>
      <c r="J142" s="595">
        <f>'Прилож 4 24 (7)'!Z140</f>
        <v>0</v>
      </c>
      <c r="K142" s="595">
        <f>'Прилож 4 24 (7)'!AA140</f>
        <v>0</v>
      </c>
      <c r="L142" s="595">
        <f>'Прилож 4 24 (7)'!AB140</f>
        <v>0</v>
      </c>
      <c r="M142" s="876">
        <f t="shared" si="21"/>
        <v>0</v>
      </c>
      <c r="N142" s="875"/>
      <c r="O142" s="875"/>
      <c r="P142" s="875"/>
      <c r="Q142" s="877"/>
      <c r="R142" s="875"/>
      <c r="S142" s="875"/>
      <c r="T142" s="875"/>
      <c r="U142" s="876">
        <f t="shared" si="27"/>
        <v>10310</v>
      </c>
      <c r="V142" s="875">
        <f t="shared" si="27"/>
        <v>0</v>
      </c>
      <c r="W142" s="875">
        <f t="shared" si="25"/>
        <v>0</v>
      </c>
      <c r="X142" s="875">
        <f t="shared" si="25"/>
        <v>10310</v>
      </c>
      <c r="Y142" s="883"/>
      <c r="Z142" s="875">
        <f t="shared" si="26"/>
        <v>0</v>
      </c>
      <c r="AA142" s="875">
        <f t="shared" si="23"/>
        <v>0</v>
      </c>
      <c r="AB142" s="875">
        <f t="shared" si="23"/>
        <v>0</v>
      </c>
      <c r="AC142" s="878"/>
    </row>
    <row r="143" spans="1:29" ht="31.5" customHeight="1" x14ac:dyDescent="0.2">
      <c r="A143" s="618" t="s">
        <v>1204</v>
      </c>
      <c r="B143" s="619" t="s">
        <v>729</v>
      </c>
      <c r="C143" s="620">
        <v>244</v>
      </c>
      <c r="D143" s="620">
        <v>225</v>
      </c>
      <c r="E143" s="596">
        <f t="shared" si="24"/>
        <v>36178</v>
      </c>
      <c r="F143" s="595">
        <f>'Прилож 4 24 (7)'!V141</f>
        <v>0</v>
      </c>
      <c r="G143" s="595">
        <f>'Прилож 4 24 (7)'!W141</f>
        <v>0</v>
      </c>
      <c r="H143" s="595">
        <f>'Прилож 4 24 (7)'!X141</f>
        <v>36178</v>
      </c>
      <c r="I143" s="628"/>
      <c r="J143" s="595">
        <f>'Прилож 4 24 (7)'!Z141</f>
        <v>0</v>
      </c>
      <c r="K143" s="595">
        <f>'Прилож 4 24 (7)'!AA141</f>
        <v>0</v>
      </c>
      <c r="L143" s="595">
        <f>'Прилож 4 24 (7)'!AB141</f>
        <v>0</v>
      </c>
      <c r="M143" s="876">
        <f t="shared" si="21"/>
        <v>0</v>
      </c>
      <c r="N143" s="875"/>
      <c r="O143" s="875"/>
      <c r="P143" s="875"/>
      <c r="Q143" s="877"/>
      <c r="R143" s="875"/>
      <c r="S143" s="875"/>
      <c r="T143" s="875"/>
      <c r="U143" s="876">
        <f t="shared" si="27"/>
        <v>36178</v>
      </c>
      <c r="V143" s="875">
        <f t="shared" si="27"/>
        <v>0</v>
      </c>
      <c r="W143" s="875">
        <f t="shared" si="25"/>
        <v>0</v>
      </c>
      <c r="X143" s="875">
        <f t="shared" si="25"/>
        <v>36178</v>
      </c>
      <c r="Y143" s="883"/>
      <c r="Z143" s="875">
        <f t="shared" si="26"/>
        <v>0</v>
      </c>
      <c r="AA143" s="875">
        <f t="shared" si="23"/>
        <v>0</v>
      </c>
      <c r="AB143" s="875">
        <f t="shared" si="23"/>
        <v>0</v>
      </c>
      <c r="AC143" s="878"/>
    </row>
    <row r="144" spans="1:29" ht="47.25" x14ac:dyDescent="0.2">
      <c r="A144" s="618" t="s">
        <v>1327</v>
      </c>
      <c r="B144" s="619" t="s">
        <v>729</v>
      </c>
      <c r="C144" s="620">
        <v>244</v>
      </c>
      <c r="D144" s="620">
        <v>225</v>
      </c>
      <c r="E144" s="596">
        <f t="shared" si="24"/>
        <v>0</v>
      </c>
      <c r="F144" s="595">
        <f>'Прилож 4 24 (7)'!V142</f>
        <v>0</v>
      </c>
      <c r="G144" s="595">
        <f>'Прилож 4 24 (7)'!W142</f>
        <v>0</v>
      </c>
      <c r="H144" s="595">
        <f>'Прилож 4 24 (7)'!X142</f>
        <v>0</v>
      </c>
      <c r="I144" s="621" t="s">
        <v>1314</v>
      </c>
      <c r="J144" s="595">
        <f>'Прилож 4 24 (7)'!Z142</f>
        <v>0</v>
      </c>
      <c r="K144" s="595">
        <f>'Прилож 4 24 (7)'!AA142</f>
        <v>0</v>
      </c>
      <c r="L144" s="595">
        <f>'Прилож 4 24 (7)'!AB142</f>
        <v>0</v>
      </c>
      <c r="M144" s="876">
        <f t="shared" si="21"/>
        <v>0</v>
      </c>
      <c r="N144" s="875"/>
      <c r="O144" s="875"/>
      <c r="P144" s="875"/>
      <c r="Q144" s="621"/>
      <c r="R144" s="875"/>
      <c r="S144" s="875"/>
      <c r="T144" s="875"/>
      <c r="U144" s="876">
        <f t="shared" si="27"/>
        <v>0</v>
      </c>
      <c r="V144" s="875">
        <f t="shared" si="27"/>
        <v>0</v>
      </c>
      <c r="W144" s="875">
        <f t="shared" si="25"/>
        <v>0</v>
      </c>
      <c r="X144" s="875">
        <f t="shared" si="25"/>
        <v>0</v>
      </c>
      <c r="Y144" s="877" t="s">
        <v>1314</v>
      </c>
      <c r="Z144" s="875">
        <f t="shared" si="26"/>
        <v>0</v>
      </c>
      <c r="AA144" s="875">
        <f t="shared" si="23"/>
        <v>0</v>
      </c>
      <c r="AB144" s="875">
        <f t="shared" si="23"/>
        <v>0</v>
      </c>
      <c r="AC144" s="878"/>
    </row>
    <row r="145" spans="1:30" ht="37.5" customHeight="1" x14ac:dyDescent="0.2">
      <c r="A145" s="994" t="s">
        <v>1446</v>
      </c>
      <c r="B145" s="619" t="s">
        <v>729</v>
      </c>
      <c r="C145" s="620">
        <v>244</v>
      </c>
      <c r="D145" s="620">
        <v>225</v>
      </c>
      <c r="E145" s="596">
        <f t="shared" si="24"/>
        <v>249291.8</v>
      </c>
      <c r="F145" s="595">
        <f>'Прилож 4 24 (7)'!V143</f>
        <v>0</v>
      </c>
      <c r="G145" s="595">
        <f>'Прилож 4 24 (7)'!W143</f>
        <v>0</v>
      </c>
      <c r="H145" s="595">
        <f>'Прилож 4 24 (7)'!X143</f>
        <v>0</v>
      </c>
      <c r="I145" s="621" t="s">
        <v>1314</v>
      </c>
      <c r="J145" s="595">
        <f>'Прилож 4 24 (7)'!Z143</f>
        <v>0</v>
      </c>
      <c r="K145" s="595">
        <f>'Прилож 4 24 (7)'!AA143</f>
        <v>249291.8</v>
      </c>
      <c r="L145" s="595">
        <f>'Прилож 4 24 (7)'!AB143</f>
        <v>0</v>
      </c>
      <c r="M145" s="876">
        <f t="shared" si="21"/>
        <v>0</v>
      </c>
      <c r="N145" s="875"/>
      <c r="O145" s="875"/>
      <c r="P145" s="875"/>
      <c r="Q145" s="621"/>
      <c r="R145" s="875"/>
      <c r="S145" s="875"/>
      <c r="T145" s="875"/>
      <c r="U145" s="876">
        <f t="shared" si="27"/>
        <v>249291.8</v>
      </c>
      <c r="V145" s="875">
        <f t="shared" si="27"/>
        <v>0</v>
      </c>
      <c r="W145" s="875">
        <f t="shared" si="25"/>
        <v>0</v>
      </c>
      <c r="X145" s="875">
        <f t="shared" si="25"/>
        <v>0</v>
      </c>
      <c r="Y145" s="877" t="s">
        <v>1314</v>
      </c>
      <c r="Z145" s="875">
        <f t="shared" si="26"/>
        <v>0</v>
      </c>
      <c r="AA145" s="875">
        <f t="shared" si="23"/>
        <v>249291.8</v>
      </c>
      <c r="AB145" s="875">
        <f t="shared" si="23"/>
        <v>0</v>
      </c>
      <c r="AC145" s="878"/>
    </row>
    <row r="146" spans="1:30" ht="30" customHeight="1" x14ac:dyDescent="0.2">
      <c r="A146" s="994" t="s">
        <v>1447</v>
      </c>
      <c r="B146" s="619" t="s">
        <v>729</v>
      </c>
      <c r="C146" s="620">
        <v>244</v>
      </c>
      <c r="D146" s="620">
        <v>225</v>
      </c>
      <c r="E146" s="596">
        <f t="shared" si="24"/>
        <v>268872.66000000003</v>
      </c>
      <c r="F146" s="595">
        <f>'Прилож 4 24 (7)'!V144</f>
        <v>0</v>
      </c>
      <c r="G146" s="595">
        <f>'Прилож 4 24 (7)'!W144</f>
        <v>0</v>
      </c>
      <c r="H146" s="595">
        <f>'Прилож 4 24 (7)'!X144</f>
        <v>0</v>
      </c>
      <c r="I146" s="621" t="s">
        <v>1314</v>
      </c>
      <c r="J146" s="595">
        <f>'Прилож 4 24 (7)'!Z144</f>
        <v>0</v>
      </c>
      <c r="K146" s="595">
        <f>'Прилож 4 24 (7)'!AA144</f>
        <v>268872.66000000003</v>
      </c>
      <c r="L146" s="595">
        <f>'Прилож 4 24 (7)'!AB144</f>
        <v>0</v>
      </c>
      <c r="M146" s="876">
        <f t="shared" si="21"/>
        <v>0</v>
      </c>
      <c r="N146" s="875"/>
      <c r="O146" s="875"/>
      <c r="P146" s="875"/>
      <c r="Q146" s="621"/>
      <c r="R146" s="875"/>
      <c r="S146" s="875"/>
      <c r="T146" s="875"/>
      <c r="U146" s="876">
        <f t="shared" si="27"/>
        <v>268872.66000000003</v>
      </c>
      <c r="V146" s="875">
        <f t="shared" si="27"/>
        <v>0</v>
      </c>
      <c r="W146" s="875">
        <f t="shared" si="25"/>
        <v>0</v>
      </c>
      <c r="X146" s="875">
        <f t="shared" si="25"/>
        <v>0</v>
      </c>
      <c r="Y146" s="877" t="s">
        <v>1314</v>
      </c>
      <c r="Z146" s="875">
        <f t="shared" si="26"/>
        <v>0</v>
      </c>
      <c r="AA146" s="875">
        <f t="shared" si="23"/>
        <v>268872.66000000003</v>
      </c>
      <c r="AB146" s="875">
        <f t="shared" si="23"/>
        <v>0</v>
      </c>
      <c r="AC146" s="878"/>
    </row>
    <row r="147" spans="1:30" ht="38.25" customHeight="1" x14ac:dyDescent="0.2">
      <c r="A147" s="994" t="s">
        <v>1460</v>
      </c>
      <c r="B147" s="619" t="s">
        <v>729</v>
      </c>
      <c r="C147" s="620">
        <v>244</v>
      </c>
      <c r="D147" s="620">
        <v>225</v>
      </c>
      <c r="E147" s="596"/>
      <c r="F147" s="595">
        <f>'Прилож 4 24 (7)'!V145</f>
        <v>0</v>
      </c>
      <c r="G147" s="595">
        <f>'Прилож 4 24 (7)'!W145</f>
        <v>0</v>
      </c>
      <c r="H147" s="595">
        <f>'Прилож 4 24 (7)'!X145</f>
        <v>18000</v>
      </c>
      <c r="I147" s="621"/>
      <c r="J147" s="595">
        <f>'Прилож 4 24 (7)'!Z145</f>
        <v>0</v>
      </c>
      <c r="K147" s="595">
        <f>'Прилож 4 24 (7)'!AA145</f>
        <v>0</v>
      </c>
      <c r="L147" s="595">
        <f>'Прилож 4 24 (7)'!AB145</f>
        <v>0</v>
      </c>
      <c r="M147" s="876">
        <f t="shared" si="21"/>
        <v>0</v>
      </c>
      <c r="N147" s="875"/>
      <c r="O147" s="875"/>
      <c r="P147" s="875"/>
      <c r="Q147" s="621"/>
      <c r="R147" s="875"/>
      <c r="S147" s="875"/>
      <c r="T147" s="875"/>
      <c r="U147" s="876">
        <f t="shared" si="27"/>
        <v>0</v>
      </c>
      <c r="V147" s="875">
        <f t="shared" si="27"/>
        <v>0</v>
      </c>
      <c r="W147" s="875">
        <f t="shared" si="25"/>
        <v>0</v>
      </c>
      <c r="X147" s="875">
        <f t="shared" si="25"/>
        <v>18000</v>
      </c>
      <c r="Y147" s="877"/>
      <c r="Z147" s="875">
        <f t="shared" si="26"/>
        <v>0</v>
      </c>
      <c r="AA147" s="875">
        <f t="shared" si="23"/>
        <v>0</v>
      </c>
      <c r="AB147" s="875">
        <f t="shared" si="23"/>
        <v>0</v>
      </c>
      <c r="AC147" s="878"/>
    </row>
    <row r="148" spans="1:30" ht="32.25" customHeight="1" x14ac:dyDescent="0.2">
      <c r="A148" s="994" t="s">
        <v>1474</v>
      </c>
      <c r="B148" s="619" t="s">
        <v>729</v>
      </c>
      <c r="C148" s="620">
        <v>244</v>
      </c>
      <c r="D148" s="620">
        <v>225</v>
      </c>
      <c r="E148" s="596"/>
      <c r="F148" s="595">
        <f>'Прилож 4 24 (7)'!V146</f>
        <v>0</v>
      </c>
      <c r="G148" s="595">
        <f>'Прилож 4 24 (7)'!W146</f>
        <v>0</v>
      </c>
      <c r="H148" s="595">
        <f>'Прилож 4 24 (7)'!X146</f>
        <v>0</v>
      </c>
      <c r="I148" s="621" t="s">
        <v>1314</v>
      </c>
      <c r="J148" s="595">
        <f>'Прилож 4 24 (7)'!Z146</f>
        <v>0</v>
      </c>
      <c r="K148" s="595">
        <f>'Прилож 4 24 (7)'!AA146</f>
        <v>491120.73</v>
      </c>
      <c r="L148" s="595">
        <f>'Прилож 4 24 (7)'!AB146</f>
        <v>0</v>
      </c>
      <c r="M148" s="876">
        <f t="shared" si="21"/>
        <v>0</v>
      </c>
      <c r="N148" s="875"/>
      <c r="O148" s="875"/>
      <c r="P148" s="875"/>
      <c r="Q148" s="621"/>
      <c r="R148" s="875"/>
      <c r="S148" s="875"/>
      <c r="T148" s="875"/>
      <c r="U148" s="876">
        <f t="shared" si="27"/>
        <v>0</v>
      </c>
      <c r="V148" s="875">
        <f t="shared" si="27"/>
        <v>0</v>
      </c>
      <c r="W148" s="875">
        <f t="shared" si="25"/>
        <v>0</v>
      </c>
      <c r="X148" s="875">
        <f t="shared" si="25"/>
        <v>0</v>
      </c>
      <c r="Y148" s="877" t="s">
        <v>1314</v>
      </c>
      <c r="Z148" s="875">
        <f t="shared" si="26"/>
        <v>0</v>
      </c>
      <c r="AA148" s="875">
        <f t="shared" si="23"/>
        <v>491120.73</v>
      </c>
      <c r="AB148" s="875"/>
      <c r="AC148" s="878"/>
    </row>
    <row r="149" spans="1:30" ht="66" customHeight="1" x14ac:dyDescent="0.2">
      <c r="A149" s="994" t="s">
        <v>1475</v>
      </c>
      <c r="B149" s="619" t="s">
        <v>729</v>
      </c>
      <c r="C149" s="620">
        <v>244</v>
      </c>
      <c r="D149" s="620">
        <v>225</v>
      </c>
      <c r="E149" s="596"/>
      <c r="F149" s="595">
        <f>'Прилож 4 24 (7)'!V147</f>
        <v>0</v>
      </c>
      <c r="G149" s="595">
        <f>'Прилож 4 24 (7)'!W147</f>
        <v>0</v>
      </c>
      <c r="H149" s="595">
        <f>'Прилож 4 24 (7)'!X147</f>
        <v>0</v>
      </c>
      <c r="I149" s="621" t="s">
        <v>1314</v>
      </c>
      <c r="J149" s="595">
        <f>'Прилож 4 24 (7)'!Z147</f>
        <v>0</v>
      </c>
      <c r="K149" s="595">
        <f>'Прилож 4 24 (7)'!AA147</f>
        <v>183401.27</v>
      </c>
      <c r="L149" s="595">
        <f>'Прилож 4 24 (7)'!AB147</f>
        <v>0</v>
      </c>
      <c r="M149" s="876">
        <f t="shared" si="21"/>
        <v>0</v>
      </c>
      <c r="N149" s="875"/>
      <c r="O149" s="875"/>
      <c r="P149" s="875"/>
      <c r="Q149" s="621"/>
      <c r="R149" s="875"/>
      <c r="S149" s="875"/>
      <c r="T149" s="875"/>
      <c r="U149" s="876">
        <f t="shared" si="27"/>
        <v>0</v>
      </c>
      <c r="V149" s="875">
        <f t="shared" si="27"/>
        <v>0</v>
      </c>
      <c r="W149" s="875">
        <f t="shared" si="25"/>
        <v>0</v>
      </c>
      <c r="X149" s="875">
        <f t="shared" si="25"/>
        <v>0</v>
      </c>
      <c r="Y149" s="877" t="s">
        <v>1314</v>
      </c>
      <c r="Z149" s="875">
        <f t="shared" si="26"/>
        <v>0</v>
      </c>
      <c r="AA149" s="875">
        <f t="shared" si="23"/>
        <v>183401.27</v>
      </c>
      <c r="AB149" s="875"/>
      <c r="AC149" s="878"/>
    </row>
    <row r="150" spans="1:30" ht="42" customHeight="1" x14ac:dyDescent="0.2">
      <c r="A150" s="994" t="s">
        <v>1185</v>
      </c>
      <c r="B150" s="619" t="s">
        <v>729</v>
      </c>
      <c r="C150" s="620">
        <v>244</v>
      </c>
      <c r="D150" s="620">
        <v>225</v>
      </c>
      <c r="E150" s="596"/>
      <c r="F150" s="595"/>
      <c r="G150" s="595"/>
      <c r="H150" s="595"/>
      <c r="I150" s="621"/>
      <c r="J150" s="595"/>
      <c r="K150" s="595"/>
      <c r="L150" s="595"/>
      <c r="M150" s="876">
        <f t="shared" si="21"/>
        <v>9600</v>
      </c>
      <c r="N150" s="875"/>
      <c r="O150" s="875"/>
      <c r="P150" s="875">
        <v>9600</v>
      </c>
      <c r="Q150" s="621"/>
      <c r="R150" s="875"/>
      <c r="S150" s="875"/>
      <c r="T150" s="875"/>
      <c r="U150" s="876">
        <f t="shared" si="27"/>
        <v>9600</v>
      </c>
      <c r="V150" s="875">
        <f t="shared" si="27"/>
        <v>0</v>
      </c>
      <c r="W150" s="875">
        <f t="shared" si="25"/>
        <v>0</v>
      </c>
      <c r="X150" s="875">
        <f t="shared" si="25"/>
        <v>9600</v>
      </c>
      <c r="Y150" s="877"/>
      <c r="Z150" s="875">
        <f t="shared" si="26"/>
        <v>0</v>
      </c>
      <c r="AA150" s="875">
        <f t="shared" si="23"/>
        <v>0</v>
      </c>
      <c r="AB150" s="875"/>
      <c r="AC150" s="878" t="s">
        <v>1495</v>
      </c>
    </row>
    <row r="151" spans="1:30" ht="48" customHeight="1" x14ac:dyDescent="0.2">
      <c r="A151" s="618" t="s">
        <v>1393</v>
      </c>
      <c r="B151" s="619" t="s">
        <v>729</v>
      </c>
      <c r="C151" s="620">
        <v>244</v>
      </c>
      <c r="D151" s="620">
        <v>225</v>
      </c>
      <c r="E151" s="596"/>
      <c r="F151" s="595"/>
      <c r="G151" s="595"/>
      <c r="H151" s="595"/>
      <c r="I151" s="621"/>
      <c r="J151" s="595"/>
      <c r="K151" s="595"/>
      <c r="L151" s="595"/>
      <c r="M151" s="876">
        <f t="shared" si="21"/>
        <v>36920</v>
      </c>
      <c r="N151" s="875"/>
      <c r="O151" s="875"/>
      <c r="P151" s="875">
        <v>36920</v>
      </c>
      <c r="Q151" s="621"/>
      <c r="R151" s="875"/>
      <c r="S151" s="875"/>
      <c r="T151" s="875"/>
      <c r="U151" s="876">
        <f t="shared" si="27"/>
        <v>36920</v>
      </c>
      <c r="V151" s="875"/>
      <c r="W151" s="875"/>
      <c r="X151" s="875">
        <f>P151+H151</f>
        <v>36920</v>
      </c>
      <c r="Y151" s="877"/>
      <c r="Z151" s="875"/>
      <c r="AA151" s="875"/>
      <c r="AB151" s="875"/>
      <c r="AC151" s="878" t="s">
        <v>1496</v>
      </c>
    </row>
    <row r="152" spans="1:30" s="637" customFormat="1" ht="33" customHeight="1" x14ac:dyDescent="0.2">
      <c r="A152" s="1052" t="s">
        <v>1143</v>
      </c>
      <c r="B152" s="631" t="s">
        <v>729</v>
      </c>
      <c r="C152" s="624">
        <v>244</v>
      </c>
      <c r="D152" s="624">
        <v>225</v>
      </c>
      <c r="E152" s="596">
        <f t="shared" ref="E152:E215" si="28">L152+K152+J152+H152+G152+F152</f>
        <v>1740238.3399999994</v>
      </c>
      <c r="F152" s="596">
        <f>'Прилож 4 24 (7)'!V148</f>
        <v>0</v>
      </c>
      <c r="G152" s="596">
        <f>'Прилож 4 24 (7)'!W148</f>
        <v>0</v>
      </c>
      <c r="H152" s="596">
        <f>'Прилож 4 24 (7)'!X148</f>
        <v>547551.88</v>
      </c>
      <c r="I152" s="626"/>
      <c r="J152" s="596">
        <f>'Прилож 4 24 (7)'!Z148</f>
        <v>0</v>
      </c>
      <c r="K152" s="596">
        <f>'Прилож 4 24 (7)'!AA148</f>
        <v>1192686.4599999995</v>
      </c>
      <c r="L152" s="596">
        <f>'Прилож 4 24 (7)'!AB148</f>
        <v>0</v>
      </c>
      <c r="M152" s="876">
        <f t="shared" si="21"/>
        <v>51520</v>
      </c>
      <c r="N152" s="1053"/>
      <c r="O152" s="1053"/>
      <c r="P152" s="1054">
        <f>SUM(P125:P151)</f>
        <v>51520</v>
      </c>
      <c r="Q152" s="881"/>
      <c r="R152" s="876">
        <f>SUM(R125:R150)</f>
        <v>0</v>
      </c>
      <c r="S152" s="876">
        <f>SUM(S125:S150)</f>
        <v>0</v>
      </c>
      <c r="T152" s="876"/>
      <c r="U152" s="876">
        <f t="shared" si="27"/>
        <v>1791758.3399999994</v>
      </c>
      <c r="V152" s="876">
        <f>F152+N152</f>
        <v>0</v>
      </c>
      <c r="W152" s="876">
        <f>O152+G152</f>
        <v>0</v>
      </c>
      <c r="X152" s="876">
        <f>P152+H152</f>
        <v>599071.88</v>
      </c>
      <c r="Y152" s="881"/>
      <c r="Z152" s="876">
        <f t="shared" ref="Z152:AB153" si="29">R152+J152</f>
        <v>0</v>
      </c>
      <c r="AA152" s="876">
        <f t="shared" si="29"/>
        <v>1192686.4599999995</v>
      </c>
      <c r="AB152" s="876">
        <f t="shared" si="29"/>
        <v>0</v>
      </c>
      <c r="AC152" s="879"/>
    </row>
    <row r="153" spans="1:30" ht="36" customHeight="1" x14ac:dyDescent="0.2">
      <c r="A153" s="994" t="s">
        <v>677</v>
      </c>
      <c r="B153" s="619" t="s">
        <v>691</v>
      </c>
      <c r="C153" s="620">
        <v>244</v>
      </c>
      <c r="D153" s="620">
        <v>225</v>
      </c>
      <c r="E153" s="596">
        <f t="shared" si="28"/>
        <v>13451.999999999998</v>
      </c>
      <c r="F153" s="595">
        <f>'Прилож 4 24 (7)'!V149</f>
        <v>0</v>
      </c>
      <c r="G153" s="595">
        <f>'Прилож 4 24 (7)'!W149</f>
        <v>0</v>
      </c>
      <c r="H153" s="595">
        <f>'Прилож 4 24 (7)'!X149</f>
        <v>11086.939999999999</v>
      </c>
      <c r="I153" s="628"/>
      <c r="J153" s="595">
        <f>'Прилож 4 24 (7)'!Z149</f>
        <v>0</v>
      </c>
      <c r="K153" s="595">
        <f>'Прилож 4 24 (7)'!AA149</f>
        <v>0</v>
      </c>
      <c r="L153" s="595">
        <f>'Прилож 4 24 (7)'!AB149</f>
        <v>2365.06</v>
      </c>
      <c r="M153" s="876">
        <f t="shared" si="21"/>
        <v>0</v>
      </c>
      <c r="N153" s="875"/>
      <c r="O153" s="875"/>
      <c r="P153" s="875"/>
      <c r="Q153" s="877"/>
      <c r="R153" s="875"/>
      <c r="S153" s="875"/>
      <c r="T153" s="875"/>
      <c r="U153" s="876">
        <f t="shared" si="27"/>
        <v>13451.999999999998</v>
      </c>
      <c r="V153" s="875">
        <f>F153+N153</f>
        <v>0</v>
      </c>
      <c r="W153" s="875">
        <f>O153+G153</f>
        <v>0</v>
      </c>
      <c r="X153" s="875">
        <f>P153+H153</f>
        <v>11086.939999999999</v>
      </c>
      <c r="Y153" s="883"/>
      <c r="Z153" s="875">
        <f t="shared" si="29"/>
        <v>0</v>
      </c>
      <c r="AA153" s="875">
        <f t="shared" si="29"/>
        <v>0</v>
      </c>
      <c r="AB153" s="875">
        <f t="shared" si="29"/>
        <v>2365.06</v>
      </c>
      <c r="AC153" s="878"/>
    </row>
    <row r="154" spans="1:30" ht="36" customHeight="1" x14ac:dyDescent="0.2">
      <c r="A154" s="994" t="s">
        <v>1436</v>
      </c>
      <c r="B154" s="619" t="s">
        <v>691</v>
      </c>
      <c r="C154" s="620">
        <v>244</v>
      </c>
      <c r="D154" s="620">
        <v>225</v>
      </c>
      <c r="E154" s="596">
        <f t="shared" si="28"/>
        <v>10200</v>
      </c>
      <c r="F154" s="595">
        <f>'Прилож 4 24 (7)'!V150</f>
        <v>0</v>
      </c>
      <c r="G154" s="595">
        <f>'Прилож 4 24 (7)'!W150</f>
        <v>0</v>
      </c>
      <c r="H154" s="595">
        <f>'Прилож 4 24 (7)'!X150</f>
        <v>0</v>
      </c>
      <c r="I154" s="877" t="s">
        <v>1440</v>
      </c>
      <c r="J154" s="595">
        <f>'Прилож 4 24 (7)'!Z150</f>
        <v>0</v>
      </c>
      <c r="K154" s="595">
        <f>'Прилож 4 24 (7)'!AA150</f>
        <v>10200</v>
      </c>
      <c r="L154" s="595">
        <f>'Прилож 4 24 (7)'!AB150</f>
        <v>0</v>
      </c>
      <c r="M154" s="876">
        <f t="shared" si="21"/>
        <v>0</v>
      </c>
      <c r="N154" s="875"/>
      <c r="O154" s="875"/>
      <c r="P154" s="875"/>
      <c r="Q154" s="877"/>
      <c r="R154" s="875"/>
      <c r="S154" s="875"/>
      <c r="T154" s="875"/>
      <c r="U154" s="876">
        <f t="shared" si="27"/>
        <v>10200</v>
      </c>
      <c r="V154" s="875"/>
      <c r="W154" s="875"/>
      <c r="X154" s="875"/>
      <c r="Y154" s="877" t="s">
        <v>1440</v>
      </c>
      <c r="Z154" s="875"/>
      <c r="AA154" s="875">
        <f>S154+K154</f>
        <v>10200</v>
      </c>
      <c r="AB154" s="875"/>
      <c r="AC154" s="878"/>
    </row>
    <row r="155" spans="1:30" ht="17.25" customHeight="1" x14ac:dyDescent="0.2">
      <c r="A155" s="632" t="s">
        <v>1143</v>
      </c>
      <c r="B155" s="633" t="s">
        <v>691</v>
      </c>
      <c r="C155" s="634">
        <v>244</v>
      </c>
      <c r="D155" s="634">
        <v>225</v>
      </c>
      <c r="E155" s="596">
        <f t="shared" si="28"/>
        <v>23652</v>
      </c>
      <c r="F155" s="595">
        <f>'Прилож 4 24 (7)'!V151</f>
        <v>0</v>
      </c>
      <c r="G155" s="595">
        <f>'Прилож 4 24 (7)'!W151</f>
        <v>0</v>
      </c>
      <c r="H155" s="595">
        <f>'Прилож 4 24 (7)'!X151</f>
        <v>11086.939999999999</v>
      </c>
      <c r="I155" s="628"/>
      <c r="J155" s="595">
        <f>'Прилож 4 24 (7)'!Z151</f>
        <v>0</v>
      </c>
      <c r="K155" s="595">
        <f>'Прилож 4 24 (7)'!AA151</f>
        <v>10200</v>
      </c>
      <c r="L155" s="595">
        <f>'Прилож 4 24 (7)'!AB151</f>
        <v>2365.06</v>
      </c>
      <c r="M155" s="876">
        <f t="shared" si="21"/>
        <v>0</v>
      </c>
      <c r="N155" s="875"/>
      <c r="O155" s="875"/>
      <c r="P155" s="875"/>
      <c r="Q155" s="877"/>
      <c r="R155" s="875"/>
      <c r="S155" s="875">
        <f>SUM(S153:S154)</f>
        <v>0</v>
      </c>
      <c r="T155" s="875"/>
      <c r="U155" s="876">
        <f t="shared" si="27"/>
        <v>23652</v>
      </c>
      <c r="V155" s="875"/>
      <c r="W155" s="875"/>
      <c r="X155" s="875">
        <f>SUM(X153:X154)</f>
        <v>11086.939999999999</v>
      </c>
      <c r="Y155" s="883"/>
      <c r="Z155" s="875"/>
      <c r="AA155" s="875">
        <f>SUM(AA153:AA154)</f>
        <v>10200</v>
      </c>
      <c r="AB155" s="875">
        <f>SUM(AB153:AB154)</f>
        <v>2365.06</v>
      </c>
      <c r="AC155" s="878"/>
    </row>
    <row r="156" spans="1:30" s="614" customFormat="1" x14ac:dyDescent="0.2">
      <c r="A156" s="630" t="s">
        <v>738</v>
      </c>
      <c r="B156" s="631"/>
      <c r="C156" s="624"/>
      <c r="D156" s="624"/>
      <c r="E156" s="596">
        <f t="shared" si="28"/>
        <v>2943993.52</v>
      </c>
      <c r="F156" s="595">
        <f>'Прилож 4 24 (7)'!V152</f>
        <v>0</v>
      </c>
      <c r="G156" s="595">
        <f>'Прилож 4 24 (7)'!W152</f>
        <v>0</v>
      </c>
      <c r="H156" s="595">
        <f>'Прилож 4 24 (7)'!X152</f>
        <v>924619.60000000009</v>
      </c>
      <c r="I156" s="626"/>
      <c r="J156" s="595">
        <f>'Прилож 4 24 (7)'!Z152</f>
        <v>0</v>
      </c>
      <c r="K156" s="595">
        <f>'Прилож 4 24 (7)'!AA152</f>
        <v>2017008.8599999999</v>
      </c>
      <c r="L156" s="595">
        <f>'Прилож 4 24 (7)'!AB152</f>
        <v>2365.06</v>
      </c>
      <c r="M156" s="876">
        <f t="shared" si="21"/>
        <v>245615.66000000003</v>
      </c>
      <c r="N156" s="876">
        <f>N124+N152+N153</f>
        <v>0</v>
      </c>
      <c r="O156" s="876"/>
      <c r="P156" s="876">
        <f>P124+P152+P153</f>
        <v>50020</v>
      </c>
      <c r="Q156" s="881"/>
      <c r="R156" s="876"/>
      <c r="S156" s="876">
        <f>S152+S124+S155</f>
        <v>195595.66000000003</v>
      </c>
      <c r="T156" s="876"/>
      <c r="U156" s="876">
        <f t="shared" si="27"/>
        <v>3189609.18</v>
      </c>
      <c r="V156" s="875">
        <f t="shared" si="27"/>
        <v>0</v>
      </c>
      <c r="W156" s="875">
        <f t="shared" ref="W156:X187" si="30">O156+G156</f>
        <v>0</v>
      </c>
      <c r="X156" s="875">
        <f t="shared" si="30"/>
        <v>974639.60000000009</v>
      </c>
      <c r="Y156" s="881"/>
      <c r="Z156" s="875">
        <f t="shared" ref="Z156:AB187" si="31">R156+J156</f>
        <v>0</v>
      </c>
      <c r="AA156" s="875">
        <f t="shared" si="31"/>
        <v>2212604.52</v>
      </c>
      <c r="AB156" s="875">
        <f t="shared" si="31"/>
        <v>2365.06</v>
      </c>
      <c r="AC156" s="879"/>
      <c r="AD156" s="818"/>
    </row>
    <row r="157" spans="1:30" ht="31.5" x14ac:dyDescent="0.2">
      <c r="A157" s="618" t="s">
        <v>586</v>
      </c>
      <c r="B157" s="619" t="s">
        <v>747</v>
      </c>
      <c r="C157" s="620">
        <v>244</v>
      </c>
      <c r="D157" s="620">
        <v>226</v>
      </c>
      <c r="E157" s="596">
        <f t="shared" si="28"/>
        <v>53845.919999999998</v>
      </c>
      <c r="F157" s="595">
        <f>'Прилож 4 24 (7)'!V153</f>
        <v>0</v>
      </c>
      <c r="G157" s="595">
        <f>'Прилож 4 24 (7)'!W153</f>
        <v>0</v>
      </c>
      <c r="H157" s="595">
        <f>'Прилож 4 24 (7)'!X153</f>
        <v>53845.919999999998</v>
      </c>
      <c r="I157" s="628"/>
      <c r="J157" s="595">
        <f>'Прилож 4 24 (7)'!Z153</f>
        <v>0</v>
      </c>
      <c r="K157" s="595">
        <f>'Прилож 4 24 (7)'!AA153</f>
        <v>0</v>
      </c>
      <c r="L157" s="595">
        <f>'Прилож 4 24 (7)'!AB153</f>
        <v>0</v>
      </c>
      <c r="M157" s="876">
        <f t="shared" si="21"/>
        <v>0</v>
      </c>
      <c r="N157" s="875"/>
      <c r="O157" s="875"/>
      <c r="P157" s="875"/>
      <c r="Q157" s="877"/>
      <c r="R157" s="875"/>
      <c r="S157" s="875"/>
      <c r="T157" s="875"/>
      <c r="U157" s="876">
        <f t="shared" si="27"/>
        <v>53845.919999999998</v>
      </c>
      <c r="V157" s="875">
        <f t="shared" si="27"/>
        <v>0</v>
      </c>
      <c r="W157" s="875">
        <f t="shared" si="30"/>
        <v>0</v>
      </c>
      <c r="X157" s="875">
        <f t="shared" si="30"/>
        <v>53845.919999999998</v>
      </c>
      <c r="Y157" s="883"/>
      <c r="Z157" s="875">
        <f t="shared" si="31"/>
        <v>0</v>
      </c>
      <c r="AA157" s="875">
        <f t="shared" si="31"/>
        <v>0</v>
      </c>
      <c r="AB157" s="875">
        <f t="shared" si="31"/>
        <v>0</v>
      </c>
      <c r="AC157" s="878"/>
    </row>
    <row r="158" spans="1:30" ht="31.5" x14ac:dyDescent="0.2">
      <c r="A158" s="618" t="s">
        <v>154</v>
      </c>
      <c r="B158" s="619" t="s">
        <v>747</v>
      </c>
      <c r="C158" s="620">
        <v>244</v>
      </c>
      <c r="D158" s="620">
        <v>226</v>
      </c>
      <c r="E158" s="596">
        <f t="shared" si="28"/>
        <v>48650</v>
      </c>
      <c r="F158" s="595">
        <f>'Прилож 4 24 (7)'!V154</f>
        <v>0</v>
      </c>
      <c r="G158" s="595">
        <f>'Прилож 4 24 (7)'!W154</f>
        <v>0</v>
      </c>
      <c r="H158" s="595">
        <f>'Прилож 4 24 (7)'!X154</f>
        <v>48650</v>
      </c>
      <c r="I158" s="628"/>
      <c r="J158" s="595">
        <f>'Прилож 4 24 (7)'!Z154</f>
        <v>0</v>
      </c>
      <c r="K158" s="595">
        <f>'Прилож 4 24 (7)'!AA154</f>
        <v>0</v>
      </c>
      <c r="L158" s="595">
        <f>'Прилож 4 24 (7)'!AB154</f>
        <v>0</v>
      </c>
      <c r="M158" s="876">
        <f t="shared" si="21"/>
        <v>61850</v>
      </c>
      <c r="N158" s="875"/>
      <c r="O158" s="875"/>
      <c r="P158" s="875">
        <v>61850</v>
      </c>
      <c r="Q158" s="877"/>
      <c r="R158" s="875"/>
      <c r="S158" s="875"/>
      <c r="T158" s="875"/>
      <c r="U158" s="876">
        <f t="shared" ref="U158:V189" si="32">E158+M158</f>
        <v>110500</v>
      </c>
      <c r="V158" s="875">
        <f t="shared" si="32"/>
        <v>0</v>
      </c>
      <c r="W158" s="875">
        <f t="shared" si="30"/>
        <v>0</v>
      </c>
      <c r="X158" s="875">
        <f t="shared" si="30"/>
        <v>110500</v>
      </c>
      <c r="Y158" s="883"/>
      <c r="Z158" s="875">
        <f t="shared" si="31"/>
        <v>0</v>
      </c>
      <c r="AA158" s="875">
        <f t="shared" si="31"/>
        <v>0</v>
      </c>
      <c r="AB158" s="875">
        <f t="shared" si="31"/>
        <v>0</v>
      </c>
      <c r="AC158" s="878" t="s">
        <v>1497</v>
      </c>
    </row>
    <row r="159" spans="1:30" ht="31.5" x14ac:dyDescent="0.2">
      <c r="A159" s="618" t="s">
        <v>642</v>
      </c>
      <c r="B159" s="619" t="s">
        <v>747</v>
      </c>
      <c r="C159" s="620">
        <v>244</v>
      </c>
      <c r="D159" s="620">
        <v>226</v>
      </c>
      <c r="E159" s="596">
        <f t="shared" si="28"/>
        <v>60720</v>
      </c>
      <c r="F159" s="595">
        <f>'Прилож 4 24 (7)'!V155</f>
        <v>0</v>
      </c>
      <c r="G159" s="595">
        <f>'Прилож 4 24 (7)'!W155</f>
        <v>0</v>
      </c>
      <c r="H159" s="595">
        <f>'Прилож 4 24 (7)'!X155</f>
        <v>60720</v>
      </c>
      <c r="I159" s="628"/>
      <c r="J159" s="595">
        <f>'Прилож 4 24 (7)'!Z155</f>
        <v>0</v>
      </c>
      <c r="K159" s="595">
        <f>'Прилож 4 24 (7)'!AA155</f>
        <v>0</v>
      </c>
      <c r="L159" s="595">
        <f>'Прилож 4 24 (7)'!AB155</f>
        <v>0</v>
      </c>
      <c r="M159" s="876">
        <f t="shared" si="21"/>
        <v>0</v>
      </c>
      <c r="N159" s="875"/>
      <c r="O159" s="875"/>
      <c r="P159" s="875"/>
      <c r="Q159" s="877"/>
      <c r="R159" s="875"/>
      <c r="S159" s="875"/>
      <c r="T159" s="875"/>
      <c r="U159" s="876">
        <f t="shared" si="32"/>
        <v>60720</v>
      </c>
      <c r="V159" s="875">
        <f t="shared" si="32"/>
        <v>0</v>
      </c>
      <c r="W159" s="875">
        <f t="shared" si="30"/>
        <v>0</v>
      </c>
      <c r="X159" s="875">
        <f t="shared" si="30"/>
        <v>60720</v>
      </c>
      <c r="Y159" s="883"/>
      <c r="Z159" s="875">
        <f t="shared" si="31"/>
        <v>0</v>
      </c>
      <c r="AA159" s="875">
        <f t="shared" si="31"/>
        <v>0</v>
      </c>
      <c r="AB159" s="875">
        <f t="shared" si="31"/>
        <v>0</v>
      </c>
      <c r="AC159" s="878"/>
    </row>
    <row r="160" spans="1:30" ht="157.5" customHeight="1" x14ac:dyDescent="0.2">
      <c r="A160" s="618" t="s">
        <v>1243</v>
      </c>
      <c r="B160" s="619" t="s">
        <v>747</v>
      </c>
      <c r="C160" s="620">
        <v>244</v>
      </c>
      <c r="D160" s="620">
        <v>226</v>
      </c>
      <c r="E160" s="596">
        <f t="shared" si="28"/>
        <v>23830</v>
      </c>
      <c r="F160" s="595">
        <f>'Прилож 4 24 (7)'!V156</f>
        <v>0</v>
      </c>
      <c r="G160" s="595">
        <f>'Прилож 4 24 (7)'!W156</f>
        <v>0</v>
      </c>
      <c r="H160" s="595">
        <f>'Прилож 4 24 (7)'!X156</f>
        <v>23830</v>
      </c>
      <c r="I160" s="628"/>
      <c r="J160" s="595">
        <f>'Прилож 4 24 (7)'!Z156</f>
        <v>0</v>
      </c>
      <c r="K160" s="595">
        <f>'Прилож 4 24 (7)'!AA156</f>
        <v>0</v>
      </c>
      <c r="L160" s="595">
        <f>'Прилож 4 24 (7)'!AB156</f>
        <v>0</v>
      </c>
      <c r="M160" s="876">
        <f t="shared" si="21"/>
        <v>-194.08</v>
      </c>
      <c r="N160" s="875"/>
      <c r="O160" s="875"/>
      <c r="P160" s="875">
        <v>-194.08</v>
      </c>
      <c r="Q160" s="877"/>
      <c r="R160" s="875"/>
      <c r="S160" s="875"/>
      <c r="T160" s="875"/>
      <c r="U160" s="876">
        <f t="shared" si="32"/>
        <v>23635.919999999998</v>
      </c>
      <c r="V160" s="875">
        <f t="shared" si="32"/>
        <v>0</v>
      </c>
      <c r="W160" s="875">
        <f t="shared" si="30"/>
        <v>0</v>
      </c>
      <c r="X160" s="875">
        <f t="shared" si="30"/>
        <v>23635.919999999998</v>
      </c>
      <c r="Y160" s="883"/>
      <c r="Z160" s="875">
        <f t="shared" si="31"/>
        <v>0</v>
      </c>
      <c r="AA160" s="875">
        <f t="shared" si="31"/>
        <v>0</v>
      </c>
      <c r="AB160" s="875">
        <f t="shared" si="31"/>
        <v>0</v>
      </c>
      <c r="AC160" s="878" t="s">
        <v>1498</v>
      </c>
    </row>
    <row r="161" spans="1:29" x14ac:dyDescent="0.2">
      <c r="A161" s="618" t="s">
        <v>593</v>
      </c>
      <c r="B161" s="619" t="s">
        <v>747</v>
      </c>
      <c r="C161" s="620">
        <v>244</v>
      </c>
      <c r="D161" s="620">
        <v>226</v>
      </c>
      <c r="E161" s="596">
        <f t="shared" si="28"/>
        <v>7430</v>
      </c>
      <c r="F161" s="595">
        <f>'Прилож 4 24 (7)'!V157</f>
        <v>0</v>
      </c>
      <c r="G161" s="595">
        <f>'Прилож 4 24 (7)'!W157</f>
        <v>0</v>
      </c>
      <c r="H161" s="595">
        <f>'Прилож 4 24 (7)'!X157</f>
        <v>7430</v>
      </c>
      <c r="I161" s="628"/>
      <c r="J161" s="595">
        <f>'Прилож 4 24 (7)'!Z157</f>
        <v>0</v>
      </c>
      <c r="K161" s="595">
        <f>'Прилож 4 24 (7)'!AA157</f>
        <v>0</v>
      </c>
      <c r="L161" s="595">
        <f>'Прилож 4 24 (7)'!AB157</f>
        <v>0</v>
      </c>
      <c r="M161" s="876">
        <f t="shared" si="21"/>
        <v>1694.08</v>
      </c>
      <c r="N161" s="875"/>
      <c r="O161" s="875"/>
      <c r="P161" s="875">
        <f>194.08+1500</f>
        <v>1694.08</v>
      </c>
      <c r="Q161" s="877"/>
      <c r="R161" s="875"/>
      <c r="S161" s="875"/>
      <c r="T161" s="875"/>
      <c r="U161" s="876">
        <f t="shared" si="32"/>
        <v>9124.08</v>
      </c>
      <c r="V161" s="875">
        <f t="shared" si="32"/>
        <v>0</v>
      </c>
      <c r="W161" s="875">
        <f t="shared" si="30"/>
        <v>0</v>
      </c>
      <c r="X161" s="875">
        <f t="shared" si="30"/>
        <v>9124.08</v>
      </c>
      <c r="Y161" s="883"/>
      <c r="Z161" s="875">
        <f t="shared" si="31"/>
        <v>0</v>
      </c>
      <c r="AA161" s="875">
        <f t="shared" si="31"/>
        <v>0</v>
      </c>
      <c r="AB161" s="875">
        <f t="shared" si="31"/>
        <v>0</v>
      </c>
      <c r="AC161" s="878" t="s">
        <v>1354</v>
      </c>
    </row>
    <row r="162" spans="1:29" x14ac:dyDescent="0.2">
      <c r="A162" s="618" t="s">
        <v>1194</v>
      </c>
      <c r="B162" s="619" t="s">
        <v>747</v>
      </c>
      <c r="C162" s="620">
        <v>244</v>
      </c>
      <c r="D162" s="620">
        <v>226</v>
      </c>
      <c r="E162" s="596">
        <f t="shared" si="28"/>
        <v>20250</v>
      </c>
      <c r="F162" s="595">
        <f>'Прилож 4 24 (7)'!V158</f>
        <v>0</v>
      </c>
      <c r="G162" s="595">
        <f>'Прилож 4 24 (7)'!W158</f>
        <v>0</v>
      </c>
      <c r="H162" s="595">
        <f>'Прилож 4 24 (7)'!X158</f>
        <v>20250</v>
      </c>
      <c r="I162" s="628"/>
      <c r="J162" s="595">
        <f>'Прилож 4 24 (7)'!Z158</f>
        <v>0</v>
      </c>
      <c r="K162" s="595">
        <f>'Прилож 4 24 (7)'!AA158</f>
        <v>0</v>
      </c>
      <c r="L162" s="595">
        <f>'Прилож 4 24 (7)'!AB158</f>
        <v>0</v>
      </c>
      <c r="M162" s="876">
        <f t="shared" si="21"/>
        <v>0</v>
      </c>
      <c r="N162" s="875"/>
      <c r="O162" s="875"/>
      <c r="P162" s="875"/>
      <c r="Q162" s="877"/>
      <c r="R162" s="875"/>
      <c r="S162" s="875"/>
      <c r="T162" s="875"/>
      <c r="U162" s="876">
        <f t="shared" si="32"/>
        <v>20250</v>
      </c>
      <c r="V162" s="875">
        <f t="shared" si="32"/>
        <v>0</v>
      </c>
      <c r="W162" s="875">
        <f t="shared" si="30"/>
        <v>0</v>
      </c>
      <c r="X162" s="875">
        <f t="shared" si="30"/>
        <v>20250</v>
      </c>
      <c r="Y162" s="883"/>
      <c r="Z162" s="875">
        <f t="shared" si="31"/>
        <v>0</v>
      </c>
      <c r="AA162" s="875">
        <f t="shared" si="31"/>
        <v>0</v>
      </c>
      <c r="AB162" s="875">
        <f t="shared" si="31"/>
        <v>0</v>
      </c>
      <c r="AC162" s="878"/>
    </row>
    <row r="163" spans="1:29" ht="32.25" customHeight="1" x14ac:dyDescent="0.2">
      <c r="A163" s="618" t="s">
        <v>1318</v>
      </c>
      <c r="B163" s="619" t="s">
        <v>747</v>
      </c>
      <c r="C163" s="620">
        <v>244</v>
      </c>
      <c r="D163" s="620">
        <v>226</v>
      </c>
      <c r="E163" s="596">
        <f t="shared" si="28"/>
        <v>252769.2</v>
      </c>
      <c r="F163" s="595">
        <f>'Прилож 4 24 (7)'!V159</f>
        <v>0</v>
      </c>
      <c r="G163" s="595">
        <f>'Прилож 4 24 (7)'!W159</f>
        <v>0</v>
      </c>
      <c r="H163" s="595">
        <f>'Прилож 4 24 (7)'!X159</f>
        <v>0</v>
      </c>
      <c r="I163" s="877" t="s">
        <v>1322</v>
      </c>
      <c r="J163" s="595">
        <f>'Прилож 4 24 (7)'!Z159</f>
        <v>0</v>
      </c>
      <c r="K163" s="595">
        <f>'Прилож 4 24 (7)'!AA159</f>
        <v>252769.2</v>
      </c>
      <c r="L163" s="595">
        <f>'Прилож 4 24 (7)'!AB159</f>
        <v>0</v>
      </c>
      <c r="M163" s="875">
        <f>N163+O163+P163+R163+S163+T163</f>
        <v>-252769.2</v>
      </c>
      <c r="N163" s="875"/>
      <c r="O163" s="875"/>
      <c r="P163" s="875"/>
      <c r="Q163" s="877" t="s">
        <v>1322</v>
      </c>
      <c r="R163" s="875"/>
      <c r="S163" s="875">
        <v>-252769.2</v>
      </c>
      <c r="T163" s="875"/>
      <c r="U163" s="876">
        <f t="shared" si="32"/>
        <v>0</v>
      </c>
      <c r="V163" s="875">
        <f t="shared" si="32"/>
        <v>0</v>
      </c>
      <c r="W163" s="875">
        <f t="shared" si="30"/>
        <v>0</v>
      </c>
      <c r="X163" s="875">
        <f t="shared" si="30"/>
        <v>0</v>
      </c>
      <c r="Y163" s="877" t="s">
        <v>1322</v>
      </c>
      <c r="Z163" s="875">
        <f t="shared" si="31"/>
        <v>0</v>
      </c>
      <c r="AA163" s="875">
        <f t="shared" si="31"/>
        <v>0</v>
      </c>
      <c r="AB163" s="875">
        <f t="shared" si="31"/>
        <v>0</v>
      </c>
      <c r="AC163" s="878" t="s">
        <v>1499</v>
      </c>
    </row>
    <row r="164" spans="1:29" s="637" customFormat="1" x14ac:dyDescent="0.2">
      <c r="A164" s="632" t="s">
        <v>1143</v>
      </c>
      <c r="B164" s="619" t="s">
        <v>747</v>
      </c>
      <c r="C164" s="634">
        <v>244</v>
      </c>
      <c r="D164" s="634">
        <v>226</v>
      </c>
      <c r="E164" s="596">
        <f t="shared" si="28"/>
        <v>467495.12</v>
      </c>
      <c r="F164" s="595">
        <f>'Прилож 4 24 (7)'!V160</f>
        <v>0</v>
      </c>
      <c r="G164" s="595">
        <f>'Прилож 4 24 (7)'!W160</f>
        <v>0</v>
      </c>
      <c r="H164" s="595">
        <f>'Прилож 4 24 (7)'!X160</f>
        <v>214725.91999999998</v>
      </c>
      <c r="I164" s="640"/>
      <c r="J164" s="595">
        <f>'Прилож 4 24 (7)'!Z160</f>
        <v>0</v>
      </c>
      <c r="K164" s="595">
        <f>'Прилож 4 24 (7)'!AA160</f>
        <v>252769.2</v>
      </c>
      <c r="L164" s="595">
        <f>'Прилож 4 24 (7)'!AB160</f>
        <v>0</v>
      </c>
      <c r="M164" s="876">
        <f t="shared" ref="M164:M227" si="33">N164+P164+R164+S164+T164+O164</f>
        <v>-189419.2</v>
      </c>
      <c r="N164" s="887"/>
      <c r="O164" s="887"/>
      <c r="P164" s="887">
        <f>SUM(P157:P162)</f>
        <v>63350</v>
      </c>
      <c r="Q164" s="893"/>
      <c r="R164" s="887"/>
      <c r="S164" s="887">
        <f>SUM(S157:S163)</f>
        <v>-252769.2</v>
      </c>
      <c r="T164" s="887"/>
      <c r="U164" s="876">
        <f t="shared" si="32"/>
        <v>278075.92</v>
      </c>
      <c r="V164" s="875">
        <f t="shared" si="32"/>
        <v>0</v>
      </c>
      <c r="W164" s="875">
        <f t="shared" si="30"/>
        <v>0</v>
      </c>
      <c r="X164" s="875">
        <f t="shared" si="30"/>
        <v>278075.92</v>
      </c>
      <c r="Y164" s="893"/>
      <c r="Z164" s="875">
        <f t="shared" si="31"/>
        <v>0</v>
      </c>
      <c r="AA164" s="875">
        <f t="shared" si="31"/>
        <v>0</v>
      </c>
      <c r="AB164" s="875">
        <f t="shared" si="31"/>
        <v>0</v>
      </c>
      <c r="AC164" s="886"/>
    </row>
    <row r="165" spans="1:29" ht="31.5" x14ac:dyDescent="0.2">
      <c r="A165" s="618" t="s">
        <v>586</v>
      </c>
      <c r="B165" s="619" t="s">
        <v>729</v>
      </c>
      <c r="C165" s="620">
        <v>244</v>
      </c>
      <c r="D165" s="620">
        <v>226</v>
      </c>
      <c r="E165" s="596">
        <f t="shared" si="28"/>
        <v>53845.919999999998</v>
      </c>
      <c r="F165" s="595">
        <f>'Прилож 4 24 (7)'!V161</f>
        <v>0</v>
      </c>
      <c r="G165" s="595">
        <f>'Прилож 4 24 (7)'!W161</f>
        <v>0</v>
      </c>
      <c r="H165" s="595">
        <f>'Прилож 4 24 (7)'!X161</f>
        <v>53845.919999999998</v>
      </c>
      <c r="I165" s="628"/>
      <c r="J165" s="595">
        <f>'Прилож 4 24 (7)'!Z161</f>
        <v>0</v>
      </c>
      <c r="K165" s="595">
        <f>'Прилож 4 24 (7)'!AA161</f>
        <v>0</v>
      </c>
      <c r="L165" s="595">
        <f>'Прилож 4 24 (7)'!AB161</f>
        <v>0</v>
      </c>
      <c r="M165" s="876">
        <f t="shared" si="33"/>
        <v>0</v>
      </c>
      <c r="N165" s="875"/>
      <c r="O165" s="875"/>
      <c r="P165" s="875"/>
      <c r="Q165" s="877"/>
      <c r="R165" s="875"/>
      <c r="S165" s="875"/>
      <c r="T165" s="875"/>
      <c r="U165" s="876">
        <f t="shared" si="32"/>
        <v>53845.919999999998</v>
      </c>
      <c r="V165" s="875">
        <f t="shared" si="32"/>
        <v>0</v>
      </c>
      <c r="W165" s="875">
        <f t="shared" si="30"/>
        <v>0</v>
      </c>
      <c r="X165" s="875">
        <f t="shared" si="30"/>
        <v>53845.919999999998</v>
      </c>
      <c r="Y165" s="883"/>
      <c r="Z165" s="875">
        <f t="shared" si="31"/>
        <v>0</v>
      </c>
      <c r="AA165" s="875">
        <f t="shared" si="31"/>
        <v>0</v>
      </c>
      <c r="AB165" s="875">
        <f t="shared" si="31"/>
        <v>0</v>
      </c>
      <c r="AC165" s="878"/>
    </row>
    <row r="166" spans="1:29" ht="31.5" x14ac:dyDescent="0.2">
      <c r="A166" s="618" t="s">
        <v>642</v>
      </c>
      <c r="B166" s="619" t="s">
        <v>729</v>
      </c>
      <c r="C166" s="620">
        <v>244</v>
      </c>
      <c r="D166" s="620">
        <v>226</v>
      </c>
      <c r="E166" s="596">
        <f t="shared" si="28"/>
        <v>60720</v>
      </c>
      <c r="F166" s="595">
        <f>'Прилож 4 24 (7)'!V162</f>
        <v>0</v>
      </c>
      <c r="G166" s="595">
        <f>'Прилож 4 24 (7)'!W162</f>
        <v>0</v>
      </c>
      <c r="H166" s="595">
        <f>'Прилож 4 24 (7)'!X162</f>
        <v>60720</v>
      </c>
      <c r="I166" s="628"/>
      <c r="J166" s="595">
        <f>'Прилож 4 24 (7)'!Z162</f>
        <v>0</v>
      </c>
      <c r="K166" s="595">
        <f>'Прилож 4 24 (7)'!AA162</f>
        <v>0</v>
      </c>
      <c r="L166" s="595">
        <f>'Прилож 4 24 (7)'!AB162</f>
        <v>0</v>
      </c>
      <c r="M166" s="876">
        <f t="shared" si="33"/>
        <v>0</v>
      </c>
      <c r="N166" s="875"/>
      <c r="O166" s="875"/>
      <c r="P166" s="875"/>
      <c r="Q166" s="877"/>
      <c r="R166" s="875"/>
      <c r="S166" s="875"/>
      <c r="T166" s="875"/>
      <c r="U166" s="876">
        <f t="shared" si="32"/>
        <v>60720</v>
      </c>
      <c r="V166" s="875">
        <f t="shared" si="32"/>
        <v>0</v>
      </c>
      <c r="W166" s="875">
        <f t="shared" si="30"/>
        <v>0</v>
      </c>
      <c r="X166" s="875">
        <f t="shared" si="30"/>
        <v>60720</v>
      </c>
      <c r="Y166" s="883"/>
      <c r="Z166" s="875">
        <f t="shared" si="31"/>
        <v>0</v>
      </c>
      <c r="AA166" s="875">
        <f t="shared" si="31"/>
        <v>0</v>
      </c>
      <c r="AB166" s="875">
        <f t="shared" si="31"/>
        <v>0</v>
      </c>
      <c r="AC166" s="878"/>
    </row>
    <row r="167" spans="1:29" ht="60.75" customHeight="1" x14ac:dyDescent="0.2">
      <c r="A167" s="618" t="s">
        <v>1244</v>
      </c>
      <c r="B167" s="619" t="s">
        <v>729</v>
      </c>
      <c r="C167" s="620">
        <v>244</v>
      </c>
      <c r="D167" s="620">
        <v>226</v>
      </c>
      <c r="E167" s="596">
        <f t="shared" si="28"/>
        <v>37665</v>
      </c>
      <c r="F167" s="595">
        <f>'Прилож 4 24 (7)'!V163</f>
        <v>0</v>
      </c>
      <c r="G167" s="595">
        <f>'Прилож 4 24 (7)'!W163</f>
        <v>0</v>
      </c>
      <c r="H167" s="595">
        <f>'Прилож 4 24 (7)'!X163</f>
        <v>37665</v>
      </c>
      <c r="I167" s="628"/>
      <c r="J167" s="595">
        <f>'Прилож 4 24 (7)'!Z163</f>
        <v>0</v>
      </c>
      <c r="K167" s="595">
        <f>'Прилож 4 24 (7)'!AA163</f>
        <v>0</v>
      </c>
      <c r="L167" s="595">
        <f>'Прилож 4 24 (7)'!AB163</f>
        <v>0</v>
      </c>
      <c r="M167" s="876">
        <f t="shared" si="33"/>
        <v>-5000</v>
      </c>
      <c r="N167" s="875"/>
      <c r="O167" s="875"/>
      <c r="P167" s="875">
        <v>-5000</v>
      </c>
      <c r="Q167" s="877"/>
      <c r="R167" s="875"/>
      <c r="S167" s="875"/>
      <c r="T167" s="875"/>
      <c r="U167" s="876">
        <f t="shared" si="32"/>
        <v>32665</v>
      </c>
      <c r="V167" s="875">
        <f t="shared" si="32"/>
        <v>0</v>
      </c>
      <c r="W167" s="875">
        <f t="shared" si="30"/>
        <v>0</v>
      </c>
      <c r="X167" s="875">
        <f t="shared" si="30"/>
        <v>32665</v>
      </c>
      <c r="Y167" s="883"/>
      <c r="Z167" s="875">
        <f t="shared" si="31"/>
        <v>0</v>
      </c>
      <c r="AA167" s="875">
        <f t="shared" si="31"/>
        <v>0</v>
      </c>
      <c r="AB167" s="875">
        <f t="shared" si="31"/>
        <v>0</v>
      </c>
      <c r="AC167" s="878" t="s">
        <v>1500</v>
      </c>
    </row>
    <row r="168" spans="1:29" ht="31.5" x14ac:dyDescent="0.2">
      <c r="A168" s="618" t="s">
        <v>752</v>
      </c>
      <c r="B168" s="619" t="s">
        <v>729</v>
      </c>
      <c r="C168" s="620">
        <v>244</v>
      </c>
      <c r="D168" s="620">
        <v>226</v>
      </c>
      <c r="E168" s="596">
        <f t="shared" si="28"/>
        <v>150000</v>
      </c>
      <c r="F168" s="595">
        <f>'Прилож 4 24 (7)'!V164</f>
        <v>0</v>
      </c>
      <c r="G168" s="595">
        <f>'Прилож 4 24 (7)'!W164</f>
        <v>0</v>
      </c>
      <c r="H168" s="595">
        <f>'Прилож 4 24 (7)'!X164</f>
        <v>150000</v>
      </c>
      <c r="I168" s="628"/>
      <c r="J168" s="595">
        <f>'Прилож 4 24 (7)'!Z164</f>
        <v>0</v>
      </c>
      <c r="K168" s="595">
        <f>'Прилож 4 24 (7)'!AA164</f>
        <v>0</v>
      </c>
      <c r="L168" s="595">
        <f>'Прилож 4 24 (7)'!AB164</f>
        <v>0</v>
      </c>
      <c r="M168" s="876">
        <f t="shared" si="33"/>
        <v>0</v>
      </c>
      <c r="N168" s="875"/>
      <c r="O168" s="875"/>
      <c r="P168" s="875"/>
      <c r="Q168" s="877"/>
      <c r="R168" s="875"/>
      <c r="S168" s="875"/>
      <c r="T168" s="875"/>
      <c r="U168" s="876">
        <f t="shared" si="32"/>
        <v>150000</v>
      </c>
      <c r="V168" s="875">
        <f t="shared" si="32"/>
        <v>0</v>
      </c>
      <c r="W168" s="875">
        <f t="shared" si="30"/>
        <v>0</v>
      </c>
      <c r="X168" s="875">
        <f t="shared" si="30"/>
        <v>150000</v>
      </c>
      <c r="Y168" s="883"/>
      <c r="Z168" s="875">
        <f t="shared" si="31"/>
        <v>0</v>
      </c>
      <c r="AA168" s="875">
        <f t="shared" si="31"/>
        <v>0</v>
      </c>
      <c r="AB168" s="875">
        <f t="shared" si="31"/>
        <v>0</v>
      </c>
      <c r="AC168" s="878"/>
    </row>
    <row r="169" spans="1:29" ht="60.6" customHeight="1" x14ac:dyDescent="0.2">
      <c r="A169" s="618" t="s">
        <v>593</v>
      </c>
      <c r="B169" s="619" t="s">
        <v>729</v>
      </c>
      <c r="C169" s="620">
        <v>244</v>
      </c>
      <c r="D169" s="620">
        <v>226</v>
      </c>
      <c r="E169" s="596">
        <f t="shared" si="28"/>
        <v>26720</v>
      </c>
      <c r="F169" s="595">
        <f>'Прилож 4 24 (7)'!V165</f>
        <v>0</v>
      </c>
      <c r="G169" s="595">
        <f>'Прилож 4 24 (7)'!W165</f>
        <v>0</v>
      </c>
      <c r="H169" s="595">
        <f>'Прилож 4 24 (7)'!X165</f>
        <v>26720</v>
      </c>
      <c r="I169" s="628"/>
      <c r="J169" s="595">
        <f>'Прилож 4 24 (7)'!Z165</f>
        <v>0</v>
      </c>
      <c r="K169" s="595">
        <f>'Прилож 4 24 (7)'!AA165</f>
        <v>0</v>
      </c>
      <c r="L169" s="595">
        <f>'Прилож 4 24 (7)'!AB165</f>
        <v>0</v>
      </c>
      <c r="M169" s="876">
        <f t="shared" si="33"/>
        <v>-13000</v>
      </c>
      <c r="N169" s="875"/>
      <c r="O169" s="875"/>
      <c r="P169" s="875">
        <f>-1000-12000</f>
        <v>-13000</v>
      </c>
      <c r="Q169" s="877"/>
      <c r="R169" s="875"/>
      <c r="S169" s="875"/>
      <c r="T169" s="875"/>
      <c r="U169" s="876">
        <f t="shared" si="32"/>
        <v>13720</v>
      </c>
      <c r="V169" s="875">
        <f t="shared" si="32"/>
        <v>0</v>
      </c>
      <c r="W169" s="875">
        <f t="shared" si="30"/>
        <v>0</v>
      </c>
      <c r="X169" s="875">
        <f t="shared" si="30"/>
        <v>13720</v>
      </c>
      <c r="Y169" s="883"/>
      <c r="Z169" s="875">
        <f t="shared" si="31"/>
        <v>0</v>
      </c>
      <c r="AA169" s="875">
        <f t="shared" si="31"/>
        <v>0</v>
      </c>
      <c r="AB169" s="875">
        <f t="shared" si="31"/>
        <v>0</v>
      </c>
      <c r="AC169" s="878" t="s">
        <v>1501</v>
      </c>
    </row>
    <row r="170" spans="1:29" ht="23.25" customHeight="1" x14ac:dyDescent="0.2">
      <c r="A170" s="618" t="s">
        <v>914</v>
      </c>
      <c r="B170" s="619" t="s">
        <v>729</v>
      </c>
      <c r="C170" s="620">
        <v>244</v>
      </c>
      <c r="D170" s="620">
        <v>226</v>
      </c>
      <c r="E170" s="596">
        <f t="shared" si="28"/>
        <v>54800</v>
      </c>
      <c r="F170" s="595">
        <f>'Прилож 4 24 (7)'!V166</f>
        <v>0</v>
      </c>
      <c r="G170" s="595">
        <f>'Прилож 4 24 (7)'!W166</f>
        <v>0</v>
      </c>
      <c r="H170" s="595">
        <f>'Прилож 4 24 (7)'!X166</f>
        <v>54800</v>
      </c>
      <c r="I170" s="628"/>
      <c r="J170" s="595">
        <f>'Прилож 4 24 (7)'!Z166</f>
        <v>0</v>
      </c>
      <c r="K170" s="595">
        <f>'Прилож 4 24 (7)'!AA166</f>
        <v>0</v>
      </c>
      <c r="L170" s="595">
        <f>'Прилож 4 24 (7)'!AB166</f>
        <v>0</v>
      </c>
      <c r="M170" s="876">
        <f t="shared" si="33"/>
        <v>0</v>
      </c>
      <c r="N170" s="875"/>
      <c r="O170" s="875"/>
      <c r="P170" s="875"/>
      <c r="Q170" s="877"/>
      <c r="R170" s="875"/>
      <c r="S170" s="875"/>
      <c r="T170" s="875"/>
      <c r="U170" s="876">
        <f t="shared" si="32"/>
        <v>54800</v>
      </c>
      <c r="V170" s="875">
        <f t="shared" si="32"/>
        <v>0</v>
      </c>
      <c r="W170" s="875">
        <f t="shared" si="30"/>
        <v>0</v>
      </c>
      <c r="X170" s="875">
        <f t="shared" si="30"/>
        <v>54800</v>
      </c>
      <c r="Y170" s="883"/>
      <c r="Z170" s="875">
        <f t="shared" si="31"/>
        <v>0</v>
      </c>
      <c r="AA170" s="875">
        <f t="shared" si="31"/>
        <v>0</v>
      </c>
      <c r="AB170" s="875">
        <f t="shared" si="31"/>
        <v>0</v>
      </c>
      <c r="AC170" s="1002"/>
    </row>
    <row r="171" spans="1:29" ht="31.5" customHeight="1" x14ac:dyDescent="0.2">
      <c r="A171" s="618" t="s">
        <v>1245</v>
      </c>
      <c r="B171" s="619" t="s">
        <v>729</v>
      </c>
      <c r="C171" s="620">
        <v>244</v>
      </c>
      <c r="D171" s="620">
        <v>226</v>
      </c>
      <c r="E171" s="596">
        <f t="shared" si="28"/>
        <v>7200</v>
      </c>
      <c r="F171" s="595">
        <f>'Прилож 4 24 (7)'!V167</f>
        <v>0</v>
      </c>
      <c r="G171" s="595">
        <f>'Прилож 4 24 (7)'!W167</f>
        <v>0</v>
      </c>
      <c r="H171" s="595">
        <f>'Прилож 4 24 (7)'!X167</f>
        <v>7200</v>
      </c>
      <c r="I171" s="628"/>
      <c r="J171" s="595">
        <f>'Прилож 4 24 (7)'!Z167</f>
        <v>0</v>
      </c>
      <c r="K171" s="595">
        <f>'Прилож 4 24 (7)'!AA167</f>
        <v>0</v>
      </c>
      <c r="L171" s="595">
        <f>'Прилож 4 24 (7)'!AB167</f>
        <v>0</v>
      </c>
      <c r="M171" s="876">
        <f t="shared" si="33"/>
        <v>0</v>
      </c>
      <c r="N171" s="875"/>
      <c r="O171" s="875"/>
      <c r="P171" s="875"/>
      <c r="Q171" s="877"/>
      <c r="R171" s="875"/>
      <c r="S171" s="875"/>
      <c r="T171" s="875"/>
      <c r="U171" s="876">
        <f t="shared" si="32"/>
        <v>7200</v>
      </c>
      <c r="V171" s="875">
        <f t="shared" si="32"/>
        <v>0</v>
      </c>
      <c r="W171" s="875">
        <f t="shared" si="30"/>
        <v>0</v>
      </c>
      <c r="X171" s="875">
        <f t="shared" si="30"/>
        <v>7200</v>
      </c>
      <c r="Y171" s="883"/>
      <c r="Z171" s="875">
        <f t="shared" si="31"/>
        <v>0</v>
      </c>
      <c r="AA171" s="875">
        <f t="shared" si="31"/>
        <v>0</v>
      </c>
      <c r="AB171" s="875">
        <f t="shared" si="31"/>
        <v>0</v>
      </c>
      <c r="AC171" s="878"/>
    </row>
    <row r="172" spans="1:29" ht="36" customHeight="1" x14ac:dyDescent="0.2">
      <c r="A172" s="618" t="s">
        <v>1185</v>
      </c>
      <c r="B172" s="619" t="s">
        <v>729</v>
      </c>
      <c r="C172" s="620">
        <v>244</v>
      </c>
      <c r="D172" s="620">
        <v>226</v>
      </c>
      <c r="E172" s="596">
        <f t="shared" si="28"/>
        <v>9600</v>
      </c>
      <c r="F172" s="595">
        <f>'Прилож 4 24 (7)'!V168</f>
        <v>0</v>
      </c>
      <c r="G172" s="595">
        <f>'Прилож 4 24 (7)'!W168</f>
        <v>0</v>
      </c>
      <c r="H172" s="595">
        <f>'Прилож 4 24 (7)'!X168</f>
        <v>9600</v>
      </c>
      <c r="I172" s="621"/>
      <c r="J172" s="595">
        <f>'Прилож 4 24 (7)'!Z168</f>
        <v>0</v>
      </c>
      <c r="K172" s="595">
        <f>'Прилож 4 24 (7)'!AA168</f>
        <v>0</v>
      </c>
      <c r="L172" s="595">
        <f>'Прилож 4 24 (7)'!AB168</f>
        <v>0</v>
      </c>
      <c r="M172" s="876">
        <f t="shared" si="33"/>
        <v>-9600</v>
      </c>
      <c r="N172" s="875"/>
      <c r="O172" s="875"/>
      <c r="P172" s="875">
        <v>-9600</v>
      </c>
      <c r="Q172" s="877"/>
      <c r="R172" s="875"/>
      <c r="S172" s="875"/>
      <c r="T172" s="875"/>
      <c r="U172" s="876">
        <f t="shared" si="32"/>
        <v>0</v>
      </c>
      <c r="V172" s="875">
        <f t="shared" si="32"/>
        <v>0</v>
      </c>
      <c r="W172" s="875">
        <f t="shared" si="30"/>
        <v>0</v>
      </c>
      <c r="X172" s="875">
        <f t="shared" si="30"/>
        <v>0</v>
      </c>
      <c r="Y172" s="877"/>
      <c r="Z172" s="875">
        <f t="shared" si="31"/>
        <v>0</v>
      </c>
      <c r="AA172" s="875">
        <f t="shared" si="31"/>
        <v>0</v>
      </c>
      <c r="AB172" s="875">
        <f t="shared" si="31"/>
        <v>0</v>
      </c>
      <c r="AC172" s="878" t="s">
        <v>1502</v>
      </c>
    </row>
    <row r="173" spans="1:29" x14ac:dyDescent="0.2">
      <c r="A173" s="618" t="s">
        <v>1194</v>
      </c>
      <c r="B173" s="619" t="s">
        <v>729</v>
      </c>
      <c r="C173" s="620">
        <v>244</v>
      </c>
      <c r="D173" s="620">
        <v>226</v>
      </c>
      <c r="E173" s="596">
        <f t="shared" si="28"/>
        <v>13500</v>
      </c>
      <c r="F173" s="595">
        <f>'Прилож 4 24 (7)'!V169</f>
        <v>0</v>
      </c>
      <c r="G173" s="595">
        <f>'Прилож 4 24 (7)'!W169</f>
        <v>0</v>
      </c>
      <c r="H173" s="595">
        <f>'Прилож 4 24 (7)'!X169</f>
        <v>13500</v>
      </c>
      <c r="I173" s="621"/>
      <c r="J173" s="595">
        <f>'Прилож 4 24 (7)'!Z169</f>
        <v>0</v>
      </c>
      <c r="K173" s="595">
        <f>'Прилож 4 24 (7)'!AA169</f>
        <v>0</v>
      </c>
      <c r="L173" s="595">
        <f>'Прилож 4 24 (7)'!AB169</f>
        <v>0</v>
      </c>
      <c r="M173" s="876">
        <f t="shared" si="33"/>
        <v>0</v>
      </c>
      <c r="N173" s="875"/>
      <c r="O173" s="875"/>
      <c r="P173" s="875"/>
      <c r="Q173" s="877"/>
      <c r="R173" s="875"/>
      <c r="S173" s="875"/>
      <c r="T173" s="875"/>
      <c r="U173" s="876">
        <f t="shared" si="32"/>
        <v>13500</v>
      </c>
      <c r="V173" s="875">
        <f t="shared" si="32"/>
        <v>0</v>
      </c>
      <c r="W173" s="875">
        <f t="shared" si="30"/>
        <v>0</v>
      </c>
      <c r="X173" s="875">
        <f t="shared" si="30"/>
        <v>13500</v>
      </c>
      <c r="Y173" s="877"/>
      <c r="Z173" s="875">
        <f t="shared" si="31"/>
        <v>0</v>
      </c>
      <c r="AA173" s="875">
        <f t="shared" si="31"/>
        <v>0</v>
      </c>
      <c r="AB173" s="875">
        <f t="shared" si="31"/>
        <v>0</v>
      </c>
      <c r="AC173" s="878"/>
    </row>
    <row r="174" spans="1:29" ht="41.25" customHeight="1" x14ac:dyDescent="0.2">
      <c r="A174" s="618" t="s">
        <v>1223</v>
      </c>
      <c r="B174" s="619" t="s">
        <v>729</v>
      </c>
      <c r="C174" s="620">
        <v>244</v>
      </c>
      <c r="D174" s="620">
        <v>226</v>
      </c>
      <c r="E174" s="596">
        <f t="shared" si="28"/>
        <v>14900</v>
      </c>
      <c r="F174" s="595">
        <f>'Прилож 4 24 (7)'!V170</f>
        <v>0</v>
      </c>
      <c r="G174" s="595">
        <f>'Прилож 4 24 (7)'!W170</f>
        <v>0</v>
      </c>
      <c r="H174" s="595">
        <f>'Прилож 4 24 (7)'!X170</f>
        <v>14900</v>
      </c>
      <c r="I174" s="628"/>
      <c r="J174" s="595">
        <f>'Прилож 4 24 (7)'!Z170</f>
        <v>0</v>
      </c>
      <c r="K174" s="595">
        <f>'Прилож 4 24 (7)'!AA170</f>
        <v>0</v>
      </c>
      <c r="L174" s="595">
        <f>'Прилож 4 24 (7)'!AB170</f>
        <v>0</v>
      </c>
      <c r="M174" s="876">
        <f t="shared" si="33"/>
        <v>0</v>
      </c>
      <c r="N174" s="875"/>
      <c r="O174" s="875"/>
      <c r="P174" s="875"/>
      <c r="Q174" s="877"/>
      <c r="R174" s="875"/>
      <c r="S174" s="875"/>
      <c r="T174" s="875"/>
      <c r="U174" s="876">
        <f t="shared" si="32"/>
        <v>14900</v>
      </c>
      <c r="V174" s="875">
        <f t="shared" si="32"/>
        <v>0</v>
      </c>
      <c r="W174" s="875">
        <f t="shared" si="30"/>
        <v>0</v>
      </c>
      <c r="X174" s="875">
        <f t="shared" si="30"/>
        <v>14900</v>
      </c>
      <c r="Y174" s="883"/>
      <c r="Z174" s="875">
        <f t="shared" si="31"/>
        <v>0</v>
      </c>
      <c r="AA174" s="875">
        <f t="shared" si="31"/>
        <v>0</v>
      </c>
      <c r="AB174" s="875">
        <f t="shared" si="31"/>
        <v>0</v>
      </c>
      <c r="AC174" s="878"/>
    </row>
    <row r="175" spans="1:29" ht="47.25" x14ac:dyDescent="0.2">
      <c r="A175" s="618" t="s">
        <v>1289</v>
      </c>
      <c r="B175" s="619" t="s">
        <v>729</v>
      </c>
      <c r="C175" s="620">
        <v>244</v>
      </c>
      <c r="D175" s="620">
        <v>226</v>
      </c>
      <c r="E175" s="596">
        <f t="shared" si="28"/>
        <v>11320</v>
      </c>
      <c r="F175" s="595">
        <f>'Прилож 4 24 (7)'!V171</f>
        <v>0</v>
      </c>
      <c r="G175" s="595">
        <f>'Прилож 4 24 (7)'!W171</f>
        <v>0</v>
      </c>
      <c r="H175" s="595">
        <f>'Прилож 4 24 (7)'!X171</f>
        <v>11320</v>
      </c>
      <c r="I175" s="628"/>
      <c r="J175" s="595">
        <f>'Прилож 4 24 (7)'!Z171</f>
        <v>0</v>
      </c>
      <c r="K175" s="595">
        <f>'Прилож 4 24 (7)'!AA171</f>
        <v>0</v>
      </c>
      <c r="L175" s="595">
        <f>'Прилож 4 24 (7)'!AB171</f>
        <v>0</v>
      </c>
      <c r="M175" s="876">
        <f t="shared" si="33"/>
        <v>0</v>
      </c>
      <c r="N175" s="875"/>
      <c r="O175" s="875"/>
      <c r="P175" s="875"/>
      <c r="Q175" s="877"/>
      <c r="R175" s="875"/>
      <c r="S175" s="875"/>
      <c r="T175" s="875"/>
      <c r="U175" s="876">
        <f t="shared" si="32"/>
        <v>11320</v>
      </c>
      <c r="V175" s="875">
        <f t="shared" si="32"/>
        <v>0</v>
      </c>
      <c r="W175" s="875">
        <f t="shared" si="30"/>
        <v>0</v>
      </c>
      <c r="X175" s="875">
        <f t="shared" si="30"/>
        <v>11320</v>
      </c>
      <c r="Y175" s="883"/>
      <c r="Z175" s="875">
        <f t="shared" si="31"/>
        <v>0</v>
      </c>
      <c r="AA175" s="875">
        <f t="shared" si="31"/>
        <v>0</v>
      </c>
      <c r="AB175" s="875">
        <f t="shared" si="31"/>
        <v>0</v>
      </c>
      <c r="AC175" s="878"/>
    </row>
    <row r="176" spans="1:29" ht="24.75" customHeight="1" x14ac:dyDescent="0.2">
      <c r="A176" s="618" t="s">
        <v>1313</v>
      </c>
      <c r="B176" s="619" t="s">
        <v>729</v>
      </c>
      <c r="C176" s="620">
        <v>244</v>
      </c>
      <c r="D176" s="620">
        <v>226</v>
      </c>
      <c r="E176" s="596">
        <f t="shared" si="28"/>
        <v>163101.6</v>
      </c>
      <c r="F176" s="595">
        <f>'Прилож 4 24 (7)'!V172</f>
        <v>0</v>
      </c>
      <c r="G176" s="595">
        <f>'Прилож 4 24 (7)'!W172</f>
        <v>0</v>
      </c>
      <c r="H176" s="595">
        <f>'Прилож 4 24 (7)'!X172</f>
        <v>0</v>
      </c>
      <c r="I176" s="582" t="s">
        <v>1314</v>
      </c>
      <c r="J176" s="595">
        <f>'Прилож 4 24 (7)'!Z172</f>
        <v>0</v>
      </c>
      <c r="K176" s="595">
        <f>'Прилож 4 24 (7)'!AA172</f>
        <v>163101.6</v>
      </c>
      <c r="L176" s="595">
        <f>'Прилож 4 24 (7)'!AB172</f>
        <v>0</v>
      </c>
      <c r="M176" s="876">
        <f t="shared" si="33"/>
        <v>0</v>
      </c>
      <c r="N176" s="875"/>
      <c r="O176" s="875"/>
      <c r="P176" s="875"/>
      <c r="Q176" s="873"/>
      <c r="R176" s="875"/>
      <c r="S176" s="875"/>
      <c r="T176" s="875"/>
      <c r="U176" s="876">
        <f t="shared" si="32"/>
        <v>163101.6</v>
      </c>
      <c r="V176" s="875">
        <f t="shared" si="32"/>
        <v>0</v>
      </c>
      <c r="W176" s="875">
        <f t="shared" si="30"/>
        <v>0</v>
      </c>
      <c r="X176" s="875">
        <f t="shared" si="30"/>
        <v>0</v>
      </c>
      <c r="Y176" s="873" t="s">
        <v>1314</v>
      </c>
      <c r="Z176" s="875">
        <f t="shared" si="31"/>
        <v>0</v>
      </c>
      <c r="AA176" s="875">
        <f t="shared" si="31"/>
        <v>163101.6</v>
      </c>
      <c r="AB176" s="875">
        <f t="shared" si="31"/>
        <v>0</v>
      </c>
      <c r="AC176" s="878"/>
    </row>
    <row r="177" spans="1:30" ht="41.25" customHeight="1" x14ac:dyDescent="0.2">
      <c r="A177" s="618" t="s">
        <v>1318</v>
      </c>
      <c r="B177" s="619" t="s">
        <v>729</v>
      </c>
      <c r="C177" s="620">
        <v>244</v>
      </c>
      <c r="D177" s="620">
        <v>226</v>
      </c>
      <c r="E177" s="596">
        <f t="shared" si="28"/>
        <v>0</v>
      </c>
      <c r="F177" s="595">
        <f>'Прилож 4 24 (7)'!V173</f>
        <v>0</v>
      </c>
      <c r="G177" s="595">
        <f>'Прилож 4 24 (7)'!W173</f>
        <v>0</v>
      </c>
      <c r="H177" s="595">
        <f>'Прилож 4 24 (7)'!X173</f>
        <v>0</v>
      </c>
      <c r="I177" s="582" t="s">
        <v>1314</v>
      </c>
      <c r="J177" s="595">
        <f>'Прилож 4 24 (7)'!Z173</f>
        <v>0</v>
      </c>
      <c r="K177" s="595">
        <f>'Прилож 4 24 (7)'!AA173</f>
        <v>0</v>
      </c>
      <c r="L177" s="595">
        <f>'Прилож 4 24 (7)'!AB173</f>
        <v>0</v>
      </c>
      <c r="M177" s="876">
        <f t="shared" si="33"/>
        <v>0</v>
      </c>
      <c r="N177" s="875"/>
      <c r="O177" s="875"/>
      <c r="P177" s="875"/>
      <c r="Q177" s="990"/>
      <c r="R177" s="875"/>
      <c r="S177" s="875"/>
      <c r="T177" s="875"/>
      <c r="U177" s="876">
        <f t="shared" si="32"/>
        <v>0</v>
      </c>
      <c r="V177" s="875">
        <f t="shared" si="32"/>
        <v>0</v>
      </c>
      <c r="W177" s="875">
        <f t="shared" si="30"/>
        <v>0</v>
      </c>
      <c r="X177" s="875">
        <f t="shared" si="30"/>
        <v>0</v>
      </c>
      <c r="Y177" s="873" t="s">
        <v>1314</v>
      </c>
      <c r="Z177" s="875">
        <f t="shared" si="31"/>
        <v>0</v>
      </c>
      <c r="AA177" s="875">
        <f t="shared" si="31"/>
        <v>0</v>
      </c>
      <c r="AB177" s="875">
        <f t="shared" si="31"/>
        <v>0</v>
      </c>
      <c r="AC177" s="878"/>
    </row>
    <row r="178" spans="1:30" ht="33.75" customHeight="1" x14ac:dyDescent="0.2">
      <c r="A178" s="618" t="s">
        <v>1424</v>
      </c>
      <c r="B178" s="619" t="s">
        <v>729</v>
      </c>
      <c r="C178" s="620">
        <v>244</v>
      </c>
      <c r="D178" s="620">
        <v>226</v>
      </c>
      <c r="E178" s="596">
        <f t="shared" si="28"/>
        <v>43822.35</v>
      </c>
      <c r="F178" s="595">
        <f>'Прилож 4 24 (7)'!V174</f>
        <v>43822.35</v>
      </c>
      <c r="G178" s="595">
        <f>'Прилож 4 24 (7)'!W174</f>
        <v>0</v>
      </c>
      <c r="H178" s="595">
        <f>'Прилож 4 24 (7)'!X174</f>
        <v>0</v>
      </c>
      <c r="I178" s="582"/>
      <c r="J178" s="595">
        <f>'Прилож 4 24 (7)'!Z174</f>
        <v>0</v>
      </c>
      <c r="K178" s="595">
        <f>'Прилож 4 24 (7)'!AA174</f>
        <v>0</v>
      </c>
      <c r="L178" s="595">
        <f>'Прилож 4 24 (7)'!AB174</f>
        <v>0</v>
      </c>
      <c r="M178" s="876">
        <f t="shared" si="33"/>
        <v>0</v>
      </c>
      <c r="N178" s="875"/>
      <c r="O178" s="875"/>
      <c r="P178" s="875"/>
      <c r="Q178" s="873"/>
      <c r="R178" s="875"/>
      <c r="S178" s="875"/>
      <c r="T178" s="875"/>
      <c r="U178" s="876">
        <f t="shared" si="32"/>
        <v>43822.35</v>
      </c>
      <c r="V178" s="875">
        <f t="shared" si="32"/>
        <v>43822.35</v>
      </c>
      <c r="W178" s="875">
        <f t="shared" si="30"/>
        <v>0</v>
      </c>
      <c r="X178" s="875">
        <f t="shared" si="30"/>
        <v>0</v>
      </c>
      <c r="Y178" s="873"/>
      <c r="Z178" s="875">
        <f t="shared" si="31"/>
        <v>0</v>
      </c>
      <c r="AA178" s="875">
        <f t="shared" si="31"/>
        <v>0</v>
      </c>
      <c r="AB178" s="875">
        <f t="shared" si="31"/>
        <v>0</v>
      </c>
      <c r="AC178" s="878"/>
    </row>
    <row r="179" spans="1:30" ht="25.5" customHeight="1" x14ac:dyDescent="0.2">
      <c r="A179" s="618" t="s">
        <v>1393</v>
      </c>
      <c r="B179" s="619" t="s">
        <v>729</v>
      </c>
      <c r="C179" s="620">
        <v>244</v>
      </c>
      <c r="D179" s="620">
        <v>226</v>
      </c>
      <c r="E179" s="596">
        <f t="shared" si="28"/>
        <v>35920</v>
      </c>
      <c r="F179" s="595">
        <f>'Прилож 4 24 (7)'!V175</f>
        <v>0</v>
      </c>
      <c r="G179" s="595">
        <f>'Прилож 4 24 (7)'!W175</f>
        <v>0</v>
      </c>
      <c r="H179" s="595">
        <f>'Прилож 4 24 (7)'!X175</f>
        <v>35920</v>
      </c>
      <c r="I179" s="582"/>
      <c r="J179" s="595">
        <f>'Прилож 4 24 (7)'!Z175</f>
        <v>0</v>
      </c>
      <c r="K179" s="595">
        <f>'Прилож 4 24 (7)'!AA175</f>
        <v>0</v>
      </c>
      <c r="L179" s="595">
        <f>'Прилож 4 24 (7)'!AB175</f>
        <v>0</v>
      </c>
      <c r="M179" s="876">
        <f t="shared" si="33"/>
        <v>-35920</v>
      </c>
      <c r="N179" s="875"/>
      <c r="O179" s="875"/>
      <c r="P179" s="875">
        <v>-35920</v>
      </c>
      <c r="Q179" s="873"/>
      <c r="R179" s="875"/>
      <c r="S179" s="875"/>
      <c r="T179" s="875"/>
      <c r="U179" s="876">
        <f t="shared" si="32"/>
        <v>0</v>
      </c>
      <c r="V179" s="875">
        <f t="shared" si="32"/>
        <v>0</v>
      </c>
      <c r="W179" s="875">
        <f t="shared" si="30"/>
        <v>0</v>
      </c>
      <c r="X179" s="875">
        <f t="shared" si="30"/>
        <v>0</v>
      </c>
      <c r="Y179" s="873"/>
      <c r="Z179" s="875">
        <f t="shared" si="31"/>
        <v>0</v>
      </c>
      <c r="AA179" s="875">
        <f t="shared" si="31"/>
        <v>0</v>
      </c>
      <c r="AB179" s="875">
        <f t="shared" si="31"/>
        <v>0</v>
      </c>
      <c r="AC179" s="878" t="s">
        <v>1499</v>
      </c>
    </row>
    <row r="180" spans="1:30" ht="48.75" customHeight="1" x14ac:dyDescent="0.2">
      <c r="A180" s="618" t="s">
        <v>1327</v>
      </c>
      <c r="B180" s="619" t="s">
        <v>729</v>
      </c>
      <c r="C180" s="620">
        <v>244</v>
      </c>
      <c r="D180" s="620">
        <v>226</v>
      </c>
      <c r="E180" s="596">
        <f t="shared" si="28"/>
        <v>4898492.1900000004</v>
      </c>
      <c r="F180" s="595">
        <f>'Прилож 4 24 (7)'!V176</f>
        <v>0</v>
      </c>
      <c r="G180" s="595">
        <f>'Прилож 4 24 (7)'!W176</f>
        <v>0</v>
      </c>
      <c r="H180" s="595">
        <f>'Прилож 4 24 (7)'!X176</f>
        <v>0</v>
      </c>
      <c r="I180" s="621" t="s">
        <v>1314</v>
      </c>
      <c r="J180" s="595">
        <f>'Прилож 4 24 (7)'!Z176</f>
        <v>0</v>
      </c>
      <c r="K180" s="595">
        <f>'Прилож 4 24 (7)'!AA176</f>
        <v>4898492.1900000004</v>
      </c>
      <c r="L180" s="595">
        <f>'Прилож 4 24 (7)'!AB176</f>
        <v>0</v>
      </c>
      <c r="M180" s="876">
        <f t="shared" si="33"/>
        <v>0</v>
      </c>
      <c r="N180" s="875"/>
      <c r="O180" s="875"/>
      <c r="P180" s="875"/>
      <c r="Q180" s="621"/>
      <c r="R180" s="875"/>
      <c r="S180" s="875"/>
      <c r="T180" s="875"/>
      <c r="U180" s="876">
        <f t="shared" si="32"/>
        <v>4898492.1900000004</v>
      </c>
      <c r="V180" s="875">
        <f t="shared" si="32"/>
        <v>0</v>
      </c>
      <c r="W180" s="875">
        <f t="shared" si="30"/>
        <v>0</v>
      </c>
      <c r="X180" s="875">
        <f t="shared" si="30"/>
        <v>0</v>
      </c>
      <c r="Y180" s="621" t="s">
        <v>1314</v>
      </c>
      <c r="Z180" s="875">
        <f t="shared" si="31"/>
        <v>0</v>
      </c>
      <c r="AA180" s="875">
        <f t="shared" si="31"/>
        <v>4898492.1900000004</v>
      </c>
      <c r="AB180" s="875">
        <f t="shared" si="31"/>
        <v>0</v>
      </c>
      <c r="AC180" s="878"/>
    </row>
    <row r="181" spans="1:30" s="637" customFormat="1" ht="30" customHeight="1" x14ac:dyDescent="0.2">
      <c r="A181" s="1046" t="s">
        <v>1143</v>
      </c>
      <c r="B181" s="1047" t="s">
        <v>729</v>
      </c>
      <c r="C181" s="1048">
        <v>244</v>
      </c>
      <c r="D181" s="1048">
        <v>226</v>
      </c>
      <c r="E181" s="596">
        <f t="shared" si="28"/>
        <v>5581607.0599999996</v>
      </c>
      <c r="F181" s="596">
        <f>'Прилож 4 24 (7)'!V177</f>
        <v>43822.35</v>
      </c>
      <c r="G181" s="596">
        <f>'Прилож 4 24 (7)'!W177</f>
        <v>0</v>
      </c>
      <c r="H181" s="596">
        <f>'Прилож 4 24 (7)'!X177</f>
        <v>476190.92</v>
      </c>
      <c r="I181" s="635"/>
      <c r="J181" s="596">
        <f>'Прилож 4 24 (7)'!Z177</f>
        <v>0</v>
      </c>
      <c r="K181" s="596">
        <f>'Прилож 4 24 (7)'!AA177</f>
        <v>5061593.79</v>
      </c>
      <c r="L181" s="596">
        <f>'Прилож 4 24 (7)'!AB177</f>
        <v>0</v>
      </c>
      <c r="M181" s="876">
        <f t="shared" si="33"/>
        <v>-63520</v>
      </c>
      <c r="N181" s="884">
        <f>SUM(N165:N179)</f>
        <v>0</v>
      </c>
      <c r="O181" s="884"/>
      <c r="P181" s="884">
        <f>SUM(P165:P179)</f>
        <v>-63520</v>
      </c>
      <c r="Q181" s="885"/>
      <c r="R181" s="884"/>
      <c r="S181" s="884">
        <f>SUM(S165:S180)</f>
        <v>0</v>
      </c>
      <c r="T181" s="884"/>
      <c r="U181" s="876">
        <f t="shared" si="32"/>
        <v>5518087.0599999996</v>
      </c>
      <c r="V181" s="876">
        <f t="shared" si="32"/>
        <v>43822.35</v>
      </c>
      <c r="W181" s="876">
        <f t="shared" si="30"/>
        <v>0</v>
      </c>
      <c r="X181" s="876">
        <f t="shared" si="30"/>
        <v>412670.92</v>
      </c>
      <c r="Y181" s="885"/>
      <c r="Z181" s="876">
        <f t="shared" si="31"/>
        <v>0</v>
      </c>
      <c r="AA181" s="876">
        <f t="shared" si="31"/>
        <v>5061593.79</v>
      </c>
      <c r="AB181" s="876">
        <f t="shared" si="31"/>
        <v>0</v>
      </c>
      <c r="AC181" s="1049"/>
      <c r="AD181" s="819"/>
    </row>
    <row r="182" spans="1:30" x14ac:dyDescent="0.2">
      <c r="A182" s="618" t="s">
        <v>753</v>
      </c>
      <c r="B182" s="619" t="s">
        <v>691</v>
      </c>
      <c r="C182" s="620">
        <v>244</v>
      </c>
      <c r="D182" s="620">
        <v>226</v>
      </c>
      <c r="E182" s="596">
        <f t="shared" si="28"/>
        <v>190259.99999999997</v>
      </c>
      <c r="F182" s="595">
        <f>'Прилож 4 24 (7)'!V178</f>
        <v>32288.77</v>
      </c>
      <c r="G182" s="595">
        <f>'Прилож 4 24 (7)'!W178</f>
        <v>0</v>
      </c>
      <c r="H182" s="595">
        <f>'Прилож 4 24 (7)'!X178</f>
        <v>109128.84</v>
      </c>
      <c r="I182" s="628"/>
      <c r="J182" s="595">
        <f>'Прилож 4 24 (7)'!Z178</f>
        <v>0</v>
      </c>
      <c r="K182" s="595">
        <f>'Прилож 4 24 (7)'!AA178</f>
        <v>0</v>
      </c>
      <c r="L182" s="595">
        <f>'Прилож 4 24 (7)'!AB178</f>
        <v>48842.39</v>
      </c>
      <c r="M182" s="876">
        <f t="shared" si="33"/>
        <v>0</v>
      </c>
      <c r="N182" s="875"/>
      <c r="O182" s="875"/>
      <c r="P182" s="875"/>
      <c r="Q182" s="877"/>
      <c r="R182" s="875"/>
      <c r="S182" s="875"/>
      <c r="T182" s="875"/>
      <c r="U182" s="876">
        <f t="shared" si="32"/>
        <v>190259.99999999997</v>
      </c>
      <c r="V182" s="875">
        <f t="shared" si="32"/>
        <v>32288.77</v>
      </c>
      <c r="W182" s="875">
        <f t="shared" si="30"/>
        <v>0</v>
      </c>
      <c r="X182" s="875">
        <f t="shared" si="30"/>
        <v>109128.84</v>
      </c>
      <c r="Y182" s="883"/>
      <c r="Z182" s="875">
        <f t="shared" si="31"/>
        <v>0</v>
      </c>
      <c r="AA182" s="875">
        <f t="shared" si="31"/>
        <v>0</v>
      </c>
      <c r="AB182" s="875">
        <f t="shared" si="31"/>
        <v>48842.39</v>
      </c>
      <c r="AC182" s="878"/>
    </row>
    <row r="183" spans="1:30" x14ac:dyDescent="0.2">
      <c r="A183" s="618" t="s">
        <v>754</v>
      </c>
      <c r="B183" s="619" t="s">
        <v>691</v>
      </c>
      <c r="C183" s="620">
        <v>244</v>
      </c>
      <c r="D183" s="620">
        <v>226</v>
      </c>
      <c r="E183" s="596">
        <f t="shared" si="28"/>
        <v>74560.5</v>
      </c>
      <c r="F183" s="595">
        <f>'Прилож 4 24 (7)'!V179</f>
        <v>0</v>
      </c>
      <c r="G183" s="595">
        <f>'Прилож 4 24 (7)'!W179</f>
        <v>0</v>
      </c>
      <c r="H183" s="595">
        <f>'Прилож 4 24 (7)'!X179</f>
        <v>63301.25</v>
      </c>
      <c r="I183" s="628"/>
      <c r="J183" s="595">
        <f>'Прилож 4 24 (7)'!Z179</f>
        <v>0</v>
      </c>
      <c r="K183" s="595">
        <f>'Прилож 4 24 (7)'!AA179</f>
        <v>0</v>
      </c>
      <c r="L183" s="595">
        <f>'Прилож 4 24 (7)'!AB179</f>
        <v>11259.25</v>
      </c>
      <c r="M183" s="876">
        <f t="shared" si="33"/>
        <v>0</v>
      </c>
      <c r="N183" s="875"/>
      <c r="O183" s="875"/>
      <c r="P183" s="875"/>
      <c r="Q183" s="877"/>
      <c r="R183" s="875"/>
      <c r="S183" s="875"/>
      <c r="T183" s="875"/>
      <c r="U183" s="876">
        <f t="shared" si="32"/>
        <v>74560.5</v>
      </c>
      <c r="V183" s="875">
        <f t="shared" si="32"/>
        <v>0</v>
      </c>
      <c r="W183" s="875">
        <f t="shared" si="30"/>
        <v>0</v>
      </c>
      <c r="X183" s="875">
        <f t="shared" si="30"/>
        <v>63301.25</v>
      </c>
      <c r="Y183" s="883"/>
      <c r="Z183" s="875">
        <f t="shared" si="31"/>
        <v>0</v>
      </c>
      <c r="AA183" s="875">
        <f t="shared" si="31"/>
        <v>0</v>
      </c>
      <c r="AB183" s="875">
        <f t="shared" si="31"/>
        <v>11259.25</v>
      </c>
      <c r="AC183" s="878"/>
    </row>
    <row r="184" spans="1:30" ht="45" customHeight="1" x14ac:dyDescent="0.2">
      <c r="A184" s="618" t="s">
        <v>712</v>
      </c>
      <c r="B184" s="619" t="s">
        <v>691</v>
      </c>
      <c r="C184" s="620">
        <v>244</v>
      </c>
      <c r="D184" s="620">
        <v>226</v>
      </c>
      <c r="E184" s="596">
        <f t="shared" si="28"/>
        <v>28538.999999999996</v>
      </c>
      <c r="F184" s="595">
        <f>'Прилож 4 24 (7)'!V180</f>
        <v>0</v>
      </c>
      <c r="G184" s="595">
        <f>'Прилож 4 24 (7)'!W180</f>
        <v>0</v>
      </c>
      <c r="H184" s="595">
        <f>'Прилож 4 24 (7)'!X180</f>
        <v>27112.049999999996</v>
      </c>
      <c r="I184" s="628"/>
      <c r="J184" s="595">
        <f>'Прилож 4 24 (7)'!Z180</f>
        <v>0</v>
      </c>
      <c r="K184" s="595">
        <f>'Прилож 4 24 (7)'!AA180</f>
        <v>0</v>
      </c>
      <c r="L184" s="595">
        <f>'Прилож 4 24 (7)'!AB180</f>
        <v>1426.95</v>
      </c>
      <c r="M184" s="876">
        <f t="shared" si="33"/>
        <v>0</v>
      </c>
      <c r="N184" s="875"/>
      <c r="O184" s="875"/>
      <c r="P184" s="875"/>
      <c r="Q184" s="877"/>
      <c r="R184" s="875"/>
      <c r="S184" s="875"/>
      <c r="T184" s="875"/>
      <c r="U184" s="876">
        <f t="shared" si="32"/>
        <v>28538.999999999996</v>
      </c>
      <c r="V184" s="875">
        <f t="shared" si="32"/>
        <v>0</v>
      </c>
      <c r="W184" s="875">
        <f t="shared" si="30"/>
        <v>0</v>
      </c>
      <c r="X184" s="875">
        <f t="shared" si="30"/>
        <v>27112.049999999996</v>
      </c>
      <c r="Y184" s="883"/>
      <c r="Z184" s="875">
        <f t="shared" si="31"/>
        <v>0</v>
      </c>
      <c r="AA184" s="875">
        <f t="shared" si="31"/>
        <v>0</v>
      </c>
      <c r="AB184" s="875">
        <f t="shared" si="31"/>
        <v>1426.95</v>
      </c>
      <c r="AC184" s="878"/>
    </row>
    <row r="185" spans="1:30" x14ac:dyDescent="0.2">
      <c r="A185" s="618" t="s">
        <v>755</v>
      </c>
      <c r="B185" s="619" t="s">
        <v>691</v>
      </c>
      <c r="C185" s="620">
        <v>244</v>
      </c>
      <c r="D185" s="620">
        <v>226</v>
      </c>
      <c r="E185" s="596">
        <f t="shared" si="28"/>
        <v>0</v>
      </c>
      <c r="F185" s="595">
        <f>'Прилож 4 24 (7)'!V181</f>
        <v>0</v>
      </c>
      <c r="G185" s="595">
        <f>'Прилож 4 24 (7)'!W181</f>
        <v>0</v>
      </c>
      <c r="H185" s="595">
        <f>'Прилож 4 24 (7)'!X181</f>
        <v>0</v>
      </c>
      <c r="I185" s="628"/>
      <c r="J185" s="595">
        <f>'Прилож 4 24 (7)'!Z181</f>
        <v>0</v>
      </c>
      <c r="K185" s="595">
        <f>'Прилож 4 24 (7)'!AA181</f>
        <v>0</v>
      </c>
      <c r="L185" s="595">
        <f>'Прилож 4 24 (7)'!AB181</f>
        <v>0</v>
      </c>
      <c r="M185" s="876">
        <f t="shared" si="33"/>
        <v>0</v>
      </c>
      <c r="N185" s="875"/>
      <c r="O185" s="875"/>
      <c r="P185" s="875"/>
      <c r="Q185" s="877"/>
      <c r="R185" s="875"/>
      <c r="S185" s="875"/>
      <c r="T185" s="875"/>
      <c r="U185" s="876">
        <f t="shared" si="32"/>
        <v>0</v>
      </c>
      <c r="V185" s="875">
        <f t="shared" si="32"/>
        <v>0</v>
      </c>
      <c r="W185" s="875">
        <f t="shared" si="30"/>
        <v>0</v>
      </c>
      <c r="X185" s="875">
        <f t="shared" si="30"/>
        <v>0</v>
      </c>
      <c r="Y185" s="883"/>
      <c r="Z185" s="875">
        <f t="shared" si="31"/>
        <v>0</v>
      </c>
      <c r="AA185" s="875">
        <f t="shared" si="31"/>
        <v>0</v>
      </c>
      <c r="AB185" s="875">
        <f t="shared" si="31"/>
        <v>0</v>
      </c>
      <c r="AC185" s="878"/>
    </row>
    <row r="186" spans="1:30" ht="30" customHeight="1" x14ac:dyDescent="0.2">
      <c r="A186" s="618" t="s">
        <v>756</v>
      </c>
      <c r="B186" s="619" t="s">
        <v>691</v>
      </c>
      <c r="C186" s="620">
        <v>244</v>
      </c>
      <c r="D186" s="620">
        <v>226</v>
      </c>
      <c r="E186" s="596">
        <f t="shared" si="28"/>
        <v>29384.92</v>
      </c>
      <c r="F186" s="595">
        <f>'Прилож 4 24 (7)'!V182</f>
        <v>0</v>
      </c>
      <c r="G186" s="595">
        <f>'Прилож 4 24 (7)'!W182</f>
        <v>0</v>
      </c>
      <c r="H186" s="595">
        <f>'Прилож 4 24 (7)'!X182</f>
        <v>25135.27</v>
      </c>
      <c r="I186" s="628"/>
      <c r="J186" s="595">
        <f>'Прилож 4 24 (7)'!Z182</f>
        <v>0</v>
      </c>
      <c r="K186" s="595">
        <f>'Прилож 4 24 (7)'!AA182</f>
        <v>0</v>
      </c>
      <c r="L186" s="595">
        <f>'Прилож 4 24 (7)'!AB182</f>
        <v>4249.6499999999996</v>
      </c>
      <c r="M186" s="876">
        <f t="shared" si="33"/>
        <v>0</v>
      </c>
      <c r="N186" s="875"/>
      <c r="O186" s="875"/>
      <c r="P186" s="875"/>
      <c r="Q186" s="877"/>
      <c r="R186" s="875"/>
      <c r="S186" s="875"/>
      <c r="T186" s="875"/>
      <c r="U186" s="876">
        <f t="shared" si="32"/>
        <v>29384.92</v>
      </c>
      <c r="V186" s="875">
        <f t="shared" si="32"/>
        <v>0</v>
      </c>
      <c r="W186" s="875">
        <f t="shared" si="30"/>
        <v>0</v>
      </c>
      <c r="X186" s="875">
        <f t="shared" si="30"/>
        <v>25135.27</v>
      </c>
      <c r="Y186" s="883"/>
      <c r="Z186" s="875">
        <f t="shared" si="31"/>
        <v>0</v>
      </c>
      <c r="AA186" s="875">
        <f t="shared" si="31"/>
        <v>0</v>
      </c>
      <c r="AB186" s="875">
        <f t="shared" si="31"/>
        <v>4249.6499999999996</v>
      </c>
      <c r="AC186" s="878"/>
    </row>
    <row r="187" spans="1:30" x14ac:dyDescent="0.2">
      <c r="A187" s="618" t="s">
        <v>706</v>
      </c>
      <c r="B187" s="619" t="s">
        <v>691</v>
      </c>
      <c r="C187" s="620">
        <v>244</v>
      </c>
      <c r="D187" s="620">
        <v>226</v>
      </c>
      <c r="E187" s="596">
        <f t="shared" si="28"/>
        <v>0</v>
      </c>
      <c r="F187" s="595">
        <f>'Прилож 4 24 (7)'!V183</f>
        <v>0</v>
      </c>
      <c r="G187" s="595">
        <f>'Прилож 4 24 (7)'!W183</f>
        <v>0</v>
      </c>
      <c r="H187" s="595">
        <f>'Прилож 4 24 (7)'!X183</f>
        <v>0</v>
      </c>
      <c r="I187" s="628"/>
      <c r="J187" s="595">
        <f>'Прилож 4 24 (7)'!Z183</f>
        <v>0</v>
      </c>
      <c r="K187" s="595">
        <f>'Прилож 4 24 (7)'!AA183</f>
        <v>0</v>
      </c>
      <c r="L187" s="595">
        <f>'Прилож 4 24 (7)'!AB183</f>
        <v>0</v>
      </c>
      <c r="M187" s="876">
        <f t="shared" si="33"/>
        <v>0</v>
      </c>
      <c r="N187" s="875"/>
      <c r="O187" s="875"/>
      <c r="P187" s="875"/>
      <c r="Q187" s="877"/>
      <c r="R187" s="875"/>
      <c r="S187" s="875"/>
      <c r="T187" s="875"/>
      <c r="U187" s="876">
        <f t="shared" si="32"/>
        <v>0</v>
      </c>
      <c r="V187" s="875">
        <f t="shared" si="32"/>
        <v>0</v>
      </c>
      <c r="W187" s="875">
        <f t="shared" si="30"/>
        <v>0</v>
      </c>
      <c r="X187" s="875">
        <f t="shared" si="30"/>
        <v>0</v>
      </c>
      <c r="Y187" s="883"/>
      <c r="Z187" s="875">
        <f t="shared" si="31"/>
        <v>0</v>
      </c>
      <c r="AA187" s="875">
        <f t="shared" si="31"/>
        <v>0</v>
      </c>
      <c r="AB187" s="875">
        <f t="shared" si="31"/>
        <v>0</v>
      </c>
      <c r="AC187" s="878"/>
    </row>
    <row r="188" spans="1:30" ht="37.5" customHeight="1" x14ac:dyDescent="0.2">
      <c r="A188" s="994" t="s">
        <v>1445</v>
      </c>
      <c r="B188" s="619" t="s">
        <v>691</v>
      </c>
      <c r="C188" s="620">
        <v>244</v>
      </c>
      <c r="D188" s="620">
        <v>226</v>
      </c>
      <c r="E188" s="596">
        <f t="shared" si="28"/>
        <v>21411</v>
      </c>
      <c r="F188" s="595">
        <f>'Прилож 4 24 (7)'!V184</f>
        <v>0</v>
      </c>
      <c r="G188" s="595">
        <f>'Прилож 4 24 (7)'!W184</f>
        <v>0</v>
      </c>
      <c r="H188" s="595">
        <f>'Прилож 4 24 (7)'!X184</f>
        <v>0</v>
      </c>
      <c r="I188" s="877" t="s">
        <v>1440</v>
      </c>
      <c r="J188" s="595">
        <f>'Прилож 4 24 (7)'!Z184</f>
        <v>0</v>
      </c>
      <c r="K188" s="595">
        <f>'Прилож 4 24 (7)'!AA184</f>
        <v>21411</v>
      </c>
      <c r="L188" s="595">
        <f>'Прилож 4 24 (7)'!AB184</f>
        <v>0</v>
      </c>
      <c r="M188" s="876">
        <f t="shared" si="33"/>
        <v>0</v>
      </c>
      <c r="N188" s="875"/>
      <c r="O188" s="875"/>
      <c r="P188" s="875"/>
      <c r="Q188" s="877"/>
      <c r="R188" s="875"/>
      <c r="S188" s="875"/>
      <c r="T188" s="875"/>
      <c r="U188" s="876">
        <f t="shared" si="32"/>
        <v>21411</v>
      </c>
      <c r="V188" s="875">
        <f t="shared" si="32"/>
        <v>0</v>
      </c>
      <c r="W188" s="875">
        <f t="shared" ref="W188:X235" si="34">O188+G188</f>
        <v>0</v>
      </c>
      <c r="X188" s="875"/>
      <c r="Y188" s="877" t="s">
        <v>1440</v>
      </c>
      <c r="Z188" s="875"/>
      <c r="AA188" s="875">
        <f t="shared" ref="AA188:AB235" si="35">S188+K188</f>
        <v>21411</v>
      </c>
      <c r="AB188" s="875">
        <f t="shared" si="35"/>
        <v>0</v>
      </c>
      <c r="AC188" s="878"/>
    </row>
    <row r="189" spans="1:30" s="637" customFormat="1" x14ac:dyDescent="0.2">
      <c r="A189" s="632" t="s">
        <v>1143</v>
      </c>
      <c r="B189" s="633" t="s">
        <v>691</v>
      </c>
      <c r="C189" s="634">
        <v>244</v>
      </c>
      <c r="D189" s="634">
        <v>226</v>
      </c>
      <c r="E189" s="596">
        <f t="shared" si="28"/>
        <v>344155.42</v>
      </c>
      <c r="F189" s="595">
        <f>'Прилож 4 24 (7)'!V185</f>
        <v>32288.77</v>
      </c>
      <c r="G189" s="595">
        <f>'Прилож 4 24 (7)'!W185</f>
        <v>0</v>
      </c>
      <c r="H189" s="595">
        <f>'Прилож 4 24 (7)'!X185</f>
        <v>224677.40999999997</v>
      </c>
      <c r="I189" s="635"/>
      <c r="J189" s="595">
        <f>'Прилож 4 24 (7)'!Z185</f>
        <v>0</v>
      </c>
      <c r="K189" s="595">
        <f>'Прилож 4 24 (7)'!AA185</f>
        <v>21411</v>
      </c>
      <c r="L189" s="595">
        <f>'Прилож 4 24 (7)'!AB185</f>
        <v>65778.240000000005</v>
      </c>
      <c r="M189" s="876">
        <f t="shared" si="33"/>
        <v>0</v>
      </c>
      <c r="N189" s="884"/>
      <c r="O189" s="884"/>
      <c r="P189" s="884">
        <f>SUM(P182:P187)</f>
        <v>0</v>
      </c>
      <c r="Q189" s="885"/>
      <c r="R189" s="884"/>
      <c r="S189" s="884">
        <f>SUM(S182:S188)</f>
        <v>0</v>
      </c>
      <c r="T189" s="884">
        <f>SUM(T182:T187)</f>
        <v>0</v>
      </c>
      <c r="U189" s="876">
        <f t="shared" si="32"/>
        <v>344155.42</v>
      </c>
      <c r="V189" s="875">
        <f t="shared" si="32"/>
        <v>32288.77</v>
      </c>
      <c r="W189" s="875">
        <f t="shared" si="34"/>
        <v>0</v>
      </c>
      <c r="X189" s="875">
        <f t="shared" si="34"/>
        <v>224677.40999999997</v>
      </c>
      <c r="Y189" s="885"/>
      <c r="Z189" s="875">
        <f t="shared" ref="Z189:Z235" si="36">R189+J189</f>
        <v>0</v>
      </c>
      <c r="AA189" s="875">
        <f t="shared" si="35"/>
        <v>21411</v>
      </c>
      <c r="AB189" s="875">
        <f t="shared" si="35"/>
        <v>65778.240000000005</v>
      </c>
      <c r="AC189" s="886"/>
      <c r="AD189" s="819"/>
    </row>
    <row r="190" spans="1:30" s="614" customFormat="1" x14ac:dyDescent="0.2">
      <c r="A190" s="630" t="s">
        <v>739</v>
      </c>
      <c r="B190" s="631"/>
      <c r="C190" s="624"/>
      <c r="D190" s="624"/>
      <c r="E190" s="596">
        <f t="shared" si="28"/>
        <v>6393257.6000000006</v>
      </c>
      <c r="F190" s="595">
        <f>'Прилож 4 24 (7)'!V186</f>
        <v>76111.12</v>
      </c>
      <c r="G190" s="595">
        <f>'Прилож 4 24 (7)'!W186</f>
        <v>0</v>
      </c>
      <c r="H190" s="595">
        <f>'Прилож 4 24 (7)'!X186</f>
        <v>915594.24999999988</v>
      </c>
      <c r="I190" s="626"/>
      <c r="J190" s="595">
        <f>'Прилож 4 24 (7)'!Z186</f>
        <v>0</v>
      </c>
      <c r="K190" s="595">
        <f>'Прилож 4 24 (7)'!AA186</f>
        <v>5335773.99</v>
      </c>
      <c r="L190" s="595">
        <f>'Прилож 4 24 (7)'!AB186</f>
        <v>65778.240000000005</v>
      </c>
      <c r="M190" s="876">
        <f t="shared" si="33"/>
        <v>-252939.2</v>
      </c>
      <c r="N190" s="876">
        <f>N189+N181+N164</f>
        <v>0</v>
      </c>
      <c r="O190" s="876"/>
      <c r="P190" s="876">
        <f>P189+P181+P164</f>
        <v>-170</v>
      </c>
      <c r="Q190" s="881"/>
      <c r="R190" s="876">
        <f>R189+R181+R164</f>
        <v>0</v>
      </c>
      <c r="S190" s="876">
        <f>S189+S181+S164</f>
        <v>-252769.2</v>
      </c>
      <c r="T190" s="876">
        <f>T189+T181+T164</f>
        <v>0</v>
      </c>
      <c r="U190" s="876">
        <f t="shared" ref="U190:V221" si="37">E190+M190</f>
        <v>6140318.4000000004</v>
      </c>
      <c r="V190" s="875">
        <f t="shared" si="37"/>
        <v>76111.12</v>
      </c>
      <c r="W190" s="875">
        <f t="shared" si="34"/>
        <v>0</v>
      </c>
      <c r="X190" s="875">
        <f t="shared" si="34"/>
        <v>915424.24999999988</v>
      </c>
      <c r="Y190" s="881"/>
      <c r="Z190" s="875">
        <f t="shared" si="36"/>
        <v>0</v>
      </c>
      <c r="AA190" s="875">
        <f t="shared" si="35"/>
        <v>5083004.79</v>
      </c>
      <c r="AB190" s="875">
        <f t="shared" si="35"/>
        <v>65778.240000000005</v>
      </c>
      <c r="AC190" s="879"/>
      <c r="AD190" s="819"/>
    </row>
    <row r="191" spans="1:30" ht="28.5" customHeight="1" x14ac:dyDescent="0.2">
      <c r="A191" s="618" t="s">
        <v>637</v>
      </c>
      <c r="B191" s="619" t="s">
        <v>729</v>
      </c>
      <c r="C191" s="620">
        <v>244</v>
      </c>
      <c r="D191" s="620">
        <v>227</v>
      </c>
      <c r="E191" s="596">
        <f t="shared" si="28"/>
        <v>10000</v>
      </c>
      <c r="F191" s="595">
        <f>'Прилож 4 24 (7)'!V187</f>
        <v>0</v>
      </c>
      <c r="G191" s="595">
        <f>'Прилож 4 24 (7)'!W187</f>
        <v>0</v>
      </c>
      <c r="H191" s="595">
        <f>'Прилож 4 24 (7)'!X187</f>
        <v>10000</v>
      </c>
      <c r="I191" s="628"/>
      <c r="J191" s="595">
        <f>'Прилож 4 24 (7)'!Z187</f>
        <v>0</v>
      </c>
      <c r="K191" s="595">
        <f>'Прилож 4 24 (7)'!AA187</f>
        <v>0</v>
      </c>
      <c r="L191" s="595">
        <f>'Прилож 4 24 (7)'!AB187</f>
        <v>0</v>
      </c>
      <c r="M191" s="876">
        <f t="shared" si="33"/>
        <v>0</v>
      </c>
      <c r="N191" s="875"/>
      <c r="O191" s="875"/>
      <c r="P191" s="875"/>
      <c r="Q191" s="877"/>
      <c r="R191" s="875"/>
      <c r="S191" s="875"/>
      <c r="T191" s="875"/>
      <c r="U191" s="876">
        <f t="shared" si="37"/>
        <v>10000</v>
      </c>
      <c r="V191" s="875">
        <f t="shared" si="37"/>
        <v>0</v>
      </c>
      <c r="W191" s="875">
        <f t="shared" si="34"/>
        <v>0</v>
      </c>
      <c r="X191" s="875">
        <f t="shared" si="34"/>
        <v>10000</v>
      </c>
      <c r="Y191" s="883"/>
      <c r="Z191" s="875">
        <f t="shared" si="36"/>
        <v>0</v>
      </c>
      <c r="AA191" s="875">
        <f t="shared" si="35"/>
        <v>0</v>
      </c>
      <c r="AB191" s="875">
        <f t="shared" si="35"/>
        <v>0</v>
      </c>
      <c r="AC191" s="878"/>
    </row>
    <row r="192" spans="1:30" ht="25.5" customHeight="1" x14ac:dyDescent="0.2">
      <c r="A192" s="618" t="s">
        <v>678</v>
      </c>
      <c r="B192" s="619" t="s">
        <v>691</v>
      </c>
      <c r="C192" s="620">
        <v>244</v>
      </c>
      <c r="D192" s="620">
        <v>227</v>
      </c>
      <c r="E192" s="596">
        <f t="shared" si="28"/>
        <v>1827</v>
      </c>
      <c r="F192" s="595">
        <f>'Прилож 4 24 (7)'!V188</f>
        <v>0</v>
      </c>
      <c r="G192" s="595">
        <f>'Прилож 4 24 (7)'!W188</f>
        <v>0</v>
      </c>
      <c r="H192" s="595">
        <f>'Прилож 4 24 (7)'!X188</f>
        <v>1551.11</v>
      </c>
      <c r="I192" s="628"/>
      <c r="J192" s="595">
        <f>'Прилож 4 24 (7)'!Z188</f>
        <v>0</v>
      </c>
      <c r="K192" s="595">
        <f>'Прилож 4 24 (7)'!AA188</f>
        <v>0</v>
      </c>
      <c r="L192" s="595">
        <f>'Прилож 4 24 (7)'!AB188</f>
        <v>275.89</v>
      </c>
      <c r="M192" s="876">
        <f t="shared" si="33"/>
        <v>0</v>
      </c>
      <c r="N192" s="875"/>
      <c r="O192" s="875"/>
      <c r="P192" s="875"/>
      <c r="Q192" s="877"/>
      <c r="R192" s="875"/>
      <c r="S192" s="875"/>
      <c r="T192" s="875"/>
      <c r="U192" s="876">
        <f t="shared" si="37"/>
        <v>1827</v>
      </c>
      <c r="V192" s="875">
        <f t="shared" si="37"/>
        <v>0</v>
      </c>
      <c r="W192" s="875">
        <f t="shared" si="34"/>
        <v>0</v>
      </c>
      <c r="X192" s="875">
        <f t="shared" si="34"/>
        <v>1551.11</v>
      </c>
      <c r="Y192" s="883"/>
      <c r="Z192" s="875">
        <f t="shared" si="36"/>
        <v>0</v>
      </c>
      <c r="AA192" s="875">
        <f t="shared" si="35"/>
        <v>0</v>
      </c>
      <c r="AB192" s="875">
        <f t="shared" si="35"/>
        <v>275.89</v>
      </c>
      <c r="AC192" s="878"/>
    </row>
    <row r="193" spans="1:30" s="614" customFormat="1" x14ac:dyDescent="0.2">
      <c r="A193" s="630" t="s">
        <v>740</v>
      </c>
      <c r="B193" s="631"/>
      <c r="C193" s="624"/>
      <c r="D193" s="624"/>
      <c r="E193" s="596">
        <f t="shared" si="28"/>
        <v>11827</v>
      </c>
      <c r="F193" s="595">
        <f>'Прилож 4 24 (7)'!V189</f>
        <v>0</v>
      </c>
      <c r="G193" s="595">
        <f>'Прилож 4 24 (7)'!W189</f>
        <v>0</v>
      </c>
      <c r="H193" s="595">
        <f>'Прилож 4 24 (7)'!X189</f>
        <v>11551.11</v>
      </c>
      <c r="I193" s="626"/>
      <c r="J193" s="595">
        <f>'Прилож 4 24 (7)'!Z189</f>
        <v>0</v>
      </c>
      <c r="K193" s="595">
        <f>'Прилож 4 24 (7)'!AA189</f>
        <v>0</v>
      </c>
      <c r="L193" s="595">
        <f>'Прилож 4 24 (7)'!AB189</f>
        <v>275.89</v>
      </c>
      <c r="M193" s="876">
        <f t="shared" si="33"/>
        <v>0</v>
      </c>
      <c r="N193" s="876"/>
      <c r="O193" s="876"/>
      <c r="P193" s="876"/>
      <c r="Q193" s="881"/>
      <c r="R193" s="876"/>
      <c r="S193" s="876"/>
      <c r="T193" s="876"/>
      <c r="U193" s="876">
        <f t="shared" si="37"/>
        <v>11827</v>
      </c>
      <c r="V193" s="875">
        <f t="shared" si="37"/>
        <v>0</v>
      </c>
      <c r="W193" s="875">
        <f t="shared" si="34"/>
        <v>0</v>
      </c>
      <c r="X193" s="875">
        <f t="shared" si="34"/>
        <v>11551.11</v>
      </c>
      <c r="Y193" s="881"/>
      <c r="Z193" s="875">
        <f t="shared" si="36"/>
        <v>0</v>
      </c>
      <c r="AA193" s="875">
        <f t="shared" si="35"/>
        <v>0</v>
      </c>
      <c r="AB193" s="875">
        <f t="shared" si="35"/>
        <v>275.89</v>
      </c>
      <c r="AC193" s="879"/>
    </row>
    <row r="194" spans="1:30" x14ac:dyDescent="0.2">
      <c r="A194" s="618" t="s">
        <v>1227</v>
      </c>
      <c r="B194" s="619" t="s">
        <v>747</v>
      </c>
      <c r="C194" s="620">
        <v>244</v>
      </c>
      <c r="D194" s="620">
        <v>310</v>
      </c>
      <c r="E194" s="596">
        <f t="shared" si="28"/>
        <v>0</v>
      </c>
      <c r="F194" s="595">
        <f>'Прилож 4 24 (7)'!V190</f>
        <v>0</v>
      </c>
      <c r="G194" s="595">
        <f>'Прилож 4 24 (7)'!W190</f>
        <v>0</v>
      </c>
      <c r="H194" s="595">
        <f>'Прилож 4 24 (7)'!X190</f>
        <v>0</v>
      </c>
      <c r="I194" s="621"/>
      <c r="J194" s="595">
        <f>'Прилож 4 24 (7)'!Z190</f>
        <v>0</v>
      </c>
      <c r="K194" s="595">
        <f>'Прилож 4 24 (7)'!AA190</f>
        <v>0</v>
      </c>
      <c r="L194" s="595">
        <f>'Прилож 4 24 (7)'!AB190</f>
        <v>0</v>
      </c>
      <c r="M194" s="876">
        <f t="shared" si="33"/>
        <v>0</v>
      </c>
      <c r="N194" s="875"/>
      <c r="O194" s="875"/>
      <c r="P194" s="875"/>
      <c r="Q194" s="877"/>
      <c r="R194" s="875"/>
      <c r="S194" s="875"/>
      <c r="T194" s="875"/>
      <c r="U194" s="876">
        <f t="shared" si="37"/>
        <v>0</v>
      </c>
      <c r="V194" s="875">
        <f t="shared" si="37"/>
        <v>0</v>
      </c>
      <c r="W194" s="875">
        <f t="shared" si="34"/>
        <v>0</v>
      </c>
      <c r="X194" s="875">
        <f t="shared" si="34"/>
        <v>0</v>
      </c>
      <c r="Y194" s="877"/>
      <c r="Z194" s="875">
        <f t="shared" si="36"/>
        <v>0</v>
      </c>
      <c r="AA194" s="875">
        <f t="shared" si="35"/>
        <v>0</v>
      </c>
      <c r="AB194" s="875">
        <f t="shared" si="35"/>
        <v>0</v>
      </c>
      <c r="AC194" s="878"/>
    </row>
    <row r="195" spans="1:30" ht="31.5" x14ac:dyDescent="0.2">
      <c r="A195" s="618" t="s">
        <v>1228</v>
      </c>
      <c r="B195" s="619" t="s">
        <v>747</v>
      </c>
      <c r="C195" s="620">
        <v>244</v>
      </c>
      <c r="D195" s="620">
        <v>310</v>
      </c>
      <c r="E195" s="596">
        <f t="shared" si="28"/>
        <v>0</v>
      </c>
      <c r="F195" s="595">
        <f>'Прилож 4 24 (7)'!V191</f>
        <v>0</v>
      </c>
      <c r="G195" s="595">
        <f>'Прилож 4 24 (7)'!W191</f>
        <v>0</v>
      </c>
      <c r="H195" s="595">
        <f>'Прилож 4 24 (7)'!X191</f>
        <v>0</v>
      </c>
      <c r="I195" s="621"/>
      <c r="J195" s="595">
        <f>'Прилож 4 24 (7)'!Z191</f>
        <v>0</v>
      </c>
      <c r="K195" s="595">
        <f>'Прилож 4 24 (7)'!AA191</f>
        <v>0</v>
      </c>
      <c r="L195" s="595">
        <f>'Прилож 4 24 (7)'!AB191</f>
        <v>0</v>
      </c>
      <c r="M195" s="876">
        <f t="shared" si="33"/>
        <v>0</v>
      </c>
      <c r="N195" s="875"/>
      <c r="O195" s="875"/>
      <c r="P195" s="875"/>
      <c r="Q195" s="877"/>
      <c r="R195" s="875"/>
      <c r="S195" s="875"/>
      <c r="T195" s="875"/>
      <c r="U195" s="876">
        <f t="shared" si="37"/>
        <v>0</v>
      </c>
      <c r="V195" s="875">
        <f t="shared" si="37"/>
        <v>0</v>
      </c>
      <c r="W195" s="875">
        <f t="shared" si="34"/>
        <v>0</v>
      </c>
      <c r="X195" s="875">
        <f t="shared" si="34"/>
        <v>0</v>
      </c>
      <c r="Y195" s="877"/>
      <c r="Z195" s="875">
        <f t="shared" si="36"/>
        <v>0</v>
      </c>
      <c r="AA195" s="875">
        <f t="shared" si="35"/>
        <v>0</v>
      </c>
      <c r="AB195" s="875">
        <f t="shared" si="35"/>
        <v>0</v>
      </c>
      <c r="AC195" s="878"/>
    </row>
    <row r="196" spans="1:30" ht="31.5" x14ac:dyDescent="0.2">
      <c r="A196" s="618" t="s">
        <v>1229</v>
      </c>
      <c r="B196" s="619" t="s">
        <v>747</v>
      </c>
      <c r="C196" s="620">
        <v>244</v>
      </c>
      <c r="D196" s="620">
        <v>310</v>
      </c>
      <c r="E196" s="596">
        <f t="shared" si="28"/>
        <v>0</v>
      </c>
      <c r="F196" s="595">
        <f>'Прилож 4 24 (7)'!V192</f>
        <v>0</v>
      </c>
      <c r="G196" s="595">
        <f>'Прилож 4 24 (7)'!W192</f>
        <v>0</v>
      </c>
      <c r="H196" s="595">
        <f>'Прилож 4 24 (7)'!X192</f>
        <v>0</v>
      </c>
      <c r="I196" s="621"/>
      <c r="J196" s="595">
        <f>'Прилож 4 24 (7)'!Z192</f>
        <v>0</v>
      </c>
      <c r="K196" s="595">
        <f>'Прилож 4 24 (7)'!AA192</f>
        <v>0</v>
      </c>
      <c r="L196" s="595">
        <f>'Прилож 4 24 (7)'!AB192</f>
        <v>0</v>
      </c>
      <c r="M196" s="876">
        <f t="shared" si="33"/>
        <v>0</v>
      </c>
      <c r="N196" s="875"/>
      <c r="O196" s="875"/>
      <c r="P196" s="875"/>
      <c r="Q196" s="877"/>
      <c r="R196" s="875"/>
      <c r="S196" s="875"/>
      <c r="T196" s="875"/>
      <c r="U196" s="876">
        <f t="shared" si="37"/>
        <v>0</v>
      </c>
      <c r="V196" s="875">
        <f t="shared" si="37"/>
        <v>0</v>
      </c>
      <c r="W196" s="875">
        <f t="shared" si="34"/>
        <v>0</v>
      </c>
      <c r="X196" s="875">
        <f t="shared" si="34"/>
        <v>0</v>
      </c>
      <c r="Y196" s="877"/>
      <c r="Z196" s="875">
        <f t="shared" si="36"/>
        <v>0</v>
      </c>
      <c r="AA196" s="875">
        <f t="shared" si="35"/>
        <v>0</v>
      </c>
      <c r="AB196" s="875">
        <f t="shared" si="35"/>
        <v>0</v>
      </c>
      <c r="AC196" s="878"/>
    </row>
    <row r="197" spans="1:30" x14ac:dyDescent="0.2">
      <c r="A197" s="618" t="s">
        <v>1284</v>
      </c>
      <c r="B197" s="619" t="s">
        <v>747</v>
      </c>
      <c r="C197" s="620">
        <v>244</v>
      </c>
      <c r="D197" s="620">
        <v>310</v>
      </c>
      <c r="E197" s="596">
        <f t="shared" si="28"/>
        <v>18000</v>
      </c>
      <c r="F197" s="595">
        <f>'Прилож 4 24 (7)'!V193</f>
        <v>18000</v>
      </c>
      <c r="G197" s="595">
        <f>'Прилож 4 24 (7)'!W193</f>
        <v>0</v>
      </c>
      <c r="H197" s="595">
        <f>'Прилож 4 24 (7)'!X193</f>
        <v>0</v>
      </c>
      <c r="I197" s="621"/>
      <c r="J197" s="595">
        <f>'Прилож 4 24 (7)'!Z193</f>
        <v>0</v>
      </c>
      <c r="K197" s="595">
        <f>'Прилож 4 24 (7)'!AA193</f>
        <v>0</v>
      </c>
      <c r="L197" s="595">
        <f>'Прилож 4 24 (7)'!AB193</f>
        <v>0</v>
      </c>
      <c r="M197" s="876">
        <f t="shared" si="33"/>
        <v>0</v>
      </c>
      <c r="N197" s="875"/>
      <c r="O197" s="875"/>
      <c r="P197" s="875"/>
      <c r="Q197" s="877"/>
      <c r="R197" s="875"/>
      <c r="S197" s="875"/>
      <c r="T197" s="875"/>
      <c r="U197" s="876">
        <f t="shared" si="37"/>
        <v>18000</v>
      </c>
      <c r="V197" s="875">
        <f t="shared" si="37"/>
        <v>18000</v>
      </c>
      <c r="W197" s="875">
        <f t="shared" si="34"/>
        <v>0</v>
      </c>
      <c r="X197" s="875">
        <f t="shared" si="34"/>
        <v>0</v>
      </c>
      <c r="Y197" s="877"/>
      <c r="Z197" s="875">
        <f t="shared" si="36"/>
        <v>0</v>
      </c>
      <c r="AA197" s="875">
        <f t="shared" si="35"/>
        <v>0</v>
      </c>
      <c r="AB197" s="875">
        <f t="shared" si="35"/>
        <v>0</v>
      </c>
      <c r="AC197" s="878"/>
    </row>
    <row r="198" spans="1:30" ht="21" customHeight="1" x14ac:dyDescent="0.2">
      <c r="A198" s="618" t="s">
        <v>1344</v>
      </c>
      <c r="B198" s="619" t="s">
        <v>747</v>
      </c>
      <c r="C198" s="620">
        <v>244</v>
      </c>
      <c r="D198" s="620">
        <v>310</v>
      </c>
      <c r="E198" s="596">
        <f t="shared" si="28"/>
        <v>219950</v>
      </c>
      <c r="F198" s="595">
        <f>'Прилож 4 24 (7)'!V194</f>
        <v>219950</v>
      </c>
      <c r="G198" s="595">
        <f>'Прилож 4 24 (7)'!W194</f>
        <v>0</v>
      </c>
      <c r="H198" s="595">
        <f>'Прилож 4 24 (7)'!X194</f>
        <v>0</v>
      </c>
      <c r="I198" s="621"/>
      <c r="J198" s="595">
        <f>'Прилож 4 24 (7)'!Z194</f>
        <v>0</v>
      </c>
      <c r="K198" s="595">
        <f>'Прилож 4 24 (7)'!AA194</f>
        <v>0</v>
      </c>
      <c r="L198" s="595">
        <f>'Прилож 4 24 (7)'!AB194</f>
        <v>0</v>
      </c>
      <c r="M198" s="876">
        <f t="shared" si="33"/>
        <v>0</v>
      </c>
      <c r="N198" s="875"/>
      <c r="O198" s="875"/>
      <c r="P198" s="875"/>
      <c r="Q198" s="877"/>
      <c r="R198" s="875"/>
      <c r="S198" s="875"/>
      <c r="T198" s="875"/>
      <c r="U198" s="876">
        <f t="shared" si="37"/>
        <v>219950</v>
      </c>
      <c r="V198" s="875">
        <f t="shared" si="37"/>
        <v>219950</v>
      </c>
      <c r="W198" s="875">
        <f t="shared" si="34"/>
        <v>0</v>
      </c>
      <c r="X198" s="875">
        <f t="shared" si="34"/>
        <v>0</v>
      </c>
      <c r="Y198" s="877"/>
      <c r="Z198" s="875">
        <f t="shared" si="36"/>
        <v>0</v>
      </c>
      <c r="AA198" s="875">
        <f t="shared" si="35"/>
        <v>0</v>
      </c>
      <c r="AB198" s="875">
        <f t="shared" si="35"/>
        <v>0</v>
      </c>
      <c r="AC198" s="878"/>
    </row>
    <row r="199" spans="1:30" ht="27.75" customHeight="1" x14ac:dyDescent="0.2">
      <c r="A199" s="618" t="s">
        <v>1345</v>
      </c>
      <c r="B199" s="619" t="s">
        <v>747</v>
      </c>
      <c r="C199" s="620">
        <v>244</v>
      </c>
      <c r="D199" s="620">
        <v>310</v>
      </c>
      <c r="E199" s="596">
        <f t="shared" si="28"/>
        <v>45990</v>
      </c>
      <c r="F199" s="595">
        <f>'Прилож 4 24 (7)'!V195</f>
        <v>45990</v>
      </c>
      <c r="G199" s="595">
        <f>'Прилож 4 24 (7)'!W195</f>
        <v>0</v>
      </c>
      <c r="H199" s="595">
        <f>'Прилож 4 24 (7)'!X195</f>
        <v>0</v>
      </c>
      <c r="I199" s="621"/>
      <c r="J199" s="595">
        <f>'Прилож 4 24 (7)'!Z195</f>
        <v>0</v>
      </c>
      <c r="K199" s="595">
        <f>'Прилож 4 24 (7)'!AA195</f>
        <v>0</v>
      </c>
      <c r="L199" s="595">
        <f>'Прилож 4 24 (7)'!AB195</f>
        <v>0</v>
      </c>
      <c r="M199" s="876">
        <f t="shared" si="33"/>
        <v>0</v>
      </c>
      <c r="N199" s="875"/>
      <c r="O199" s="875"/>
      <c r="P199" s="875"/>
      <c r="Q199" s="877"/>
      <c r="R199" s="875"/>
      <c r="S199" s="875"/>
      <c r="T199" s="875"/>
      <c r="U199" s="876">
        <f t="shared" si="37"/>
        <v>45990</v>
      </c>
      <c r="V199" s="875">
        <f t="shared" si="37"/>
        <v>45990</v>
      </c>
      <c r="W199" s="875">
        <f t="shared" si="34"/>
        <v>0</v>
      </c>
      <c r="X199" s="875">
        <f t="shared" si="34"/>
        <v>0</v>
      </c>
      <c r="Y199" s="877"/>
      <c r="Z199" s="875">
        <f t="shared" si="36"/>
        <v>0</v>
      </c>
      <c r="AA199" s="875">
        <f t="shared" si="35"/>
        <v>0</v>
      </c>
      <c r="AB199" s="875">
        <f t="shared" si="35"/>
        <v>0</v>
      </c>
      <c r="AC199" s="878"/>
    </row>
    <row r="200" spans="1:30" s="637" customFormat="1" x14ac:dyDescent="0.2">
      <c r="A200" s="632" t="s">
        <v>783</v>
      </c>
      <c r="B200" s="633"/>
      <c r="C200" s="634"/>
      <c r="D200" s="634"/>
      <c r="E200" s="596">
        <f t="shared" si="28"/>
        <v>283940</v>
      </c>
      <c r="F200" s="595">
        <f>'Прилож 4 24 (7)'!V196</f>
        <v>283940</v>
      </c>
      <c r="G200" s="595">
        <f>'Прилож 4 24 (7)'!W196</f>
        <v>0</v>
      </c>
      <c r="H200" s="595">
        <f>'Прилож 4 24 (7)'!X196</f>
        <v>0</v>
      </c>
      <c r="I200" s="597">
        <f>SUM(I194:I197)</f>
        <v>0</v>
      </c>
      <c r="J200" s="595">
        <f>'Прилож 4 24 (7)'!Z196</f>
        <v>0</v>
      </c>
      <c r="K200" s="595">
        <f>'Прилож 4 24 (7)'!AA196</f>
        <v>0</v>
      </c>
      <c r="L200" s="595">
        <f>'Прилож 4 24 (7)'!AB196</f>
        <v>0</v>
      </c>
      <c r="M200" s="876">
        <f t="shared" si="33"/>
        <v>0</v>
      </c>
      <c r="N200" s="884">
        <f>SUM(N194:N199)</f>
        <v>0</v>
      </c>
      <c r="O200" s="884"/>
      <c r="P200" s="884"/>
      <c r="Q200" s="884"/>
      <c r="R200" s="884"/>
      <c r="S200" s="884"/>
      <c r="T200" s="884"/>
      <c r="U200" s="876">
        <f t="shared" si="37"/>
        <v>283940</v>
      </c>
      <c r="V200" s="875">
        <f t="shared" si="37"/>
        <v>283940</v>
      </c>
      <c r="W200" s="875">
        <f t="shared" si="34"/>
        <v>0</v>
      </c>
      <c r="X200" s="875">
        <f t="shared" si="34"/>
        <v>0</v>
      </c>
      <c r="Y200" s="884">
        <f>SUM(Y194:Y197)</f>
        <v>0</v>
      </c>
      <c r="Z200" s="875">
        <f t="shared" si="36"/>
        <v>0</v>
      </c>
      <c r="AA200" s="875">
        <f t="shared" si="35"/>
        <v>0</v>
      </c>
      <c r="AB200" s="875">
        <f t="shared" si="35"/>
        <v>0</v>
      </c>
      <c r="AC200" s="886"/>
    </row>
    <row r="201" spans="1:30" ht="31.5" x14ac:dyDescent="0.2">
      <c r="A201" s="618" t="s">
        <v>1281</v>
      </c>
      <c r="B201" s="619" t="s">
        <v>729</v>
      </c>
      <c r="C201" s="620">
        <v>244</v>
      </c>
      <c r="D201" s="620">
        <v>310</v>
      </c>
      <c r="E201" s="596">
        <f t="shared" si="28"/>
        <v>50000</v>
      </c>
      <c r="F201" s="595">
        <f>'Прилож 4 24 (7)'!V197</f>
        <v>50000</v>
      </c>
      <c r="G201" s="595">
        <f>'Прилож 4 24 (7)'!W197</f>
        <v>0</v>
      </c>
      <c r="H201" s="595">
        <f>'Прилож 4 24 (7)'!X197</f>
        <v>0</v>
      </c>
      <c r="I201" s="621"/>
      <c r="J201" s="595">
        <f>'Прилож 4 24 (7)'!Z197</f>
        <v>0</v>
      </c>
      <c r="K201" s="595">
        <f>'Прилож 4 24 (7)'!AA197</f>
        <v>0</v>
      </c>
      <c r="L201" s="595">
        <f>'Прилож 4 24 (7)'!AB197</f>
        <v>0</v>
      </c>
      <c r="M201" s="876">
        <f t="shared" si="33"/>
        <v>0</v>
      </c>
      <c r="N201" s="875"/>
      <c r="O201" s="875"/>
      <c r="P201" s="875"/>
      <c r="Q201" s="877"/>
      <c r="R201" s="875"/>
      <c r="S201" s="875"/>
      <c r="T201" s="875"/>
      <c r="U201" s="876">
        <f t="shared" si="37"/>
        <v>50000</v>
      </c>
      <c r="V201" s="875">
        <f t="shared" si="37"/>
        <v>50000</v>
      </c>
      <c r="W201" s="875">
        <f t="shared" si="34"/>
        <v>0</v>
      </c>
      <c r="X201" s="875">
        <f t="shared" si="34"/>
        <v>0</v>
      </c>
      <c r="Y201" s="877"/>
      <c r="Z201" s="875">
        <f t="shared" si="36"/>
        <v>0</v>
      </c>
      <c r="AA201" s="875">
        <f t="shared" si="35"/>
        <v>0</v>
      </c>
      <c r="AB201" s="875">
        <f t="shared" si="35"/>
        <v>0</v>
      </c>
      <c r="AC201" s="878"/>
    </row>
    <row r="202" spans="1:30" ht="57.75" customHeight="1" x14ac:dyDescent="0.2">
      <c r="A202" s="618" t="s">
        <v>1282</v>
      </c>
      <c r="B202" s="619" t="s">
        <v>729</v>
      </c>
      <c r="C202" s="620">
        <v>244</v>
      </c>
      <c r="D202" s="620">
        <v>310</v>
      </c>
      <c r="E202" s="596">
        <f t="shared" si="28"/>
        <v>575676.31000000006</v>
      </c>
      <c r="F202" s="595">
        <f>'Прилож 4 24 (7)'!V198</f>
        <v>575676.31000000006</v>
      </c>
      <c r="G202" s="595">
        <f>'Прилож 4 24 (7)'!W198</f>
        <v>0</v>
      </c>
      <c r="H202" s="595">
        <f>'Прилож 4 24 (7)'!X198</f>
        <v>0</v>
      </c>
      <c r="I202" s="621"/>
      <c r="J202" s="595">
        <f>'Прилож 4 24 (7)'!Z198</f>
        <v>0</v>
      </c>
      <c r="K202" s="595">
        <f>'Прилож 4 24 (7)'!AA198</f>
        <v>0</v>
      </c>
      <c r="L202" s="595">
        <f>'Прилож 4 24 (7)'!AB198</f>
        <v>0</v>
      </c>
      <c r="M202" s="876">
        <f t="shared" si="33"/>
        <v>-30000</v>
      </c>
      <c r="N202" s="875">
        <v>-30000</v>
      </c>
      <c r="O202" s="875"/>
      <c r="P202" s="875"/>
      <c r="Q202" s="877"/>
      <c r="R202" s="875"/>
      <c r="S202" s="875"/>
      <c r="T202" s="875"/>
      <c r="U202" s="876">
        <f t="shared" si="37"/>
        <v>545676.31000000006</v>
      </c>
      <c r="V202" s="875">
        <f t="shared" si="37"/>
        <v>545676.31000000006</v>
      </c>
      <c r="W202" s="875">
        <f t="shared" si="34"/>
        <v>0</v>
      </c>
      <c r="X202" s="875">
        <f t="shared" si="34"/>
        <v>0</v>
      </c>
      <c r="Y202" s="877"/>
      <c r="Z202" s="875">
        <f t="shared" si="36"/>
        <v>0</v>
      </c>
      <c r="AA202" s="875">
        <f t="shared" si="35"/>
        <v>0</v>
      </c>
      <c r="AB202" s="875">
        <f t="shared" si="35"/>
        <v>0</v>
      </c>
      <c r="AC202" s="878" t="s">
        <v>1503</v>
      </c>
    </row>
    <row r="203" spans="1:30" x14ac:dyDescent="0.2">
      <c r="A203" s="618" t="s">
        <v>1284</v>
      </c>
      <c r="B203" s="619" t="s">
        <v>729</v>
      </c>
      <c r="C203" s="620">
        <v>244</v>
      </c>
      <c r="D203" s="620">
        <v>310</v>
      </c>
      <c r="E203" s="596">
        <f t="shared" si="28"/>
        <v>27000</v>
      </c>
      <c r="F203" s="595">
        <f>'Прилож 4 24 (7)'!V199</f>
        <v>27000</v>
      </c>
      <c r="G203" s="595">
        <f>'Прилож 4 24 (7)'!W199</f>
        <v>0</v>
      </c>
      <c r="H203" s="595">
        <f>'Прилож 4 24 (7)'!X199</f>
        <v>0</v>
      </c>
      <c r="I203" s="621"/>
      <c r="J203" s="595">
        <f>'Прилож 4 24 (7)'!Z199</f>
        <v>0</v>
      </c>
      <c r="K203" s="595">
        <f>'Прилож 4 24 (7)'!AA199</f>
        <v>0</v>
      </c>
      <c r="L203" s="595">
        <f>'Прилож 4 24 (7)'!AB199</f>
        <v>0</v>
      </c>
      <c r="M203" s="876">
        <f t="shared" si="33"/>
        <v>0</v>
      </c>
      <c r="N203" s="875"/>
      <c r="O203" s="875"/>
      <c r="P203" s="875"/>
      <c r="Q203" s="877"/>
      <c r="R203" s="875"/>
      <c r="S203" s="875"/>
      <c r="T203" s="875"/>
      <c r="U203" s="876">
        <f t="shared" si="37"/>
        <v>27000</v>
      </c>
      <c r="V203" s="875">
        <f t="shared" si="37"/>
        <v>27000</v>
      </c>
      <c r="W203" s="875">
        <f t="shared" si="34"/>
        <v>0</v>
      </c>
      <c r="X203" s="875">
        <f t="shared" si="34"/>
        <v>0</v>
      </c>
      <c r="Y203" s="877"/>
      <c r="Z203" s="875">
        <f t="shared" si="36"/>
        <v>0</v>
      </c>
      <c r="AA203" s="875">
        <f t="shared" si="35"/>
        <v>0</v>
      </c>
      <c r="AB203" s="875">
        <f t="shared" si="35"/>
        <v>0</v>
      </c>
      <c r="AC203" s="878"/>
    </row>
    <row r="204" spans="1:30" x14ac:dyDescent="0.2">
      <c r="A204" s="618" t="s">
        <v>1227</v>
      </c>
      <c r="B204" s="619" t="s">
        <v>729</v>
      </c>
      <c r="C204" s="620">
        <v>244</v>
      </c>
      <c r="D204" s="620">
        <v>310</v>
      </c>
      <c r="E204" s="596">
        <f t="shared" si="28"/>
        <v>4025</v>
      </c>
      <c r="F204" s="595">
        <f>'Прилож 4 24 (7)'!V200</f>
        <v>0</v>
      </c>
      <c r="G204" s="595">
        <f>'Прилож 4 24 (7)'!W200</f>
        <v>0</v>
      </c>
      <c r="H204" s="595">
        <f>'Прилож 4 24 (7)'!X200</f>
        <v>0</v>
      </c>
      <c r="I204" s="621" t="s">
        <v>1226</v>
      </c>
      <c r="J204" s="595">
        <f>'Прилож 4 24 (7)'!Z200</f>
        <v>0</v>
      </c>
      <c r="K204" s="595">
        <f>'Прилож 4 24 (7)'!AA200</f>
        <v>4025</v>
      </c>
      <c r="L204" s="595">
        <f>'Прилож 4 24 (7)'!AB200</f>
        <v>0</v>
      </c>
      <c r="M204" s="876">
        <f t="shared" si="33"/>
        <v>0</v>
      </c>
      <c r="N204" s="875"/>
      <c r="O204" s="875"/>
      <c r="P204" s="875"/>
      <c r="Q204" s="877"/>
      <c r="R204" s="875"/>
      <c r="S204" s="875"/>
      <c r="T204" s="875"/>
      <c r="U204" s="876">
        <f t="shared" si="37"/>
        <v>4025</v>
      </c>
      <c r="V204" s="875">
        <f t="shared" si="37"/>
        <v>0</v>
      </c>
      <c r="W204" s="875">
        <f t="shared" si="34"/>
        <v>0</v>
      </c>
      <c r="X204" s="875">
        <f t="shared" si="34"/>
        <v>0</v>
      </c>
      <c r="Y204" s="877" t="s">
        <v>1226</v>
      </c>
      <c r="Z204" s="875">
        <f t="shared" si="36"/>
        <v>0</v>
      </c>
      <c r="AA204" s="875">
        <f t="shared" si="35"/>
        <v>4025</v>
      </c>
      <c r="AB204" s="875">
        <f t="shared" si="35"/>
        <v>0</v>
      </c>
      <c r="AC204" s="878"/>
    </row>
    <row r="205" spans="1:30" ht="31.5" x14ac:dyDescent="0.2">
      <c r="A205" s="618" t="s">
        <v>1228</v>
      </c>
      <c r="B205" s="619" t="s">
        <v>729</v>
      </c>
      <c r="C205" s="620">
        <v>244</v>
      </c>
      <c r="D205" s="620">
        <v>310</v>
      </c>
      <c r="E205" s="596">
        <f t="shared" si="28"/>
        <v>4638</v>
      </c>
      <c r="F205" s="595">
        <f>'Прилож 4 24 (7)'!V201</f>
        <v>0</v>
      </c>
      <c r="G205" s="595">
        <f>'Прилож 4 24 (7)'!W201</f>
        <v>0</v>
      </c>
      <c r="H205" s="595">
        <f>'Прилож 4 24 (7)'!X201</f>
        <v>0</v>
      </c>
      <c r="I205" s="621" t="s">
        <v>1226</v>
      </c>
      <c r="J205" s="595">
        <f>'Прилож 4 24 (7)'!Z201</f>
        <v>0</v>
      </c>
      <c r="K205" s="595">
        <f>'Прилож 4 24 (7)'!AA201</f>
        <v>4638</v>
      </c>
      <c r="L205" s="595">
        <f>'Прилож 4 24 (7)'!AB201</f>
        <v>0</v>
      </c>
      <c r="M205" s="876">
        <f t="shared" si="33"/>
        <v>0</v>
      </c>
      <c r="N205" s="875"/>
      <c r="O205" s="875"/>
      <c r="P205" s="875"/>
      <c r="Q205" s="877"/>
      <c r="R205" s="875"/>
      <c r="S205" s="875"/>
      <c r="T205" s="875"/>
      <c r="U205" s="876">
        <f t="shared" si="37"/>
        <v>4638</v>
      </c>
      <c r="V205" s="875">
        <f t="shared" si="37"/>
        <v>0</v>
      </c>
      <c r="W205" s="875">
        <f t="shared" si="34"/>
        <v>0</v>
      </c>
      <c r="X205" s="875">
        <f t="shared" si="34"/>
        <v>0</v>
      </c>
      <c r="Y205" s="877" t="s">
        <v>1226</v>
      </c>
      <c r="Z205" s="875">
        <f t="shared" si="36"/>
        <v>0</v>
      </c>
      <c r="AA205" s="875">
        <f t="shared" si="35"/>
        <v>4638</v>
      </c>
      <c r="AB205" s="875">
        <f t="shared" si="35"/>
        <v>0</v>
      </c>
      <c r="AC205" s="878"/>
      <c r="AD205" s="820"/>
    </row>
    <row r="206" spans="1:30" ht="31.5" x14ac:dyDescent="0.2">
      <c r="A206" s="618" t="s">
        <v>1229</v>
      </c>
      <c r="B206" s="619" t="s">
        <v>729</v>
      </c>
      <c r="C206" s="620">
        <v>244</v>
      </c>
      <c r="D206" s="620">
        <v>310</v>
      </c>
      <c r="E206" s="596">
        <f t="shared" si="28"/>
        <v>93768</v>
      </c>
      <c r="F206" s="595">
        <f>'Прилож 4 24 (7)'!V202</f>
        <v>0</v>
      </c>
      <c r="G206" s="595">
        <f>'Прилож 4 24 (7)'!W202</f>
        <v>0</v>
      </c>
      <c r="H206" s="595">
        <f>'Прилож 4 24 (7)'!X202</f>
        <v>0</v>
      </c>
      <c r="I206" s="621" t="s">
        <v>1226</v>
      </c>
      <c r="J206" s="595">
        <f>'Прилож 4 24 (7)'!Z202</f>
        <v>0</v>
      </c>
      <c r="K206" s="595">
        <f>'Прилож 4 24 (7)'!AA202</f>
        <v>93768</v>
      </c>
      <c r="L206" s="595">
        <f>'Прилож 4 24 (7)'!AB202</f>
        <v>0</v>
      </c>
      <c r="M206" s="876">
        <f t="shared" si="33"/>
        <v>0</v>
      </c>
      <c r="N206" s="875"/>
      <c r="O206" s="875"/>
      <c r="P206" s="875"/>
      <c r="Q206" s="877"/>
      <c r="R206" s="875"/>
      <c r="S206" s="875"/>
      <c r="T206" s="875"/>
      <c r="U206" s="876">
        <f t="shared" si="37"/>
        <v>93768</v>
      </c>
      <c r="V206" s="875">
        <f t="shared" si="37"/>
        <v>0</v>
      </c>
      <c r="W206" s="875">
        <f t="shared" si="34"/>
        <v>0</v>
      </c>
      <c r="X206" s="875">
        <f t="shared" si="34"/>
        <v>0</v>
      </c>
      <c r="Y206" s="877" t="s">
        <v>1226</v>
      </c>
      <c r="Z206" s="875">
        <f t="shared" si="36"/>
        <v>0</v>
      </c>
      <c r="AA206" s="875">
        <f t="shared" si="35"/>
        <v>93768</v>
      </c>
      <c r="AB206" s="875">
        <f t="shared" si="35"/>
        <v>0</v>
      </c>
      <c r="AC206" s="878"/>
    </row>
    <row r="207" spans="1:30" ht="33" customHeight="1" x14ac:dyDescent="0.2">
      <c r="A207" s="618" t="s">
        <v>1360</v>
      </c>
      <c r="B207" s="619" t="s">
        <v>729</v>
      </c>
      <c r="C207" s="620">
        <v>244</v>
      </c>
      <c r="D207" s="620">
        <v>310</v>
      </c>
      <c r="E207" s="596">
        <f t="shared" si="28"/>
        <v>100000</v>
      </c>
      <c r="F207" s="595">
        <f>'Прилож 4 24 (7)'!V203</f>
        <v>0</v>
      </c>
      <c r="G207" s="595">
        <f>'Прилож 4 24 (7)'!W203</f>
        <v>0</v>
      </c>
      <c r="H207" s="595">
        <f>'Прилож 4 24 (7)'!X203</f>
        <v>0</v>
      </c>
      <c r="I207" s="1020" t="s">
        <v>1226</v>
      </c>
      <c r="J207" s="595">
        <f>'Прилож 4 24 (7)'!Z203</f>
        <v>0</v>
      </c>
      <c r="K207" s="595">
        <f>'Прилож 4 24 (7)'!AA203</f>
        <v>100000</v>
      </c>
      <c r="L207" s="595">
        <f>'Прилож 4 24 (7)'!AB203</f>
        <v>0</v>
      </c>
      <c r="M207" s="876">
        <f t="shared" si="33"/>
        <v>0</v>
      </c>
      <c r="N207" s="875"/>
      <c r="O207" s="875"/>
      <c r="P207" s="875"/>
      <c r="Q207" s="877"/>
      <c r="R207" s="875"/>
      <c r="S207" s="875"/>
      <c r="T207" s="875"/>
      <c r="U207" s="876">
        <f t="shared" si="37"/>
        <v>100000</v>
      </c>
      <c r="V207" s="875">
        <f t="shared" si="37"/>
        <v>0</v>
      </c>
      <c r="W207" s="875">
        <f t="shared" si="34"/>
        <v>0</v>
      </c>
      <c r="X207" s="875">
        <f t="shared" si="34"/>
        <v>0</v>
      </c>
      <c r="Y207" s="877" t="s">
        <v>1226</v>
      </c>
      <c r="Z207" s="875">
        <f t="shared" si="36"/>
        <v>0</v>
      </c>
      <c r="AA207" s="875">
        <f t="shared" si="35"/>
        <v>100000</v>
      </c>
      <c r="AB207" s="875">
        <f t="shared" si="35"/>
        <v>0</v>
      </c>
      <c r="AC207" s="878"/>
    </row>
    <row r="208" spans="1:30" ht="34.5" customHeight="1" x14ac:dyDescent="0.2">
      <c r="A208" s="618" t="s">
        <v>1358</v>
      </c>
      <c r="B208" s="619" t="s">
        <v>729</v>
      </c>
      <c r="C208" s="620">
        <v>244</v>
      </c>
      <c r="D208" s="620">
        <v>310</v>
      </c>
      <c r="E208" s="596">
        <f t="shared" si="28"/>
        <v>107260</v>
      </c>
      <c r="F208" s="595">
        <f>'Прилож 4 24 (7)'!V204</f>
        <v>107260</v>
      </c>
      <c r="G208" s="595">
        <f>'Прилож 4 24 (7)'!W204</f>
        <v>0</v>
      </c>
      <c r="H208" s="595">
        <f>'Прилож 4 24 (7)'!X204</f>
        <v>0</v>
      </c>
      <c r="I208" s="621"/>
      <c r="J208" s="595">
        <f>'Прилож 4 24 (7)'!Z204</f>
        <v>0</v>
      </c>
      <c r="K208" s="595">
        <f>'Прилож 4 24 (7)'!AA204</f>
        <v>0</v>
      </c>
      <c r="L208" s="595">
        <f>'Прилож 4 24 (7)'!AB204</f>
        <v>0</v>
      </c>
      <c r="M208" s="876">
        <f t="shared" si="33"/>
        <v>0</v>
      </c>
      <c r="N208" s="875"/>
      <c r="O208" s="875"/>
      <c r="P208" s="875"/>
      <c r="Q208" s="877"/>
      <c r="R208" s="875"/>
      <c r="S208" s="875"/>
      <c r="T208" s="875"/>
      <c r="U208" s="876">
        <f t="shared" si="37"/>
        <v>107260</v>
      </c>
      <c r="V208" s="875">
        <f t="shared" si="37"/>
        <v>107260</v>
      </c>
      <c r="W208" s="875">
        <f t="shared" si="34"/>
        <v>0</v>
      </c>
      <c r="X208" s="875">
        <f t="shared" si="34"/>
        <v>0</v>
      </c>
      <c r="Y208" s="877"/>
      <c r="Z208" s="875">
        <f t="shared" si="36"/>
        <v>0</v>
      </c>
      <c r="AA208" s="875">
        <f t="shared" si="35"/>
        <v>0</v>
      </c>
      <c r="AB208" s="875">
        <f t="shared" si="35"/>
        <v>0</v>
      </c>
      <c r="AC208" s="878"/>
    </row>
    <row r="209" spans="1:30" ht="30.75" customHeight="1" x14ac:dyDescent="0.2">
      <c r="A209" s="618" t="s">
        <v>1359</v>
      </c>
      <c r="B209" s="619" t="s">
        <v>729</v>
      </c>
      <c r="C209" s="620">
        <v>244</v>
      </c>
      <c r="D209" s="620">
        <v>310</v>
      </c>
      <c r="E209" s="596">
        <f t="shared" si="28"/>
        <v>76990</v>
      </c>
      <c r="F209" s="595">
        <f>'Прилож 4 24 (7)'!V205</f>
        <v>76990</v>
      </c>
      <c r="G209" s="595">
        <f>'Прилож 4 24 (7)'!W205</f>
        <v>0</v>
      </c>
      <c r="H209" s="595">
        <f>'Прилож 4 24 (7)'!X205</f>
        <v>0</v>
      </c>
      <c r="I209" s="621"/>
      <c r="J209" s="595">
        <f>'Прилож 4 24 (7)'!Z205</f>
        <v>0</v>
      </c>
      <c r="K209" s="595">
        <f>'Прилож 4 24 (7)'!AA205</f>
        <v>0</v>
      </c>
      <c r="L209" s="595">
        <f>'Прилож 4 24 (7)'!AB205</f>
        <v>0</v>
      </c>
      <c r="M209" s="876">
        <f t="shared" si="33"/>
        <v>0</v>
      </c>
      <c r="N209" s="875"/>
      <c r="O209" s="875"/>
      <c r="P209" s="875"/>
      <c r="Q209" s="877"/>
      <c r="R209" s="875"/>
      <c r="S209" s="875"/>
      <c r="T209" s="875"/>
      <c r="U209" s="876">
        <f t="shared" si="37"/>
        <v>76990</v>
      </c>
      <c r="V209" s="875">
        <f t="shared" si="37"/>
        <v>76990</v>
      </c>
      <c r="W209" s="875">
        <f t="shared" si="34"/>
        <v>0</v>
      </c>
      <c r="X209" s="875">
        <f t="shared" si="34"/>
        <v>0</v>
      </c>
      <c r="Y209" s="877"/>
      <c r="Z209" s="875">
        <f t="shared" si="36"/>
        <v>0</v>
      </c>
      <c r="AA209" s="875">
        <f t="shared" si="35"/>
        <v>0</v>
      </c>
      <c r="AB209" s="875">
        <f t="shared" si="35"/>
        <v>0</v>
      </c>
      <c r="AC209" s="878"/>
    </row>
    <row r="210" spans="1:30" x14ac:dyDescent="0.2">
      <c r="A210" s="618" t="s">
        <v>1287</v>
      </c>
      <c r="B210" s="619" t="s">
        <v>729</v>
      </c>
      <c r="C210" s="620">
        <v>244</v>
      </c>
      <c r="D210" s="620">
        <v>310</v>
      </c>
      <c r="E210" s="596">
        <f t="shared" si="28"/>
        <v>1039357.31</v>
      </c>
      <c r="F210" s="595">
        <f>'Прилож 4 24 (7)'!V206</f>
        <v>836926.31</v>
      </c>
      <c r="G210" s="595">
        <f>'Прилож 4 24 (7)'!W206</f>
        <v>0</v>
      </c>
      <c r="H210" s="595">
        <f>'Прилож 4 24 (7)'!X206</f>
        <v>0</v>
      </c>
      <c r="I210" s="596">
        <f>SUM(I201:I203)</f>
        <v>0</v>
      </c>
      <c r="J210" s="595">
        <f>'Прилож 4 24 (7)'!Z206</f>
        <v>0</v>
      </c>
      <c r="K210" s="595">
        <f>'Прилож 4 24 (7)'!AA206</f>
        <v>202431</v>
      </c>
      <c r="L210" s="595">
        <f>'Прилож 4 24 (7)'!AB206</f>
        <v>0</v>
      </c>
      <c r="M210" s="876">
        <f t="shared" si="33"/>
        <v>-30000</v>
      </c>
      <c r="N210" s="876">
        <f>SUM(N201:N209)</f>
        <v>-30000</v>
      </c>
      <c r="O210" s="876"/>
      <c r="P210" s="876">
        <f>SUM(P201:P209)</f>
        <v>0</v>
      </c>
      <c r="Q210" s="876"/>
      <c r="R210" s="876"/>
      <c r="S210" s="876">
        <f>SUM(S201:S207)</f>
        <v>0</v>
      </c>
      <c r="T210" s="876">
        <f>SUM(T201:T207)</f>
        <v>0</v>
      </c>
      <c r="U210" s="876">
        <f t="shared" si="37"/>
        <v>1009357.31</v>
      </c>
      <c r="V210" s="875">
        <f t="shared" si="37"/>
        <v>806926.31</v>
      </c>
      <c r="W210" s="875">
        <f t="shared" si="34"/>
        <v>0</v>
      </c>
      <c r="X210" s="875">
        <f t="shared" si="34"/>
        <v>0</v>
      </c>
      <c r="Y210" s="876">
        <f>SUM(Y201:Y203)</f>
        <v>0</v>
      </c>
      <c r="Z210" s="875">
        <f t="shared" si="36"/>
        <v>0</v>
      </c>
      <c r="AA210" s="875">
        <f t="shared" si="35"/>
        <v>202431</v>
      </c>
      <c r="AB210" s="875">
        <f t="shared" si="35"/>
        <v>0</v>
      </c>
      <c r="AC210" s="876"/>
      <c r="AD210" s="820"/>
    </row>
    <row r="211" spans="1:30" s="614" customFormat="1" ht="29.25" customHeight="1" x14ac:dyDescent="0.2">
      <c r="A211" s="630" t="s">
        <v>741</v>
      </c>
      <c r="B211" s="631"/>
      <c r="C211" s="624"/>
      <c r="D211" s="624"/>
      <c r="E211" s="596">
        <f t="shared" si="28"/>
        <v>1323297.31</v>
      </c>
      <c r="F211" s="595">
        <f>'Прилож 4 24 (7)'!V207</f>
        <v>1120866.31</v>
      </c>
      <c r="G211" s="595">
        <f>'Прилож 4 24 (7)'!W207</f>
        <v>0</v>
      </c>
      <c r="H211" s="595">
        <f>'Прилож 4 24 (7)'!X207</f>
        <v>0</v>
      </c>
      <c r="I211" s="596">
        <f>I210+I200</f>
        <v>0</v>
      </c>
      <c r="J211" s="595">
        <f>'Прилож 4 24 (7)'!Z207</f>
        <v>0</v>
      </c>
      <c r="K211" s="595">
        <f>'Прилож 4 24 (7)'!AA207</f>
        <v>202431</v>
      </c>
      <c r="L211" s="595">
        <f>'Прилож 4 24 (7)'!AB207</f>
        <v>0</v>
      </c>
      <c r="M211" s="876">
        <f t="shared" si="33"/>
        <v>-30000</v>
      </c>
      <c r="N211" s="876">
        <f>N200+N210</f>
        <v>-30000</v>
      </c>
      <c r="O211" s="876"/>
      <c r="P211" s="876">
        <f>P210+P200</f>
        <v>0</v>
      </c>
      <c r="Q211" s="876"/>
      <c r="R211" s="876"/>
      <c r="S211" s="876">
        <f>S200+S210</f>
        <v>0</v>
      </c>
      <c r="T211" s="876">
        <f>T200+T210</f>
        <v>0</v>
      </c>
      <c r="U211" s="876">
        <f t="shared" si="37"/>
        <v>1293297.31</v>
      </c>
      <c r="V211" s="875">
        <f t="shared" si="37"/>
        <v>1090866.31</v>
      </c>
      <c r="W211" s="875">
        <f t="shared" si="34"/>
        <v>0</v>
      </c>
      <c r="X211" s="875">
        <f t="shared" si="34"/>
        <v>0</v>
      </c>
      <c r="Y211" s="876">
        <f>Y210+Y200</f>
        <v>0</v>
      </c>
      <c r="Z211" s="875">
        <f t="shared" si="36"/>
        <v>0</v>
      </c>
      <c r="AA211" s="875">
        <f t="shared" si="35"/>
        <v>202431</v>
      </c>
      <c r="AB211" s="875">
        <f t="shared" si="35"/>
        <v>0</v>
      </c>
      <c r="AC211" s="876"/>
    </row>
    <row r="212" spans="1:30" x14ac:dyDescent="0.2">
      <c r="A212" s="618" t="s">
        <v>588</v>
      </c>
      <c r="B212" s="619" t="s">
        <v>747</v>
      </c>
      <c r="C212" s="620">
        <v>244</v>
      </c>
      <c r="D212" s="620">
        <v>341</v>
      </c>
      <c r="E212" s="596">
        <f t="shared" si="28"/>
        <v>0</v>
      </c>
      <c r="F212" s="595">
        <f>'Прилож 4 24 (7)'!V208</f>
        <v>0</v>
      </c>
      <c r="G212" s="595">
        <f>'Прилож 4 24 (7)'!W208</f>
        <v>0</v>
      </c>
      <c r="H212" s="595">
        <f>'Прилож 4 24 (7)'!X208</f>
        <v>0</v>
      </c>
      <c r="I212" s="621"/>
      <c r="J212" s="595">
        <f>'Прилож 4 24 (7)'!Z208</f>
        <v>0</v>
      </c>
      <c r="K212" s="595">
        <f>'Прилож 4 24 (7)'!AA208</f>
        <v>0</v>
      </c>
      <c r="L212" s="595">
        <f>'Прилож 4 24 (7)'!AB208</f>
        <v>0</v>
      </c>
      <c r="M212" s="876">
        <f t="shared" si="33"/>
        <v>0</v>
      </c>
      <c r="N212" s="875"/>
      <c r="O212" s="875"/>
      <c r="P212" s="875"/>
      <c r="Q212" s="894"/>
      <c r="R212" s="875"/>
      <c r="S212" s="875"/>
      <c r="T212" s="875"/>
      <c r="U212" s="876">
        <f t="shared" si="37"/>
        <v>0</v>
      </c>
      <c r="V212" s="875">
        <f t="shared" si="37"/>
        <v>0</v>
      </c>
      <c r="W212" s="875">
        <f t="shared" si="34"/>
        <v>0</v>
      </c>
      <c r="X212" s="875">
        <f t="shared" si="34"/>
        <v>0</v>
      </c>
      <c r="Y212" s="877"/>
      <c r="Z212" s="875">
        <f t="shared" si="36"/>
        <v>0</v>
      </c>
      <c r="AA212" s="875">
        <f t="shared" si="35"/>
        <v>0</v>
      </c>
      <c r="AB212" s="875">
        <f t="shared" si="35"/>
        <v>0</v>
      </c>
      <c r="AC212" s="878"/>
    </row>
    <row r="213" spans="1:30" x14ac:dyDescent="0.2">
      <c r="A213" s="618" t="s">
        <v>588</v>
      </c>
      <c r="B213" s="619" t="s">
        <v>729</v>
      </c>
      <c r="C213" s="620">
        <v>244</v>
      </c>
      <c r="D213" s="620">
        <v>341</v>
      </c>
      <c r="E213" s="596">
        <f t="shared" si="28"/>
        <v>27315</v>
      </c>
      <c r="F213" s="595">
        <f>'Прилож 4 24 (7)'!V209</f>
        <v>0</v>
      </c>
      <c r="G213" s="595">
        <f>'Прилож 4 24 (7)'!W209</f>
        <v>0</v>
      </c>
      <c r="H213" s="595">
        <f>'Прилож 4 24 (7)'!X209</f>
        <v>13280</v>
      </c>
      <c r="I213" s="621" t="s">
        <v>1226</v>
      </c>
      <c r="J213" s="595">
        <f>'Прилож 4 24 (7)'!Z209</f>
        <v>0</v>
      </c>
      <c r="K213" s="595">
        <f>'Прилож 4 24 (7)'!AA209</f>
        <v>14035</v>
      </c>
      <c r="L213" s="595">
        <f>'Прилож 4 24 (7)'!AB209</f>
        <v>0</v>
      </c>
      <c r="M213" s="876">
        <f t="shared" si="33"/>
        <v>0</v>
      </c>
      <c r="N213" s="875"/>
      <c r="O213" s="875"/>
      <c r="P213" s="875"/>
      <c r="Q213" s="894"/>
      <c r="R213" s="875"/>
      <c r="S213" s="875"/>
      <c r="T213" s="875"/>
      <c r="U213" s="876">
        <f t="shared" si="37"/>
        <v>27315</v>
      </c>
      <c r="V213" s="875">
        <f t="shared" si="37"/>
        <v>0</v>
      </c>
      <c r="W213" s="875">
        <f t="shared" si="34"/>
        <v>0</v>
      </c>
      <c r="X213" s="875">
        <f t="shared" si="34"/>
        <v>13280</v>
      </c>
      <c r="Y213" s="877" t="s">
        <v>1226</v>
      </c>
      <c r="Z213" s="875">
        <f t="shared" si="36"/>
        <v>0</v>
      </c>
      <c r="AA213" s="875">
        <f t="shared" si="35"/>
        <v>14035</v>
      </c>
      <c r="AB213" s="875">
        <f t="shared" si="35"/>
        <v>0</v>
      </c>
      <c r="AC213" s="878"/>
    </row>
    <row r="214" spans="1:30" s="614" customFormat="1" ht="26.25" customHeight="1" x14ac:dyDescent="0.2">
      <c r="A214" s="630" t="s">
        <v>742</v>
      </c>
      <c r="B214" s="631"/>
      <c r="C214" s="624"/>
      <c r="D214" s="624"/>
      <c r="E214" s="596">
        <f t="shared" si="28"/>
        <v>27315</v>
      </c>
      <c r="F214" s="595">
        <f>'Прилож 4 24 (7)'!V210</f>
        <v>0</v>
      </c>
      <c r="G214" s="595">
        <f>'Прилож 4 24 (7)'!W210</f>
        <v>0</v>
      </c>
      <c r="H214" s="595">
        <f>'Прилож 4 24 (7)'!X210</f>
        <v>13280</v>
      </c>
      <c r="I214" s="626"/>
      <c r="J214" s="595">
        <f>'Прилож 4 24 (7)'!Z210</f>
        <v>0</v>
      </c>
      <c r="K214" s="595">
        <f>'Прилож 4 24 (7)'!AA210</f>
        <v>14035</v>
      </c>
      <c r="L214" s="595">
        <f>'Прилож 4 24 (7)'!AB210</f>
        <v>0</v>
      </c>
      <c r="M214" s="876">
        <f t="shared" si="33"/>
        <v>0</v>
      </c>
      <c r="N214" s="876"/>
      <c r="O214" s="876"/>
      <c r="P214" s="876">
        <f>P212+P213</f>
        <v>0</v>
      </c>
      <c r="Q214" s="881"/>
      <c r="R214" s="876"/>
      <c r="S214" s="876"/>
      <c r="T214" s="876"/>
      <c r="U214" s="876">
        <f t="shared" si="37"/>
        <v>27315</v>
      </c>
      <c r="V214" s="875">
        <f t="shared" si="37"/>
        <v>0</v>
      </c>
      <c r="W214" s="875">
        <f t="shared" si="34"/>
        <v>0</v>
      </c>
      <c r="X214" s="875">
        <f t="shared" si="34"/>
        <v>13280</v>
      </c>
      <c r="Y214" s="881"/>
      <c r="Z214" s="875">
        <f t="shared" si="36"/>
        <v>0</v>
      </c>
      <c r="AA214" s="875">
        <f t="shared" si="35"/>
        <v>14035</v>
      </c>
      <c r="AB214" s="875">
        <f t="shared" si="35"/>
        <v>0</v>
      </c>
      <c r="AC214" s="879"/>
    </row>
    <row r="215" spans="1:30" ht="26.25" customHeight="1" x14ac:dyDescent="0.2">
      <c r="A215" s="618" t="s">
        <v>788</v>
      </c>
      <c r="B215" s="619" t="s">
        <v>747</v>
      </c>
      <c r="C215" s="620">
        <v>244</v>
      </c>
      <c r="D215" s="620">
        <v>342</v>
      </c>
      <c r="E215" s="596">
        <f t="shared" si="28"/>
        <v>2008650</v>
      </c>
      <c r="F215" s="595">
        <f>'Прилож 4 24 (7)'!V211</f>
        <v>0</v>
      </c>
      <c r="G215" s="595">
        <f>'Прилож 4 24 (7)'!W211</f>
        <v>0</v>
      </c>
      <c r="H215" s="595">
        <f>'Прилож 4 24 (7)'!X211</f>
        <v>851020</v>
      </c>
      <c r="I215" s="628"/>
      <c r="J215" s="595">
        <f>'Прилож 4 24 (7)'!Z211</f>
        <v>0</v>
      </c>
      <c r="K215" s="595">
        <f>'Прилож 4 24 (7)'!AA211</f>
        <v>0</v>
      </c>
      <c r="L215" s="595">
        <f>'Прилож 4 24 (7)'!AB211</f>
        <v>1157630</v>
      </c>
      <c r="M215" s="876">
        <f t="shared" si="33"/>
        <v>0</v>
      </c>
      <c r="N215" s="875"/>
      <c r="O215" s="875"/>
      <c r="P215" s="875"/>
      <c r="Q215" s="877"/>
      <c r="R215" s="875"/>
      <c r="S215" s="875"/>
      <c r="T215" s="875"/>
      <c r="U215" s="876">
        <f t="shared" si="37"/>
        <v>2008650</v>
      </c>
      <c r="V215" s="875">
        <f t="shared" si="37"/>
        <v>0</v>
      </c>
      <c r="W215" s="875">
        <f t="shared" si="34"/>
        <v>0</v>
      </c>
      <c r="X215" s="875">
        <f t="shared" si="34"/>
        <v>851020</v>
      </c>
      <c r="Y215" s="883"/>
      <c r="Z215" s="875">
        <f t="shared" si="36"/>
        <v>0</v>
      </c>
      <c r="AA215" s="875">
        <f t="shared" si="35"/>
        <v>0</v>
      </c>
      <c r="AB215" s="875">
        <f t="shared" si="35"/>
        <v>1157630</v>
      </c>
      <c r="AC215" s="878"/>
    </row>
    <row r="216" spans="1:30" s="614" customFormat="1" ht="26.25" customHeight="1" x14ac:dyDescent="0.2">
      <c r="A216" s="630" t="s">
        <v>786</v>
      </c>
      <c r="B216" s="631"/>
      <c r="C216" s="624"/>
      <c r="D216" s="624"/>
      <c r="E216" s="596">
        <f t="shared" ref="E216:E237" si="38">L216+K216+J216+H216+G216+F216</f>
        <v>2008650</v>
      </c>
      <c r="F216" s="595">
        <f>'Прилож 4 24 (7)'!V212</f>
        <v>0</v>
      </c>
      <c r="G216" s="595">
        <f>'Прилож 4 24 (7)'!W212</f>
        <v>0</v>
      </c>
      <c r="H216" s="595">
        <f>'Прилож 4 24 (7)'!X212</f>
        <v>851020</v>
      </c>
      <c r="I216" s="626"/>
      <c r="J216" s="595">
        <f>'Прилож 4 24 (7)'!Z212</f>
        <v>0</v>
      </c>
      <c r="K216" s="595">
        <f>'Прилож 4 24 (7)'!AA212</f>
        <v>0</v>
      </c>
      <c r="L216" s="595">
        <f>'Прилож 4 24 (7)'!AB212</f>
        <v>1157630</v>
      </c>
      <c r="M216" s="876">
        <f t="shared" si="33"/>
        <v>0</v>
      </c>
      <c r="N216" s="876"/>
      <c r="O216" s="876"/>
      <c r="P216" s="876"/>
      <c r="Q216" s="881"/>
      <c r="R216" s="876"/>
      <c r="S216" s="876"/>
      <c r="T216" s="876"/>
      <c r="U216" s="876">
        <f t="shared" si="37"/>
        <v>2008650</v>
      </c>
      <c r="V216" s="875">
        <f t="shared" si="37"/>
        <v>0</v>
      </c>
      <c r="W216" s="875">
        <f t="shared" si="34"/>
        <v>0</v>
      </c>
      <c r="X216" s="875">
        <f t="shared" si="34"/>
        <v>851020</v>
      </c>
      <c r="Y216" s="881"/>
      <c r="Z216" s="875">
        <f t="shared" si="36"/>
        <v>0</v>
      </c>
      <c r="AA216" s="875">
        <f t="shared" si="35"/>
        <v>0</v>
      </c>
      <c r="AB216" s="875">
        <f t="shared" si="35"/>
        <v>1157630</v>
      </c>
      <c r="AC216" s="879"/>
      <c r="AD216" s="818"/>
    </row>
    <row r="217" spans="1:30" ht="47.25" x14ac:dyDescent="0.2">
      <c r="A217" s="618" t="s">
        <v>793</v>
      </c>
      <c r="B217" s="619" t="s">
        <v>791</v>
      </c>
      <c r="C217" s="620">
        <v>244</v>
      </c>
      <c r="D217" s="620">
        <v>342</v>
      </c>
      <c r="E217" s="596">
        <f t="shared" si="38"/>
        <v>600000</v>
      </c>
      <c r="F217" s="595">
        <f>'Прилож 4 24 (7)'!V213</f>
        <v>600000</v>
      </c>
      <c r="G217" s="595">
        <f>'Прилож 4 24 (7)'!W213</f>
        <v>0</v>
      </c>
      <c r="H217" s="595">
        <f>'Прилож 4 24 (7)'!X213</f>
        <v>0</v>
      </c>
      <c r="I217" s="628"/>
      <c r="J217" s="595">
        <f>'Прилож 4 24 (7)'!Z213</f>
        <v>0</v>
      </c>
      <c r="K217" s="595">
        <f>'Прилож 4 24 (7)'!AA213</f>
        <v>0</v>
      </c>
      <c r="L217" s="595">
        <f>'Прилож 4 24 (7)'!AB213</f>
        <v>0</v>
      </c>
      <c r="M217" s="876">
        <f t="shared" si="33"/>
        <v>0</v>
      </c>
      <c r="N217" s="875"/>
      <c r="O217" s="875"/>
      <c r="P217" s="875"/>
      <c r="Q217" s="877"/>
      <c r="R217" s="875"/>
      <c r="S217" s="875"/>
      <c r="T217" s="875"/>
      <c r="U217" s="876">
        <f t="shared" si="37"/>
        <v>600000</v>
      </c>
      <c r="V217" s="875">
        <f t="shared" si="37"/>
        <v>600000</v>
      </c>
      <c r="W217" s="875">
        <f t="shared" si="34"/>
        <v>0</v>
      </c>
      <c r="X217" s="875">
        <f t="shared" si="34"/>
        <v>0</v>
      </c>
      <c r="Y217" s="883"/>
      <c r="Z217" s="875">
        <f t="shared" si="36"/>
        <v>0</v>
      </c>
      <c r="AA217" s="875">
        <f t="shared" si="35"/>
        <v>0</v>
      </c>
      <c r="AB217" s="875">
        <f t="shared" si="35"/>
        <v>0</v>
      </c>
      <c r="AC217" s="878"/>
    </row>
    <row r="218" spans="1:30" s="614" customFormat="1" x14ac:dyDescent="0.2">
      <c r="A218" s="630" t="s">
        <v>786</v>
      </c>
      <c r="B218" s="631"/>
      <c r="C218" s="624"/>
      <c r="D218" s="624"/>
      <c r="E218" s="596">
        <f t="shared" si="38"/>
        <v>600000</v>
      </c>
      <c r="F218" s="595">
        <f>'Прилож 4 24 (7)'!V214</f>
        <v>600000</v>
      </c>
      <c r="G218" s="595">
        <f>'Прилож 4 24 (7)'!W214</f>
        <v>0</v>
      </c>
      <c r="H218" s="595">
        <f>'Прилож 4 24 (7)'!X214</f>
        <v>0</v>
      </c>
      <c r="I218" s="626"/>
      <c r="J218" s="595">
        <f>'Прилож 4 24 (7)'!Z214</f>
        <v>0</v>
      </c>
      <c r="K218" s="595">
        <f>'Прилож 4 24 (7)'!AA214</f>
        <v>0</v>
      </c>
      <c r="L218" s="595">
        <f>'Прилож 4 24 (7)'!AB214</f>
        <v>0</v>
      </c>
      <c r="M218" s="876">
        <f t="shared" si="33"/>
        <v>0</v>
      </c>
      <c r="N218" s="876"/>
      <c r="O218" s="876"/>
      <c r="P218" s="876"/>
      <c r="Q218" s="881"/>
      <c r="R218" s="876"/>
      <c r="S218" s="876"/>
      <c r="T218" s="876"/>
      <c r="U218" s="876">
        <f t="shared" si="37"/>
        <v>600000</v>
      </c>
      <c r="V218" s="875">
        <f t="shared" si="37"/>
        <v>600000</v>
      </c>
      <c r="W218" s="875">
        <f t="shared" si="34"/>
        <v>0</v>
      </c>
      <c r="X218" s="875">
        <f t="shared" si="34"/>
        <v>0</v>
      </c>
      <c r="Y218" s="881"/>
      <c r="Z218" s="875">
        <f t="shared" si="36"/>
        <v>0</v>
      </c>
      <c r="AA218" s="875">
        <f t="shared" si="35"/>
        <v>0</v>
      </c>
      <c r="AB218" s="875">
        <f t="shared" si="35"/>
        <v>0</v>
      </c>
    </row>
    <row r="219" spans="1:30" x14ac:dyDescent="0.2">
      <c r="A219" s="618" t="s">
        <v>621</v>
      </c>
      <c r="B219" s="619" t="s">
        <v>747</v>
      </c>
      <c r="C219" s="620">
        <v>244</v>
      </c>
      <c r="D219" s="620">
        <v>343</v>
      </c>
      <c r="E219" s="596">
        <f t="shared" si="38"/>
        <v>256</v>
      </c>
      <c r="F219" s="595">
        <f>'Прилож 4 24 (7)'!V215</f>
        <v>0</v>
      </c>
      <c r="G219" s="595">
        <f>'Прилож 4 24 (7)'!W215</f>
        <v>0</v>
      </c>
      <c r="H219" s="595">
        <f>'Прилож 4 24 (7)'!X215</f>
        <v>256</v>
      </c>
      <c r="I219" s="628"/>
      <c r="J219" s="595">
        <f>'Прилож 4 24 (7)'!Z215</f>
        <v>0</v>
      </c>
      <c r="K219" s="595">
        <f>'Прилож 4 24 (7)'!AA215</f>
        <v>0</v>
      </c>
      <c r="L219" s="595">
        <f>'Прилож 4 24 (7)'!AB215</f>
        <v>0</v>
      </c>
      <c r="M219" s="876">
        <f t="shared" si="33"/>
        <v>0</v>
      </c>
      <c r="N219" s="875"/>
      <c r="O219" s="875"/>
      <c r="P219" s="875"/>
      <c r="Q219" s="877"/>
      <c r="R219" s="875"/>
      <c r="S219" s="875"/>
      <c r="T219" s="875"/>
      <c r="U219" s="876">
        <f t="shared" si="37"/>
        <v>256</v>
      </c>
      <c r="V219" s="875">
        <f t="shared" si="37"/>
        <v>0</v>
      </c>
      <c r="W219" s="875">
        <f t="shared" si="34"/>
        <v>0</v>
      </c>
      <c r="X219" s="875">
        <f t="shared" si="34"/>
        <v>256</v>
      </c>
      <c r="Y219" s="883"/>
      <c r="Z219" s="875">
        <f t="shared" si="36"/>
        <v>0</v>
      </c>
      <c r="AA219" s="875">
        <f t="shared" si="35"/>
        <v>0</v>
      </c>
      <c r="AB219" s="875">
        <f t="shared" si="35"/>
        <v>0</v>
      </c>
      <c r="AC219" s="879"/>
    </row>
    <row r="220" spans="1:30" x14ac:dyDescent="0.2">
      <c r="A220" s="618" t="s">
        <v>1145</v>
      </c>
      <c r="B220" s="619" t="s">
        <v>729</v>
      </c>
      <c r="C220" s="620">
        <v>244</v>
      </c>
      <c r="D220" s="620">
        <v>343</v>
      </c>
      <c r="E220" s="596">
        <f t="shared" si="38"/>
        <v>200512</v>
      </c>
      <c r="F220" s="595">
        <f>'Прилож 4 24 (7)'!V216</f>
        <v>200000</v>
      </c>
      <c r="G220" s="595">
        <f>'Прилож 4 24 (7)'!W216</f>
        <v>0</v>
      </c>
      <c r="H220" s="595">
        <f>'Прилож 4 24 (7)'!X216</f>
        <v>512</v>
      </c>
      <c r="I220" s="628"/>
      <c r="J220" s="595">
        <f>'Прилож 4 24 (7)'!Z216</f>
        <v>0</v>
      </c>
      <c r="K220" s="595">
        <f>'Прилож 4 24 (7)'!AA216</f>
        <v>0</v>
      </c>
      <c r="L220" s="595">
        <f>'Прилож 4 24 (7)'!AB216</f>
        <v>0</v>
      </c>
      <c r="M220" s="876">
        <f t="shared" si="33"/>
        <v>0</v>
      </c>
      <c r="N220" s="875"/>
      <c r="O220" s="875"/>
      <c r="P220" s="875"/>
      <c r="Q220" s="877"/>
      <c r="R220" s="875"/>
      <c r="S220" s="875"/>
      <c r="T220" s="875"/>
      <c r="U220" s="876">
        <f t="shared" si="37"/>
        <v>200512</v>
      </c>
      <c r="V220" s="875">
        <f t="shared" si="37"/>
        <v>200000</v>
      </c>
      <c r="W220" s="875">
        <f t="shared" si="34"/>
        <v>0</v>
      </c>
      <c r="X220" s="875">
        <f t="shared" si="34"/>
        <v>512</v>
      </c>
      <c r="Y220" s="883"/>
      <c r="Z220" s="875">
        <f t="shared" si="36"/>
        <v>0</v>
      </c>
      <c r="AA220" s="875">
        <f t="shared" si="35"/>
        <v>0</v>
      </c>
      <c r="AB220" s="875">
        <f t="shared" si="35"/>
        <v>0</v>
      </c>
      <c r="AC220" s="879"/>
    </row>
    <row r="221" spans="1:30" s="614" customFormat="1" x14ac:dyDescent="0.2">
      <c r="A221" s="630" t="s">
        <v>879</v>
      </c>
      <c r="B221" s="631"/>
      <c r="C221" s="624"/>
      <c r="D221" s="624"/>
      <c r="E221" s="596">
        <f t="shared" si="38"/>
        <v>200768</v>
      </c>
      <c r="F221" s="595">
        <f>'Прилож 4 24 (7)'!V217</f>
        <v>200000</v>
      </c>
      <c r="G221" s="595">
        <f>'Прилож 4 24 (7)'!W217</f>
        <v>0</v>
      </c>
      <c r="H221" s="595">
        <f>'Прилож 4 24 (7)'!X217</f>
        <v>768</v>
      </c>
      <c r="I221" s="626"/>
      <c r="J221" s="595">
        <f>'Прилож 4 24 (7)'!Z217</f>
        <v>0</v>
      </c>
      <c r="K221" s="595">
        <f>'Прилож 4 24 (7)'!AA217</f>
        <v>0</v>
      </c>
      <c r="L221" s="595">
        <f>'Прилож 4 24 (7)'!AB217</f>
        <v>0</v>
      </c>
      <c r="M221" s="876">
        <f t="shared" si="33"/>
        <v>0</v>
      </c>
      <c r="N221" s="876">
        <f>SUM(N219:N220)</f>
        <v>0</v>
      </c>
      <c r="O221" s="876"/>
      <c r="P221" s="876">
        <f>SUM(P219:P220)</f>
        <v>0</v>
      </c>
      <c r="Q221" s="881"/>
      <c r="R221" s="876"/>
      <c r="S221" s="876"/>
      <c r="T221" s="876"/>
      <c r="U221" s="876">
        <f t="shared" si="37"/>
        <v>200768</v>
      </c>
      <c r="V221" s="875">
        <f t="shared" si="37"/>
        <v>200000</v>
      </c>
      <c r="W221" s="875">
        <f t="shared" si="34"/>
        <v>0</v>
      </c>
      <c r="X221" s="875">
        <f t="shared" si="34"/>
        <v>768</v>
      </c>
      <c r="Y221" s="881"/>
      <c r="Z221" s="875">
        <f t="shared" si="36"/>
        <v>0</v>
      </c>
      <c r="AA221" s="875">
        <f t="shared" si="35"/>
        <v>0</v>
      </c>
      <c r="AB221" s="875">
        <f t="shared" si="35"/>
        <v>0</v>
      </c>
      <c r="AC221" s="879"/>
    </row>
    <row r="222" spans="1:30" s="614" customFormat="1" ht="31.5" x14ac:dyDescent="0.2">
      <c r="A222" s="618" t="s">
        <v>941</v>
      </c>
      <c r="B222" s="619" t="s">
        <v>729</v>
      </c>
      <c r="C222" s="620">
        <v>244</v>
      </c>
      <c r="D222" s="620">
        <v>344</v>
      </c>
      <c r="E222" s="596">
        <f t="shared" si="38"/>
        <v>4892</v>
      </c>
      <c r="F222" s="595">
        <f>'Прилож 4 24 (7)'!V218</f>
        <v>0</v>
      </c>
      <c r="G222" s="595">
        <f>'Прилож 4 24 (7)'!W218</f>
        <v>0</v>
      </c>
      <c r="H222" s="595">
        <f>'Прилож 4 24 (7)'!X218</f>
        <v>4892</v>
      </c>
      <c r="I222" s="628"/>
      <c r="J222" s="595">
        <f>'Прилож 4 24 (7)'!Z218</f>
        <v>0</v>
      </c>
      <c r="K222" s="595">
        <f>'Прилож 4 24 (7)'!AA218</f>
        <v>0</v>
      </c>
      <c r="L222" s="595">
        <f>'Прилож 4 24 (7)'!AB218</f>
        <v>0</v>
      </c>
      <c r="M222" s="876">
        <f t="shared" si="33"/>
        <v>-4892</v>
      </c>
      <c r="N222" s="876"/>
      <c r="O222" s="876"/>
      <c r="P222" s="875">
        <v>-4892</v>
      </c>
      <c r="Q222" s="883"/>
      <c r="R222" s="876"/>
      <c r="S222" s="876"/>
      <c r="T222" s="875"/>
      <c r="U222" s="876">
        <f t="shared" ref="U222:V252" si="39">E222+M222</f>
        <v>0</v>
      </c>
      <c r="V222" s="875">
        <f t="shared" si="39"/>
        <v>0</v>
      </c>
      <c r="W222" s="875">
        <f t="shared" si="34"/>
        <v>0</v>
      </c>
      <c r="X222" s="875">
        <f t="shared" si="34"/>
        <v>0</v>
      </c>
      <c r="Y222" s="883"/>
      <c r="Z222" s="875">
        <f t="shared" si="36"/>
        <v>0</v>
      </c>
      <c r="AA222" s="875">
        <f t="shared" si="35"/>
        <v>0</v>
      </c>
      <c r="AB222" s="875">
        <f t="shared" si="35"/>
        <v>0</v>
      </c>
      <c r="AC222" s="878" t="s">
        <v>1504</v>
      </c>
    </row>
    <row r="223" spans="1:30" s="614" customFormat="1" x14ac:dyDescent="0.2">
      <c r="A223" s="630" t="s">
        <v>942</v>
      </c>
      <c r="B223" s="631"/>
      <c r="C223" s="624"/>
      <c r="D223" s="624"/>
      <c r="E223" s="596">
        <f t="shared" si="38"/>
        <v>4892</v>
      </c>
      <c r="F223" s="595">
        <f>'Прилож 4 24 (7)'!V219</f>
        <v>0</v>
      </c>
      <c r="G223" s="595">
        <f>'Прилож 4 24 (7)'!W219</f>
        <v>0</v>
      </c>
      <c r="H223" s="595">
        <f>'Прилож 4 24 (7)'!X219</f>
        <v>4892</v>
      </c>
      <c r="I223" s="626"/>
      <c r="J223" s="595">
        <f>'Прилож 4 24 (7)'!Z219</f>
        <v>0</v>
      </c>
      <c r="K223" s="595">
        <f>'Прилож 4 24 (7)'!AA219</f>
        <v>0</v>
      </c>
      <c r="L223" s="595">
        <f>'Прилож 4 24 (7)'!AB219</f>
        <v>0</v>
      </c>
      <c r="M223" s="876">
        <f t="shared" si="33"/>
        <v>-4892</v>
      </c>
      <c r="N223" s="876"/>
      <c r="O223" s="876"/>
      <c r="P223" s="876">
        <f>P222</f>
        <v>-4892</v>
      </c>
      <c r="Q223" s="881"/>
      <c r="R223" s="876"/>
      <c r="S223" s="876"/>
      <c r="T223" s="876"/>
      <c r="U223" s="876">
        <f t="shared" si="39"/>
        <v>0</v>
      </c>
      <c r="V223" s="875">
        <f t="shared" si="39"/>
        <v>0</v>
      </c>
      <c r="W223" s="875">
        <f t="shared" si="34"/>
        <v>0</v>
      </c>
      <c r="X223" s="875">
        <f t="shared" si="34"/>
        <v>0</v>
      </c>
      <c r="Y223" s="881"/>
      <c r="Z223" s="875">
        <f t="shared" si="36"/>
        <v>0</v>
      </c>
      <c r="AA223" s="875">
        <f t="shared" si="35"/>
        <v>0</v>
      </c>
      <c r="AB223" s="875">
        <f t="shared" si="35"/>
        <v>0</v>
      </c>
      <c r="AC223" s="895"/>
    </row>
    <row r="224" spans="1:30" x14ac:dyDescent="0.2">
      <c r="A224" s="618" t="s">
        <v>169</v>
      </c>
      <c r="B224" s="619" t="s">
        <v>747</v>
      </c>
      <c r="C224" s="620">
        <v>244</v>
      </c>
      <c r="D224" s="620">
        <v>345</v>
      </c>
      <c r="E224" s="596">
        <f t="shared" si="38"/>
        <v>20000</v>
      </c>
      <c r="F224" s="595">
        <f>'Прилож 4 24 (7)'!V220</f>
        <v>0</v>
      </c>
      <c r="G224" s="595">
        <f>'Прилож 4 24 (7)'!W220</f>
        <v>0</v>
      </c>
      <c r="H224" s="595">
        <f>'Прилож 4 24 (7)'!X220</f>
        <v>0</v>
      </c>
      <c r="I224" s="628"/>
      <c r="J224" s="595">
        <f>'Прилож 4 24 (7)'!Z220</f>
        <v>0</v>
      </c>
      <c r="K224" s="595">
        <f>'Прилож 4 24 (7)'!AA220</f>
        <v>0</v>
      </c>
      <c r="L224" s="595">
        <f>'Прилож 4 24 (7)'!AB220</f>
        <v>20000</v>
      </c>
      <c r="M224" s="876">
        <f t="shared" si="33"/>
        <v>-1570</v>
      </c>
      <c r="N224" s="875"/>
      <c r="O224" s="875"/>
      <c r="P224" s="875"/>
      <c r="Q224" s="877"/>
      <c r="R224" s="875"/>
      <c r="S224" s="875"/>
      <c r="T224" s="875">
        <v>-1570</v>
      </c>
      <c r="U224" s="876">
        <f t="shared" si="39"/>
        <v>18430</v>
      </c>
      <c r="V224" s="875">
        <f t="shared" si="39"/>
        <v>0</v>
      </c>
      <c r="W224" s="875">
        <f t="shared" si="34"/>
        <v>0</v>
      </c>
      <c r="X224" s="875">
        <f t="shared" si="34"/>
        <v>0</v>
      </c>
      <c r="Y224" s="883"/>
      <c r="Z224" s="875">
        <f t="shared" si="36"/>
        <v>0</v>
      </c>
      <c r="AA224" s="875">
        <f t="shared" si="35"/>
        <v>0</v>
      </c>
      <c r="AB224" s="875">
        <f t="shared" si="35"/>
        <v>18430</v>
      </c>
      <c r="AC224" s="878" t="s">
        <v>1354</v>
      </c>
    </row>
    <row r="225" spans="1:31" s="614" customFormat="1" ht="30" customHeight="1" x14ac:dyDescent="0.2">
      <c r="A225" s="630" t="s">
        <v>743</v>
      </c>
      <c r="B225" s="631"/>
      <c r="C225" s="624"/>
      <c r="D225" s="624"/>
      <c r="E225" s="596">
        <f t="shared" si="38"/>
        <v>20000</v>
      </c>
      <c r="F225" s="595">
        <f>'Прилож 4 24 (7)'!V221</f>
        <v>0</v>
      </c>
      <c r="G225" s="595">
        <f>'Прилож 4 24 (7)'!W221</f>
        <v>0</v>
      </c>
      <c r="H225" s="595">
        <f>'Прилож 4 24 (7)'!X221</f>
        <v>0</v>
      </c>
      <c r="I225" s="626"/>
      <c r="J225" s="595">
        <f>'Прилож 4 24 (7)'!Z221</f>
        <v>0</v>
      </c>
      <c r="K225" s="595">
        <f>'Прилож 4 24 (7)'!AA221</f>
        <v>0</v>
      </c>
      <c r="L225" s="595">
        <f>'Прилож 4 24 (7)'!AB221</f>
        <v>20000</v>
      </c>
      <c r="M225" s="876">
        <f t="shared" si="33"/>
        <v>-1570</v>
      </c>
      <c r="N225" s="876"/>
      <c r="O225" s="876"/>
      <c r="P225" s="876"/>
      <c r="Q225" s="881"/>
      <c r="R225" s="876"/>
      <c r="S225" s="876"/>
      <c r="T225" s="876">
        <f>T224</f>
        <v>-1570</v>
      </c>
      <c r="U225" s="876">
        <f t="shared" si="39"/>
        <v>18430</v>
      </c>
      <c r="V225" s="875">
        <f t="shared" si="39"/>
        <v>0</v>
      </c>
      <c r="W225" s="875">
        <f t="shared" si="34"/>
        <v>0</v>
      </c>
      <c r="X225" s="875">
        <f t="shared" si="34"/>
        <v>0</v>
      </c>
      <c r="Y225" s="881"/>
      <c r="Z225" s="875">
        <f t="shared" si="36"/>
        <v>0</v>
      </c>
      <c r="AA225" s="875">
        <f t="shared" si="35"/>
        <v>0</v>
      </c>
      <c r="AB225" s="875">
        <f t="shared" si="35"/>
        <v>18430</v>
      </c>
      <c r="AC225" s="879"/>
    </row>
    <row r="226" spans="1:31" ht="50.25" customHeight="1" x14ac:dyDescent="0.2">
      <c r="A226" s="618" t="s">
        <v>1301</v>
      </c>
      <c r="B226" s="619" t="s">
        <v>747</v>
      </c>
      <c r="C226" s="620">
        <v>244</v>
      </c>
      <c r="D226" s="620">
        <v>346</v>
      </c>
      <c r="E226" s="596">
        <f t="shared" si="38"/>
        <v>253362.76</v>
      </c>
      <c r="F226" s="595">
        <f>'Прилож 4 24 (7)'!V222</f>
        <v>80000</v>
      </c>
      <c r="G226" s="595">
        <f>'Прилож 4 24 (7)'!W222</f>
        <v>0</v>
      </c>
      <c r="H226" s="595">
        <f>'Прилож 4 24 (7)'!X222</f>
        <v>128215.05</v>
      </c>
      <c r="I226" s="621"/>
      <c r="J226" s="595">
        <f>'Прилож 4 24 (7)'!Z222</f>
        <v>0</v>
      </c>
      <c r="K226" s="595">
        <f>'Прилож 4 24 (7)'!AA222</f>
        <v>0</v>
      </c>
      <c r="L226" s="595">
        <f>'Прилож 4 24 (7)'!AB222</f>
        <v>45147.71</v>
      </c>
      <c r="M226" s="876">
        <f t="shared" si="33"/>
        <v>-60280</v>
      </c>
      <c r="N226" s="875"/>
      <c r="O226" s="875"/>
      <c r="P226" s="875">
        <v>-61850</v>
      </c>
      <c r="Q226" s="877"/>
      <c r="R226" s="875"/>
      <c r="S226" s="875"/>
      <c r="T226" s="875">
        <v>1570</v>
      </c>
      <c r="U226" s="876">
        <f t="shared" si="39"/>
        <v>193082.76</v>
      </c>
      <c r="V226" s="875">
        <f t="shared" si="39"/>
        <v>80000</v>
      </c>
      <c r="W226" s="875">
        <f t="shared" si="34"/>
        <v>0</v>
      </c>
      <c r="X226" s="875">
        <f t="shared" si="34"/>
        <v>66365.05</v>
      </c>
      <c r="Y226" s="877"/>
      <c r="Z226" s="875">
        <f t="shared" si="36"/>
        <v>0</v>
      </c>
      <c r="AA226" s="875">
        <f t="shared" si="35"/>
        <v>0</v>
      </c>
      <c r="AB226" s="875">
        <f t="shared" si="35"/>
        <v>46717.71</v>
      </c>
      <c r="AC226" s="878" t="s">
        <v>1505</v>
      </c>
    </row>
    <row r="227" spans="1:31" ht="90" customHeight="1" x14ac:dyDescent="0.2">
      <c r="A227" s="618" t="s">
        <v>1311</v>
      </c>
      <c r="B227" s="619" t="s">
        <v>747</v>
      </c>
      <c r="C227" s="620">
        <v>244</v>
      </c>
      <c r="D227" s="620">
        <v>346</v>
      </c>
      <c r="E227" s="596">
        <f t="shared" si="38"/>
        <v>1130430.01</v>
      </c>
      <c r="F227" s="595">
        <f>'Прилож 4 24 (7)'!V223</f>
        <v>1130430.01</v>
      </c>
      <c r="G227" s="595">
        <f>'Прилож 4 24 (7)'!W223</f>
        <v>0</v>
      </c>
      <c r="H227" s="595">
        <f>'Прилож 4 24 (7)'!X223</f>
        <v>0</v>
      </c>
      <c r="I227" s="621"/>
      <c r="J227" s="595">
        <f>'Прилож 4 24 (7)'!Z223</f>
        <v>0</v>
      </c>
      <c r="K227" s="595">
        <f>'Прилож 4 24 (7)'!AA223</f>
        <v>0</v>
      </c>
      <c r="L227" s="595">
        <f>'Прилож 4 24 (7)'!AB223</f>
        <v>0</v>
      </c>
      <c r="M227" s="876">
        <f t="shared" si="33"/>
        <v>-41557.81</v>
      </c>
      <c r="N227" s="875">
        <v>-41557.81</v>
      </c>
      <c r="O227" s="875"/>
      <c r="P227" s="875"/>
      <c r="Q227" s="877"/>
      <c r="R227" s="875"/>
      <c r="S227" s="875"/>
      <c r="T227" s="875"/>
      <c r="U227" s="876">
        <f t="shared" si="39"/>
        <v>1088872.2</v>
      </c>
      <c r="V227" s="875">
        <f t="shared" si="39"/>
        <v>1088872.2</v>
      </c>
      <c r="W227" s="875">
        <f t="shared" si="34"/>
        <v>0</v>
      </c>
      <c r="X227" s="875">
        <f t="shared" si="34"/>
        <v>0</v>
      </c>
      <c r="Y227" s="877"/>
      <c r="Z227" s="875">
        <f t="shared" si="36"/>
        <v>0</v>
      </c>
      <c r="AA227" s="875">
        <f t="shared" si="35"/>
        <v>0</v>
      </c>
      <c r="AB227" s="875">
        <f t="shared" si="35"/>
        <v>0</v>
      </c>
      <c r="AC227" s="878" t="s">
        <v>1506</v>
      </c>
      <c r="AD227" s="820"/>
    </row>
    <row r="228" spans="1:31" ht="32.25" customHeight="1" x14ac:dyDescent="0.2">
      <c r="A228" s="618" t="s">
        <v>1419</v>
      </c>
      <c r="B228" s="619" t="s">
        <v>747</v>
      </c>
      <c r="C228" s="620">
        <v>244</v>
      </c>
      <c r="D228" s="620">
        <v>346</v>
      </c>
      <c r="E228" s="596">
        <f t="shared" si="38"/>
        <v>30000</v>
      </c>
      <c r="F228" s="595">
        <f>'Прилож 4 24 (7)'!V224</f>
        <v>30000</v>
      </c>
      <c r="G228" s="595">
        <f>'Прилож 4 24 (7)'!W224</f>
        <v>0</v>
      </c>
      <c r="H228" s="595">
        <f>'Прилож 4 24 (7)'!X224</f>
        <v>0</v>
      </c>
      <c r="I228" s="621"/>
      <c r="J228" s="595">
        <f>'Прилож 4 24 (7)'!Z224</f>
        <v>0</v>
      </c>
      <c r="K228" s="595">
        <f>'Прилож 4 24 (7)'!AA224</f>
        <v>0</v>
      </c>
      <c r="L228" s="595">
        <f>'Прилож 4 24 (7)'!AB224</f>
        <v>0</v>
      </c>
      <c r="M228" s="876">
        <f t="shared" ref="M228:M232" si="40">N228+P228+R228+S228+T228+O228</f>
        <v>0</v>
      </c>
      <c r="N228" s="875"/>
      <c r="O228" s="875"/>
      <c r="P228" s="875"/>
      <c r="Q228" s="877"/>
      <c r="R228" s="875"/>
      <c r="S228" s="875"/>
      <c r="T228" s="875"/>
      <c r="U228" s="876">
        <f t="shared" si="39"/>
        <v>30000</v>
      </c>
      <c r="V228" s="875">
        <f t="shared" si="39"/>
        <v>30000</v>
      </c>
      <c r="W228" s="875">
        <f t="shared" si="34"/>
        <v>0</v>
      </c>
      <c r="X228" s="875">
        <f t="shared" si="34"/>
        <v>0</v>
      </c>
      <c r="Y228" s="877"/>
      <c r="Z228" s="875">
        <f t="shared" si="36"/>
        <v>0</v>
      </c>
      <c r="AA228" s="875">
        <f t="shared" si="35"/>
        <v>0</v>
      </c>
      <c r="AB228" s="875">
        <f t="shared" si="35"/>
        <v>0</v>
      </c>
      <c r="AC228" s="878"/>
      <c r="AD228" s="820"/>
    </row>
    <row r="229" spans="1:31" ht="33" customHeight="1" x14ac:dyDescent="0.2">
      <c r="A229" s="618" t="s">
        <v>1293</v>
      </c>
      <c r="B229" s="619" t="s">
        <v>747</v>
      </c>
      <c r="C229" s="620">
        <v>244</v>
      </c>
      <c r="D229" s="620">
        <v>346</v>
      </c>
      <c r="E229" s="596">
        <f t="shared" si="38"/>
        <v>12000</v>
      </c>
      <c r="F229" s="595">
        <f>'Прилож 4 24 (7)'!V225</f>
        <v>0</v>
      </c>
      <c r="G229" s="595">
        <f>'Прилож 4 24 (7)'!W225</f>
        <v>0</v>
      </c>
      <c r="H229" s="595">
        <f>'Прилож 4 24 (7)'!X225</f>
        <v>0</v>
      </c>
      <c r="I229" s="621"/>
      <c r="J229" s="595">
        <f>'Прилож 4 24 (7)'!Z225</f>
        <v>0</v>
      </c>
      <c r="K229" s="595">
        <f>'Прилож 4 24 (7)'!AA225</f>
        <v>0</v>
      </c>
      <c r="L229" s="595">
        <f>'Прилож 4 24 (7)'!AB225</f>
        <v>12000</v>
      </c>
      <c r="M229" s="876">
        <f t="shared" si="40"/>
        <v>0</v>
      </c>
      <c r="N229" s="875"/>
      <c r="O229" s="875"/>
      <c r="P229" s="875"/>
      <c r="Q229" s="877"/>
      <c r="R229" s="875"/>
      <c r="S229" s="875"/>
      <c r="T229" s="875"/>
      <c r="U229" s="876">
        <f t="shared" si="39"/>
        <v>12000</v>
      </c>
      <c r="V229" s="875">
        <f t="shared" si="39"/>
        <v>0</v>
      </c>
      <c r="W229" s="875">
        <f t="shared" si="34"/>
        <v>0</v>
      </c>
      <c r="X229" s="875">
        <f t="shared" si="34"/>
        <v>0</v>
      </c>
      <c r="Y229" s="877"/>
      <c r="Z229" s="875">
        <f t="shared" si="36"/>
        <v>0</v>
      </c>
      <c r="AA229" s="875">
        <f t="shared" si="35"/>
        <v>0</v>
      </c>
      <c r="AB229" s="875">
        <f t="shared" si="35"/>
        <v>12000</v>
      </c>
      <c r="AC229" s="878"/>
      <c r="AD229" s="820"/>
    </row>
    <row r="230" spans="1:31" s="637" customFormat="1" ht="19.5" customHeight="1" x14ac:dyDescent="0.2">
      <c r="A230" s="632" t="s">
        <v>1143</v>
      </c>
      <c r="B230" s="633" t="s">
        <v>747</v>
      </c>
      <c r="C230" s="634">
        <v>244</v>
      </c>
      <c r="D230" s="634">
        <v>346</v>
      </c>
      <c r="E230" s="596">
        <f t="shared" si="38"/>
        <v>1425792.77</v>
      </c>
      <c r="F230" s="595">
        <f>'Прилож 4 24 (7)'!V226</f>
        <v>1240430.01</v>
      </c>
      <c r="G230" s="595">
        <f>'Прилож 4 24 (7)'!W226</f>
        <v>0</v>
      </c>
      <c r="H230" s="595">
        <f>'Прилож 4 24 (7)'!X226</f>
        <v>128215.05</v>
      </c>
      <c r="I230" s="597">
        <f>SUM(I226:I229)</f>
        <v>0</v>
      </c>
      <c r="J230" s="595">
        <f>'Прилож 4 24 (7)'!Z226</f>
        <v>0</v>
      </c>
      <c r="K230" s="595">
        <f>'Прилож 4 24 (7)'!AA226</f>
        <v>0</v>
      </c>
      <c r="L230" s="595">
        <f>'Прилож 4 24 (7)'!AB226</f>
        <v>57147.71</v>
      </c>
      <c r="M230" s="876">
        <f t="shared" si="40"/>
        <v>-101837.81</v>
      </c>
      <c r="N230" s="876">
        <f>SUM(N226:N229)</f>
        <v>-41557.81</v>
      </c>
      <c r="O230" s="876"/>
      <c r="P230" s="876">
        <f>SUM(P226:P229)</f>
        <v>-61850</v>
      </c>
      <c r="Q230" s="876"/>
      <c r="R230" s="876"/>
      <c r="S230" s="876"/>
      <c r="T230" s="876">
        <f>SUM(T226:T229)</f>
        <v>1570</v>
      </c>
      <c r="U230" s="876">
        <f t="shared" si="39"/>
        <v>1323954.96</v>
      </c>
      <c r="V230" s="875">
        <f t="shared" si="39"/>
        <v>1198872.2</v>
      </c>
      <c r="W230" s="875">
        <f t="shared" si="34"/>
        <v>0</v>
      </c>
      <c r="X230" s="875">
        <f t="shared" si="34"/>
        <v>66365.05</v>
      </c>
      <c r="Y230" s="884">
        <f>SUM(Y226:Y229)</f>
        <v>0</v>
      </c>
      <c r="Z230" s="875">
        <f t="shared" si="36"/>
        <v>0</v>
      </c>
      <c r="AA230" s="875">
        <f t="shared" si="35"/>
        <v>0</v>
      </c>
      <c r="AB230" s="875">
        <f t="shared" si="35"/>
        <v>58717.71</v>
      </c>
      <c r="AC230" s="886"/>
      <c r="AD230" s="819"/>
      <c r="AE230" s="819"/>
    </row>
    <row r="231" spans="1:31" ht="42" customHeight="1" x14ac:dyDescent="0.2">
      <c r="A231" s="618" t="s">
        <v>1423</v>
      </c>
      <c r="B231" s="619" t="s">
        <v>729</v>
      </c>
      <c r="C231" s="620">
        <v>244</v>
      </c>
      <c r="D231" s="620">
        <v>346</v>
      </c>
      <c r="E231" s="596">
        <f t="shared" si="38"/>
        <v>102423.97</v>
      </c>
      <c r="F231" s="595">
        <f>'Прилож 4 24 (7)'!V227</f>
        <v>0</v>
      </c>
      <c r="G231" s="595">
        <f>'Прилож 4 24 (7)'!W227</f>
        <v>0</v>
      </c>
      <c r="H231" s="595">
        <f>'Прилож 4 24 (7)'!X227</f>
        <v>87913.900000000009</v>
      </c>
      <c r="I231" s="621"/>
      <c r="J231" s="595">
        <f>'Прилож 4 24 (7)'!Z227</f>
        <v>0</v>
      </c>
      <c r="K231" s="595">
        <f>'Прилож 4 24 (7)'!AA227</f>
        <v>0</v>
      </c>
      <c r="L231" s="595">
        <f>'Прилож 4 24 (7)'!AB227</f>
        <v>14510.07</v>
      </c>
      <c r="M231" s="876">
        <f t="shared" si="40"/>
        <v>4892</v>
      </c>
      <c r="N231" s="875"/>
      <c r="O231" s="875"/>
      <c r="P231" s="875">
        <v>4892</v>
      </c>
      <c r="Q231" s="877"/>
      <c r="R231" s="875"/>
      <c r="S231" s="875"/>
      <c r="T231" s="875"/>
      <c r="U231" s="876">
        <f t="shared" si="39"/>
        <v>107315.97</v>
      </c>
      <c r="V231" s="875">
        <f t="shared" si="39"/>
        <v>0</v>
      </c>
      <c r="W231" s="875">
        <f t="shared" si="34"/>
        <v>0</v>
      </c>
      <c r="X231" s="875">
        <f t="shared" si="34"/>
        <v>92805.900000000009</v>
      </c>
      <c r="Y231" s="877"/>
      <c r="Z231" s="875">
        <f t="shared" si="36"/>
        <v>0</v>
      </c>
      <c r="AA231" s="875">
        <f t="shared" si="35"/>
        <v>0</v>
      </c>
      <c r="AB231" s="875">
        <f t="shared" si="35"/>
        <v>14510.07</v>
      </c>
      <c r="AC231" s="878" t="s">
        <v>1458</v>
      </c>
    </row>
    <row r="232" spans="1:31" ht="33" customHeight="1" x14ac:dyDescent="0.2">
      <c r="A232" s="618" t="s">
        <v>617</v>
      </c>
      <c r="B232" s="619" t="s">
        <v>729</v>
      </c>
      <c r="C232" s="620">
        <v>244</v>
      </c>
      <c r="D232" s="620">
        <v>346</v>
      </c>
      <c r="E232" s="596">
        <f t="shared" si="38"/>
        <v>43015</v>
      </c>
      <c r="F232" s="595">
        <f>'Прилож 4 24 (7)'!V228</f>
        <v>0</v>
      </c>
      <c r="G232" s="595">
        <f>'Прилож 4 24 (7)'!W228</f>
        <v>0</v>
      </c>
      <c r="H232" s="595">
        <f>'Прилож 4 24 (7)'!X228</f>
        <v>43015</v>
      </c>
      <c r="I232" s="621"/>
      <c r="J232" s="595">
        <f>'Прилож 4 24 (7)'!Z228</f>
        <v>0</v>
      </c>
      <c r="K232" s="595">
        <f>'Прилож 4 24 (7)'!AA228</f>
        <v>0</v>
      </c>
      <c r="L232" s="595">
        <f>'Прилож 4 24 (7)'!AB228</f>
        <v>0</v>
      </c>
      <c r="M232" s="876">
        <f t="shared" si="40"/>
        <v>0</v>
      </c>
      <c r="N232" s="875"/>
      <c r="O232" s="875"/>
      <c r="P232" s="875"/>
      <c r="Q232" s="877"/>
      <c r="R232" s="875"/>
      <c r="S232" s="875"/>
      <c r="T232" s="875"/>
      <c r="U232" s="876">
        <f t="shared" si="39"/>
        <v>43015</v>
      </c>
      <c r="V232" s="875">
        <f t="shared" si="39"/>
        <v>0</v>
      </c>
      <c r="W232" s="875">
        <f t="shared" si="34"/>
        <v>0</v>
      </c>
      <c r="X232" s="875">
        <f t="shared" si="34"/>
        <v>43015</v>
      </c>
      <c r="Y232" s="877"/>
      <c r="Z232" s="875">
        <f t="shared" si="36"/>
        <v>0</v>
      </c>
      <c r="AA232" s="875">
        <f t="shared" si="35"/>
        <v>0</v>
      </c>
      <c r="AB232" s="875">
        <f t="shared" si="35"/>
        <v>0</v>
      </c>
      <c r="AC232" s="878"/>
    </row>
    <row r="233" spans="1:31" ht="34.5" customHeight="1" x14ac:dyDescent="0.2">
      <c r="A233" s="618" t="s">
        <v>1427</v>
      </c>
      <c r="B233" s="619" t="s">
        <v>729</v>
      </c>
      <c r="C233" s="620">
        <v>244</v>
      </c>
      <c r="D233" s="620">
        <v>346</v>
      </c>
      <c r="E233" s="596">
        <f t="shared" si="38"/>
        <v>10000</v>
      </c>
      <c r="F233" s="595">
        <f>'Прилож 4 24 (7)'!V229</f>
        <v>10000</v>
      </c>
      <c r="G233" s="595">
        <f>'Прилож 4 24 (7)'!W229</f>
        <v>0</v>
      </c>
      <c r="H233" s="595">
        <f>'Прилож 4 24 (7)'!X229</f>
        <v>0</v>
      </c>
      <c r="I233" s="621"/>
      <c r="J233" s="595">
        <f>'Прилож 4 24 (7)'!Z229</f>
        <v>0</v>
      </c>
      <c r="K233" s="595">
        <f>'Прилож 4 24 (7)'!AA229</f>
        <v>0</v>
      </c>
      <c r="L233" s="595">
        <f>'Прилож 4 24 (7)'!AB229</f>
        <v>0</v>
      </c>
      <c r="M233" s="876"/>
      <c r="N233" s="875"/>
      <c r="O233" s="875"/>
      <c r="P233" s="875"/>
      <c r="Q233" s="877"/>
      <c r="R233" s="875"/>
      <c r="S233" s="875"/>
      <c r="T233" s="875"/>
      <c r="U233" s="876">
        <f t="shared" si="39"/>
        <v>10000</v>
      </c>
      <c r="V233" s="875">
        <f t="shared" si="39"/>
        <v>10000</v>
      </c>
      <c r="W233" s="875">
        <f t="shared" si="34"/>
        <v>0</v>
      </c>
      <c r="X233" s="875">
        <f t="shared" si="34"/>
        <v>0</v>
      </c>
      <c r="Y233" s="877"/>
      <c r="Z233" s="875">
        <f t="shared" si="36"/>
        <v>0</v>
      </c>
      <c r="AA233" s="875">
        <f t="shared" si="35"/>
        <v>0</v>
      </c>
      <c r="AB233" s="875">
        <f t="shared" si="35"/>
        <v>0</v>
      </c>
      <c r="AC233" s="878"/>
    </row>
    <row r="234" spans="1:31" ht="27.75" customHeight="1" x14ac:dyDescent="0.2">
      <c r="A234" s="618" t="s">
        <v>1285</v>
      </c>
      <c r="B234" s="619" t="s">
        <v>729</v>
      </c>
      <c r="C234" s="620">
        <v>244</v>
      </c>
      <c r="D234" s="620">
        <v>346</v>
      </c>
      <c r="E234" s="596">
        <f t="shared" si="38"/>
        <v>50000</v>
      </c>
      <c r="F234" s="595">
        <f>'Прилож 4 24 (7)'!V230</f>
        <v>50000</v>
      </c>
      <c r="G234" s="595">
        <f>'Прилож 4 24 (7)'!W230</f>
        <v>0</v>
      </c>
      <c r="H234" s="595">
        <f>'Прилож 4 24 (7)'!X230</f>
        <v>0</v>
      </c>
      <c r="I234" s="621"/>
      <c r="J234" s="595">
        <f>'Прилож 4 24 (7)'!Z230</f>
        <v>0</v>
      </c>
      <c r="K234" s="595">
        <f>'Прилож 4 24 (7)'!AA230</f>
        <v>0</v>
      </c>
      <c r="L234" s="595">
        <f>'Прилож 4 24 (7)'!AB230</f>
        <v>0</v>
      </c>
      <c r="M234" s="876">
        <f t="shared" ref="M234:M247" si="41">N234+P234+R234+S234+T234+O234</f>
        <v>0</v>
      </c>
      <c r="N234" s="875"/>
      <c r="O234" s="875"/>
      <c r="P234" s="875"/>
      <c r="Q234" s="877"/>
      <c r="R234" s="875"/>
      <c r="S234" s="875"/>
      <c r="T234" s="875"/>
      <c r="U234" s="876">
        <f t="shared" si="39"/>
        <v>50000</v>
      </c>
      <c r="V234" s="875">
        <f t="shared" si="39"/>
        <v>50000</v>
      </c>
      <c r="W234" s="875">
        <f t="shared" si="34"/>
        <v>0</v>
      </c>
      <c r="X234" s="875">
        <f t="shared" si="34"/>
        <v>0</v>
      </c>
      <c r="Y234" s="877"/>
      <c r="Z234" s="875">
        <f t="shared" si="36"/>
        <v>0</v>
      </c>
      <c r="AA234" s="875">
        <f t="shared" si="35"/>
        <v>0</v>
      </c>
      <c r="AB234" s="875">
        <f t="shared" si="35"/>
        <v>0</v>
      </c>
      <c r="AC234" s="878"/>
    </row>
    <row r="235" spans="1:31" ht="37.5" customHeight="1" x14ac:dyDescent="0.2">
      <c r="A235" s="618" t="s">
        <v>1286</v>
      </c>
      <c r="B235" s="619" t="s">
        <v>729</v>
      </c>
      <c r="C235" s="620">
        <v>244</v>
      </c>
      <c r="D235" s="620">
        <v>346</v>
      </c>
      <c r="E235" s="596">
        <f t="shared" si="38"/>
        <v>90181.760000000009</v>
      </c>
      <c r="F235" s="595">
        <f>'Прилож 4 24 (7)'!V231</f>
        <v>90181.760000000009</v>
      </c>
      <c r="G235" s="595">
        <f>'Прилож 4 24 (7)'!W231</f>
        <v>0</v>
      </c>
      <c r="H235" s="595">
        <f>'Прилож 4 24 (7)'!X231</f>
        <v>0</v>
      </c>
      <c r="I235" s="621"/>
      <c r="J235" s="595">
        <f>'Прилож 4 24 (7)'!Z231</f>
        <v>0</v>
      </c>
      <c r="K235" s="595">
        <f>'Прилож 4 24 (7)'!AA231</f>
        <v>0</v>
      </c>
      <c r="L235" s="595">
        <f>'Прилож 4 24 (7)'!AB231</f>
        <v>0</v>
      </c>
      <c r="M235" s="876">
        <f t="shared" si="41"/>
        <v>0</v>
      </c>
      <c r="N235" s="875"/>
      <c r="O235" s="875"/>
      <c r="P235" s="875"/>
      <c r="Q235" s="877"/>
      <c r="R235" s="875"/>
      <c r="S235" s="875"/>
      <c r="T235" s="875"/>
      <c r="U235" s="876">
        <f t="shared" si="39"/>
        <v>90181.760000000009</v>
      </c>
      <c r="V235" s="875">
        <f t="shared" si="39"/>
        <v>90181.760000000009</v>
      </c>
      <c r="W235" s="875">
        <f t="shared" si="34"/>
        <v>0</v>
      </c>
      <c r="X235" s="875">
        <f t="shared" si="34"/>
        <v>0</v>
      </c>
      <c r="Y235" s="877"/>
      <c r="Z235" s="875">
        <f t="shared" si="36"/>
        <v>0</v>
      </c>
      <c r="AA235" s="875">
        <f t="shared" si="35"/>
        <v>0</v>
      </c>
      <c r="AB235" s="875">
        <f t="shared" si="35"/>
        <v>0</v>
      </c>
      <c r="AC235" s="878"/>
    </row>
    <row r="236" spans="1:31" ht="34.5" customHeight="1" x14ac:dyDescent="0.2">
      <c r="A236" s="618" t="s">
        <v>1421</v>
      </c>
      <c r="B236" s="619" t="s">
        <v>729</v>
      </c>
      <c r="C236" s="620">
        <v>244</v>
      </c>
      <c r="D236" s="620">
        <v>346</v>
      </c>
      <c r="E236" s="596">
        <f t="shared" si="38"/>
        <v>9550</v>
      </c>
      <c r="F236" s="595">
        <f>'Прилож 4 24 (7)'!V232</f>
        <v>9550</v>
      </c>
      <c r="G236" s="595">
        <f>'Прилож 4 24 (7)'!W232</f>
        <v>0</v>
      </c>
      <c r="H236" s="595">
        <f>'Прилож 4 24 (7)'!X232</f>
        <v>0</v>
      </c>
      <c r="I236" s="621"/>
      <c r="J236" s="595">
        <f>'Прилож 4 24 (7)'!Z232</f>
        <v>0</v>
      </c>
      <c r="K236" s="595">
        <f>'Прилож 4 24 (7)'!AA232</f>
        <v>0</v>
      </c>
      <c r="L236" s="595">
        <f>'Прилож 4 24 (7)'!AB232</f>
        <v>0</v>
      </c>
      <c r="M236" s="876">
        <f t="shared" si="41"/>
        <v>0</v>
      </c>
      <c r="N236" s="875"/>
      <c r="O236" s="875"/>
      <c r="P236" s="875"/>
      <c r="Q236" s="877"/>
      <c r="R236" s="875"/>
      <c r="S236" s="875"/>
      <c r="T236" s="875"/>
      <c r="U236" s="876">
        <f t="shared" si="39"/>
        <v>9550</v>
      </c>
      <c r="V236" s="875">
        <f t="shared" si="39"/>
        <v>9550</v>
      </c>
      <c r="W236" s="875"/>
      <c r="X236" s="875"/>
      <c r="Y236" s="877"/>
      <c r="Z236" s="875"/>
      <c r="AA236" s="875"/>
      <c r="AB236" s="875"/>
      <c r="AC236" s="878"/>
    </row>
    <row r="237" spans="1:31" ht="30" customHeight="1" x14ac:dyDescent="0.2">
      <c r="A237" s="618" t="s">
        <v>1422</v>
      </c>
      <c r="B237" s="619" t="s">
        <v>729</v>
      </c>
      <c r="C237" s="620">
        <v>244</v>
      </c>
      <c r="D237" s="620">
        <v>346</v>
      </c>
      <c r="E237" s="596">
        <f t="shared" si="38"/>
        <v>27035</v>
      </c>
      <c r="F237" s="595">
        <f>'Прилож 4 24 (7)'!V233</f>
        <v>27035</v>
      </c>
      <c r="G237" s="595">
        <f>'Прилож 4 24 (7)'!W233</f>
        <v>0</v>
      </c>
      <c r="H237" s="595">
        <f>'Прилож 4 24 (7)'!X233</f>
        <v>0</v>
      </c>
      <c r="I237" s="621"/>
      <c r="J237" s="595">
        <f>'Прилож 4 24 (7)'!Z233</f>
        <v>0</v>
      </c>
      <c r="K237" s="595">
        <f>'Прилож 4 24 (7)'!AA233</f>
        <v>0</v>
      </c>
      <c r="L237" s="595">
        <f>'Прилож 4 24 (7)'!AB233</f>
        <v>0</v>
      </c>
      <c r="M237" s="876">
        <f t="shared" si="41"/>
        <v>0</v>
      </c>
      <c r="N237" s="875"/>
      <c r="O237" s="875"/>
      <c r="P237" s="875"/>
      <c r="Q237" s="877"/>
      <c r="R237" s="875"/>
      <c r="S237" s="875"/>
      <c r="T237" s="875"/>
      <c r="U237" s="876">
        <f t="shared" si="39"/>
        <v>27035</v>
      </c>
      <c r="V237" s="875">
        <f t="shared" si="39"/>
        <v>27035</v>
      </c>
      <c r="W237" s="875">
        <f>O237+G237</f>
        <v>0</v>
      </c>
      <c r="X237" s="875">
        <f>P237+H237</f>
        <v>0</v>
      </c>
      <c r="Y237" s="877"/>
      <c r="Z237" s="875">
        <f>R237+J237</f>
        <v>0</v>
      </c>
      <c r="AA237" s="875">
        <f>S237+K237</f>
        <v>0</v>
      </c>
      <c r="AB237" s="875">
        <f>T237+L237</f>
        <v>0</v>
      </c>
      <c r="AC237" s="878"/>
    </row>
    <row r="238" spans="1:31" ht="39.75" customHeight="1" x14ac:dyDescent="0.2">
      <c r="A238" s="618" t="s">
        <v>1346</v>
      </c>
      <c r="B238" s="619" t="s">
        <v>729</v>
      </c>
      <c r="C238" s="620">
        <v>244</v>
      </c>
      <c r="D238" s="620">
        <v>346</v>
      </c>
      <c r="E238" s="596"/>
      <c r="F238" s="595"/>
      <c r="G238" s="595"/>
      <c r="H238" s="595"/>
      <c r="I238" s="621"/>
      <c r="J238" s="595"/>
      <c r="K238" s="595"/>
      <c r="L238" s="595"/>
      <c r="M238" s="876">
        <f t="shared" si="41"/>
        <v>31356</v>
      </c>
      <c r="N238" s="875">
        <f>30000+1356</f>
        <v>31356</v>
      </c>
      <c r="O238" s="875"/>
      <c r="P238" s="875"/>
      <c r="Q238" s="877"/>
      <c r="R238" s="875"/>
      <c r="S238" s="875"/>
      <c r="T238" s="875"/>
      <c r="U238" s="876">
        <f t="shared" si="39"/>
        <v>31356</v>
      </c>
      <c r="V238" s="875">
        <f t="shared" si="39"/>
        <v>31356</v>
      </c>
      <c r="W238" s="875"/>
      <c r="X238" s="875">
        <f t="shared" ref="X238:X250" si="42">P238+H238</f>
        <v>0</v>
      </c>
      <c r="Y238" s="877"/>
      <c r="Z238" s="875">
        <f t="shared" ref="Z238:AA252" si="43">R238+J238</f>
        <v>0</v>
      </c>
      <c r="AA238" s="875"/>
      <c r="AB238" s="875">
        <f t="shared" ref="AB238:AB257" si="44">T238+L238</f>
        <v>0</v>
      </c>
      <c r="AC238" s="878" t="s">
        <v>1507</v>
      </c>
    </row>
    <row r="239" spans="1:31" s="637" customFormat="1" ht="26.25" customHeight="1" x14ac:dyDescent="0.2">
      <c r="A239" s="632" t="s">
        <v>1143</v>
      </c>
      <c r="B239" s="619" t="s">
        <v>729</v>
      </c>
      <c r="C239" s="620">
        <v>244</v>
      </c>
      <c r="D239" s="620">
        <v>346</v>
      </c>
      <c r="E239" s="596">
        <f t="shared" ref="E239:E251" si="45">L239+K239+J239+H239+G239+F239</f>
        <v>332205.73</v>
      </c>
      <c r="F239" s="595">
        <f>'Прилож 4 24 (7)'!V234</f>
        <v>186766.76</v>
      </c>
      <c r="G239" s="595">
        <f>'Прилож 4 24 (7)'!W234</f>
        <v>0</v>
      </c>
      <c r="H239" s="595">
        <f>'Прилож 4 24 (7)'!X234</f>
        <v>130928.90000000001</v>
      </c>
      <c r="I239" s="597">
        <f>SUM(I231:I235)</f>
        <v>0</v>
      </c>
      <c r="J239" s="595">
        <f>'Прилож 4 24 (7)'!Z234</f>
        <v>0</v>
      </c>
      <c r="K239" s="595">
        <f>'Прилож 4 24 (7)'!AA234</f>
        <v>0</v>
      </c>
      <c r="L239" s="595">
        <f>'Прилож 4 24 (7)'!AB234</f>
        <v>14510.07</v>
      </c>
      <c r="M239" s="876">
        <f t="shared" si="41"/>
        <v>36248</v>
      </c>
      <c r="N239" s="876">
        <f>SUM(N231:N238)</f>
        <v>31356</v>
      </c>
      <c r="O239" s="876"/>
      <c r="P239" s="876">
        <f>SUM(P231:P238)</f>
        <v>4892</v>
      </c>
      <c r="Q239" s="876"/>
      <c r="R239" s="876"/>
      <c r="S239" s="876"/>
      <c r="T239" s="876">
        <f>SUM(T231:T237)</f>
        <v>0</v>
      </c>
      <c r="U239" s="876">
        <f t="shared" si="39"/>
        <v>368453.73</v>
      </c>
      <c r="V239" s="876">
        <f t="shared" si="39"/>
        <v>218122.76</v>
      </c>
      <c r="W239" s="876">
        <f t="shared" ref="W239:W251" si="46">O239+G239</f>
        <v>0</v>
      </c>
      <c r="X239" s="876">
        <f t="shared" si="42"/>
        <v>135820.90000000002</v>
      </c>
      <c r="Y239" s="884">
        <f>SUM(Y231:Y235)</f>
        <v>0</v>
      </c>
      <c r="Z239" s="876">
        <f t="shared" si="43"/>
        <v>0</v>
      </c>
      <c r="AA239" s="876">
        <f t="shared" si="43"/>
        <v>0</v>
      </c>
      <c r="AB239" s="876">
        <f t="shared" si="44"/>
        <v>14510.07</v>
      </c>
      <c r="AC239" s="886"/>
      <c r="AD239" s="819"/>
    </row>
    <row r="240" spans="1:31" ht="22.5" customHeight="1" x14ac:dyDescent="0.2">
      <c r="A240" s="618" t="s">
        <v>67</v>
      </c>
      <c r="B240" s="619" t="s">
        <v>64</v>
      </c>
      <c r="C240" s="620">
        <v>244</v>
      </c>
      <c r="D240" s="620">
        <v>346</v>
      </c>
      <c r="E240" s="596">
        <f t="shared" si="45"/>
        <v>3200</v>
      </c>
      <c r="F240" s="595">
        <f>'Прилож 4 24 (7)'!V235</f>
        <v>0</v>
      </c>
      <c r="G240" s="595">
        <f>'Прилож 4 24 (7)'!W235</f>
        <v>0</v>
      </c>
      <c r="H240" s="595">
        <f>'Прилож 4 24 (7)'!X235</f>
        <v>0</v>
      </c>
      <c r="I240" s="621" t="s">
        <v>1235</v>
      </c>
      <c r="J240" s="595">
        <f>'Прилож 4 24 (7)'!Z235</f>
        <v>0</v>
      </c>
      <c r="K240" s="595">
        <f>'Прилож 4 24 (7)'!AA235</f>
        <v>3200</v>
      </c>
      <c r="L240" s="595">
        <f>'Прилож 4 24 (7)'!AB235</f>
        <v>0</v>
      </c>
      <c r="M240" s="876">
        <f t="shared" si="41"/>
        <v>0</v>
      </c>
      <c r="N240" s="875"/>
      <c r="O240" s="875"/>
      <c r="P240" s="875"/>
      <c r="Q240" s="877"/>
      <c r="R240" s="875"/>
      <c r="S240" s="875"/>
      <c r="T240" s="875"/>
      <c r="U240" s="876">
        <f t="shared" si="39"/>
        <v>3200</v>
      </c>
      <c r="V240" s="875">
        <f t="shared" si="39"/>
        <v>0</v>
      </c>
      <c r="W240" s="875">
        <f t="shared" si="46"/>
        <v>0</v>
      </c>
      <c r="X240" s="875">
        <f t="shared" si="42"/>
        <v>0</v>
      </c>
      <c r="Y240" s="621" t="s">
        <v>1235</v>
      </c>
      <c r="Z240" s="875">
        <f t="shared" si="43"/>
        <v>0</v>
      </c>
      <c r="AA240" s="875">
        <f t="shared" si="43"/>
        <v>3200</v>
      </c>
      <c r="AB240" s="875">
        <f t="shared" si="44"/>
        <v>0</v>
      </c>
      <c r="AC240" s="878"/>
    </row>
    <row r="241" spans="1:31" s="637" customFormat="1" ht="22.5" customHeight="1" x14ac:dyDescent="0.2">
      <c r="A241" s="1046" t="s">
        <v>1143</v>
      </c>
      <c r="B241" s="619" t="s">
        <v>64</v>
      </c>
      <c r="C241" s="620">
        <v>244</v>
      </c>
      <c r="D241" s="620">
        <v>346</v>
      </c>
      <c r="E241" s="596">
        <f t="shared" si="45"/>
        <v>3200</v>
      </c>
      <c r="F241" s="596">
        <f>'Прилож 4 24 (7)'!V236</f>
        <v>0</v>
      </c>
      <c r="G241" s="596">
        <f>'Прилож 4 24 (7)'!W236</f>
        <v>0</v>
      </c>
      <c r="H241" s="596">
        <f>'Прилож 4 24 (7)'!X236</f>
        <v>0</v>
      </c>
      <c r="I241" s="597"/>
      <c r="J241" s="596">
        <f>'Прилож 4 24 (7)'!Z236</f>
        <v>0</v>
      </c>
      <c r="K241" s="596">
        <f>'Прилож 4 24 (7)'!AA236</f>
        <v>3200</v>
      </c>
      <c r="L241" s="596">
        <f>'Прилож 4 24 (7)'!AB236</f>
        <v>0</v>
      </c>
      <c r="M241" s="876">
        <f t="shared" si="41"/>
        <v>0</v>
      </c>
      <c r="N241" s="884"/>
      <c r="O241" s="884"/>
      <c r="P241" s="884"/>
      <c r="Q241" s="884"/>
      <c r="R241" s="884"/>
      <c r="S241" s="884"/>
      <c r="T241" s="884"/>
      <c r="U241" s="876">
        <f t="shared" si="39"/>
        <v>3200</v>
      </c>
      <c r="V241" s="876">
        <f t="shared" si="39"/>
        <v>0</v>
      </c>
      <c r="W241" s="876">
        <f t="shared" si="46"/>
        <v>0</v>
      </c>
      <c r="X241" s="876">
        <f t="shared" si="42"/>
        <v>0</v>
      </c>
      <c r="Y241" s="884"/>
      <c r="Z241" s="876">
        <f t="shared" si="43"/>
        <v>0</v>
      </c>
      <c r="AA241" s="876">
        <f t="shared" si="43"/>
        <v>3200</v>
      </c>
      <c r="AB241" s="875">
        <f t="shared" si="44"/>
        <v>0</v>
      </c>
      <c r="AC241" s="886"/>
    </row>
    <row r="242" spans="1:31" ht="33" customHeight="1" x14ac:dyDescent="0.2">
      <c r="A242" s="618" t="s">
        <v>710</v>
      </c>
      <c r="B242" s="619" t="s">
        <v>691</v>
      </c>
      <c r="C242" s="620">
        <v>244</v>
      </c>
      <c r="D242" s="620">
        <v>346</v>
      </c>
      <c r="E242" s="596">
        <f t="shared" si="45"/>
        <v>17057.180000000229</v>
      </c>
      <c r="F242" s="595">
        <f>'Прилож 4 24 (7)'!V237</f>
        <v>0</v>
      </c>
      <c r="G242" s="595">
        <f>'Прилож 4 24 (7)'!W237</f>
        <v>2.3283064365386963E-10</v>
      </c>
      <c r="H242" s="595">
        <f>'Прилож 4 24 (7)'!X237</f>
        <v>15649.169999999998</v>
      </c>
      <c r="I242" s="621"/>
      <c r="J242" s="595">
        <f>'Прилож 4 24 (7)'!Z237</f>
        <v>0</v>
      </c>
      <c r="K242" s="595">
        <f>'Прилож 4 24 (7)'!AA237</f>
        <v>0</v>
      </c>
      <c r="L242" s="595">
        <f>'Прилож 4 24 (7)'!AB237</f>
        <v>1408.01</v>
      </c>
      <c r="M242" s="876">
        <f t="shared" si="41"/>
        <v>0</v>
      </c>
      <c r="N242" s="875"/>
      <c r="O242" s="875"/>
      <c r="P242" s="875"/>
      <c r="Q242" s="877"/>
      <c r="R242" s="875"/>
      <c r="S242" s="875"/>
      <c r="T242" s="875"/>
      <c r="U242" s="876">
        <f t="shared" si="39"/>
        <v>17057.180000000229</v>
      </c>
      <c r="V242" s="875">
        <f t="shared" si="39"/>
        <v>0</v>
      </c>
      <c r="W242" s="876">
        <f t="shared" si="46"/>
        <v>2.3283064365386963E-10</v>
      </c>
      <c r="X242" s="875">
        <f t="shared" si="42"/>
        <v>15649.169999999998</v>
      </c>
      <c r="Y242" s="877"/>
      <c r="Z242" s="875">
        <f t="shared" si="43"/>
        <v>0</v>
      </c>
      <c r="AA242" s="875">
        <f t="shared" si="43"/>
        <v>0</v>
      </c>
      <c r="AB242" s="875">
        <f t="shared" si="44"/>
        <v>1408.01</v>
      </c>
      <c r="AC242" s="878"/>
    </row>
    <row r="243" spans="1:31" ht="39.75" customHeight="1" x14ac:dyDescent="0.2">
      <c r="A243" s="618" t="s">
        <v>709</v>
      </c>
      <c r="B243" s="619" t="s">
        <v>691</v>
      </c>
      <c r="C243" s="620">
        <v>244</v>
      </c>
      <c r="D243" s="620">
        <v>346</v>
      </c>
      <c r="E243" s="596">
        <f t="shared" si="45"/>
        <v>5836.95</v>
      </c>
      <c r="F243" s="595">
        <f>'Прилож 4 24 (7)'!V238</f>
        <v>0</v>
      </c>
      <c r="G243" s="595">
        <f>'Прилож 4 24 (7)'!W238</f>
        <v>0</v>
      </c>
      <c r="H243" s="595">
        <f>'Прилож 4 24 (7)'!X238</f>
        <v>5171</v>
      </c>
      <c r="I243" s="621"/>
      <c r="J243" s="595">
        <f>'Прилож 4 24 (7)'!Z238</f>
        <v>0</v>
      </c>
      <c r="K243" s="595">
        <f>'Прилож 4 24 (7)'!AA238</f>
        <v>0</v>
      </c>
      <c r="L243" s="595">
        <f>'Прилож 4 24 (7)'!AB238</f>
        <v>665.95</v>
      </c>
      <c r="M243" s="876">
        <f t="shared" si="41"/>
        <v>0</v>
      </c>
      <c r="N243" s="875"/>
      <c r="O243" s="875"/>
      <c r="P243" s="875"/>
      <c r="Q243" s="877"/>
      <c r="R243" s="875"/>
      <c r="S243" s="875"/>
      <c r="T243" s="875"/>
      <c r="U243" s="876">
        <f t="shared" si="39"/>
        <v>5836.95</v>
      </c>
      <c r="V243" s="875">
        <f t="shared" si="39"/>
        <v>0</v>
      </c>
      <c r="W243" s="875">
        <f t="shared" si="46"/>
        <v>0</v>
      </c>
      <c r="X243" s="875">
        <f t="shared" si="42"/>
        <v>5171</v>
      </c>
      <c r="Y243" s="877"/>
      <c r="Z243" s="875">
        <f t="shared" si="43"/>
        <v>0</v>
      </c>
      <c r="AA243" s="875">
        <f t="shared" si="43"/>
        <v>0</v>
      </c>
      <c r="AB243" s="875">
        <f t="shared" si="44"/>
        <v>665.95</v>
      </c>
      <c r="AC243" s="878"/>
    </row>
    <row r="244" spans="1:31" s="637" customFormat="1" ht="25.5" customHeight="1" x14ac:dyDescent="0.2">
      <c r="A244" s="1046" t="s">
        <v>1143</v>
      </c>
      <c r="B244" s="1047" t="s">
        <v>691</v>
      </c>
      <c r="C244" s="1048">
        <v>244</v>
      </c>
      <c r="D244" s="1048">
        <v>346</v>
      </c>
      <c r="E244" s="596">
        <f t="shared" si="45"/>
        <v>22894.13</v>
      </c>
      <c r="F244" s="596">
        <f>'Прилож 4 24 (7)'!V239</f>
        <v>0</v>
      </c>
      <c r="G244" s="596">
        <f>'Прилож 4 24 (7)'!W239</f>
        <v>0</v>
      </c>
      <c r="H244" s="596">
        <f>'Прилож 4 24 (7)'!X239</f>
        <v>20820.170000000002</v>
      </c>
      <c r="I244" s="635"/>
      <c r="J244" s="596">
        <f>'Прилож 4 24 (7)'!Z239</f>
        <v>0</v>
      </c>
      <c r="K244" s="596">
        <f>'Прилож 4 24 (7)'!AA239</f>
        <v>0</v>
      </c>
      <c r="L244" s="596">
        <f>'Прилож 4 24 (7)'!AB239</f>
        <v>2073.96</v>
      </c>
      <c r="M244" s="876">
        <f t="shared" si="41"/>
        <v>0</v>
      </c>
      <c r="N244" s="884"/>
      <c r="O244" s="884"/>
      <c r="P244" s="884">
        <f>SUM(P242:P243)</f>
        <v>0</v>
      </c>
      <c r="Q244" s="885"/>
      <c r="R244" s="884"/>
      <c r="S244" s="884"/>
      <c r="T244" s="884">
        <f>SUM(T242:T243)</f>
        <v>0</v>
      </c>
      <c r="U244" s="876">
        <f t="shared" si="39"/>
        <v>22894.13</v>
      </c>
      <c r="V244" s="876">
        <f t="shared" si="39"/>
        <v>0</v>
      </c>
      <c r="W244" s="876">
        <f t="shared" si="46"/>
        <v>0</v>
      </c>
      <c r="X244" s="876">
        <f t="shared" si="42"/>
        <v>20820.170000000002</v>
      </c>
      <c r="Y244" s="885"/>
      <c r="Z244" s="876">
        <f t="shared" si="43"/>
        <v>0</v>
      </c>
      <c r="AA244" s="876">
        <f t="shared" si="43"/>
        <v>0</v>
      </c>
      <c r="AB244" s="876">
        <f t="shared" si="44"/>
        <v>2073.96</v>
      </c>
      <c r="AC244" s="1055"/>
    </row>
    <row r="245" spans="1:31" s="614" customFormat="1" ht="27.75" customHeight="1" x14ac:dyDescent="0.2">
      <c r="A245" s="630" t="s">
        <v>744</v>
      </c>
      <c r="B245" s="631"/>
      <c r="C245" s="624"/>
      <c r="D245" s="624"/>
      <c r="E245" s="596">
        <f t="shared" si="45"/>
        <v>1784092.63</v>
      </c>
      <c r="F245" s="595">
        <f>'Прилож 4 24 (7)'!V240</f>
        <v>1427196.77</v>
      </c>
      <c r="G245" s="595">
        <f>'Прилож 4 24 (7)'!W240</f>
        <v>0</v>
      </c>
      <c r="H245" s="595">
        <f>'Прилож 4 24 (7)'!X240</f>
        <v>279964.12</v>
      </c>
      <c r="I245" s="596"/>
      <c r="J245" s="595">
        <f>'Прилож 4 24 (7)'!Z240</f>
        <v>0</v>
      </c>
      <c r="K245" s="595">
        <f>'Прилож 4 24 (7)'!AA240</f>
        <v>3200</v>
      </c>
      <c r="L245" s="595">
        <f>'Прилож 4 24 (7)'!AB240</f>
        <v>73731.739999999991</v>
      </c>
      <c r="M245" s="876">
        <f t="shared" si="41"/>
        <v>-65589.81</v>
      </c>
      <c r="N245" s="876">
        <f>N244+N241+N239+N230</f>
        <v>-10201.809999999998</v>
      </c>
      <c r="O245" s="876"/>
      <c r="P245" s="876">
        <f>P230+P239+P244</f>
        <v>-56958</v>
      </c>
      <c r="Q245" s="876"/>
      <c r="R245" s="876"/>
      <c r="S245" s="876"/>
      <c r="T245" s="876">
        <f>T230+T239+T244</f>
        <v>1570</v>
      </c>
      <c r="U245" s="876">
        <f t="shared" si="39"/>
        <v>1718502.8199999998</v>
      </c>
      <c r="V245" s="875">
        <f t="shared" si="39"/>
        <v>1416994.96</v>
      </c>
      <c r="W245" s="875">
        <f t="shared" si="46"/>
        <v>0</v>
      </c>
      <c r="X245" s="875">
        <f t="shared" si="42"/>
        <v>223006.12</v>
      </c>
      <c r="Y245" s="876"/>
      <c r="Z245" s="875">
        <f t="shared" si="43"/>
        <v>0</v>
      </c>
      <c r="AA245" s="875">
        <f t="shared" si="43"/>
        <v>3200</v>
      </c>
      <c r="AB245" s="875">
        <f t="shared" si="44"/>
        <v>75301.739999999991</v>
      </c>
      <c r="AC245" s="879"/>
      <c r="AD245" s="818"/>
    </row>
    <row r="246" spans="1:31" ht="39.75" customHeight="1" x14ac:dyDescent="0.2">
      <c r="A246" s="618" t="s">
        <v>948</v>
      </c>
      <c r="B246" s="619" t="s">
        <v>729</v>
      </c>
      <c r="C246" s="620">
        <v>244</v>
      </c>
      <c r="D246" s="620">
        <v>349</v>
      </c>
      <c r="E246" s="596">
        <f t="shared" si="45"/>
        <v>6000</v>
      </c>
      <c r="F246" s="595">
        <f>'Прилож 4 24 (7)'!V241</f>
        <v>6000</v>
      </c>
      <c r="G246" s="595">
        <f>'Прилож 4 24 (7)'!W241</f>
        <v>0</v>
      </c>
      <c r="H246" s="595">
        <f>'Прилож 4 24 (7)'!X241</f>
        <v>0</v>
      </c>
      <c r="I246" s="626"/>
      <c r="J246" s="595">
        <f>'Прилож 4 24 (7)'!Z241</f>
        <v>0</v>
      </c>
      <c r="K246" s="595">
        <f>'Прилож 4 24 (7)'!AA241</f>
        <v>0</v>
      </c>
      <c r="L246" s="595">
        <f>'Прилож 4 24 (7)'!AB241</f>
        <v>0</v>
      </c>
      <c r="M246" s="876">
        <f t="shared" si="41"/>
        <v>-1356</v>
      </c>
      <c r="N246" s="875">
        <v>-1356</v>
      </c>
      <c r="O246" s="876"/>
      <c r="P246" s="876"/>
      <c r="Q246" s="881"/>
      <c r="R246" s="876"/>
      <c r="S246" s="876"/>
      <c r="T246" s="875"/>
      <c r="U246" s="876">
        <f t="shared" si="39"/>
        <v>4644</v>
      </c>
      <c r="V246" s="875">
        <f t="shared" si="39"/>
        <v>4644</v>
      </c>
      <c r="W246" s="875">
        <f t="shared" si="46"/>
        <v>0</v>
      </c>
      <c r="X246" s="875">
        <f t="shared" si="42"/>
        <v>0</v>
      </c>
      <c r="Y246" s="881"/>
      <c r="Z246" s="875">
        <f t="shared" si="43"/>
        <v>0</v>
      </c>
      <c r="AA246" s="875">
        <f t="shared" si="43"/>
        <v>0</v>
      </c>
      <c r="AB246" s="875">
        <f t="shared" si="44"/>
        <v>0</v>
      </c>
      <c r="AC246" s="878" t="s">
        <v>1354</v>
      </c>
    </row>
    <row r="247" spans="1:31" s="614" customFormat="1" ht="27.75" customHeight="1" x14ac:dyDescent="0.2">
      <c r="A247" s="630" t="s">
        <v>949</v>
      </c>
      <c r="B247" s="631"/>
      <c r="C247" s="624"/>
      <c r="D247" s="624"/>
      <c r="E247" s="596">
        <f t="shared" si="45"/>
        <v>6000</v>
      </c>
      <c r="F247" s="595">
        <f>'Прилож 4 24 (7)'!V242</f>
        <v>6000</v>
      </c>
      <c r="G247" s="595">
        <f>'Прилож 4 24 (7)'!W242</f>
        <v>0</v>
      </c>
      <c r="H247" s="595">
        <f>'Прилож 4 24 (7)'!X242</f>
        <v>0</v>
      </c>
      <c r="I247" s="626"/>
      <c r="J247" s="595">
        <f>'Прилож 4 24 (7)'!Z242</f>
        <v>0</v>
      </c>
      <c r="K247" s="595">
        <f>'Прилож 4 24 (7)'!AA242</f>
        <v>0</v>
      </c>
      <c r="L247" s="595">
        <f>'Прилож 4 24 (7)'!AB242</f>
        <v>0</v>
      </c>
      <c r="M247" s="876">
        <f t="shared" si="41"/>
        <v>-1356</v>
      </c>
      <c r="N247" s="875">
        <v>-1356</v>
      </c>
      <c r="O247" s="876">
        <f>O239+O241+O244</f>
        <v>0</v>
      </c>
      <c r="P247" s="876"/>
      <c r="Q247" s="881"/>
      <c r="R247" s="876">
        <f>R239+R241+R244</f>
        <v>0</v>
      </c>
      <c r="S247" s="876">
        <f>S239+S241+S244</f>
        <v>0</v>
      </c>
      <c r="T247" s="876"/>
      <c r="U247" s="876">
        <f t="shared" si="39"/>
        <v>4644</v>
      </c>
      <c r="V247" s="875">
        <f t="shared" si="39"/>
        <v>4644</v>
      </c>
      <c r="W247" s="875">
        <f t="shared" si="46"/>
        <v>0</v>
      </c>
      <c r="X247" s="875">
        <f t="shared" si="42"/>
        <v>0</v>
      </c>
      <c r="Y247" s="881"/>
      <c r="Z247" s="875">
        <f t="shared" si="43"/>
        <v>0</v>
      </c>
      <c r="AA247" s="875">
        <f t="shared" si="43"/>
        <v>0</v>
      </c>
      <c r="AB247" s="875">
        <f t="shared" si="44"/>
        <v>0</v>
      </c>
      <c r="AC247" s="879"/>
    </row>
    <row r="248" spans="1:31" s="614" customFormat="1" x14ac:dyDescent="0.2">
      <c r="A248" s="624" t="s">
        <v>745</v>
      </c>
      <c r="B248" s="631"/>
      <c r="C248" s="624"/>
      <c r="D248" s="624"/>
      <c r="E248" s="596">
        <f t="shared" si="45"/>
        <v>65249322.060000002</v>
      </c>
      <c r="F248" s="595">
        <f>'Прилож 4 24 (7)'!V243</f>
        <v>42188221.810000002</v>
      </c>
      <c r="G248" s="595">
        <f>'Прилож 4 24 (7)'!W243</f>
        <v>1541528.0899999999</v>
      </c>
      <c r="H248" s="595">
        <f>'Прилож 4 24 (7)'!X243</f>
        <v>11317923.020000001</v>
      </c>
      <c r="I248" s="626"/>
      <c r="J248" s="595">
        <f>'Прилож 4 24 (7)'!Z243</f>
        <v>0</v>
      </c>
      <c r="K248" s="595">
        <f>'Прилож 4 24 (7)'!AA243</f>
        <v>7656286.1499999994</v>
      </c>
      <c r="L248" s="595">
        <f>'Прилож 4 24 (7)'!AB243</f>
        <v>2545362.9899999993</v>
      </c>
      <c r="M248" s="876">
        <f>M247+M245+M225+M223+M221+M218+M216+M211++M193+M190+M156+M99+M97+M80+M59+M50+M43+M41+M36+M214+M38</f>
        <v>690986.46</v>
      </c>
      <c r="N248" s="876">
        <f>N245+N225+N223+N221+N218+N216+N214+N211+N193+N190+N156+N99+N97+N80+N59+N50+N43+N41+N38+N36+N247</f>
        <v>3.637978807091713E-12</v>
      </c>
      <c r="O248" s="876">
        <f t="shared" ref="O248:T248" si="47">O245+O225+O223+O221+O218+O216+O214+O211+O193+O190+O156+O99+O97+O80+O59+O50+O43+O41+O38+O36</f>
        <v>748160</v>
      </c>
      <c r="P248" s="876">
        <f t="shared" si="47"/>
        <v>0</v>
      </c>
      <c r="Q248" s="876"/>
      <c r="R248" s="876">
        <f t="shared" si="47"/>
        <v>0</v>
      </c>
      <c r="S248" s="876">
        <f t="shared" si="47"/>
        <v>-57173.539999999979</v>
      </c>
      <c r="T248" s="876">
        <f t="shared" si="47"/>
        <v>0</v>
      </c>
      <c r="U248" s="876">
        <f>U247+U245+U225+U223+U221+U218+U216+U211++U193+U190+U156+U99+U97+U80+U59+U50+U43+U41+U36+U214+U38</f>
        <v>65940308.520000003</v>
      </c>
      <c r="V248" s="875">
        <f t="shared" si="39"/>
        <v>42188221.810000002</v>
      </c>
      <c r="W248" s="875">
        <f t="shared" si="46"/>
        <v>2289688.09</v>
      </c>
      <c r="X248" s="875">
        <f t="shared" si="42"/>
        <v>11317923.020000001</v>
      </c>
      <c r="Y248" s="876">
        <f>Y247+Y245+Y225+Y223+Y221+Y218+Y216+Y211++Y193+Y190+Y156+Y99+Y97+Y80+Y59+Y50+Y43+Y41+Y36+Y214</f>
        <v>0</v>
      </c>
      <c r="Z248" s="875">
        <f t="shared" si="43"/>
        <v>0</v>
      </c>
      <c r="AA248" s="875">
        <f t="shared" si="43"/>
        <v>7599112.6099999994</v>
      </c>
      <c r="AB248" s="875">
        <f t="shared" si="44"/>
        <v>2545362.9899999993</v>
      </c>
      <c r="AC248" s="879"/>
      <c r="AD248" s="818"/>
      <c r="AE248" s="818">
        <f>V248+W248+X248</f>
        <v>55795832.920000009</v>
      </c>
    </row>
    <row r="249" spans="1:31" ht="25.5" customHeight="1" x14ac:dyDescent="0.2">
      <c r="A249" s="618" t="s">
        <v>946</v>
      </c>
      <c r="B249" s="619"/>
      <c r="C249" s="620"/>
      <c r="D249" s="620">
        <v>189</v>
      </c>
      <c r="E249" s="596">
        <f t="shared" si="45"/>
        <v>-12500</v>
      </c>
      <c r="F249" s="595">
        <f>'Прилож 4 24 (2)'!V208</f>
        <v>0</v>
      </c>
      <c r="G249" s="595">
        <f>'Прилож 4 24 (2)'!W218</f>
        <v>0</v>
      </c>
      <c r="H249" s="595">
        <f>'Прилож 4 24 (2)'!X208</f>
        <v>0</v>
      </c>
      <c r="I249" s="621"/>
      <c r="J249" s="595">
        <f>'Прилож 4 24 (2)'!Z208</f>
        <v>0</v>
      </c>
      <c r="K249" s="595">
        <f>'Прилож 4 24 (2)'!AA208</f>
        <v>0</v>
      </c>
      <c r="L249" s="875">
        <f>'Прилож 4 24 (2)'!AB208</f>
        <v>-12500</v>
      </c>
      <c r="M249" s="876">
        <f>N249+P249+R249+S249+T249+O249</f>
        <v>0</v>
      </c>
      <c r="N249" s="875"/>
      <c r="O249" s="875"/>
      <c r="P249" s="875"/>
      <c r="Q249" s="877"/>
      <c r="R249" s="875"/>
      <c r="S249" s="875"/>
      <c r="T249" s="875"/>
      <c r="U249" s="876">
        <f>V249+X249+Z249+AA249+AB249+W249</f>
        <v>-12500</v>
      </c>
      <c r="V249" s="875">
        <f t="shared" si="39"/>
        <v>0</v>
      </c>
      <c r="W249" s="875">
        <f t="shared" si="46"/>
        <v>0</v>
      </c>
      <c r="X249" s="875">
        <f t="shared" si="42"/>
        <v>0</v>
      </c>
      <c r="Y249" s="877"/>
      <c r="Z249" s="875">
        <f t="shared" si="43"/>
        <v>0</v>
      </c>
      <c r="AA249" s="875">
        <f t="shared" si="43"/>
        <v>0</v>
      </c>
      <c r="AB249" s="875">
        <f t="shared" si="44"/>
        <v>-12500</v>
      </c>
      <c r="AC249" s="878"/>
    </row>
    <row r="250" spans="1:31" s="614" customFormat="1" ht="31.5" x14ac:dyDescent="0.2">
      <c r="A250" s="630" t="s">
        <v>746</v>
      </c>
      <c r="B250" s="624"/>
      <c r="C250" s="624"/>
      <c r="D250" s="624"/>
      <c r="E250" s="596">
        <f t="shared" si="45"/>
        <v>-12500</v>
      </c>
      <c r="F250" s="595">
        <f>'Прилож 4 24 (2)'!V209</f>
        <v>0</v>
      </c>
      <c r="G250" s="595">
        <f>'Прилож 4 24 (2)'!W219</f>
        <v>0</v>
      </c>
      <c r="H250" s="595">
        <f>'Прилож 4 24 (2)'!X209</f>
        <v>0</v>
      </c>
      <c r="I250" s="626"/>
      <c r="J250" s="595">
        <f>'Прилож 4 24 (2)'!Z209</f>
        <v>0</v>
      </c>
      <c r="K250" s="595">
        <f>'Прилож 4 24 (2)'!AA209</f>
        <v>0</v>
      </c>
      <c r="L250" s="875">
        <f>'Прилож 4 24 (2)'!AB209</f>
        <v>-12500</v>
      </c>
      <c r="M250" s="876">
        <f>N250+P250+R250+S250+T250+O250</f>
        <v>0</v>
      </c>
      <c r="N250" s="876">
        <f>N249</f>
        <v>0</v>
      </c>
      <c r="O250" s="876">
        <f>O249</f>
        <v>0</v>
      </c>
      <c r="P250" s="876">
        <f>P249</f>
        <v>0</v>
      </c>
      <c r="Q250" s="881"/>
      <c r="R250" s="876">
        <f>R249</f>
        <v>0</v>
      </c>
      <c r="S250" s="876"/>
      <c r="T250" s="876">
        <f>T249</f>
        <v>0</v>
      </c>
      <c r="U250" s="876">
        <f>V250+X250+Z250+AA250+AB250+W250</f>
        <v>-12500</v>
      </c>
      <c r="V250" s="875">
        <f t="shared" si="39"/>
        <v>0</v>
      </c>
      <c r="W250" s="875">
        <f t="shared" si="46"/>
        <v>0</v>
      </c>
      <c r="X250" s="875">
        <f t="shared" si="42"/>
        <v>0</v>
      </c>
      <c r="Y250" s="881">
        <f>Y249</f>
        <v>0</v>
      </c>
      <c r="Z250" s="875">
        <f t="shared" si="43"/>
        <v>0</v>
      </c>
      <c r="AA250" s="875">
        <f t="shared" si="43"/>
        <v>0</v>
      </c>
      <c r="AB250" s="875">
        <f t="shared" si="44"/>
        <v>-12500</v>
      </c>
      <c r="AC250" s="878"/>
    </row>
    <row r="251" spans="1:31" s="614" customFormat="1" x14ac:dyDescent="0.2">
      <c r="A251" s="630" t="s">
        <v>950</v>
      </c>
      <c r="B251" s="631" t="s">
        <v>747</v>
      </c>
      <c r="C251" s="624"/>
      <c r="D251" s="624">
        <v>610</v>
      </c>
      <c r="E251" s="596">
        <f t="shared" si="45"/>
        <v>142385.88</v>
      </c>
      <c r="F251" s="595">
        <f>'Прилож 4 24 (2)'!V210</f>
        <v>0</v>
      </c>
      <c r="G251" s="595">
        <f>'Прилож 4 24 (2)'!W220</f>
        <v>0</v>
      </c>
      <c r="H251" s="595">
        <f>'Прилож 4 24 (2)'!X210</f>
        <v>142385.88</v>
      </c>
      <c r="I251" s="626"/>
      <c r="J251" s="595">
        <f>'Прилож 4 24 (2)'!Z210</f>
        <v>0</v>
      </c>
      <c r="K251" s="595">
        <f>'Прилож 4 24 (2)'!AA210</f>
        <v>0</v>
      </c>
      <c r="L251" s="875">
        <f>'Прилож 4 24 (2)'!AB210</f>
        <v>0</v>
      </c>
      <c r="M251" s="876">
        <f>N251+P251+R251+S251+T251+O251</f>
        <v>0</v>
      </c>
      <c r="N251" s="876">
        <f>N250</f>
        <v>0</v>
      </c>
      <c r="O251" s="876">
        <f>O250</f>
        <v>0</v>
      </c>
      <c r="P251" s="876"/>
      <c r="Q251" s="881"/>
      <c r="R251" s="876">
        <f>R250</f>
        <v>0</v>
      </c>
      <c r="S251" s="876">
        <f>S250</f>
        <v>0</v>
      </c>
      <c r="T251" s="876"/>
      <c r="U251" s="876">
        <f>V251+X251+Z251+AA251+AB251+W251</f>
        <v>142385.88</v>
      </c>
      <c r="V251" s="875">
        <f t="shared" si="39"/>
        <v>0</v>
      </c>
      <c r="W251" s="875">
        <f t="shared" si="46"/>
        <v>0</v>
      </c>
      <c r="X251" s="875">
        <v>142385.88</v>
      </c>
      <c r="Y251" s="881">
        <f>Y250</f>
        <v>0</v>
      </c>
      <c r="Z251" s="875">
        <f t="shared" si="43"/>
        <v>0</v>
      </c>
      <c r="AA251" s="875">
        <f t="shared" si="43"/>
        <v>0</v>
      </c>
      <c r="AB251" s="875">
        <f t="shared" si="44"/>
        <v>0</v>
      </c>
      <c r="AC251" s="878"/>
    </row>
    <row r="252" spans="1:31" ht="33" customHeight="1" x14ac:dyDescent="0.2">
      <c r="A252" s="822" t="s">
        <v>1330</v>
      </c>
      <c r="E252" s="644">
        <f t="shared" ref="E252:U252" si="48">E11+E30-E248+E250-E251</f>
        <v>2.6775524020195007E-9</v>
      </c>
      <c r="F252" s="644">
        <f t="shared" si="48"/>
        <v>0</v>
      </c>
      <c r="G252" s="644">
        <f t="shared" si="48"/>
        <v>2.3283064365386963E-10</v>
      </c>
      <c r="H252" s="644">
        <f t="shared" si="48"/>
        <v>-1.0477378964424133E-9</v>
      </c>
      <c r="I252" s="641">
        <f t="shared" si="48"/>
        <v>0</v>
      </c>
      <c r="J252" s="644">
        <f t="shared" si="48"/>
        <v>0</v>
      </c>
      <c r="K252" s="644">
        <f t="shared" si="48"/>
        <v>0</v>
      </c>
      <c r="L252" s="644">
        <f t="shared" si="48"/>
        <v>9.3132257461547852E-10</v>
      </c>
      <c r="M252" s="644">
        <f t="shared" si="48"/>
        <v>0</v>
      </c>
      <c r="N252" s="644">
        <f t="shared" si="48"/>
        <v>-3.637978807091713E-12</v>
      </c>
      <c r="O252" s="644">
        <f t="shared" si="48"/>
        <v>0</v>
      </c>
      <c r="P252" s="644">
        <f t="shared" si="48"/>
        <v>0</v>
      </c>
      <c r="Q252" s="644">
        <f t="shared" si="48"/>
        <v>0</v>
      </c>
      <c r="R252" s="644"/>
      <c r="S252" s="644">
        <f t="shared" si="48"/>
        <v>-1.4551915228366852E-11</v>
      </c>
      <c r="T252" s="644">
        <f t="shared" si="48"/>
        <v>0</v>
      </c>
      <c r="U252" s="644">
        <f t="shared" si="48"/>
        <v>2.6775524020195007E-9</v>
      </c>
      <c r="V252" s="595">
        <f t="shared" si="39"/>
        <v>-3.637978807091713E-12</v>
      </c>
      <c r="W252" s="644">
        <f>W11+W30-W248+W250-W251</f>
        <v>0</v>
      </c>
      <c r="X252" s="644">
        <f>X11+X30-X248+X250-X251</f>
        <v>-1.0477378964424133E-9</v>
      </c>
      <c r="Y252" s="644">
        <f>Y11+Y30-Y248+Y250-Y251</f>
        <v>0</v>
      </c>
      <c r="Z252" s="595">
        <f t="shared" si="43"/>
        <v>0</v>
      </c>
      <c r="AA252" s="644">
        <f>AA11+AA30-AA248+AA250-AA251</f>
        <v>0</v>
      </c>
      <c r="AB252" s="595">
        <f t="shared" si="44"/>
        <v>9.3132257461547852E-10</v>
      </c>
      <c r="AC252" s="1005"/>
    </row>
    <row r="253" spans="1:31" x14ac:dyDescent="0.2">
      <c r="A253" s="624" t="s">
        <v>1266</v>
      </c>
      <c r="B253" s="620"/>
      <c r="C253" s="620"/>
      <c r="D253" s="620"/>
      <c r="E253" s="596"/>
      <c r="F253" s="595"/>
      <c r="G253" s="595"/>
      <c r="H253" s="595"/>
      <c r="W253" s="645">
        <f>SUM(W201:W210)</f>
        <v>0</v>
      </c>
      <c r="AB253" s="595">
        <f t="shared" si="44"/>
        <v>0</v>
      </c>
      <c r="AC253" s="1002"/>
    </row>
    <row r="254" spans="1:31" x14ac:dyDescent="0.2">
      <c r="A254" s="624" t="s">
        <v>1268</v>
      </c>
      <c r="B254" s="620"/>
      <c r="C254" s="620"/>
      <c r="D254" s="620"/>
      <c r="E254" s="596"/>
      <c r="F254" s="595"/>
      <c r="G254" s="595"/>
      <c r="H254" s="595"/>
      <c r="AB254" s="595">
        <f t="shared" si="44"/>
        <v>0</v>
      </c>
      <c r="AC254" s="1002"/>
    </row>
    <row r="255" spans="1:31" x14ac:dyDescent="0.2">
      <c r="A255" s="620" t="s">
        <v>1265</v>
      </c>
      <c r="B255" s="619" t="s">
        <v>747</v>
      </c>
      <c r="C255" s="620">
        <v>247</v>
      </c>
      <c r="D255" s="620">
        <v>223</v>
      </c>
      <c r="E255" s="596"/>
      <c r="F255" s="595"/>
      <c r="G255" s="595"/>
      <c r="H255" s="595">
        <v>97172.91</v>
      </c>
      <c r="AB255" s="595">
        <f t="shared" si="44"/>
        <v>0</v>
      </c>
      <c r="AC255" s="1002"/>
    </row>
    <row r="256" spans="1:31" x14ac:dyDescent="0.2">
      <c r="A256" s="620" t="s">
        <v>1265</v>
      </c>
      <c r="B256" s="619" t="s">
        <v>729</v>
      </c>
      <c r="C256" s="620">
        <v>247</v>
      </c>
      <c r="D256" s="620">
        <v>223</v>
      </c>
      <c r="E256" s="596"/>
      <c r="F256" s="595"/>
      <c r="G256" s="595"/>
      <c r="H256" s="595">
        <v>149284.57</v>
      </c>
      <c r="AB256" s="595">
        <f t="shared" si="44"/>
        <v>0</v>
      </c>
      <c r="AC256" s="1002"/>
    </row>
    <row r="257" spans="1:28" x14ac:dyDescent="0.2">
      <c r="A257" s="620"/>
      <c r="B257" s="620"/>
      <c r="C257" s="620"/>
      <c r="D257" s="620"/>
      <c r="E257" s="596"/>
      <c r="F257" s="595"/>
      <c r="G257" s="595"/>
      <c r="H257" s="595">
        <f>SUM(H255:H256)</f>
        <v>246457.48</v>
      </c>
      <c r="AB257" s="595">
        <f t="shared" si="44"/>
        <v>0</v>
      </c>
    </row>
    <row r="258" spans="1:28" x14ac:dyDescent="0.2">
      <c r="A258" s="624" t="s">
        <v>1269</v>
      </c>
      <c r="B258" s="620"/>
      <c r="C258" s="620"/>
      <c r="D258" s="620"/>
      <c r="E258" s="596"/>
      <c r="F258" s="595"/>
      <c r="G258" s="595"/>
      <c r="H258" s="595"/>
    </row>
    <row r="259" spans="1:28" x14ac:dyDescent="0.2">
      <c r="A259" s="620" t="s">
        <v>735</v>
      </c>
      <c r="B259" s="619" t="s">
        <v>747</v>
      </c>
      <c r="C259" s="620">
        <v>244</v>
      </c>
      <c r="D259" s="620">
        <v>223</v>
      </c>
      <c r="E259" s="596"/>
      <c r="F259" s="595"/>
      <c r="G259" s="595"/>
      <c r="H259" s="595">
        <v>28336.69</v>
      </c>
    </row>
    <row r="260" spans="1:28" x14ac:dyDescent="0.2">
      <c r="A260" s="620" t="s">
        <v>1267</v>
      </c>
      <c r="B260" s="619" t="s">
        <v>747</v>
      </c>
      <c r="C260" s="620">
        <v>247</v>
      </c>
      <c r="D260" s="620">
        <v>223</v>
      </c>
      <c r="E260" s="596"/>
      <c r="F260" s="595"/>
      <c r="G260" s="595"/>
      <c r="H260" s="595">
        <v>19716.62</v>
      </c>
    </row>
    <row r="261" spans="1:28" x14ac:dyDescent="0.2">
      <c r="A261" s="620" t="s">
        <v>1267</v>
      </c>
      <c r="B261" s="619" t="s">
        <v>729</v>
      </c>
      <c r="C261" s="620">
        <v>247</v>
      </c>
      <c r="D261" s="620">
        <v>223</v>
      </c>
      <c r="E261" s="596"/>
      <c r="F261" s="595"/>
      <c r="G261" s="595"/>
      <c r="H261" s="595">
        <v>105588.85</v>
      </c>
    </row>
    <row r="262" spans="1:28" x14ac:dyDescent="0.2">
      <c r="A262" s="620"/>
      <c r="B262" s="620"/>
      <c r="C262" s="620"/>
      <c r="D262" s="620"/>
      <c r="E262" s="596"/>
      <c r="F262" s="595"/>
      <c r="G262" s="595"/>
      <c r="H262" s="595">
        <f>SUM(H259:H261)</f>
        <v>153642.16</v>
      </c>
    </row>
  </sheetData>
  <mergeCells count="28">
    <mergeCell ref="A7:A10"/>
    <mergeCell ref="B7:B10"/>
    <mergeCell ref="C7:C10"/>
    <mergeCell ref="D7:D10"/>
    <mergeCell ref="E7:L7"/>
    <mergeCell ref="E8:E10"/>
    <mergeCell ref="F8:L8"/>
    <mergeCell ref="F9:H9"/>
    <mergeCell ref="I9:K9"/>
    <mergeCell ref="L9:L10"/>
    <mergeCell ref="Z1:AB1"/>
    <mergeCell ref="Z2:AB2"/>
    <mergeCell ref="A3:X3"/>
    <mergeCell ref="A4:X4"/>
    <mergeCell ref="D5:P5"/>
    <mergeCell ref="AC7:AC10"/>
    <mergeCell ref="V8:AB8"/>
    <mergeCell ref="Y9:AA9"/>
    <mergeCell ref="AB9:AB10"/>
    <mergeCell ref="M8:M10"/>
    <mergeCell ref="N8:T8"/>
    <mergeCell ref="U8:U10"/>
    <mergeCell ref="T9:T10"/>
    <mergeCell ref="N9:P9"/>
    <mergeCell ref="Q9:S9"/>
    <mergeCell ref="V9:X9"/>
    <mergeCell ref="M7:T7"/>
    <mergeCell ref="U7:AB7"/>
  </mergeCells>
  <pageMargins left="0.25" right="0.25" top="0.75" bottom="0.75" header="0.3" footer="0.3"/>
  <pageSetup paperSize="9" scale="26" fitToHeight="0" orientation="landscape" r:id="rId1"/>
  <rowBreaks count="4" manualBreakCount="4">
    <brk id="30" max="28" man="1"/>
    <brk id="88" max="28" man="1"/>
    <brk id="148" max="28" man="1"/>
    <brk id="200" max="2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B27"/>
  <sheetViews>
    <sheetView view="pageBreakPreview" zoomScale="89" zoomScaleNormal="100" zoomScaleSheetLayoutView="89" workbookViewId="0">
      <pane xSplit="3" ySplit="5" topLeftCell="L9" activePane="bottomRight" state="frozen"/>
      <selection pane="topRight" activeCell="D1" sqref="D1"/>
      <selection pane="bottomLeft" activeCell="A6" sqref="A6"/>
      <selection pane="bottomRight" activeCell="U24" sqref="U24"/>
    </sheetView>
  </sheetViews>
  <sheetFormatPr defaultColWidth="9.140625" defaultRowHeight="15" x14ac:dyDescent="0.2"/>
  <cols>
    <col min="1" max="1" width="7.42578125" style="302" customWidth="1"/>
    <col min="2" max="2" width="30" style="302" customWidth="1"/>
    <col min="3" max="3" width="10.28515625" style="302" customWidth="1"/>
    <col min="4" max="9" width="11.7109375" style="302" customWidth="1"/>
    <col min="10" max="12" width="16.85546875" style="302" customWidth="1"/>
    <col min="13" max="14" width="11" style="302" customWidth="1"/>
    <col min="15" max="15" width="11" style="302" hidden="1" customWidth="1"/>
    <col min="16" max="16" width="11" style="302" customWidth="1"/>
    <col min="17" max="17" width="11" style="302" hidden="1" customWidth="1"/>
    <col min="18" max="18" width="11" style="302" customWidth="1"/>
    <col min="19" max="19" width="14.5703125" style="302" customWidth="1"/>
    <col min="20" max="20" width="14.42578125" style="302" customWidth="1"/>
    <col min="21" max="21" width="17.5703125" style="302" customWidth="1"/>
    <col min="22" max="22" width="16.5703125" style="302" customWidth="1"/>
    <col min="23" max="23" width="17.28515625" style="302" customWidth="1"/>
    <col min="24" max="24" width="13.5703125" style="302" customWidth="1"/>
    <col min="25" max="25" width="16.7109375" style="302" hidden="1" customWidth="1"/>
    <col min="26" max="26" width="19.42578125" style="302" hidden="1" customWidth="1"/>
    <col min="27" max="27" width="15.140625" style="302" customWidth="1"/>
    <col min="28" max="16384" width="9.140625" style="302"/>
  </cols>
  <sheetData>
    <row r="1" spans="1:28" ht="24" customHeight="1" thickBot="1" x14ac:dyDescent="0.25">
      <c r="A1" s="1646" t="s">
        <v>1380</v>
      </c>
      <c r="B1" s="1646"/>
      <c r="C1" s="1646"/>
      <c r="D1" s="1646"/>
      <c r="E1" s="1646"/>
      <c r="F1" s="1646"/>
      <c r="G1" s="1646"/>
      <c r="H1" s="1646"/>
      <c r="I1" s="1646"/>
      <c r="J1" s="1646"/>
      <c r="K1" s="1646"/>
      <c r="L1" s="1646"/>
      <c r="M1" s="1647"/>
      <c r="N1" s="1647"/>
      <c r="O1" s="1647"/>
      <c r="P1" s="1647"/>
      <c r="Q1" s="1647"/>
      <c r="R1" s="1647"/>
      <c r="S1" s="1646"/>
      <c r="T1" s="1646"/>
      <c r="U1" s="1646"/>
      <c r="V1" s="1646"/>
      <c r="W1" s="1646"/>
      <c r="X1" s="301"/>
    </row>
    <row r="2" spans="1:28" ht="52.5" customHeight="1" x14ac:dyDescent="0.2">
      <c r="A2" s="1663" t="s">
        <v>794</v>
      </c>
      <c r="B2" s="1664"/>
      <c r="C2" s="1667" t="s">
        <v>795</v>
      </c>
      <c r="D2" s="1668" t="s">
        <v>796</v>
      </c>
      <c r="E2" s="1669" t="s">
        <v>797</v>
      </c>
      <c r="F2" s="1670"/>
      <c r="G2" s="1670"/>
      <c r="H2" s="1670"/>
      <c r="I2" s="1671"/>
      <c r="J2" s="1651" t="s">
        <v>798</v>
      </c>
      <c r="K2" s="1651" t="s">
        <v>799</v>
      </c>
      <c r="L2" s="1651" t="s">
        <v>800</v>
      </c>
      <c r="M2" s="1674" t="s">
        <v>1367</v>
      </c>
      <c r="N2" s="1674"/>
      <c r="O2" s="1674"/>
      <c r="P2" s="1674"/>
      <c r="Q2" s="1674"/>
      <c r="R2" s="1674"/>
      <c r="S2" s="1675" t="s">
        <v>802</v>
      </c>
      <c r="T2" s="1648" t="s">
        <v>803</v>
      </c>
      <c r="U2" s="940"/>
      <c r="V2" s="1651" t="s">
        <v>804</v>
      </c>
      <c r="W2" s="1651" t="s">
        <v>805</v>
      </c>
      <c r="X2" s="1651" t="s">
        <v>806</v>
      </c>
    </row>
    <row r="3" spans="1:28" ht="62.25" customHeight="1" x14ac:dyDescent="0.2">
      <c r="A3" s="1665"/>
      <c r="B3" s="1666"/>
      <c r="C3" s="1652"/>
      <c r="D3" s="1649"/>
      <c r="E3" s="1654" t="s">
        <v>807</v>
      </c>
      <c r="F3" s="1655"/>
      <c r="G3" s="1656" t="s">
        <v>808</v>
      </c>
      <c r="H3" s="1654" t="s">
        <v>809</v>
      </c>
      <c r="I3" s="1655"/>
      <c r="J3" s="1652"/>
      <c r="K3" s="1672"/>
      <c r="L3" s="1672"/>
      <c r="M3" s="1658" t="s">
        <v>810</v>
      </c>
      <c r="N3" s="1658" t="s">
        <v>811</v>
      </c>
      <c r="O3" s="1658" t="s">
        <v>812</v>
      </c>
      <c r="P3" s="1659" t="s">
        <v>813</v>
      </c>
      <c r="Q3" s="1659"/>
      <c r="R3" s="1659" t="s">
        <v>189</v>
      </c>
      <c r="S3" s="1676"/>
      <c r="T3" s="1649"/>
      <c r="U3" s="941"/>
      <c r="V3" s="1652"/>
      <c r="W3" s="1652"/>
      <c r="X3" s="1652"/>
    </row>
    <row r="4" spans="1:28" ht="115.5" customHeight="1" x14ac:dyDescent="0.2">
      <c r="A4" s="1665"/>
      <c r="B4" s="1666"/>
      <c r="C4" s="1653"/>
      <c r="D4" s="1650"/>
      <c r="E4" s="942" t="s">
        <v>814</v>
      </c>
      <c r="F4" s="942" t="s">
        <v>815</v>
      </c>
      <c r="G4" s="1657"/>
      <c r="H4" s="942" t="s">
        <v>816</v>
      </c>
      <c r="I4" s="942" t="s">
        <v>817</v>
      </c>
      <c r="J4" s="1653"/>
      <c r="K4" s="1673"/>
      <c r="L4" s="1673"/>
      <c r="M4" s="1658"/>
      <c r="N4" s="1658"/>
      <c r="O4" s="1658"/>
      <c r="P4" s="1660"/>
      <c r="Q4" s="1660"/>
      <c r="R4" s="1660"/>
      <c r="S4" s="1677"/>
      <c r="T4" s="1650"/>
      <c r="U4" s="943" t="s">
        <v>1381</v>
      </c>
      <c r="V4" s="1653"/>
      <c r="W4" s="1653"/>
      <c r="X4" s="1653"/>
    </row>
    <row r="5" spans="1:28" x14ac:dyDescent="0.2">
      <c r="A5" s="1661">
        <v>1</v>
      </c>
      <c r="B5" s="1662"/>
      <c r="C5" s="944">
        <v>2</v>
      </c>
      <c r="D5" s="944">
        <v>3</v>
      </c>
      <c r="E5" s="944">
        <v>4</v>
      </c>
      <c r="F5" s="944">
        <v>5</v>
      </c>
      <c r="G5" s="944">
        <v>6</v>
      </c>
      <c r="H5" s="944">
        <v>7</v>
      </c>
      <c r="I5" s="944">
        <v>8</v>
      </c>
      <c r="J5" s="944">
        <v>9</v>
      </c>
      <c r="K5" s="944">
        <v>10</v>
      </c>
      <c r="L5" s="944">
        <v>11</v>
      </c>
      <c r="M5" s="944">
        <v>12</v>
      </c>
      <c r="N5" s="944">
        <v>13</v>
      </c>
      <c r="O5" s="944">
        <v>14</v>
      </c>
      <c r="P5" s="944">
        <v>14</v>
      </c>
      <c r="Q5" s="944">
        <v>16</v>
      </c>
      <c r="R5" s="944">
        <v>15</v>
      </c>
      <c r="S5" s="944">
        <v>16</v>
      </c>
      <c r="T5" s="944">
        <v>17</v>
      </c>
      <c r="U5" s="944"/>
      <c r="V5" s="944">
        <v>18</v>
      </c>
      <c r="W5" s="944">
        <v>19</v>
      </c>
      <c r="X5" s="944">
        <v>20</v>
      </c>
    </row>
    <row r="6" spans="1:28" ht="14.25" customHeight="1" x14ac:dyDescent="0.2">
      <c r="A6" s="1645" t="s">
        <v>840</v>
      </c>
      <c r="B6" s="1645"/>
      <c r="C6" s="945">
        <v>1</v>
      </c>
      <c r="D6" s="945">
        <v>12265</v>
      </c>
      <c r="E6" s="945"/>
      <c r="F6" s="945">
        <v>2.9</v>
      </c>
      <c r="G6" s="945"/>
      <c r="H6" s="945"/>
      <c r="I6" s="945"/>
      <c r="J6" s="946">
        <f>12265*2.9</f>
        <v>35568.5</v>
      </c>
      <c r="K6" s="946"/>
      <c r="L6" s="946">
        <f>J6</f>
        <v>35568.5</v>
      </c>
      <c r="M6" s="946"/>
      <c r="N6" s="946"/>
      <c r="O6" s="946"/>
      <c r="P6" s="946"/>
      <c r="Q6" s="946"/>
      <c r="R6" s="946">
        <f>M6+N6+P6</f>
        <v>0</v>
      </c>
      <c r="S6" s="946">
        <f>L6+R6</f>
        <v>35568.5</v>
      </c>
      <c r="T6" s="946">
        <f>L6*24%</f>
        <v>8536.44</v>
      </c>
      <c r="U6" s="946"/>
      <c r="V6" s="946">
        <f>S6+T6+U6</f>
        <v>44104.94</v>
      </c>
      <c r="W6" s="946">
        <f>V6*6</f>
        <v>264629.64</v>
      </c>
      <c r="X6" s="946">
        <f>W6*30.2%</f>
        <v>79918.151280000005</v>
      </c>
      <c r="Z6" s="302" t="s">
        <v>818</v>
      </c>
      <c r="AA6" s="307">
        <f>V6</f>
        <v>44104.94</v>
      </c>
    </row>
    <row r="7" spans="1:28" ht="14.25" customHeight="1" thickBot="1" x14ac:dyDescent="0.25">
      <c r="A7" s="1645" t="s">
        <v>564</v>
      </c>
      <c r="B7" s="1645"/>
      <c r="C7" s="945">
        <v>0.5</v>
      </c>
      <c r="D7" s="945">
        <v>12265</v>
      </c>
      <c r="E7" s="945"/>
      <c r="F7" s="945"/>
      <c r="G7" s="945"/>
      <c r="H7" s="945"/>
      <c r="I7" s="945"/>
      <c r="J7" s="946">
        <v>22764.080000000002</v>
      </c>
      <c r="K7" s="946"/>
      <c r="L7" s="946">
        <f>J7</f>
        <v>22764.080000000002</v>
      </c>
      <c r="M7" s="946"/>
      <c r="N7" s="946"/>
      <c r="O7" s="946"/>
      <c r="P7" s="946"/>
      <c r="Q7" s="946"/>
      <c r="R7" s="946">
        <f t="shared" ref="R7:R18" si="0">M7+N7+P7</f>
        <v>0</v>
      </c>
      <c r="S7" s="946">
        <f t="shared" ref="S7:S18" si="1">L7+R7</f>
        <v>22764.080000000002</v>
      </c>
      <c r="T7" s="946">
        <f t="shared" ref="T7:T17" si="2">L7*24%</f>
        <v>5463.3792000000003</v>
      </c>
      <c r="U7" s="946"/>
      <c r="V7" s="946">
        <f t="shared" ref="V7:V18" si="3">S7+T7+U7</f>
        <v>28227.459200000001</v>
      </c>
      <c r="W7" s="946">
        <f t="shared" ref="W7:W18" si="4">V7*6</f>
        <v>169364.75520000001</v>
      </c>
      <c r="X7" s="946">
        <f t="shared" ref="X7:X18" si="5">W7*30.2%</f>
        <v>51148.1560704</v>
      </c>
      <c r="Z7" s="302" t="s">
        <v>819</v>
      </c>
      <c r="AA7" s="307"/>
      <c r="AB7" s="302" t="s">
        <v>820</v>
      </c>
    </row>
    <row r="8" spans="1:28" ht="14.25" customHeight="1" thickBot="1" x14ac:dyDescent="0.25">
      <c r="A8" s="1643" t="s">
        <v>821</v>
      </c>
      <c r="B8" s="1644"/>
      <c r="C8" s="945">
        <v>6.61</v>
      </c>
      <c r="D8" s="945">
        <v>12265</v>
      </c>
      <c r="E8" s="945">
        <v>1.6</v>
      </c>
      <c r="F8" s="945"/>
      <c r="G8" s="945"/>
      <c r="H8" s="945"/>
      <c r="I8" s="947"/>
      <c r="J8" s="946">
        <f>ROUND(D8*E8*C8,2)</f>
        <v>129714.64</v>
      </c>
      <c r="K8" s="946">
        <f>15699.2</f>
        <v>15699.2</v>
      </c>
      <c r="L8" s="948">
        <f>J8+K8</f>
        <v>145413.84</v>
      </c>
      <c r="M8" s="946">
        <v>8242.08</v>
      </c>
      <c r="N8" s="946"/>
      <c r="O8" s="946"/>
      <c r="P8" s="946"/>
      <c r="Q8" s="946"/>
      <c r="R8" s="946">
        <f t="shared" si="0"/>
        <v>8242.08</v>
      </c>
      <c r="S8" s="946">
        <f>L8+R8</f>
        <v>153655.91999999998</v>
      </c>
      <c r="T8" s="946">
        <f t="shared" si="2"/>
        <v>34899.321599999996</v>
      </c>
      <c r="U8" s="946">
        <f>L8*74%</f>
        <v>107606.24159999999</v>
      </c>
      <c r="V8" s="946">
        <f t="shared" si="3"/>
        <v>296161.48319999996</v>
      </c>
      <c r="W8" s="946">
        <f t="shared" si="4"/>
        <v>1776968.8991999999</v>
      </c>
      <c r="X8" s="946">
        <f t="shared" si="5"/>
        <v>536644.6075583999</v>
      </c>
      <c r="Z8" s="307"/>
      <c r="AB8" s="310">
        <f>(V8+V9+V10+V11+V12+V13)/13.6</f>
        <v>46916.688014705869</v>
      </c>
    </row>
    <row r="9" spans="1:28" ht="14.25" customHeight="1" x14ac:dyDescent="0.2">
      <c r="A9" s="1643" t="s">
        <v>822</v>
      </c>
      <c r="B9" s="1644"/>
      <c r="C9" s="945">
        <v>3</v>
      </c>
      <c r="D9" s="945">
        <v>12265</v>
      </c>
      <c r="E9" s="945"/>
      <c r="F9" s="945">
        <v>1.9</v>
      </c>
      <c r="G9" s="945"/>
      <c r="H9" s="945"/>
      <c r="I9" s="945"/>
      <c r="J9" s="946">
        <f t="shared" ref="J9:J13" si="6">ROUND(C9*D9*F9,2)</f>
        <v>69910.5</v>
      </c>
      <c r="K9" s="946">
        <f>6991.05</f>
        <v>6991.05</v>
      </c>
      <c r="L9" s="948">
        <f>J9+K9</f>
        <v>76901.55</v>
      </c>
      <c r="M9" s="948"/>
      <c r="N9" s="948"/>
      <c r="O9" s="949"/>
      <c r="P9" s="948"/>
      <c r="Q9" s="946"/>
      <c r="R9" s="946">
        <f t="shared" si="0"/>
        <v>0</v>
      </c>
      <c r="S9" s="946">
        <f>L9+R9</f>
        <v>76901.55</v>
      </c>
      <c r="T9" s="946">
        <f t="shared" si="2"/>
        <v>18456.371999999999</v>
      </c>
      <c r="U9" s="946">
        <f t="shared" ref="U9:U12" si="7">L9*74%</f>
        <v>56907.147000000004</v>
      </c>
      <c r="V9" s="946">
        <f t="shared" si="3"/>
        <v>152265.06900000002</v>
      </c>
      <c r="W9" s="946">
        <f t="shared" si="4"/>
        <v>913590.41400000011</v>
      </c>
      <c r="X9" s="946">
        <f t="shared" si="5"/>
        <v>275904.30502800003</v>
      </c>
      <c r="Z9" s="307">
        <f>J8+J9+J10</f>
        <v>210357.02000000002</v>
      </c>
      <c r="AA9" s="302">
        <f>Z9*1%</f>
        <v>2103.5702000000001</v>
      </c>
    </row>
    <row r="10" spans="1:28" ht="14.25" customHeight="1" x14ac:dyDescent="0.2">
      <c r="A10" s="1645" t="s">
        <v>1382</v>
      </c>
      <c r="B10" s="1645"/>
      <c r="C10" s="945">
        <v>0.5</v>
      </c>
      <c r="D10" s="945">
        <v>12265</v>
      </c>
      <c r="E10" s="945"/>
      <c r="F10" s="945">
        <v>1.75</v>
      </c>
      <c r="G10" s="945"/>
      <c r="H10" s="945"/>
      <c r="I10" s="945"/>
      <c r="J10" s="946">
        <f>ROUND(C10*D10*F10,2)</f>
        <v>10731.88</v>
      </c>
      <c r="K10" s="946">
        <f>4292.75</f>
        <v>4292.75</v>
      </c>
      <c r="L10" s="948">
        <f>J10+K10</f>
        <v>15024.63</v>
      </c>
      <c r="M10" s="948">
        <v>429.28</v>
      </c>
      <c r="N10" s="948"/>
      <c r="O10" s="949"/>
      <c r="P10" s="949"/>
      <c r="Q10" s="946"/>
      <c r="R10" s="946">
        <f t="shared" si="0"/>
        <v>429.28</v>
      </c>
      <c r="S10" s="946">
        <f t="shared" si="1"/>
        <v>15453.91</v>
      </c>
      <c r="T10" s="946">
        <f t="shared" si="2"/>
        <v>3605.9111999999996</v>
      </c>
      <c r="U10" s="946">
        <f t="shared" si="7"/>
        <v>11118.226199999999</v>
      </c>
      <c r="V10" s="946">
        <f t="shared" si="3"/>
        <v>30178.047399999996</v>
      </c>
      <c r="W10" s="946">
        <f t="shared" si="4"/>
        <v>181068.28439999997</v>
      </c>
      <c r="X10" s="946">
        <f t="shared" si="5"/>
        <v>54682.621888799993</v>
      </c>
      <c r="Z10" s="307"/>
    </row>
    <row r="11" spans="1:28" ht="14.25" customHeight="1" x14ac:dyDescent="0.2">
      <c r="A11" s="1645" t="s">
        <v>824</v>
      </c>
      <c r="B11" s="1645"/>
      <c r="C11" s="945">
        <v>1.5</v>
      </c>
      <c r="D11" s="945">
        <v>12265</v>
      </c>
      <c r="E11" s="950">
        <v>1.45</v>
      </c>
      <c r="F11" s="945"/>
      <c r="G11" s="950"/>
      <c r="H11" s="950"/>
      <c r="I11" s="950"/>
      <c r="J11" s="946">
        <f>ROUND(C11*D11*E11,2)</f>
        <v>26676.38</v>
      </c>
      <c r="K11" s="946"/>
      <c r="L11" s="948">
        <f>J11</f>
        <v>26676.38</v>
      </c>
      <c r="M11" s="948">
        <v>889.21</v>
      </c>
      <c r="N11" s="946"/>
      <c r="O11" s="946"/>
      <c r="P11" s="946"/>
      <c r="Q11" s="946"/>
      <c r="R11" s="946">
        <f t="shared" si="0"/>
        <v>889.21</v>
      </c>
      <c r="S11" s="946">
        <f t="shared" si="1"/>
        <v>27565.59</v>
      </c>
      <c r="T11" s="946">
        <f t="shared" si="2"/>
        <v>6402.3311999999996</v>
      </c>
      <c r="U11" s="946">
        <f t="shared" si="7"/>
        <v>19740.521199999999</v>
      </c>
      <c r="V11" s="946">
        <f t="shared" si="3"/>
        <v>53708.4424</v>
      </c>
      <c r="W11" s="946">
        <f t="shared" si="4"/>
        <v>322250.6544</v>
      </c>
      <c r="X11" s="946">
        <f t="shared" si="5"/>
        <v>97319.697628800001</v>
      </c>
    </row>
    <row r="12" spans="1:28" s="299" customFormat="1" ht="14.25" customHeight="1" x14ac:dyDescent="0.2">
      <c r="A12" s="1645" t="s">
        <v>825</v>
      </c>
      <c r="B12" s="1645"/>
      <c r="C12" s="945">
        <f>0.5</f>
        <v>0.5</v>
      </c>
      <c r="D12" s="945">
        <v>12265</v>
      </c>
      <c r="E12" s="945"/>
      <c r="F12" s="945">
        <v>1.9</v>
      </c>
      <c r="G12" s="945"/>
      <c r="H12" s="945"/>
      <c r="I12" s="945"/>
      <c r="J12" s="946">
        <f t="shared" si="6"/>
        <v>11651.75</v>
      </c>
      <c r="K12" s="946"/>
      <c r="L12" s="948">
        <f>J12</f>
        <v>11651.75</v>
      </c>
      <c r="M12" s="948">
        <v>2330.35</v>
      </c>
      <c r="N12" s="946"/>
      <c r="O12" s="946"/>
      <c r="P12" s="946"/>
      <c r="Q12" s="946"/>
      <c r="R12" s="946">
        <f t="shared" si="0"/>
        <v>2330.35</v>
      </c>
      <c r="S12" s="946">
        <f t="shared" si="1"/>
        <v>13982.1</v>
      </c>
      <c r="T12" s="946">
        <f t="shared" si="2"/>
        <v>2796.42</v>
      </c>
      <c r="U12" s="946">
        <f t="shared" si="7"/>
        <v>8622.2950000000001</v>
      </c>
      <c r="V12" s="946">
        <f t="shared" si="3"/>
        <v>25400.815000000002</v>
      </c>
      <c r="W12" s="946">
        <f t="shared" si="4"/>
        <v>152404.89000000001</v>
      </c>
      <c r="X12" s="946">
        <f t="shared" si="5"/>
        <v>46026.27678</v>
      </c>
    </row>
    <row r="13" spans="1:28" s="299" customFormat="1" ht="14.25" customHeight="1" x14ac:dyDescent="0.2">
      <c r="A13" s="1645" t="s">
        <v>826</v>
      </c>
      <c r="B13" s="1645"/>
      <c r="C13" s="945">
        <v>1.5</v>
      </c>
      <c r="D13" s="945">
        <v>12265</v>
      </c>
      <c r="E13" s="945"/>
      <c r="F13" s="945">
        <v>2</v>
      </c>
      <c r="G13" s="945"/>
      <c r="H13" s="945"/>
      <c r="I13" s="945"/>
      <c r="J13" s="946">
        <f t="shared" si="6"/>
        <v>36795</v>
      </c>
      <c r="K13" s="946"/>
      <c r="L13" s="948">
        <f>J13</f>
        <v>36795</v>
      </c>
      <c r="M13" s="946">
        <v>7359</v>
      </c>
      <c r="N13" s="946"/>
      <c r="O13" s="946"/>
      <c r="P13" s="946"/>
      <c r="Q13" s="946"/>
      <c r="R13" s="946">
        <f t="shared" si="0"/>
        <v>7359</v>
      </c>
      <c r="S13" s="946">
        <f t="shared" si="1"/>
        <v>44154</v>
      </c>
      <c r="T13" s="946">
        <f t="shared" si="2"/>
        <v>8830.7999999999993</v>
      </c>
      <c r="U13" s="946">
        <f>L13*74%+140</f>
        <v>27368.3</v>
      </c>
      <c r="V13" s="946">
        <f t="shared" si="3"/>
        <v>80353.100000000006</v>
      </c>
      <c r="W13" s="946">
        <f t="shared" si="4"/>
        <v>482118.60000000003</v>
      </c>
      <c r="X13" s="946">
        <f t="shared" si="5"/>
        <v>145599.81720000002</v>
      </c>
    </row>
    <row r="14" spans="1:28" s="299" customFormat="1" ht="14.25" customHeight="1" x14ac:dyDescent="0.2">
      <c r="A14" s="1645" t="s">
        <v>827</v>
      </c>
      <c r="B14" s="1645"/>
      <c r="C14" s="945">
        <v>1</v>
      </c>
      <c r="D14" s="945">
        <v>12265</v>
      </c>
      <c r="E14" s="945"/>
      <c r="F14" s="945"/>
      <c r="G14" s="945">
        <v>1.95</v>
      </c>
      <c r="H14" s="945"/>
      <c r="I14" s="945"/>
      <c r="J14" s="946">
        <f>ROUND(D14*G14*C14,2)</f>
        <v>23916.75</v>
      </c>
      <c r="K14" s="946"/>
      <c r="L14" s="946">
        <f t="shared" ref="L14:L17" si="8">J14</f>
        <v>23916.75</v>
      </c>
      <c r="M14" s="946"/>
      <c r="N14" s="946"/>
      <c r="O14" s="946"/>
      <c r="P14" s="946"/>
      <c r="Q14" s="946"/>
      <c r="R14" s="946">
        <f t="shared" si="0"/>
        <v>0</v>
      </c>
      <c r="S14" s="946">
        <f t="shared" si="1"/>
        <v>23916.75</v>
      </c>
      <c r="T14" s="946">
        <f t="shared" si="2"/>
        <v>5740.0199999999995</v>
      </c>
      <c r="U14" s="946"/>
      <c r="V14" s="946">
        <f t="shared" si="3"/>
        <v>29656.77</v>
      </c>
      <c r="W14" s="946">
        <f t="shared" si="4"/>
        <v>177940.62</v>
      </c>
      <c r="X14" s="946">
        <f t="shared" si="5"/>
        <v>53738.067239999997</v>
      </c>
    </row>
    <row r="15" spans="1:28" s="299" customFormat="1" ht="14.25" customHeight="1" x14ac:dyDescent="0.2">
      <c r="A15" s="1645" t="s">
        <v>828</v>
      </c>
      <c r="B15" s="1645"/>
      <c r="C15" s="945">
        <v>8.0500000000000007</v>
      </c>
      <c r="D15" s="945">
        <v>12265</v>
      </c>
      <c r="E15" s="945"/>
      <c r="F15" s="945"/>
      <c r="G15" s="945">
        <v>1.35</v>
      </c>
      <c r="H15" s="945"/>
      <c r="I15" s="945"/>
      <c r="J15" s="946">
        <f>ROUND(D15*G15*C15,2)</f>
        <v>133289.89000000001</v>
      </c>
      <c r="K15" s="946"/>
      <c r="L15" s="946">
        <f t="shared" si="8"/>
        <v>133289.89000000001</v>
      </c>
      <c r="M15" s="946"/>
      <c r="N15" s="946"/>
      <c r="O15" s="946"/>
      <c r="P15" s="946">
        <f>L15*4%</f>
        <v>5331.5956000000006</v>
      </c>
      <c r="Q15" s="946"/>
      <c r="R15" s="946">
        <f t="shared" si="0"/>
        <v>5331.5956000000006</v>
      </c>
      <c r="S15" s="946">
        <f t="shared" si="1"/>
        <v>138621.48560000001</v>
      </c>
      <c r="T15" s="946">
        <f t="shared" si="2"/>
        <v>31989.573600000003</v>
      </c>
      <c r="U15" s="946"/>
      <c r="V15" s="946">
        <f t="shared" si="3"/>
        <v>170611.05920000002</v>
      </c>
      <c r="W15" s="946">
        <f t="shared" si="4"/>
        <v>1023666.3552000001</v>
      </c>
      <c r="X15" s="946">
        <f t="shared" si="5"/>
        <v>309147.23927040002</v>
      </c>
    </row>
    <row r="16" spans="1:28" s="299" customFormat="1" ht="14.25" customHeight="1" x14ac:dyDescent="0.2">
      <c r="A16" s="1645" t="s">
        <v>829</v>
      </c>
      <c r="B16" s="1645"/>
      <c r="C16" s="945">
        <v>1.2</v>
      </c>
      <c r="D16" s="945">
        <v>12265</v>
      </c>
      <c r="E16" s="945"/>
      <c r="F16" s="945"/>
      <c r="G16" s="945"/>
      <c r="H16" s="945">
        <v>2</v>
      </c>
      <c r="I16" s="945">
        <v>1.05</v>
      </c>
      <c r="J16" s="946">
        <f>ROUND(D16*I16*C16,2)</f>
        <v>15453.9</v>
      </c>
      <c r="K16" s="946"/>
      <c r="L16" s="946">
        <f t="shared" si="8"/>
        <v>15453.9</v>
      </c>
      <c r="M16" s="946"/>
      <c r="N16" s="946"/>
      <c r="O16" s="946"/>
      <c r="P16" s="946"/>
      <c r="Q16" s="946"/>
      <c r="R16" s="946">
        <f t="shared" si="0"/>
        <v>0</v>
      </c>
      <c r="S16" s="946">
        <f t="shared" si="1"/>
        <v>15453.9</v>
      </c>
      <c r="T16" s="946">
        <f t="shared" si="2"/>
        <v>3708.9359999999997</v>
      </c>
      <c r="U16" s="946"/>
      <c r="V16" s="946">
        <f t="shared" si="3"/>
        <v>19162.835999999999</v>
      </c>
      <c r="W16" s="946">
        <f t="shared" si="4"/>
        <v>114977.016</v>
      </c>
      <c r="X16" s="946">
        <f t="shared" si="5"/>
        <v>34723.058832000002</v>
      </c>
    </row>
    <row r="17" spans="1:28" s="299" customFormat="1" ht="14.25" customHeight="1" x14ac:dyDescent="0.2">
      <c r="A17" s="1645" t="s">
        <v>839</v>
      </c>
      <c r="B17" s="1645"/>
      <c r="C17" s="945">
        <v>1.5</v>
      </c>
      <c r="D17" s="945">
        <v>12265</v>
      </c>
      <c r="E17" s="945"/>
      <c r="F17" s="945"/>
      <c r="G17" s="945"/>
      <c r="H17" s="945">
        <v>1</v>
      </c>
      <c r="I17" s="945">
        <v>1.55</v>
      </c>
      <c r="J17" s="946">
        <f>ROUND(D17*I17*C17,2)</f>
        <v>28516.13</v>
      </c>
      <c r="K17" s="946"/>
      <c r="L17" s="946">
        <f t="shared" si="8"/>
        <v>28516.13</v>
      </c>
      <c r="M17" s="946"/>
      <c r="N17" s="946"/>
      <c r="O17" s="946"/>
      <c r="P17" s="946"/>
      <c r="Q17" s="946"/>
      <c r="R17" s="946">
        <f t="shared" si="0"/>
        <v>0</v>
      </c>
      <c r="S17" s="946">
        <f t="shared" si="1"/>
        <v>28516.13</v>
      </c>
      <c r="T17" s="946">
        <f t="shared" si="2"/>
        <v>6843.8711999999996</v>
      </c>
      <c r="U17" s="946"/>
      <c r="V17" s="946">
        <f t="shared" si="3"/>
        <v>35360.001199999999</v>
      </c>
      <c r="W17" s="946">
        <f t="shared" si="4"/>
        <v>212160.00719999999</v>
      </c>
      <c r="X17" s="946">
        <f t="shared" si="5"/>
        <v>64072.322174399997</v>
      </c>
    </row>
    <row r="18" spans="1:28" s="299" customFormat="1" ht="14.25" customHeight="1" x14ac:dyDescent="0.2">
      <c r="A18" s="1645" t="s">
        <v>830</v>
      </c>
      <c r="B18" s="1645"/>
      <c r="C18" s="945">
        <f>2</f>
        <v>2</v>
      </c>
      <c r="D18" s="945">
        <v>12265</v>
      </c>
      <c r="E18" s="945"/>
      <c r="F18" s="945"/>
      <c r="G18" s="945"/>
      <c r="H18" s="945">
        <v>1</v>
      </c>
      <c r="I18" s="945">
        <v>1.05</v>
      </c>
      <c r="J18" s="946">
        <f>ROUND(D18*I18*C18,2)</f>
        <v>25756.5</v>
      </c>
      <c r="K18" s="946"/>
      <c r="L18" s="946">
        <f>J18*1.04</f>
        <v>26786.760000000002</v>
      </c>
      <c r="M18" s="946"/>
      <c r="N18" s="946"/>
      <c r="O18" s="946"/>
      <c r="P18" s="946">
        <f>L18*4%</f>
        <v>1071.4704000000002</v>
      </c>
      <c r="Q18" s="946"/>
      <c r="R18" s="946">
        <f t="shared" si="0"/>
        <v>1071.4704000000002</v>
      </c>
      <c r="S18" s="946">
        <f t="shared" si="1"/>
        <v>27858.2304</v>
      </c>
      <c r="T18" s="946">
        <f>L18*24%+5962.95</f>
        <v>12391.7724</v>
      </c>
      <c r="U18" s="946"/>
      <c r="V18" s="946">
        <f t="shared" si="3"/>
        <v>40250.002800000002</v>
      </c>
      <c r="W18" s="946">
        <f t="shared" si="4"/>
        <v>241500.01680000001</v>
      </c>
      <c r="X18" s="946">
        <f t="shared" si="5"/>
        <v>72933.005073599998</v>
      </c>
    </row>
    <row r="19" spans="1:28" s="315" customFormat="1" ht="14.25" customHeight="1" x14ac:dyDescent="0.2">
      <c r="A19" s="1642" t="s">
        <v>189</v>
      </c>
      <c r="B19" s="1642"/>
      <c r="C19" s="951">
        <f>SUM(C6:C18)</f>
        <v>28.86</v>
      </c>
      <c r="D19" s="951"/>
      <c r="E19" s="951"/>
      <c r="F19" s="951"/>
      <c r="G19" s="951"/>
      <c r="H19" s="951"/>
      <c r="I19" s="951"/>
      <c r="J19" s="952">
        <f t="shared" ref="J19:U19" si="9">SUM(J6:J18)</f>
        <v>570745.9</v>
      </c>
      <c r="K19" s="952">
        <f t="shared" si="9"/>
        <v>26983</v>
      </c>
      <c r="L19" s="952">
        <f t="shared" si="9"/>
        <v>598759.16</v>
      </c>
      <c r="M19" s="952">
        <f t="shared" si="9"/>
        <v>19249.919999999998</v>
      </c>
      <c r="N19" s="952">
        <f t="shared" si="9"/>
        <v>0</v>
      </c>
      <c r="O19" s="952">
        <f t="shared" si="9"/>
        <v>0</v>
      </c>
      <c r="P19" s="952">
        <f t="shared" si="9"/>
        <v>6403.0660000000007</v>
      </c>
      <c r="Q19" s="952">
        <f t="shared" si="9"/>
        <v>0</v>
      </c>
      <c r="R19" s="952">
        <f t="shared" si="9"/>
        <v>25652.985999999997</v>
      </c>
      <c r="S19" s="952">
        <f t="shared" si="9"/>
        <v>624412.14599999995</v>
      </c>
      <c r="T19" s="952">
        <f>SUM(T6:T18)</f>
        <v>149665.14840000001</v>
      </c>
      <c r="U19" s="952">
        <f t="shared" si="9"/>
        <v>231362.731</v>
      </c>
      <c r="V19" s="952">
        <f>SUM(V6:V18)</f>
        <v>1005440.0254</v>
      </c>
      <c r="W19" s="952">
        <f>SUM(W6:W18)</f>
        <v>6032640.1524</v>
      </c>
      <c r="X19" s="952">
        <f>SUM(X6:X18)</f>
        <v>1821857.3260247998</v>
      </c>
    </row>
    <row r="21" spans="1:28" x14ac:dyDescent="0.2">
      <c r="B21" s="302" t="s">
        <v>1383</v>
      </c>
      <c r="X21" s="307"/>
      <c r="AB21" s="307"/>
    </row>
    <row r="22" spans="1:28" x14ac:dyDescent="0.2">
      <c r="V22" s="302" t="s">
        <v>1197</v>
      </c>
      <c r="W22" s="302">
        <v>16891100</v>
      </c>
    </row>
    <row r="23" spans="1:28" x14ac:dyDescent="0.2">
      <c r="V23" s="302" t="s">
        <v>1271</v>
      </c>
      <c r="W23" s="307">
        <f>W22-W21</f>
        <v>16891100</v>
      </c>
    </row>
    <row r="25" spans="1:28" x14ac:dyDescent="0.2">
      <c r="W25" s="307">
        <f>SUM(V8:W13)</f>
        <v>4466468.6989999991</v>
      </c>
    </row>
    <row r="26" spans="1:28" x14ac:dyDescent="0.2">
      <c r="W26" s="302">
        <f>W25*6.5%</f>
        <v>290320.46543499996</v>
      </c>
    </row>
    <row r="27" spans="1:28" x14ac:dyDescent="0.2">
      <c r="W27" s="307">
        <f>W23-W26</f>
        <v>16600779.534565</v>
      </c>
    </row>
  </sheetData>
  <mergeCells count="38">
    <mergeCell ref="X2:X4"/>
    <mergeCell ref="A2:B4"/>
    <mergeCell ref="C2:C4"/>
    <mergeCell ref="D2:D4"/>
    <mergeCell ref="E2:I2"/>
    <mergeCell ref="J2:J4"/>
    <mergeCell ref="K2:K4"/>
    <mergeCell ref="L2:L4"/>
    <mergeCell ref="M2:R2"/>
    <mergeCell ref="S2:S4"/>
    <mergeCell ref="A1:W1"/>
    <mergeCell ref="A7:B7"/>
    <mergeCell ref="T2:T4"/>
    <mergeCell ref="V2:V4"/>
    <mergeCell ref="W2:W4"/>
    <mergeCell ref="E3:F3"/>
    <mergeCell ref="G3:G4"/>
    <mergeCell ref="H3:I3"/>
    <mergeCell ref="M3:M4"/>
    <mergeCell ref="N3:N4"/>
    <mergeCell ref="O3:O4"/>
    <mergeCell ref="P3:P4"/>
    <mergeCell ref="Q3:Q4"/>
    <mergeCell ref="R3:R4"/>
    <mergeCell ref="A5:B5"/>
    <mergeCell ref="A6:B6"/>
    <mergeCell ref="A19:B19"/>
    <mergeCell ref="A8:B8"/>
    <mergeCell ref="A9:B9"/>
    <mergeCell ref="A10:B10"/>
    <mergeCell ref="A11:B11"/>
    <mergeCell ref="A12:B12"/>
    <mergeCell ref="A13:B13"/>
    <mergeCell ref="A14:B14"/>
    <mergeCell ref="A15:B15"/>
    <mergeCell ref="A16:B16"/>
    <mergeCell ref="A17:B17"/>
    <mergeCell ref="A18:B18"/>
  </mergeCells>
  <printOptions horizontalCentered="1" verticalCentered="1"/>
  <pageMargins left="0.23622047244094491" right="0.23622047244094491" top="0" bottom="0" header="0.31496062992125984" footer="0.31496062992125984"/>
  <pageSetup paperSize="9" scale="47"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F277"/>
  <sheetViews>
    <sheetView view="pageBreakPreview" zoomScale="55" zoomScaleNormal="56" zoomScaleSheetLayoutView="55" workbookViewId="0">
      <pane xSplit="1" ySplit="10" topLeftCell="R218" activePane="bottomRight" state="frozen"/>
      <selection pane="topRight" activeCell="B1" sqref="B1"/>
      <selection pane="bottomLeft" activeCell="A11" sqref="A11"/>
      <selection pane="bottomRight" activeCell="L81" sqref="L81"/>
    </sheetView>
  </sheetViews>
  <sheetFormatPr defaultColWidth="9.140625" defaultRowHeight="15.75" x14ac:dyDescent="0.2"/>
  <cols>
    <col min="1" max="1" width="42" style="610" customWidth="1"/>
    <col min="2" max="2" width="11.5703125" style="610" customWidth="1"/>
    <col min="3" max="3" width="9.42578125" style="610" customWidth="1"/>
    <col min="4" max="4" width="11.7109375" style="610" customWidth="1"/>
    <col min="5" max="5" width="20.85546875" style="644" customWidth="1"/>
    <col min="6" max="6" width="19.7109375" style="645" customWidth="1"/>
    <col min="7" max="7" width="20.28515625" style="645" customWidth="1"/>
    <col min="8" max="8" width="21.42578125" style="645" customWidth="1"/>
    <col min="9" max="9" width="14.42578125" style="611" customWidth="1"/>
    <col min="10" max="10" width="14.7109375" style="645" customWidth="1"/>
    <col min="11" max="11" width="20.140625" style="645" customWidth="1"/>
    <col min="12" max="12" width="19.85546875" style="645" customWidth="1"/>
    <col min="13" max="13" width="22.85546875" style="644" customWidth="1"/>
    <col min="14" max="14" width="18.42578125" style="645" customWidth="1"/>
    <col min="15" max="15" width="19.42578125" style="645" customWidth="1"/>
    <col min="16" max="16" width="18.5703125" style="645" customWidth="1"/>
    <col min="17" max="17" width="16.28515625" style="611" customWidth="1"/>
    <col min="18" max="19" width="19" style="645" customWidth="1"/>
    <col min="20" max="20" width="20.140625" style="645" customWidth="1"/>
    <col min="21" max="21" width="22.140625" style="644" customWidth="1"/>
    <col min="22" max="22" width="20" style="645" customWidth="1"/>
    <col min="23" max="23" width="20.42578125" style="645" customWidth="1"/>
    <col min="24" max="24" width="22.7109375" style="645" customWidth="1"/>
    <col min="25" max="25" width="14.140625" style="611" customWidth="1"/>
    <col min="26" max="26" width="15.42578125" style="645" customWidth="1"/>
    <col min="27" max="27" width="20.85546875" style="645" customWidth="1"/>
    <col min="28" max="28" width="22.42578125" style="645" customWidth="1"/>
    <col min="29" max="29" width="26" style="612" customWidth="1"/>
    <col min="30" max="30" width="19.28515625" style="610" customWidth="1"/>
    <col min="31" max="31" width="18" style="610" customWidth="1"/>
    <col min="32" max="32" width="17.5703125" style="610" bestFit="1" customWidth="1"/>
    <col min="33" max="16384" width="9.140625" style="610"/>
  </cols>
  <sheetData>
    <row r="1" spans="1:29" ht="51.75" customHeight="1" x14ac:dyDescent="0.2">
      <c r="Z1" s="1572" t="s">
        <v>721</v>
      </c>
      <c r="AA1" s="1573"/>
      <c r="AB1" s="1573"/>
    </row>
    <row r="2" spans="1:29" ht="31.9" customHeight="1" x14ac:dyDescent="0.2">
      <c r="Z2" s="1573" t="s">
        <v>722</v>
      </c>
      <c r="AA2" s="1573"/>
      <c r="AB2" s="1573"/>
    </row>
    <row r="3" spans="1:29" s="614" customFormat="1" ht="24.75" customHeight="1" x14ac:dyDescent="0.2">
      <c r="A3" s="1574" t="s">
        <v>1249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613"/>
      <c r="Z3" s="644"/>
      <c r="AA3" s="644"/>
      <c r="AB3" s="644"/>
      <c r="AC3" s="612"/>
    </row>
    <row r="4" spans="1:29" s="614" customFormat="1" ht="25.5" customHeight="1" x14ac:dyDescent="0.2">
      <c r="A4" s="1574" t="s">
        <v>1522</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613"/>
      <c r="Z4" s="644"/>
      <c r="AA4" s="644"/>
      <c r="AB4" s="644"/>
      <c r="AC4" s="612"/>
    </row>
    <row r="5" spans="1:29" x14ac:dyDescent="0.2">
      <c r="A5" s="610" t="s">
        <v>723</v>
      </c>
      <c r="D5" s="1575" t="s">
        <v>204</v>
      </c>
      <c r="E5" s="1576"/>
      <c r="F5" s="1576"/>
      <c r="G5" s="1576"/>
      <c r="H5" s="1576"/>
      <c r="I5" s="1576"/>
      <c r="J5" s="1576"/>
      <c r="K5" s="1576"/>
      <c r="L5" s="1576"/>
      <c r="M5" s="1576"/>
      <c r="N5" s="1576"/>
      <c r="O5" s="1576"/>
      <c r="P5" s="1576"/>
    </row>
    <row r="6" spans="1:29" x14ac:dyDescent="0.2">
      <c r="AC6" s="1002"/>
    </row>
    <row r="7" spans="1:29" s="614" customFormat="1" ht="37.5" customHeight="1" x14ac:dyDescent="0.2">
      <c r="A7" s="1565" t="s">
        <v>724</v>
      </c>
      <c r="B7" s="1566" t="s">
        <v>577</v>
      </c>
      <c r="C7" s="1566" t="s">
        <v>578</v>
      </c>
      <c r="D7" s="1566" t="s">
        <v>579</v>
      </c>
      <c r="E7" s="1567" t="s">
        <v>725</v>
      </c>
      <c r="F7" s="1567"/>
      <c r="G7" s="1567"/>
      <c r="H7" s="1567"/>
      <c r="I7" s="1567"/>
      <c r="J7" s="1567"/>
      <c r="K7" s="1567"/>
      <c r="L7" s="1567"/>
      <c r="M7" s="1567" t="s">
        <v>726</v>
      </c>
      <c r="N7" s="1567"/>
      <c r="O7" s="1567"/>
      <c r="P7" s="1567"/>
      <c r="Q7" s="1567"/>
      <c r="R7" s="1567"/>
      <c r="S7" s="1567"/>
      <c r="T7" s="1567"/>
      <c r="U7" s="1567" t="s">
        <v>727</v>
      </c>
      <c r="V7" s="1567"/>
      <c r="W7" s="1567"/>
      <c r="X7" s="1567"/>
      <c r="Y7" s="1567"/>
      <c r="Z7" s="1567"/>
      <c r="AA7" s="1567"/>
      <c r="AB7" s="1567"/>
      <c r="AC7" s="1577" t="s">
        <v>1178</v>
      </c>
    </row>
    <row r="8" spans="1:29" s="616" customFormat="1" ht="39.75" customHeight="1" x14ac:dyDescent="0.2">
      <c r="A8" s="1565"/>
      <c r="B8" s="1566"/>
      <c r="C8" s="1566"/>
      <c r="D8" s="1566"/>
      <c r="E8" s="1568" t="s">
        <v>6</v>
      </c>
      <c r="F8" s="1569" t="s">
        <v>52</v>
      </c>
      <c r="G8" s="1569"/>
      <c r="H8" s="1569"/>
      <c r="I8" s="1569"/>
      <c r="J8" s="1569"/>
      <c r="K8" s="1569"/>
      <c r="L8" s="1569"/>
      <c r="M8" s="1578" t="s">
        <v>6</v>
      </c>
      <c r="N8" s="1569" t="s">
        <v>52</v>
      </c>
      <c r="O8" s="1569"/>
      <c r="P8" s="1569"/>
      <c r="Q8" s="1569"/>
      <c r="R8" s="1569"/>
      <c r="S8" s="1569"/>
      <c r="T8" s="1569"/>
      <c r="U8" s="1578" t="s">
        <v>6</v>
      </c>
      <c r="V8" s="1569" t="s">
        <v>52</v>
      </c>
      <c r="W8" s="1569"/>
      <c r="X8" s="1569"/>
      <c r="Y8" s="1569"/>
      <c r="Z8" s="1569"/>
      <c r="AA8" s="1569"/>
      <c r="AB8" s="1569"/>
      <c r="AC8" s="1577"/>
    </row>
    <row r="9" spans="1:29" s="616" customFormat="1" ht="39.75" customHeight="1" x14ac:dyDescent="0.2">
      <c r="A9" s="1565"/>
      <c r="B9" s="1566"/>
      <c r="C9" s="1566"/>
      <c r="D9" s="1566"/>
      <c r="E9" s="1568"/>
      <c r="F9" s="1570" t="s">
        <v>35</v>
      </c>
      <c r="G9" s="1570"/>
      <c r="H9" s="1570"/>
      <c r="I9" s="1570" t="s">
        <v>45</v>
      </c>
      <c r="J9" s="1570"/>
      <c r="K9" s="1570"/>
      <c r="L9" s="1571" t="s">
        <v>46</v>
      </c>
      <c r="M9" s="1578"/>
      <c r="N9" s="1570" t="s">
        <v>35</v>
      </c>
      <c r="O9" s="1570"/>
      <c r="P9" s="1570"/>
      <c r="Q9" s="1570" t="s">
        <v>45</v>
      </c>
      <c r="R9" s="1570"/>
      <c r="S9" s="1570"/>
      <c r="T9" s="1571" t="s">
        <v>46</v>
      </c>
      <c r="U9" s="1578"/>
      <c r="V9" s="1570" t="s">
        <v>35</v>
      </c>
      <c r="W9" s="1570"/>
      <c r="X9" s="1570"/>
      <c r="Y9" s="1570" t="s">
        <v>45</v>
      </c>
      <c r="Z9" s="1570"/>
      <c r="AA9" s="1570"/>
      <c r="AB9" s="1571" t="s">
        <v>46</v>
      </c>
      <c r="AC9" s="1577"/>
    </row>
    <row r="10" spans="1:29" s="616" customFormat="1" ht="69" customHeight="1" x14ac:dyDescent="0.2">
      <c r="A10" s="1565"/>
      <c r="B10" s="1566"/>
      <c r="C10" s="1566"/>
      <c r="D10" s="1566"/>
      <c r="E10" s="1568"/>
      <c r="F10" s="642" t="s">
        <v>43</v>
      </c>
      <c r="G10" s="642" t="s">
        <v>592</v>
      </c>
      <c r="H10" s="642" t="s">
        <v>44</v>
      </c>
      <c r="I10" s="617" t="s">
        <v>55</v>
      </c>
      <c r="J10" s="642" t="s">
        <v>43</v>
      </c>
      <c r="K10" s="642" t="s">
        <v>44</v>
      </c>
      <c r="L10" s="1571"/>
      <c r="M10" s="1578"/>
      <c r="N10" s="642" t="s">
        <v>43</v>
      </c>
      <c r="O10" s="642" t="s">
        <v>592</v>
      </c>
      <c r="P10" s="642" t="s">
        <v>44</v>
      </c>
      <c r="Q10" s="617" t="s">
        <v>55</v>
      </c>
      <c r="R10" s="642" t="s">
        <v>43</v>
      </c>
      <c r="S10" s="642" t="s">
        <v>44</v>
      </c>
      <c r="T10" s="1571"/>
      <c r="U10" s="1578"/>
      <c r="V10" s="642" t="s">
        <v>43</v>
      </c>
      <c r="W10" s="642" t="s">
        <v>592</v>
      </c>
      <c r="X10" s="642" t="s">
        <v>44</v>
      </c>
      <c r="Y10" s="617" t="s">
        <v>55</v>
      </c>
      <c r="Z10" s="642" t="s">
        <v>43</v>
      </c>
      <c r="AA10" s="642" t="s">
        <v>44</v>
      </c>
      <c r="AB10" s="1571"/>
      <c r="AC10" s="1577"/>
    </row>
    <row r="11" spans="1:29" ht="31.5" x14ac:dyDescent="0.2">
      <c r="A11" s="618" t="s">
        <v>909</v>
      </c>
      <c r="B11" s="619" t="s">
        <v>747</v>
      </c>
      <c r="C11" s="620"/>
      <c r="D11" s="620">
        <v>510</v>
      </c>
      <c r="E11" s="596">
        <f>L11+K11+J11+H11+G11+F11</f>
        <v>332433.68</v>
      </c>
      <c r="F11" s="595">
        <f>'Прилож 4 24 (8)'!V11</f>
        <v>0</v>
      </c>
      <c r="G11" s="595">
        <f>'Прилож 4 24 (8)'!W11</f>
        <v>0</v>
      </c>
      <c r="H11" s="595">
        <f>'Прилож 4 24 (8)'!X11</f>
        <v>255285.97</v>
      </c>
      <c r="I11" s="595"/>
      <c r="J11" s="595">
        <f>'Прилож 4 24 (8)'!Z11</f>
        <v>0</v>
      </c>
      <c r="K11" s="595">
        <f>'Прилож 4 24 (8)'!AA11</f>
        <v>0</v>
      </c>
      <c r="L11" s="595">
        <f>'Прилож 4 24 (8)'!AB11</f>
        <v>77147.710000000006</v>
      </c>
      <c r="M11" s="596">
        <f t="shared" ref="M11:M27" si="0">N11+P11+R11+S11+T11+O11</f>
        <v>0</v>
      </c>
      <c r="N11" s="595"/>
      <c r="O11" s="595"/>
      <c r="P11" s="595"/>
      <c r="Q11" s="621"/>
      <c r="R11" s="595"/>
      <c r="S11" s="595"/>
      <c r="T11" s="595"/>
      <c r="U11" s="999">
        <f>X11+AB11</f>
        <v>332433.68</v>
      </c>
      <c r="V11" s="835">
        <f t="shared" ref="V11:V31" si="1">F11+N11</f>
        <v>0</v>
      </c>
      <c r="W11" s="835">
        <f t="shared" ref="W11:X31" si="2">O11+G11</f>
        <v>0</v>
      </c>
      <c r="X11" s="835">
        <f t="shared" si="2"/>
        <v>255285.97</v>
      </c>
      <c r="Y11" s="1000"/>
      <c r="Z11" s="835">
        <f t="shared" ref="Z11:AB27" si="3">R11+J11</f>
        <v>0</v>
      </c>
      <c r="AA11" s="835">
        <f t="shared" si="3"/>
        <v>0</v>
      </c>
      <c r="AB11" s="835">
        <f t="shared" si="3"/>
        <v>77147.710000000006</v>
      </c>
      <c r="AC11" s="1003"/>
    </row>
    <row r="12" spans="1:29" ht="98.25" customHeight="1" x14ac:dyDescent="0.2">
      <c r="A12" s="618" t="s">
        <v>728</v>
      </c>
      <c r="B12" s="619" t="s">
        <v>747</v>
      </c>
      <c r="C12" s="620">
        <v>130</v>
      </c>
      <c r="D12" s="620">
        <v>131</v>
      </c>
      <c r="E12" s="596">
        <f>L12+K12+J12+H12+G12+F12</f>
        <v>23228700</v>
      </c>
      <c r="F12" s="595">
        <f>'Прилож 4 24 (8)'!V12</f>
        <v>16891100</v>
      </c>
      <c r="G12" s="595">
        <f>'Прилож 4 24 (8)'!W12</f>
        <v>0</v>
      </c>
      <c r="H12" s="595">
        <f>'Прилож 4 24 (8)'!X12</f>
        <v>6337600</v>
      </c>
      <c r="I12" s="621"/>
      <c r="J12" s="595">
        <f>'Прилож 4 24 (8)'!Z12</f>
        <v>0</v>
      </c>
      <c r="K12" s="595">
        <f>'Прилож 4 24 (8)'!AA12</f>
        <v>0</v>
      </c>
      <c r="L12" s="595">
        <f>'Прилож 4 24 (8)'!AB12</f>
        <v>0</v>
      </c>
      <c r="M12" s="596">
        <f t="shared" si="0"/>
        <v>0</v>
      </c>
      <c r="N12" s="595"/>
      <c r="O12" s="595"/>
      <c r="P12" s="595"/>
      <c r="Q12" s="621"/>
      <c r="R12" s="595"/>
      <c r="S12" s="595"/>
      <c r="T12" s="595"/>
      <c r="U12" s="999">
        <f t="shared" ref="U12:U33" si="4">V12+X12+Z12+AA12+AB12+W12</f>
        <v>23228700</v>
      </c>
      <c r="V12" s="835">
        <f t="shared" si="1"/>
        <v>16891100</v>
      </c>
      <c r="W12" s="835">
        <f t="shared" si="2"/>
        <v>0</v>
      </c>
      <c r="X12" s="835">
        <f t="shared" si="2"/>
        <v>6337600</v>
      </c>
      <c r="Y12" s="1000"/>
      <c r="Z12" s="835">
        <f t="shared" si="3"/>
        <v>0</v>
      </c>
      <c r="AA12" s="835">
        <f t="shared" si="3"/>
        <v>0</v>
      </c>
      <c r="AB12" s="835">
        <f t="shared" si="3"/>
        <v>0</v>
      </c>
      <c r="AC12" s="1003"/>
    </row>
    <row r="13" spans="1:29" ht="58.5" customHeight="1" x14ac:dyDescent="0.2">
      <c r="A13" s="618" t="s">
        <v>580</v>
      </c>
      <c r="B13" s="619" t="s">
        <v>729</v>
      </c>
      <c r="C13" s="620">
        <v>130</v>
      </c>
      <c r="D13" s="620">
        <v>131</v>
      </c>
      <c r="E13" s="596">
        <f>L13+K13+J13+H13+G13+F13</f>
        <v>926500</v>
      </c>
      <c r="F13" s="595">
        <f>'Прилож 4 24 (8)'!V13</f>
        <v>0</v>
      </c>
      <c r="G13" s="595">
        <f>'Прилож 4 24 (8)'!W13</f>
        <v>0</v>
      </c>
      <c r="H13" s="595">
        <f>'Прилож 4 24 (8)'!X13</f>
        <v>926500</v>
      </c>
      <c r="I13" s="621"/>
      <c r="J13" s="595">
        <f>'Прилож 4 24 (8)'!Z13</f>
        <v>0</v>
      </c>
      <c r="K13" s="595">
        <f>'Прилож 4 24 (8)'!AA13</f>
        <v>0</v>
      </c>
      <c r="L13" s="595">
        <f>'Прилож 4 24 (8)'!AB13</f>
        <v>0</v>
      </c>
      <c r="M13" s="596">
        <f t="shared" si="0"/>
        <v>0</v>
      </c>
      <c r="N13" s="595"/>
      <c r="O13" s="595"/>
      <c r="P13" s="595"/>
      <c r="Q13" s="621"/>
      <c r="R13" s="595"/>
      <c r="S13" s="595"/>
      <c r="T13" s="595"/>
      <c r="U13" s="999">
        <f t="shared" si="4"/>
        <v>926500</v>
      </c>
      <c r="V13" s="835">
        <f t="shared" si="1"/>
        <v>0</v>
      </c>
      <c r="W13" s="835">
        <f t="shared" si="2"/>
        <v>0</v>
      </c>
      <c r="X13" s="835">
        <f t="shared" si="2"/>
        <v>926500</v>
      </c>
      <c r="Y13" s="1000"/>
      <c r="Z13" s="835">
        <f t="shared" si="3"/>
        <v>0</v>
      </c>
      <c r="AA13" s="835">
        <f t="shared" si="3"/>
        <v>0</v>
      </c>
      <c r="AB13" s="835">
        <f t="shared" si="3"/>
        <v>0</v>
      </c>
      <c r="AC13" s="1003"/>
    </row>
    <row r="14" spans="1:29" ht="98.25" customHeight="1" x14ac:dyDescent="0.2">
      <c r="A14" s="618" t="s">
        <v>728</v>
      </c>
      <c r="B14" s="619" t="s">
        <v>729</v>
      </c>
      <c r="C14" s="620">
        <v>130</v>
      </c>
      <c r="D14" s="620">
        <v>131</v>
      </c>
      <c r="E14" s="596">
        <f>L14+K14+J14+H14+G14+F14</f>
        <v>30221136</v>
      </c>
      <c r="F14" s="595">
        <f>'Прилож 4 24 (8)'!V14</f>
        <v>24547930</v>
      </c>
      <c r="G14" s="595">
        <v>2052340</v>
      </c>
      <c r="H14" s="595">
        <f>'Прилож 4 24 (8)'!X14</f>
        <v>3620866</v>
      </c>
      <c r="I14" s="621"/>
      <c r="J14" s="595">
        <f>'Прилож 4 24 (8)'!Z14</f>
        <v>0</v>
      </c>
      <c r="K14" s="595">
        <f>'Прилож 4 24 (8)'!AA14</f>
        <v>0</v>
      </c>
      <c r="L14" s="595">
        <f>'Прилож 4 24 (8)'!AB14</f>
        <v>0</v>
      </c>
      <c r="M14" s="596">
        <f t="shared" si="0"/>
        <v>-1869940</v>
      </c>
      <c r="N14" s="835"/>
      <c r="O14" s="595">
        <v>-2052340</v>
      </c>
      <c r="P14" s="595">
        <v>182400</v>
      </c>
      <c r="Q14" s="621"/>
      <c r="R14" s="595"/>
      <c r="S14" s="595"/>
      <c r="T14" s="595"/>
      <c r="U14" s="999">
        <f t="shared" si="4"/>
        <v>28351196</v>
      </c>
      <c r="V14" s="835">
        <f t="shared" si="1"/>
        <v>24547930</v>
      </c>
      <c r="W14" s="835">
        <f t="shared" si="2"/>
        <v>0</v>
      </c>
      <c r="X14" s="835">
        <f t="shared" si="2"/>
        <v>3803266</v>
      </c>
      <c r="Y14" s="1000"/>
      <c r="Z14" s="835">
        <f t="shared" si="3"/>
        <v>0</v>
      </c>
      <c r="AA14" s="835">
        <f t="shared" si="3"/>
        <v>0</v>
      </c>
      <c r="AB14" s="835">
        <f t="shared" si="3"/>
        <v>0</v>
      </c>
      <c r="AC14" s="622"/>
    </row>
    <row r="15" spans="1:29" ht="52.9" customHeight="1" x14ac:dyDescent="0.2">
      <c r="A15" s="1080" t="s">
        <v>1550</v>
      </c>
      <c r="B15" s="619" t="s">
        <v>729</v>
      </c>
      <c r="C15" s="620">
        <v>130</v>
      </c>
      <c r="D15" s="620">
        <v>131</v>
      </c>
      <c r="E15" s="596"/>
      <c r="F15" s="595"/>
      <c r="G15" s="595"/>
      <c r="H15" s="595"/>
      <c r="I15" s="621"/>
      <c r="J15" s="595"/>
      <c r="K15" s="595"/>
      <c r="L15" s="595"/>
      <c r="M15" s="596">
        <f t="shared" si="0"/>
        <v>2052340</v>
      </c>
      <c r="N15" s="835"/>
      <c r="O15" s="595">
        <v>2052340</v>
      </c>
      <c r="P15" s="595"/>
      <c r="Q15" s="621"/>
      <c r="R15" s="595"/>
      <c r="S15" s="595"/>
      <c r="T15" s="595"/>
      <c r="U15" s="999">
        <f t="shared" si="4"/>
        <v>2052340</v>
      </c>
      <c r="V15" s="835">
        <f t="shared" si="1"/>
        <v>0</v>
      </c>
      <c r="W15" s="835">
        <f t="shared" si="2"/>
        <v>2052340</v>
      </c>
      <c r="X15" s="835">
        <f t="shared" si="2"/>
        <v>0</v>
      </c>
      <c r="Y15" s="1000"/>
      <c r="Z15" s="835">
        <f t="shared" si="3"/>
        <v>0</v>
      </c>
      <c r="AA15" s="835">
        <f t="shared" si="3"/>
        <v>0</v>
      </c>
      <c r="AB15" s="835">
        <f t="shared" si="3"/>
        <v>0</v>
      </c>
      <c r="AC15" s="622"/>
    </row>
    <row r="16" spans="1:29" ht="96" customHeight="1" x14ac:dyDescent="0.2">
      <c r="A16" s="618" t="s">
        <v>945</v>
      </c>
      <c r="B16" s="619" t="s">
        <v>729</v>
      </c>
      <c r="C16" s="620">
        <v>130</v>
      </c>
      <c r="D16" s="620">
        <v>131</v>
      </c>
      <c r="E16" s="596">
        <f>L16+K16+J16+H16+G16+F16</f>
        <v>354251.13</v>
      </c>
      <c r="F16" s="595">
        <f>'Прилож 4 24 (8)'!V15</f>
        <v>116903.03999999999</v>
      </c>
      <c r="G16" s="595">
        <f>'Прилож 4 24 (8)'!W15</f>
        <v>237348.09</v>
      </c>
      <c r="H16" s="595">
        <f>'Прилож 4 24 (8)'!X15</f>
        <v>0</v>
      </c>
      <c r="I16" s="621"/>
      <c r="J16" s="595">
        <f>'Прилож 4 24 (8)'!Z15</f>
        <v>0</v>
      </c>
      <c r="K16" s="595">
        <f>'Прилож 4 24 (8)'!AA15</f>
        <v>0</v>
      </c>
      <c r="L16" s="595">
        <f>'Прилож 4 24 (8)'!AB15</f>
        <v>0</v>
      </c>
      <c r="M16" s="596">
        <f t="shared" si="0"/>
        <v>0</v>
      </c>
      <c r="N16" s="595"/>
      <c r="O16" s="595"/>
      <c r="P16" s="595"/>
      <c r="Q16" s="621"/>
      <c r="R16" s="595"/>
      <c r="S16" s="595"/>
      <c r="T16" s="595"/>
      <c r="U16" s="999">
        <f t="shared" si="4"/>
        <v>354251.13</v>
      </c>
      <c r="V16" s="835">
        <f t="shared" si="1"/>
        <v>116903.03999999999</v>
      </c>
      <c r="W16" s="835">
        <f t="shared" si="2"/>
        <v>237348.09</v>
      </c>
      <c r="X16" s="835">
        <f t="shared" si="2"/>
        <v>0</v>
      </c>
      <c r="Y16" s="1000"/>
      <c r="Z16" s="835">
        <f t="shared" si="3"/>
        <v>0</v>
      </c>
      <c r="AA16" s="835">
        <f t="shared" si="3"/>
        <v>0</v>
      </c>
      <c r="AB16" s="835">
        <f t="shared" si="3"/>
        <v>0</v>
      </c>
      <c r="AC16" s="1003"/>
    </row>
    <row r="17" spans="1:29" ht="61.9" customHeight="1" x14ac:dyDescent="0.2">
      <c r="A17" s="618" t="s">
        <v>1551</v>
      </c>
      <c r="B17" s="619" t="s">
        <v>729</v>
      </c>
      <c r="C17" s="620">
        <v>130</v>
      </c>
      <c r="D17" s="620">
        <v>131</v>
      </c>
      <c r="E17" s="596"/>
      <c r="F17" s="595"/>
      <c r="G17" s="595"/>
      <c r="H17" s="595"/>
      <c r="I17" s="621"/>
      <c r="J17" s="595"/>
      <c r="K17" s="595"/>
      <c r="L17" s="595"/>
      <c r="M17" s="596">
        <f t="shared" si="0"/>
        <v>26038.46</v>
      </c>
      <c r="N17" s="595"/>
      <c r="O17" s="595">
        <v>26038.46</v>
      </c>
      <c r="P17" s="595"/>
      <c r="Q17" s="621"/>
      <c r="R17" s="595"/>
      <c r="S17" s="595"/>
      <c r="T17" s="595"/>
      <c r="U17" s="999">
        <f t="shared" si="4"/>
        <v>26038.46</v>
      </c>
      <c r="V17" s="835">
        <f t="shared" si="1"/>
        <v>0</v>
      </c>
      <c r="W17" s="835">
        <f t="shared" si="2"/>
        <v>26038.46</v>
      </c>
      <c r="X17" s="835">
        <f t="shared" si="2"/>
        <v>0</v>
      </c>
      <c r="Y17" s="1000"/>
      <c r="Z17" s="835">
        <f t="shared" si="3"/>
        <v>0</v>
      </c>
      <c r="AA17" s="835">
        <f t="shared" si="3"/>
        <v>0</v>
      </c>
      <c r="AB17" s="835">
        <f t="shared" si="3"/>
        <v>0</v>
      </c>
      <c r="AC17" s="1003" t="s">
        <v>1523</v>
      </c>
    </row>
    <row r="18" spans="1:29" ht="45.75" customHeight="1" x14ac:dyDescent="0.2">
      <c r="A18" s="994" t="s">
        <v>582</v>
      </c>
      <c r="B18" s="995" t="s">
        <v>691</v>
      </c>
      <c r="C18" s="996">
        <v>130</v>
      </c>
      <c r="D18" s="996">
        <v>131</v>
      </c>
      <c r="E18" s="596">
        <f>L18+K18+J18+H18+G18+F18</f>
        <v>352345.7</v>
      </c>
      <c r="F18" s="595">
        <f>'Прилож 4 24 (8)'!V16</f>
        <v>32288.77</v>
      </c>
      <c r="G18" s="595">
        <f>'Прилож 4 24 (8)'!W16</f>
        <v>0</v>
      </c>
      <c r="H18" s="595">
        <f>'Прилож 4 24 (8)'!X16</f>
        <v>320056.93</v>
      </c>
      <c r="I18" s="993"/>
      <c r="J18" s="595">
        <f>'Прилож 4 24 (8)'!Z16</f>
        <v>0</v>
      </c>
      <c r="K18" s="595">
        <f>'Прилож 4 24 (8)'!AA16</f>
        <v>0</v>
      </c>
      <c r="L18" s="595">
        <f>'Прилож 4 24 (8)'!AB16</f>
        <v>0</v>
      </c>
      <c r="M18" s="997">
        <f t="shared" si="0"/>
        <v>0</v>
      </c>
      <c r="N18" s="998">
        <v>-0.01</v>
      </c>
      <c r="O18" s="998"/>
      <c r="P18" s="998">
        <v>0.01</v>
      </c>
      <c r="R18" s="992"/>
      <c r="S18" s="992"/>
      <c r="T18" s="595"/>
      <c r="U18" s="999">
        <f t="shared" si="4"/>
        <v>352345.7</v>
      </c>
      <c r="V18" s="835">
        <f t="shared" si="1"/>
        <v>32288.760000000002</v>
      </c>
      <c r="W18" s="835">
        <f t="shared" si="2"/>
        <v>0</v>
      </c>
      <c r="X18" s="835">
        <f t="shared" si="2"/>
        <v>320056.94</v>
      </c>
      <c r="Y18" s="1000"/>
      <c r="Z18" s="835">
        <f t="shared" si="3"/>
        <v>0</v>
      </c>
      <c r="AA18" s="835">
        <f t="shared" si="3"/>
        <v>0</v>
      </c>
      <c r="AB18" s="835">
        <f t="shared" si="3"/>
        <v>0</v>
      </c>
      <c r="AC18" s="1003"/>
    </row>
    <row r="19" spans="1:29" ht="46.5" customHeight="1" x14ac:dyDescent="0.2">
      <c r="A19" s="618" t="s">
        <v>283</v>
      </c>
      <c r="B19" s="619" t="s">
        <v>729</v>
      </c>
      <c r="C19" s="620">
        <v>130</v>
      </c>
      <c r="D19" s="620">
        <v>131</v>
      </c>
      <c r="E19" s="596">
        <f>L19+K19+J19+H19+G19+F19</f>
        <v>80080</v>
      </c>
      <c r="F19" s="595">
        <f>'Прилож 4 24 (8)'!V17</f>
        <v>0</v>
      </c>
      <c r="G19" s="595">
        <f>'Прилож 4 24 (8)'!W17</f>
        <v>0</v>
      </c>
      <c r="H19" s="595">
        <f>'Прилож 4 24 (8)'!X17</f>
        <v>0</v>
      </c>
      <c r="I19" s="621"/>
      <c r="J19" s="595">
        <f>'Прилож 4 24 (8)'!Z17</f>
        <v>0</v>
      </c>
      <c r="K19" s="595">
        <f>'Прилож 4 24 (8)'!AA17</f>
        <v>0</v>
      </c>
      <c r="L19" s="595">
        <f>'Прилож 4 24 (8)'!AB17</f>
        <v>80080</v>
      </c>
      <c r="M19" s="596">
        <f t="shared" si="0"/>
        <v>0</v>
      </c>
      <c r="N19" s="595"/>
      <c r="O19" s="595"/>
      <c r="P19" s="595"/>
      <c r="Q19" s="621"/>
      <c r="R19" s="595"/>
      <c r="S19" s="595"/>
      <c r="T19" s="595"/>
      <c r="U19" s="999">
        <f t="shared" si="4"/>
        <v>80080</v>
      </c>
      <c r="V19" s="835">
        <f t="shared" si="1"/>
        <v>0</v>
      </c>
      <c r="W19" s="835">
        <f t="shared" si="2"/>
        <v>0</v>
      </c>
      <c r="X19" s="835">
        <f t="shared" si="2"/>
        <v>0</v>
      </c>
      <c r="Y19" s="1000"/>
      <c r="Z19" s="835">
        <f t="shared" si="3"/>
        <v>0</v>
      </c>
      <c r="AA19" s="835">
        <f t="shared" si="3"/>
        <v>0</v>
      </c>
      <c r="AB19" s="835">
        <f t="shared" si="3"/>
        <v>80080</v>
      </c>
      <c r="AC19" s="1003"/>
    </row>
    <row r="20" spans="1:29" ht="48" customHeight="1" x14ac:dyDescent="0.2">
      <c r="A20" s="618" t="s">
        <v>282</v>
      </c>
      <c r="B20" s="619" t="s">
        <v>729</v>
      </c>
      <c r="C20" s="620">
        <v>130</v>
      </c>
      <c r="D20" s="620">
        <v>134</v>
      </c>
      <c r="E20" s="596">
        <f>L20+K20+J20+H20+G20+F20</f>
        <v>1214568.26</v>
      </c>
      <c r="F20" s="595">
        <f>'Прилож 4 24 (8)'!V18</f>
        <v>0</v>
      </c>
      <c r="G20" s="595">
        <f>'Прилож 4 24 (8)'!W18</f>
        <v>0</v>
      </c>
      <c r="H20" s="595">
        <f>'Прилож 4 24 (8)'!X18</f>
        <v>0</v>
      </c>
      <c r="I20" s="621"/>
      <c r="J20" s="595">
        <f>'Прилож 4 24 (8)'!Z18</f>
        <v>0</v>
      </c>
      <c r="K20" s="595">
        <f>'Прилож 4 24 (8)'!AA18</f>
        <v>0</v>
      </c>
      <c r="L20" s="595">
        <f>'Прилож 4 24 (8)'!AB18</f>
        <v>1214568.26</v>
      </c>
      <c r="M20" s="596">
        <f t="shared" si="0"/>
        <v>7057.71</v>
      </c>
      <c r="N20" s="595"/>
      <c r="O20" s="595"/>
      <c r="P20" s="595"/>
      <c r="Q20" s="621"/>
      <c r="R20" s="595"/>
      <c r="S20" s="595"/>
      <c r="T20" s="595">
        <v>7057.71</v>
      </c>
      <c r="U20" s="999">
        <f t="shared" si="4"/>
        <v>1221625.97</v>
      </c>
      <c r="V20" s="835">
        <f t="shared" si="1"/>
        <v>0</v>
      </c>
      <c r="W20" s="835">
        <f t="shared" si="2"/>
        <v>0</v>
      </c>
      <c r="X20" s="835">
        <f t="shared" si="2"/>
        <v>0</v>
      </c>
      <c r="Y20" s="1000"/>
      <c r="Z20" s="835">
        <f t="shared" si="3"/>
        <v>0</v>
      </c>
      <c r="AA20" s="835">
        <f t="shared" si="3"/>
        <v>0</v>
      </c>
      <c r="AB20" s="835">
        <f t="shared" si="3"/>
        <v>1221625.97</v>
      </c>
      <c r="AC20" s="1003" t="s">
        <v>1349</v>
      </c>
    </row>
    <row r="21" spans="1:29" ht="45.75" customHeight="1" x14ac:dyDescent="0.2">
      <c r="A21" s="1026" t="s">
        <v>273</v>
      </c>
      <c r="B21" s="1027" t="s">
        <v>729</v>
      </c>
      <c r="C21" s="1028">
        <v>130</v>
      </c>
      <c r="D21" s="620">
        <v>121</v>
      </c>
      <c r="E21" s="596">
        <f>L21+K21+J21+H21+G21+F21</f>
        <v>14510.07</v>
      </c>
      <c r="F21" s="595">
        <f>'Прилож 4 24 (8)'!V19</f>
        <v>0</v>
      </c>
      <c r="G21" s="595">
        <f>'Прилож 4 24 (8)'!W19</f>
        <v>0</v>
      </c>
      <c r="H21" s="595">
        <f>'Прилож 4 24 (8)'!X19</f>
        <v>0</v>
      </c>
      <c r="I21" s="621"/>
      <c r="J21" s="595">
        <f>'Прилож 4 24 (8)'!Z19</f>
        <v>0</v>
      </c>
      <c r="K21" s="595">
        <f>'Прилож 4 24 (8)'!AA19</f>
        <v>0</v>
      </c>
      <c r="L21" s="595">
        <f>'Прилож 4 24 (8)'!AB19</f>
        <v>14510.07</v>
      </c>
      <c r="M21" s="596">
        <f t="shared" si="0"/>
        <v>12733.33</v>
      </c>
      <c r="N21" s="595"/>
      <c r="O21" s="595"/>
      <c r="P21" s="595"/>
      <c r="Q21" s="621"/>
      <c r="R21" s="595"/>
      <c r="S21" s="595"/>
      <c r="T21" s="595">
        <v>12733.33</v>
      </c>
      <c r="U21" s="999">
        <f t="shared" si="4"/>
        <v>27243.4</v>
      </c>
      <c r="V21" s="835">
        <f t="shared" si="1"/>
        <v>0</v>
      </c>
      <c r="W21" s="835">
        <f t="shared" si="2"/>
        <v>0</v>
      </c>
      <c r="X21" s="835">
        <f t="shared" si="2"/>
        <v>0</v>
      </c>
      <c r="Y21" s="1000"/>
      <c r="Z21" s="835">
        <f t="shared" si="3"/>
        <v>0</v>
      </c>
      <c r="AA21" s="835">
        <f t="shared" si="3"/>
        <v>0</v>
      </c>
      <c r="AB21" s="835">
        <f t="shared" si="3"/>
        <v>27243.4</v>
      </c>
      <c r="AC21" s="1003" t="s">
        <v>1524</v>
      </c>
    </row>
    <row r="22" spans="1:29" ht="31.5" x14ac:dyDescent="0.2">
      <c r="A22" s="618" t="s">
        <v>789</v>
      </c>
      <c r="B22" s="619" t="s">
        <v>747</v>
      </c>
      <c r="C22" s="620">
        <v>130</v>
      </c>
      <c r="D22" s="620">
        <v>131</v>
      </c>
      <c r="E22" s="596">
        <f>L22+K22+J22+H22+G22+F22</f>
        <v>1170130</v>
      </c>
      <c r="F22" s="595">
        <f>'Прилож 4 24 (8)'!V20</f>
        <v>0</v>
      </c>
      <c r="G22" s="595">
        <f>'Прилож 4 24 (8)'!W20</f>
        <v>0</v>
      </c>
      <c r="H22" s="595">
        <f>'Прилож 4 24 (8)'!X20</f>
        <v>0</v>
      </c>
      <c r="I22" s="621"/>
      <c r="J22" s="595">
        <f>'Прилож 4 24 (8)'!Z20</f>
        <v>0</v>
      </c>
      <c r="K22" s="595">
        <f>'Прилож 4 24 (8)'!AA20</f>
        <v>0</v>
      </c>
      <c r="L22" s="595">
        <f>'Прилож 4 24 (8)'!AB20</f>
        <v>1170130</v>
      </c>
      <c r="M22" s="596">
        <f t="shared" si="0"/>
        <v>0</v>
      </c>
      <c r="N22" s="595"/>
      <c r="O22" s="595"/>
      <c r="P22" s="595"/>
      <c r="Q22" s="621"/>
      <c r="R22" s="595"/>
      <c r="S22" s="595"/>
      <c r="T22" s="595"/>
      <c r="U22" s="999">
        <f t="shared" si="4"/>
        <v>1170130</v>
      </c>
      <c r="V22" s="835">
        <f t="shared" si="1"/>
        <v>0</v>
      </c>
      <c r="W22" s="835">
        <f t="shared" si="2"/>
        <v>0</v>
      </c>
      <c r="X22" s="835">
        <f t="shared" si="2"/>
        <v>0</v>
      </c>
      <c r="Y22" s="1000"/>
      <c r="Z22" s="835">
        <f t="shared" si="3"/>
        <v>0</v>
      </c>
      <c r="AA22" s="835">
        <f t="shared" si="3"/>
        <v>0</v>
      </c>
      <c r="AB22" s="835">
        <f t="shared" si="3"/>
        <v>1170130</v>
      </c>
      <c r="AC22" s="1003"/>
    </row>
    <row r="23" spans="1:29" ht="31.5" x14ac:dyDescent="0.2">
      <c r="A23" s="618" t="s">
        <v>285</v>
      </c>
      <c r="B23" s="619" t="s">
        <v>747</v>
      </c>
      <c r="C23" s="620">
        <v>140</v>
      </c>
      <c r="D23" s="620">
        <v>141</v>
      </c>
      <c r="E23" s="596"/>
      <c r="F23" s="595"/>
      <c r="G23" s="595"/>
      <c r="H23" s="595"/>
      <c r="I23" s="621"/>
      <c r="J23" s="595"/>
      <c r="K23" s="595"/>
      <c r="L23" s="595"/>
      <c r="M23" s="596">
        <f t="shared" si="0"/>
        <v>10676.16</v>
      </c>
      <c r="N23" s="595"/>
      <c r="O23" s="595"/>
      <c r="P23" s="595"/>
      <c r="Q23" s="621"/>
      <c r="R23" s="595"/>
      <c r="S23" s="595"/>
      <c r="T23" s="595">
        <v>10676.16</v>
      </c>
      <c r="U23" s="999">
        <f t="shared" si="4"/>
        <v>10676.16</v>
      </c>
      <c r="V23" s="835">
        <f t="shared" si="1"/>
        <v>0</v>
      </c>
      <c r="W23" s="835">
        <f t="shared" si="2"/>
        <v>0</v>
      </c>
      <c r="X23" s="835">
        <f t="shared" si="2"/>
        <v>0</v>
      </c>
      <c r="Y23" s="1000"/>
      <c r="Z23" s="835">
        <f t="shared" si="3"/>
        <v>0</v>
      </c>
      <c r="AA23" s="835">
        <f t="shared" si="3"/>
        <v>0</v>
      </c>
      <c r="AB23" s="835">
        <f t="shared" si="3"/>
        <v>10676.16</v>
      </c>
      <c r="AC23" s="1003" t="s">
        <v>1525</v>
      </c>
    </row>
    <row r="24" spans="1:29" ht="111.75" customHeight="1" x14ac:dyDescent="0.2">
      <c r="A24" s="618" t="s">
        <v>1237</v>
      </c>
      <c r="B24" s="619" t="s">
        <v>747</v>
      </c>
      <c r="C24" s="620">
        <v>150</v>
      </c>
      <c r="D24" s="620">
        <v>152</v>
      </c>
      <c r="E24" s="596">
        <f>L24+K24+J24+H24+G24+F24</f>
        <v>0</v>
      </c>
      <c r="F24" s="595">
        <f>'Прилож 4 24 (8)'!V21</f>
        <v>0</v>
      </c>
      <c r="G24" s="595">
        <f>'Прилож 4 24 (8)'!W21</f>
        <v>0</v>
      </c>
      <c r="H24" s="595">
        <f>'Прилож 4 24 (8)'!X21</f>
        <v>0</v>
      </c>
      <c r="I24" s="621"/>
      <c r="J24" s="595">
        <f>'Прилож 4 24 (8)'!Z21</f>
        <v>0</v>
      </c>
      <c r="K24" s="595">
        <f>'Прилож 4 24 (8)'!AA21</f>
        <v>0</v>
      </c>
      <c r="L24" s="595">
        <f>'Прилож 4 24 (8)'!AB21</f>
        <v>0</v>
      </c>
      <c r="M24" s="596">
        <f t="shared" si="0"/>
        <v>0</v>
      </c>
      <c r="N24" s="595"/>
      <c r="O24" s="595"/>
      <c r="P24" s="595"/>
      <c r="Q24" s="621"/>
      <c r="R24" s="595"/>
      <c r="S24" s="595"/>
      <c r="T24" s="595"/>
      <c r="U24" s="999">
        <f t="shared" si="4"/>
        <v>0</v>
      </c>
      <c r="V24" s="835">
        <f t="shared" si="1"/>
        <v>0</v>
      </c>
      <c r="W24" s="835">
        <f t="shared" si="2"/>
        <v>0</v>
      </c>
      <c r="X24" s="835">
        <f t="shared" si="2"/>
        <v>0</v>
      </c>
      <c r="Y24" s="1000"/>
      <c r="Z24" s="835">
        <f t="shared" si="3"/>
        <v>0</v>
      </c>
      <c r="AA24" s="835">
        <f t="shared" si="3"/>
        <v>0</v>
      </c>
      <c r="AB24" s="835">
        <f t="shared" si="3"/>
        <v>0</v>
      </c>
      <c r="AC24" s="1003"/>
    </row>
    <row r="25" spans="1:29" ht="111.75" customHeight="1" x14ac:dyDescent="0.2">
      <c r="A25" s="618" t="s">
        <v>1321</v>
      </c>
      <c r="B25" s="619" t="s">
        <v>729</v>
      </c>
      <c r="C25" s="620">
        <v>150</v>
      </c>
      <c r="D25" s="620">
        <v>152</v>
      </c>
      <c r="E25" s="596">
        <f>L25+K25+J25+H25+G25+F25</f>
        <v>216466</v>
      </c>
      <c r="F25" s="595">
        <f>'Прилож 4 24 (8)'!V22</f>
        <v>0</v>
      </c>
      <c r="G25" s="595">
        <f>'Прилож 4 24 (8)'!W22</f>
        <v>0</v>
      </c>
      <c r="H25" s="595">
        <f>'Прилож 4 24 (8)'!X22</f>
        <v>0</v>
      </c>
      <c r="I25" s="621" t="s">
        <v>1226</v>
      </c>
      <c r="J25" s="595">
        <f>'Прилож 4 24 (8)'!Z22</f>
        <v>0</v>
      </c>
      <c r="K25" s="595">
        <f>'Прилож 4 24 (8)'!AA22</f>
        <v>216466</v>
      </c>
      <c r="L25" s="595">
        <f>'Прилож 4 24 (8)'!AB22</f>
        <v>0</v>
      </c>
      <c r="M25" s="596">
        <f t="shared" si="0"/>
        <v>0</v>
      </c>
      <c r="N25" s="595"/>
      <c r="O25" s="595"/>
      <c r="P25" s="595"/>
      <c r="Q25" s="621"/>
      <c r="R25" s="595"/>
      <c r="S25" s="595"/>
      <c r="T25" s="595"/>
      <c r="U25" s="999">
        <f t="shared" si="4"/>
        <v>216466</v>
      </c>
      <c r="V25" s="835">
        <f t="shared" si="1"/>
        <v>0</v>
      </c>
      <c r="W25" s="835">
        <f t="shared" si="2"/>
        <v>0</v>
      </c>
      <c r="X25" s="835">
        <f t="shared" si="2"/>
        <v>0</v>
      </c>
      <c r="Y25" s="1000" t="s">
        <v>1226</v>
      </c>
      <c r="Z25" s="835">
        <f t="shared" si="3"/>
        <v>0</v>
      </c>
      <c r="AA25" s="835">
        <f t="shared" si="3"/>
        <v>216466</v>
      </c>
      <c r="AB25" s="835">
        <f t="shared" si="3"/>
        <v>0</v>
      </c>
      <c r="AC25" s="1003"/>
    </row>
    <row r="26" spans="1:29" ht="99" customHeight="1" x14ac:dyDescent="0.2">
      <c r="A26" s="618" t="s">
        <v>297</v>
      </c>
      <c r="B26" s="619" t="s">
        <v>729</v>
      </c>
      <c r="C26" s="620">
        <v>150</v>
      </c>
      <c r="D26" s="620">
        <v>152</v>
      </c>
      <c r="E26" s="596">
        <f>L26+K26+J26+H26+G26+F26</f>
        <v>6254280.2499999991</v>
      </c>
      <c r="F26" s="595">
        <f>'Прилож 4 24 (8)'!V23</f>
        <v>0</v>
      </c>
      <c r="G26" s="595">
        <f>'Прилож 4 24 (8)'!W23</f>
        <v>0</v>
      </c>
      <c r="H26" s="595">
        <f>'Прилож 4 24 (8)'!X23</f>
        <v>0</v>
      </c>
      <c r="I26" s="621" t="s">
        <v>1314</v>
      </c>
      <c r="J26" s="595">
        <f>'Прилож 4 24 (8)'!Z23</f>
        <v>0</v>
      </c>
      <c r="K26" s="595">
        <f>'Прилож 4 24 (8)'!AA23</f>
        <v>6254280.2499999991</v>
      </c>
      <c r="L26" s="595">
        <f>'Прилож 4 24 (8)'!AB23</f>
        <v>0</v>
      </c>
      <c r="M26" s="596">
        <f t="shared" si="0"/>
        <v>0</v>
      </c>
      <c r="N26" s="595"/>
      <c r="O26" s="595"/>
      <c r="P26" s="595"/>
      <c r="Q26" s="621"/>
      <c r="R26" s="595"/>
      <c r="S26" s="595"/>
      <c r="T26" s="595"/>
      <c r="U26" s="999">
        <f t="shared" si="4"/>
        <v>6254280.2499999991</v>
      </c>
      <c r="V26" s="835">
        <f t="shared" si="1"/>
        <v>0</v>
      </c>
      <c r="W26" s="835">
        <f t="shared" si="2"/>
        <v>0</v>
      </c>
      <c r="X26" s="835">
        <f t="shared" si="2"/>
        <v>0</v>
      </c>
      <c r="Y26" s="1000" t="s">
        <v>1314</v>
      </c>
      <c r="Z26" s="835">
        <f t="shared" si="3"/>
        <v>0</v>
      </c>
      <c r="AA26" s="835">
        <f t="shared" si="3"/>
        <v>6254280.2499999991</v>
      </c>
      <c r="AB26" s="835">
        <f t="shared" si="3"/>
        <v>0</v>
      </c>
      <c r="AC26" s="1003"/>
    </row>
    <row r="27" spans="1:29" ht="89.45" customHeight="1" x14ac:dyDescent="0.2">
      <c r="A27" s="994" t="s">
        <v>1510</v>
      </c>
      <c r="B27" s="995" t="s">
        <v>729</v>
      </c>
      <c r="C27" s="996">
        <v>150</v>
      </c>
      <c r="D27" s="996">
        <v>152</v>
      </c>
      <c r="E27" s="997"/>
      <c r="F27" s="998"/>
      <c r="G27" s="998"/>
      <c r="H27" s="998"/>
      <c r="I27" s="1020"/>
      <c r="J27" s="998"/>
      <c r="K27" s="998"/>
      <c r="L27" s="998"/>
      <c r="M27" s="997">
        <f t="shared" si="0"/>
        <v>30000</v>
      </c>
      <c r="N27" s="998"/>
      <c r="O27" s="998"/>
      <c r="P27" s="998"/>
      <c r="Q27" s="1020" t="s">
        <v>1526</v>
      </c>
      <c r="R27" s="998"/>
      <c r="S27" s="998">
        <v>30000</v>
      </c>
      <c r="T27" s="998"/>
      <c r="U27" s="876">
        <f t="shared" si="4"/>
        <v>30000</v>
      </c>
      <c r="V27" s="875">
        <f t="shared" si="1"/>
        <v>0</v>
      </c>
      <c r="W27" s="875">
        <f t="shared" si="2"/>
        <v>0</v>
      </c>
      <c r="X27" s="875">
        <f t="shared" si="2"/>
        <v>0</v>
      </c>
      <c r="Y27" s="877" t="s">
        <v>1526</v>
      </c>
      <c r="Z27" s="875">
        <f t="shared" si="3"/>
        <v>0</v>
      </c>
      <c r="AA27" s="875">
        <f t="shared" si="3"/>
        <v>30000</v>
      </c>
      <c r="AB27" s="875">
        <f t="shared" si="3"/>
        <v>0</v>
      </c>
      <c r="AC27" s="1003" t="s">
        <v>1527</v>
      </c>
    </row>
    <row r="28" spans="1:29" ht="111.75" customHeight="1" x14ac:dyDescent="0.2">
      <c r="A28" s="618" t="s">
        <v>1253</v>
      </c>
      <c r="B28" s="619" t="s">
        <v>747</v>
      </c>
      <c r="C28" s="620">
        <v>150</v>
      </c>
      <c r="D28" s="620">
        <v>152</v>
      </c>
      <c r="E28" s="596">
        <f t="shared" ref="E28:E36" si="5">L28+K28+J28+H28+G28+F28</f>
        <v>1009718.06</v>
      </c>
      <c r="F28" s="595">
        <f>'Прилож 4 24 (8)'!V24</f>
        <v>0</v>
      </c>
      <c r="G28" s="595">
        <f>'Прилож 4 24 (8)'!W24</f>
        <v>0</v>
      </c>
      <c r="H28" s="595">
        <f>'Прилож 4 24 (8)'!X24</f>
        <v>0</v>
      </c>
      <c r="I28" s="621" t="s">
        <v>1322</v>
      </c>
      <c r="J28" s="595">
        <f>'Прилож 4 24 (8)'!Z24</f>
        <v>0</v>
      </c>
      <c r="K28" s="595">
        <f>'Прилож 4 24 (8)'!AA24</f>
        <v>1009718.06</v>
      </c>
      <c r="L28" s="595">
        <f>'Прилож 4 24 (8)'!AB24</f>
        <v>0</v>
      </c>
      <c r="M28" s="596">
        <f>N28+P28+S28+T28+O28</f>
        <v>3120885.26</v>
      </c>
      <c r="N28" s="595"/>
      <c r="O28" s="595"/>
      <c r="P28" s="595"/>
      <c r="Q28" s="621" t="s">
        <v>1322</v>
      </c>
      <c r="S28" s="595">
        <f>1523324.69+1597560.57</f>
        <v>3120885.26</v>
      </c>
      <c r="T28" s="595"/>
      <c r="U28" s="999">
        <f t="shared" si="4"/>
        <v>4130603.32</v>
      </c>
      <c r="V28" s="835">
        <f t="shared" si="1"/>
        <v>0</v>
      </c>
      <c r="W28" s="835">
        <f t="shared" si="2"/>
        <v>0</v>
      </c>
      <c r="X28" s="835">
        <f t="shared" si="2"/>
        <v>0</v>
      </c>
      <c r="Y28" s="1000" t="s">
        <v>1322</v>
      </c>
      <c r="Z28" s="1045"/>
      <c r="AA28" s="835">
        <f t="shared" ref="AA28:AB31" si="6">S28+K28</f>
        <v>4130603.32</v>
      </c>
      <c r="AB28" s="835">
        <f t="shared" si="6"/>
        <v>0</v>
      </c>
      <c r="AC28" s="1003" t="s">
        <v>1528</v>
      </c>
    </row>
    <row r="29" spans="1:29" ht="32.25" customHeight="1" x14ac:dyDescent="0.2">
      <c r="A29" s="618" t="s">
        <v>581</v>
      </c>
      <c r="B29" s="619" t="s">
        <v>64</v>
      </c>
      <c r="C29" s="620">
        <v>150</v>
      </c>
      <c r="D29" s="620">
        <v>152</v>
      </c>
      <c r="E29" s="596">
        <f t="shared" si="5"/>
        <v>87037.3</v>
      </c>
      <c r="F29" s="595">
        <f>'Прилож 4 24 (8)'!V25</f>
        <v>0</v>
      </c>
      <c r="G29" s="595">
        <f>'Прилож 4 24 (8)'!W25</f>
        <v>0</v>
      </c>
      <c r="H29" s="595">
        <f>'Прилож 4 24 (8)'!X25</f>
        <v>0</v>
      </c>
      <c r="I29" s="621" t="s">
        <v>1235</v>
      </c>
      <c r="J29" s="595">
        <f>'Прилож 4 24 (8)'!Z25</f>
        <v>0</v>
      </c>
      <c r="K29" s="595">
        <f>'Прилож 4 24 (8)'!AA25</f>
        <v>87037.3</v>
      </c>
      <c r="L29" s="595">
        <f>'Прилож 4 24 (8)'!AB25</f>
        <v>0</v>
      </c>
      <c r="M29" s="596">
        <f>N29+P29+R29+S29+T29+O29</f>
        <v>0</v>
      </c>
      <c r="N29" s="595"/>
      <c r="O29" s="595"/>
      <c r="P29" s="595"/>
      <c r="Q29" s="621"/>
      <c r="R29" s="595"/>
      <c r="S29" s="595"/>
      <c r="T29" s="595"/>
      <c r="U29" s="999">
        <f t="shared" si="4"/>
        <v>87037.3</v>
      </c>
      <c r="V29" s="835">
        <f t="shared" si="1"/>
        <v>0</v>
      </c>
      <c r="W29" s="835">
        <f t="shared" si="2"/>
        <v>0</v>
      </c>
      <c r="X29" s="835">
        <f t="shared" si="2"/>
        <v>0</v>
      </c>
      <c r="Y29" s="1000" t="s">
        <v>1235</v>
      </c>
      <c r="Z29" s="835">
        <f>R29+J29</f>
        <v>0</v>
      </c>
      <c r="AA29" s="835">
        <f t="shared" si="6"/>
        <v>87037.3</v>
      </c>
      <c r="AB29" s="835">
        <f t="shared" si="6"/>
        <v>0</v>
      </c>
      <c r="AC29" s="1003"/>
    </row>
    <row r="30" spans="1:29" ht="77.25" customHeight="1" x14ac:dyDescent="0.2">
      <c r="A30" s="618" t="s">
        <v>790</v>
      </c>
      <c r="B30" s="619" t="s">
        <v>791</v>
      </c>
      <c r="C30" s="620">
        <v>130</v>
      </c>
      <c r="D30" s="620">
        <v>131</v>
      </c>
      <c r="E30" s="596">
        <f t="shared" si="5"/>
        <v>600000</v>
      </c>
      <c r="F30" s="595">
        <f>'Прилож 4 24 (8)'!V26</f>
        <v>600000</v>
      </c>
      <c r="G30" s="595">
        <f>'Прилож 4 24 (8)'!W26</f>
        <v>0</v>
      </c>
      <c r="H30" s="595">
        <f>'Прилож 4 24 (8)'!X26</f>
        <v>0</v>
      </c>
      <c r="I30" s="621"/>
      <c r="J30" s="595">
        <f>'Прилож 4 24 (8)'!Z26</f>
        <v>0</v>
      </c>
      <c r="K30" s="595">
        <f>'Прилож 4 24 (8)'!AA26</f>
        <v>0</v>
      </c>
      <c r="L30" s="595">
        <f>'Прилож 4 24 (8)'!AB26</f>
        <v>0</v>
      </c>
      <c r="M30" s="596">
        <f>N30+P30+R30+S30+T30+O30</f>
        <v>0</v>
      </c>
      <c r="N30" s="595"/>
      <c r="O30" s="595"/>
      <c r="P30" s="595"/>
      <c r="Q30" s="621"/>
      <c r="R30" s="595"/>
      <c r="S30" s="595"/>
      <c r="T30" s="595"/>
      <c r="U30" s="999">
        <f t="shared" si="4"/>
        <v>600000</v>
      </c>
      <c r="V30" s="835">
        <f t="shared" si="1"/>
        <v>600000</v>
      </c>
      <c r="W30" s="835">
        <f t="shared" si="2"/>
        <v>0</v>
      </c>
      <c r="X30" s="835">
        <f t="shared" si="2"/>
        <v>0</v>
      </c>
      <c r="Y30" s="1000"/>
      <c r="Z30" s="835">
        <f>R30+J30</f>
        <v>0</v>
      </c>
      <c r="AA30" s="835">
        <f t="shared" si="6"/>
        <v>0</v>
      </c>
      <c r="AB30" s="835">
        <f t="shared" si="6"/>
        <v>0</v>
      </c>
      <c r="AC30" s="1003"/>
    </row>
    <row r="31" spans="1:29" ht="62.25" customHeight="1" x14ac:dyDescent="0.2">
      <c r="A31" s="618" t="s">
        <v>1236</v>
      </c>
      <c r="B31" s="619" t="s">
        <v>729</v>
      </c>
      <c r="C31" s="620">
        <v>150</v>
      </c>
      <c r="D31" s="620">
        <v>152</v>
      </c>
      <c r="E31" s="596">
        <f t="shared" si="5"/>
        <v>0</v>
      </c>
      <c r="F31" s="595">
        <f>'Прилож 4 24 (8)'!V27</f>
        <v>0</v>
      </c>
      <c r="G31" s="595">
        <f>'Прилож 4 24 (8)'!W27</f>
        <v>0</v>
      </c>
      <c r="H31" s="595">
        <f>'Прилож 4 24 (8)'!X27</f>
        <v>0</v>
      </c>
      <c r="I31" s="621"/>
      <c r="J31" s="595">
        <f>'Прилож 4 24 (8)'!Z27</f>
        <v>0</v>
      </c>
      <c r="K31" s="595">
        <f>'Прилож 4 24 (8)'!AA27</f>
        <v>0</v>
      </c>
      <c r="L31" s="595">
        <f>'Прилож 4 24 (8)'!AB27</f>
        <v>0</v>
      </c>
      <c r="M31" s="596">
        <f>N31+P31+R31+S31+T31+O31</f>
        <v>0</v>
      </c>
      <c r="N31" s="595"/>
      <c r="O31" s="595"/>
      <c r="P31" s="595"/>
      <c r="Q31" s="623"/>
      <c r="R31" s="595"/>
      <c r="S31" s="595"/>
      <c r="T31" s="595"/>
      <c r="U31" s="999">
        <f t="shared" si="4"/>
        <v>0</v>
      </c>
      <c r="V31" s="835">
        <f t="shared" si="1"/>
        <v>0</v>
      </c>
      <c r="W31" s="835">
        <f t="shared" si="2"/>
        <v>0</v>
      </c>
      <c r="X31" s="835">
        <f t="shared" si="2"/>
        <v>0</v>
      </c>
      <c r="Y31" s="1000"/>
      <c r="Z31" s="835">
        <f>R31+J31</f>
        <v>0</v>
      </c>
      <c r="AA31" s="835">
        <f t="shared" si="6"/>
        <v>0</v>
      </c>
      <c r="AB31" s="835">
        <f t="shared" si="6"/>
        <v>0</v>
      </c>
      <c r="AC31" s="1003"/>
    </row>
    <row r="32" spans="1:29" ht="93" customHeight="1" x14ac:dyDescent="0.2">
      <c r="A32" s="618" t="s">
        <v>1437</v>
      </c>
      <c r="B32" s="619" t="s">
        <v>691</v>
      </c>
      <c r="C32" s="620">
        <v>150</v>
      </c>
      <c r="D32" s="620">
        <v>152</v>
      </c>
      <c r="E32" s="596">
        <f t="shared" si="5"/>
        <v>31611</v>
      </c>
      <c r="F32" s="595">
        <f>'Прилож 4 24 (8)'!V28</f>
        <v>0</v>
      </c>
      <c r="G32" s="595">
        <f>'Прилож 4 24 (8)'!W28</f>
        <v>0</v>
      </c>
      <c r="H32" s="595">
        <f>'Прилож 4 24 (8)'!X28</f>
        <v>0</v>
      </c>
      <c r="I32" s="1020" t="s">
        <v>1440</v>
      </c>
      <c r="J32" s="595">
        <f>'Прилож 4 24 (8)'!Z28</f>
        <v>0</v>
      </c>
      <c r="K32" s="595">
        <f>'Прилож 4 24 (8)'!AA28</f>
        <v>31611</v>
      </c>
      <c r="L32" s="595">
        <f>'Прилож 4 24 (8)'!AB28</f>
        <v>0</v>
      </c>
      <c r="M32" s="596">
        <f>N32+O32+P32+R32+S32+T32</f>
        <v>0</v>
      </c>
      <c r="N32" s="595"/>
      <c r="O32" s="595"/>
      <c r="P32" s="595"/>
      <c r="Q32" s="993"/>
      <c r="R32" s="595"/>
      <c r="S32" s="595"/>
      <c r="T32" s="595"/>
      <c r="U32" s="876">
        <f t="shared" si="4"/>
        <v>31611</v>
      </c>
      <c r="V32" s="835"/>
      <c r="W32" s="835"/>
      <c r="X32" s="835"/>
      <c r="Y32" s="877" t="s">
        <v>1440</v>
      </c>
      <c r="Z32" s="835"/>
      <c r="AA32" s="835">
        <v>31611</v>
      </c>
      <c r="AB32" s="835"/>
      <c r="AC32" s="1003"/>
    </row>
    <row r="33" spans="1:32" ht="54" customHeight="1" x14ac:dyDescent="0.2">
      <c r="A33" s="618" t="s">
        <v>284</v>
      </c>
      <c r="B33" s="619" t="s">
        <v>691</v>
      </c>
      <c r="C33" s="620">
        <v>130</v>
      </c>
      <c r="D33" s="620">
        <v>134</v>
      </c>
      <c r="E33" s="596">
        <f t="shared" si="5"/>
        <v>1426.95</v>
      </c>
      <c r="F33" s="595">
        <f>'Прилож 4 24 (8)'!V29</f>
        <v>0</v>
      </c>
      <c r="G33" s="595">
        <f>'Прилож 4 24 (8)'!W29</f>
        <v>0</v>
      </c>
      <c r="H33" s="595">
        <f>'Прилож 4 24 (8)'!X29</f>
        <v>0</v>
      </c>
      <c r="I33" s="621"/>
      <c r="J33" s="595">
        <f>'Прилож 4 24 (8)'!Z29</f>
        <v>0</v>
      </c>
      <c r="K33" s="595">
        <f>'Прилож 4 24 (8)'!AA29</f>
        <v>0</v>
      </c>
      <c r="L33" s="595">
        <f>'Прилож 4 24 (8)'!AB29</f>
        <v>1426.95</v>
      </c>
      <c r="M33" s="876"/>
      <c r="N33" s="875"/>
      <c r="O33" s="875"/>
      <c r="P33" s="875"/>
      <c r="Q33" s="877"/>
      <c r="R33" s="875"/>
      <c r="S33" s="875"/>
      <c r="T33" s="875"/>
      <c r="U33" s="876">
        <f t="shared" si="4"/>
        <v>1426.95</v>
      </c>
      <c r="V33" s="875">
        <f t="shared" ref="V33:V50" si="7">F33+N33</f>
        <v>0</v>
      </c>
      <c r="W33" s="875">
        <f t="shared" ref="W33:X50" si="8">O33+G33</f>
        <v>0</v>
      </c>
      <c r="X33" s="875">
        <f t="shared" si="8"/>
        <v>0</v>
      </c>
      <c r="Y33" s="877"/>
      <c r="Z33" s="875">
        <f t="shared" ref="Z33:AB37" si="9">R33+J33</f>
        <v>0</v>
      </c>
      <c r="AA33" s="875">
        <f t="shared" si="9"/>
        <v>0</v>
      </c>
      <c r="AB33" s="875">
        <f t="shared" si="9"/>
        <v>1426.95</v>
      </c>
      <c r="AC33" s="878"/>
    </row>
    <row r="34" spans="1:32" s="614" customFormat="1" ht="38.25" customHeight="1" x14ac:dyDescent="0.2">
      <c r="A34" s="624" t="s">
        <v>730</v>
      </c>
      <c r="B34" s="596">
        <f>SUM(B12:B33)</f>
        <v>0</v>
      </c>
      <c r="C34" s="596"/>
      <c r="D34" s="596"/>
      <c r="E34" s="596">
        <f t="shared" si="5"/>
        <v>65762760.719999999</v>
      </c>
      <c r="F34" s="595">
        <f>'Прилож 4 24 (8)'!V30</f>
        <v>42188221.810000002</v>
      </c>
      <c r="G34" s="595">
        <f>'Прилож 4 24 (8)'!W30</f>
        <v>2289688.09</v>
      </c>
      <c r="H34" s="595">
        <f>'Прилож 4 24 (8)'!X30</f>
        <v>11205022.93</v>
      </c>
      <c r="I34" s="596">
        <f>SUM(I12:I33)</f>
        <v>0</v>
      </c>
      <c r="J34" s="595">
        <f>'Прилож 4 24 (8)'!Z30</f>
        <v>0</v>
      </c>
      <c r="K34" s="595">
        <f>'Прилож 4 24 (8)'!AA30</f>
        <v>7599112.6099999994</v>
      </c>
      <c r="L34" s="595">
        <f>'Прилож 4 24 (8)'!AB30</f>
        <v>2480715.2800000003</v>
      </c>
      <c r="M34" s="876">
        <f>SUM(M12:M33)</f>
        <v>3389790.92</v>
      </c>
      <c r="N34" s="876">
        <f>SUM(N12:N33)</f>
        <v>-0.01</v>
      </c>
      <c r="O34" s="876">
        <f>SUM(O12:O33)</f>
        <v>26038.46</v>
      </c>
      <c r="P34" s="876">
        <f>SUM(P12:P33)</f>
        <v>182400.01</v>
      </c>
      <c r="Q34" s="876"/>
      <c r="R34" s="876">
        <f>SUM(R12:R33)</f>
        <v>0</v>
      </c>
      <c r="S34" s="876">
        <f>SUM(S12:S33)</f>
        <v>3150885.26</v>
      </c>
      <c r="T34" s="876">
        <f>SUM(T12:T33)</f>
        <v>30467.200000000001</v>
      </c>
      <c r="U34" s="876">
        <f>E34+M34</f>
        <v>69152551.640000001</v>
      </c>
      <c r="V34" s="875">
        <f t="shared" si="7"/>
        <v>42188221.800000004</v>
      </c>
      <c r="W34" s="875">
        <f t="shared" si="8"/>
        <v>2315726.5499999998</v>
      </c>
      <c r="X34" s="875">
        <f t="shared" si="8"/>
        <v>11387422.939999999</v>
      </c>
      <c r="Y34" s="876">
        <f>SUM(Y12:Y33)</f>
        <v>0</v>
      </c>
      <c r="Z34" s="875">
        <f t="shared" si="9"/>
        <v>0</v>
      </c>
      <c r="AA34" s="875">
        <f t="shared" si="9"/>
        <v>10749997.869999999</v>
      </c>
      <c r="AB34" s="875">
        <f t="shared" si="9"/>
        <v>2511182.4800000004</v>
      </c>
      <c r="AC34" s="879"/>
      <c r="AD34" s="818">
        <f>V34+W34+X34</f>
        <v>55891371.289999999</v>
      </c>
    </row>
    <row r="35" spans="1:32" x14ac:dyDescent="0.2">
      <c r="A35" s="620" t="s">
        <v>731</v>
      </c>
      <c r="B35" s="619" t="s">
        <v>747</v>
      </c>
      <c r="C35" s="620">
        <v>111</v>
      </c>
      <c r="D35" s="620">
        <v>211</v>
      </c>
      <c r="E35" s="596">
        <f t="shared" si="5"/>
        <v>13934006.289999999</v>
      </c>
      <c r="F35" s="595">
        <f>'Прилож 4 24 (8)'!V31</f>
        <v>11689797.829999998</v>
      </c>
      <c r="G35" s="595">
        <f>'Прилож 4 24 (8)'!W31</f>
        <v>0</v>
      </c>
      <c r="H35" s="595">
        <f>'Прилож 4 24 (8)'!X31</f>
        <v>2244208.4600000004</v>
      </c>
      <c r="I35" s="621"/>
      <c r="J35" s="595">
        <f>'Прилож 4 24 (8)'!Z31</f>
        <v>0</v>
      </c>
      <c r="K35" s="595">
        <f>'Прилож 4 24 (8)'!AA31</f>
        <v>0</v>
      </c>
      <c r="L35" s="595">
        <f>'Прилож 4 24 (8)'!AB31</f>
        <v>0</v>
      </c>
      <c r="M35" s="876">
        <f t="shared" ref="M35:M47" si="10">N35+P35+R35+S35+T35+O35</f>
        <v>0</v>
      </c>
      <c r="N35" s="875"/>
      <c r="O35" s="875"/>
      <c r="P35" s="875"/>
      <c r="Q35" s="877"/>
      <c r="R35" s="875"/>
      <c r="S35" s="875"/>
      <c r="T35" s="875"/>
      <c r="U35" s="876">
        <f t="shared" ref="U35:V58" si="11">E35+M35</f>
        <v>13934006.289999999</v>
      </c>
      <c r="V35" s="875">
        <f t="shared" si="7"/>
        <v>11689797.829999998</v>
      </c>
      <c r="W35" s="875">
        <f t="shared" si="8"/>
        <v>0</v>
      </c>
      <c r="X35" s="875">
        <f t="shared" si="8"/>
        <v>2244208.4600000004</v>
      </c>
      <c r="Y35" s="877"/>
      <c r="Z35" s="875">
        <f t="shared" si="9"/>
        <v>0</v>
      </c>
      <c r="AA35" s="875">
        <f t="shared" si="9"/>
        <v>0</v>
      </c>
      <c r="AB35" s="875">
        <f t="shared" si="9"/>
        <v>0</v>
      </c>
      <c r="AC35" s="878"/>
      <c r="AD35" s="820"/>
      <c r="AF35" s="820">
        <f>X35+X36+X41</f>
        <v>3003367.0600000005</v>
      </c>
    </row>
    <row r="36" spans="1:32" ht="52.5" customHeight="1" x14ac:dyDescent="0.2">
      <c r="A36" s="620" t="s">
        <v>731</v>
      </c>
      <c r="B36" s="619" t="s">
        <v>729</v>
      </c>
      <c r="C36" s="620">
        <v>111</v>
      </c>
      <c r="D36" s="620">
        <v>211</v>
      </c>
      <c r="E36" s="596">
        <f t="shared" si="5"/>
        <v>20095919.810000002</v>
      </c>
      <c r="F36" s="595">
        <f>'Прилож 4 24 (8)'!V32</f>
        <v>17808021.800000001</v>
      </c>
      <c r="G36" s="595">
        <v>1576298.01</v>
      </c>
      <c r="H36" s="595">
        <f>'Прилож 4 24 (8)'!X32</f>
        <v>711600</v>
      </c>
      <c r="I36" s="621"/>
      <c r="J36" s="595">
        <f>'Прилож 4 24 (8)'!Z32</f>
        <v>0</v>
      </c>
      <c r="K36" s="595">
        <f>'Прилож 4 24 (8)'!AA32</f>
        <v>0</v>
      </c>
      <c r="L36" s="595">
        <f>'Прилож 4 24 (8)'!AB32</f>
        <v>0</v>
      </c>
      <c r="M36" s="876">
        <f t="shared" si="10"/>
        <v>-1576298.01</v>
      </c>
      <c r="N36" s="875"/>
      <c r="O36" s="875">
        <v>-1576298.01</v>
      </c>
      <c r="P36" s="875"/>
      <c r="Q36" s="877"/>
      <c r="R36" s="875"/>
      <c r="S36" s="875"/>
      <c r="T36" s="875"/>
      <c r="U36" s="876">
        <f t="shared" si="11"/>
        <v>18519621.800000001</v>
      </c>
      <c r="V36" s="875">
        <f t="shared" si="7"/>
        <v>17808021.800000001</v>
      </c>
      <c r="W36" s="875">
        <f t="shared" si="8"/>
        <v>0</v>
      </c>
      <c r="X36" s="875">
        <f t="shared" si="8"/>
        <v>711600</v>
      </c>
      <c r="Y36" s="877"/>
      <c r="Z36" s="875">
        <f t="shared" si="9"/>
        <v>0</v>
      </c>
      <c r="AA36" s="875">
        <f t="shared" si="9"/>
        <v>0</v>
      </c>
      <c r="AB36" s="875">
        <f t="shared" si="9"/>
        <v>0</v>
      </c>
      <c r="AC36" s="620"/>
      <c r="AD36" s="820"/>
    </row>
    <row r="37" spans="1:32" ht="52.5" customHeight="1" x14ac:dyDescent="0.2">
      <c r="A37" s="620" t="s">
        <v>731</v>
      </c>
      <c r="B37" s="619" t="s">
        <v>729</v>
      </c>
      <c r="C37" s="620">
        <v>111</v>
      </c>
      <c r="D37" s="620">
        <v>211</v>
      </c>
      <c r="E37" s="596"/>
      <c r="F37" s="595"/>
      <c r="G37" s="595"/>
      <c r="H37" s="595"/>
      <c r="I37" s="621"/>
      <c r="J37" s="595"/>
      <c r="K37" s="595"/>
      <c r="L37" s="595"/>
      <c r="M37" s="876">
        <f t="shared" si="10"/>
        <v>1576298.01</v>
      </c>
      <c r="N37" s="875"/>
      <c r="O37" s="875">
        <v>1576298.01</v>
      </c>
      <c r="P37" s="875"/>
      <c r="Q37" s="877"/>
      <c r="R37" s="875"/>
      <c r="S37" s="875"/>
      <c r="T37" s="875"/>
      <c r="U37" s="876">
        <f t="shared" si="11"/>
        <v>1576298.01</v>
      </c>
      <c r="V37" s="875">
        <f t="shared" si="7"/>
        <v>0</v>
      </c>
      <c r="W37" s="875">
        <f t="shared" si="8"/>
        <v>1576298.01</v>
      </c>
      <c r="X37" s="875">
        <f t="shared" si="8"/>
        <v>0</v>
      </c>
      <c r="Y37" s="877"/>
      <c r="Z37" s="875">
        <f t="shared" si="9"/>
        <v>0</v>
      </c>
      <c r="AA37" s="875">
        <f t="shared" si="9"/>
        <v>0</v>
      </c>
      <c r="AB37" s="875">
        <f t="shared" si="9"/>
        <v>0</v>
      </c>
      <c r="AC37" s="620"/>
      <c r="AD37" s="820"/>
    </row>
    <row r="38" spans="1:32" ht="52.5" customHeight="1" x14ac:dyDescent="0.2">
      <c r="A38" s="620" t="s">
        <v>731</v>
      </c>
      <c r="B38" s="619" t="s">
        <v>729</v>
      </c>
      <c r="C38" s="620">
        <v>111</v>
      </c>
      <c r="D38" s="620">
        <v>211</v>
      </c>
      <c r="E38" s="596"/>
      <c r="F38" s="595"/>
      <c r="G38" s="595"/>
      <c r="H38" s="595"/>
      <c r="I38" s="621"/>
      <c r="J38" s="595"/>
      <c r="K38" s="595"/>
      <c r="L38" s="595"/>
      <c r="M38" s="876">
        <f t="shared" si="10"/>
        <v>20000</v>
      </c>
      <c r="N38" s="875"/>
      <c r="O38" s="875">
        <v>20000</v>
      </c>
      <c r="P38" s="875"/>
      <c r="Q38" s="877"/>
      <c r="R38" s="875"/>
      <c r="S38" s="875"/>
      <c r="T38" s="875"/>
      <c r="U38" s="876">
        <f t="shared" si="11"/>
        <v>20000</v>
      </c>
      <c r="V38" s="875">
        <f t="shared" si="7"/>
        <v>0</v>
      </c>
      <c r="W38" s="875">
        <f t="shared" si="8"/>
        <v>20000</v>
      </c>
      <c r="X38" s="875">
        <f t="shared" si="8"/>
        <v>0</v>
      </c>
      <c r="Y38" s="877"/>
      <c r="Z38" s="875"/>
      <c r="AA38" s="875"/>
      <c r="AB38" s="875"/>
      <c r="AC38" s="878" t="s">
        <v>1529</v>
      </c>
      <c r="AD38" s="820"/>
    </row>
    <row r="39" spans="1:32" x14ac:dyDescent="0.2">
      <c r="A39" s="620" t="s">
        <v>943</v>
      </c>
      <c r="B39" s="619" t="s">
        <v>729</v>
      </c>
      <c r="C39" s="620">
        <v>111</v>
      </c>
      <c r="D39" s="620">
        <v>211</v>
      </c>
      <c r="E39" s="596">
        <f t="shared" ref="E39:E49" si="12">L39+K39+J39+H39+G39+F39</f>
        <v>272082.28000000003</v>
      </c>
      <c r="F39" s="595">
        <f>'Прилож 4 24 (8)'!V33</f>
        <v>89787.28</v>
      </c>
      <c r="G39" s="595">
        <f>'Прилож 4 24 (8)'!W33</f>
        <v>182295</v>
      </c>
      <c r="H39" s="595">
        <f>'Прилож 4 24 (8)'!X33</f>
        <v>0</v>
      </c>
      <c r="I39" s="621"/>
      <c r="J39" s="595">
        <f>'Прилож 4 24 (8)'!Z33</f>
        <v>0</v>
      </c>
      <c r="K39" s="595">
        <f>'Прилож 4 24 (8)'!AA33</f>
        <v>0</v>
      </c>
      <c r="L39" s="595">
        <f>'Прилож 4 24 (8)'!AB33</f>
        <v>0</v>
      </c>
      <c r="M39" s="876">
        <f t="shared" si="10"/>
        <v>0</v>
      </c>
      <c r="N39" s="875"/>
      <c r="O39" s="875"/>
      <c r="P39" s="875"/>
      <c r="Q39" s="877"/>
      <c r="R39" s="875"/>
      <c r="S39" s="875"/>
      <c r="T39" s="875"/>
      <c r="U39" s="876">
        <f t="shared" si="11"/>
        <v>272082.28000000003</v>
      </c>
      <c r="V39" s="875">
        <f t="shared" si="7"/>
        <v>89787.28</v>
      </c>
      <c r="W39" s="875">
        <f t="shared" si="8"/>
        <v>182295</v>
      </c>
      <c r="X39" s="875">
        <f t="shared" si="8"/>
        <v>0</v>
      </c>
      <c r="Y39" s="877"/>
      <c r="Z39" s="875">
        <f t="shared" ref="Z39:AB50" si="13">R39+J39</f>
        <v>0</v>
      </c>
      <c r="AA39" s="875">
        <f t="shared" si="13"/>
        <v>0</v>
      </c>
      <c r="AB39" s="875">
        <f t="shared" si="13"/>
        <v>0</v>
      </c>
      <c r="AC39" s="622"/>
      <c r="AD39" s="820"/>
    </row>
    <row r="40" spans="1:32" x14ac:dyDescent="0.2">
      <c r="A40" s="620" t="s">
        <v>731</v>
      </c>
      <c r="B40" s="619" t="s">
        <v>64</v>
      </c>
      <c r="C40" s="620">
        <v>111</v>
      </c>
      <c r="D40" s="620">
        <v>211</v>
      </c>
      <c r="E40" s="596">
        <f t="shared" si="12"/>
        <v>64391.3</v>
      </c>
      <c r="F40" s="595">
        <f>'Прилож 4 24 (8)'!V34</f>
        <v>0</v>
      </c>
      <c r="G40" s="595">
        <f>'Прилож 4 24 (8)'!W34</f>
        <v>0</v>
      </c>
      <c r="H40" s="595">
        <f>'Прилож 4 24 (8)'!X34</f>
        <v>0</v>
      </c>
      <c r="I40" s="621" t="s">
        <v>1235</v>
      </c>
      <c r="J40" s="595">
        <f>'Прилож 4 24 (8)'!Z34</f>
        <v>0</v>
      </c>
      <c r="K40" s="595">
        <f>'Прилож 4 24 (8)'!AA34</f>
        <v>64391.3</v>
      </c>
      <c r="L40" s="595">
        <f>'Прилож 4 24 (8)'!AB34</f>
        <v>0</v>
      </c>
      <c r="M40" s="876">
        <f t="shared" si="10"/>
        <v>0</v>
      </c>
      <c r="N40" s="875"/>
      <c r="O40" s="875"/>
      <c r="P40" s="875"/>
      <c r="Q40" s="877"/>
      <c r="R40" s="875"/>
      <c r="S40" s="875"/>
      <c r="T40" s="875"/>
      <c r="U40" s="876">
        <f t="shared" si="11"/>
        <v>64391.3</v>
      </c>
      <c r="V40" s="875">
        <f t="shared" si="7"/>
        <v>0</v>
      </c>
      <c r="W40" s="875">
        <f t="shared" si="8"/>
        <v>0</v>
      </c>
      <c r="X40" s="875">
        <f t="shared" si="8"/>
        <v>0</v>
      </c>
      <c r="Y40" s="621" t="s">
        <v>1235</v>
      </c>
      <c r="Z40" s="875">
        <f t="shared" si="13"/>
        <v>0</v>
      </c>
      <c r="AA40" s="875">
        <f t="shared" si="13"/>
        <v>64391.3</v>
      </c>
      <c r="AB40" s="875">
        <f t="shared" si="13"/>
        <v>0</v>
      </c>
      <c r="AC40" s="878"/>
      <c r="AD40" s="820"/>
    </row>
    <row r="41" spans="1:32" x14ac:dyDescent="0.2">
      <c r="A41" s="620" t="s">
        <v>731</v>
      </c>
      <c r="B41" s="619" t="s">
        <v>691</v>
      </c>
      <c r="C41" s="620">
        <v>111</v>
      </c>
      <c r="D41" s="620">
        <v>211</v>
      </c>
      <c r="E41" s="596">
        <f t="shared" si="12"/>
        <v>56017.74</v>
      </c>
      <c r="F41" s="595">
        <f>'Прилож 4 24 (8)'!V35</f>
        <v>0</v>
      </c>
      <c r="G41" s="595">
        <f>'Прилож 4 24 (8)'!W35</f>
        <v>0</v>
      </c>
      <c r="H41" s="595">
        <f>'Прилож 4 24 (8)'!X35</f>
        <v>47558.6</v>
      </c>
      <c r="I41" s="621"/>
      <c r="J41" s="595">
        <f>'Прилож 4 24 (8)'!Z35</f>
        <v>0</v>
      </c>
      <c r="K41" s="595">
        <f>'Прилож 4 24 (8)'!AA35</f>
        <v>0</v>
      </c>
      <c r="L41" s="595">
        <f>'Прилож 4 24 (8)'!AB35</f>
        <v>8459.14</v>
      </c>
      <c r="M41" s="876">
        <f t="shared" si="10"/>
        <v>0</v>
      </c>
      <c r="N41" s="875"/>
      <c r="O41" s="875"/>
      <c r="P41" s="875"/>
      <c r="Q41" s="877"/>
      <c r="R41" s="875"/>
      <c r="S41" s="875"/>
      <c r="T41" s="875"/>
      <c r="U41" s="876">
        <f t="shared" si="11"/>
        <v>56017.74</v>
      </c>
      <c r="V41" s="875">
        <f t="shared" si="7"/>
        <v>0</v>
      </c>
      <c r="W41" s="875">
        <f t="shared" si="8"/>
        <v>0</v>
      </c>
      <c r="X41" s="875">
        <f t="shared" si="8"/>
        <v>47558.6</v>
      </c>
      <c r="Y41" s="877"/>
      <c r="Z41" s="875">
        <f t="shared" si="13"/>
        <v>0</v>
      </c>
      <c r="AA41" s="875">
        <f t="shared" si="13"/>
        <v>0</v>
      </c>
      <c r="AB41" s="875">
        <f t="shared" si="13"/>
        <v>8459.14</v>
      </c>
      <c r="AC41" s="878"/>
      <c r="AD41" s="820"/>
    </row>
    <row r="42" spans="1:32" s="614" customFormat="1" x14ac:dyDescent="0.2">
      <c r="A42" s="624" t="s">
        <v>732</v>
      </c>
      <c r="B42" s="624"/>
      <c r="C42" s="624"/>
      <c r="D42" s="624"/>
      <c r="E42" s="596">
        <f t="shared" si="12"/>
        <v>34422417.420000002</v>
      </c>
      <c r="F42" s="595">
        <f>'Прилож 4 24 (8)'!V36</f>
        <v>29587606.910000004</v>
      </c>
      <c r="G42" s="595">
        <f>'Прилож 4 24 (8)'!W36</f>
        <v>1758593.0100000002</v>
      </c>
      <c r="H42" s="595">
        <f>'Прилож 4 24 (8)'!X36</f>
        <v>3003367.0600000005</v>
      </c>
      <c r="I42" s="626"/>
      <c r="J42" s="595">
        <f>'Прилож 4 24 (8)'!Z36</f>
        <v>0</v>
      </c>
      <c r="K42" s="595">
        <f>'Прилож 4 24 (8)'!AA36</f>
        <v>64391.3</v>
      </c>
      <c r="L42" s="595">
        <f>'Прилож 4 24 (8)'!AB36</f>
        <v>8459.14</v>
      </c>
      <c r="M42" s="876">
        <f t="shared" si="10"/>
        <v>20000</v>
      </c>
      <c r="N42" s="876">
        <f>SUM(N35:N41)</f>
        <v>0</v>
      </c>
      <c r="O42" s="876">
        <f>SUM(O35:O41)</f>
        <v>20000</v>
      </c>
      <c r="P42" s="876">
        <f>SUM(P35:P41)</f>
        <v>0</v>
      </c>
      <c r="Q42" s="881"/>
      <c r="R42" s="876"/>
      <c r="S42" s="876"/>
      <c r="T42" s="876"/>
      <c r="U42" s="876">
        <f t="shared" si="11"/>
        <v>34442417.420000002</v>
      </c>
      <c r="V42" s="875">
        <f t="shared" si="7"/>
        <v>29587606.910000004</v>
      </c>
      <c r="W42" s="875">
        <f t="shared" si="8"/>
        <v>1778593.0100000002</v>
      </c>
      <c r="X42" s="875">
        <f t="shared" si="8"/>
        <v>3003367.0600000005</v>
      </c>
      <c r="Y42" s="881"/>
      <c r="Z42" s="875">
        <f t="shared" si="13"/>
        <v>0</v>
      </c>
      <c r="AA42" s="875">
        <f t="shared" si="13"/>
        <v>64391.3</v>
      </c>
      <c r="AB42" s="875">
        <f t="shared" si="13"/>
        <v>8459.14</v>
      </c>
      <c r="AC42" s="879"/>
      <c r="AD42" s="820"/>
    </row>
    <row r="43" spans="1:32" s="614" customFormat="1" ht="45" customHeight="1" x14ac:dyDescent="0.2">
      <c r="A43" s="618" t="s">
        <v>1339</v>
      </c>
      <c r="B43" s="620">
        <v>701</v>
      </c>
      <c r="C43" s="620">
        <v>321</v>
      </c>
      <c r="D43" s="620">
        <v>264</v>
      </c>
      <c r="E43" s="596">
        <f t="shared" si="12"/>
        <v>88171.02</v>
      </c>
      <c r="F43" s="595">
        <f>'Прилож 4 24 (8)'!V37</f>
        <v>88171.02</v>
      </c>
      <c r="G43" s="595">
        <f>'Прилож 4 24 (8)'!W37</f>
        <v>0</v>
      </c>
      <c r="H43" s="595">
        <f>'Прилож 4 24 (8)'!X37</f>
        <v>0</v>
      </c>
      <c r="I43" s="625"/>
      <c r="J43" s="595">
        <f>'Прилож 4 24 (8)'!Z37</f>
        <v>0</v>
      </c>
      <c r="K43" s="595">
        <f>'Прилож 4 24 (8)'!AA37</f>
        <v>0</v>
      </c>
      <c r="L43" s="595">
        <f>'Прилож 4 24 (8)'!AB37</f>
        <v>0</v>
      </c>
      <c r="M43" s="876">
        <f t="shared" si="10"/>
        <v>0</v>
      </c>
      <c r="N43" s="875"/>
      <c r="O43" s="875"/>
      <c r="P43" s="875"/>
      <c r="Q43" s="882"/>
      <c r="R43" s="875"/>
      <c r="S43" s="875"/>
      <c r="T43" s="875"/>
      <c r="U43" s="876">
        <f t="shared" si="11"/>
        <v>88171.02</v>
      </c>
      <c r="V43" s="875">
        <f t="shared" si="7"/>
        <v>88171.02</v>
      </c>
      <c r="W43" s="875">
        <f t="shared" si="8"/>
        <v>0</v>
      </c>
      <c r="X43" s="875">
        <f t="shared" si="8"/>
        <v>0</v>
      </c>
      <c r="Y43" s="882"/>
      <c r="Z43" s="875">
        <f t="shared" si="13"/>
        <v>0</v>
      </c>
      <c r="AA43" s="875">
        <f t="shared" si="13"/>
        <v>0</v>
      </c>
      <c r="AB43" s="875">
        <f t="shared" si="13"/>
        <v>0</v>
      </c>
      <c r="AC43" s="878"/>
      <c r="AD43" s="820"/>
    </row>
    <row r="44" spans="1:32" s="614" customFormat="1" x14ac:dyDescent="0.2">
      <c r="A44" s="624" t="s">
        <v>1342</v>
      </c>
      <c r="B44" s="624"/>
      <c r="C44" s="624"/>
      <c r="D44" s="624"/>
      <c r="E44" s="596">
        <f t="shared" si="12"/>
        <v>88171.02</v>
      </c>
      <c r="F44" s="595">
        <f>'Прилож 4 24 (8)'!V38</f>
        <v>88171.02</v>
      </c>
      <c r="G44" s="595">
        <f>'Прилож 4 24 (8)'!W38</f>
        <v>0</v>
      </c>
      <c r="H44" s="595">
        <f>'Прилож 4 24 (8)'!X38</f>
        <v>0</v>
      </c>
      <c r="I44" s="626"/>
      <c r="J44" s="595">
        <f>'Прилож 4 24 (8)'!Z38</f>
        <v>0</v>
      </c>
      <c r="K44" s="595">
        <f>'Прилож 4 24 (8)'!AA38</f>
        <v>0</v>
      </c>
      <c r="L44" s="595">
        <f>'Прилож 4 24 (8)'!AB38</f>
        <v>0</v>
      </c>
      <c r="M44" s="876">
        <f t="shared" si="10"/>
        <v>0</v>
      </c>
      <c r="N44" s="876"/>
      <c r="O44" s="876"/>
      <c r="P44" s="876"/>
      <c r="Q44" s="881"/>
      <c r="R44" s="876"/>
      <c r="S44" s="876"/>
      <c r="T44" s="876"/>
      <c r="U44" s="876">
        <f t="shared" si="11"/>
        <v>88171.02</v>
      </c>
      <c r="V44" s="875">
        <f t="shared" si="7"/>
        <v>88171.02</v>
      </c>
      <c r="W44" s="875">
        <f t="shared" si="8"/>
        <v>0</v>
      </c>
      <c r="X44" s="875">
        <f t="shared" si="8"/>
        <v>0</v>
      </c>
      <c r="Y44" s="881"/>
      <c r="Z44" s="875">
        <f t="shared" si="13"/>
        <v>0</v>
      </c>
      <c r="AA44" s="875">
        <f t="shared" si="13"/>
        <v>0</v>
      </c>
      <c r="AB44" s="875">
        <f t="shared" si="13"/>
        <v>0</v>
      </c>
      <c r="AC44" s="879"/>
      <c r="AD44" s="820"/>
    </row>
    <row r="45" spans="1:32" ht="58.5" customHeight="1" x14ac:dyDescent="0.2">
      <c r="A45" s="618" t="s">
        <v>845</v>
      </c>
      <c r="B45" s="619" t="s">
        <v>747</v>
      </c>
      <c r="C45" s="620">
        <v>111</v>
      </c>
      <c r="D45" s="620">
        <v>266</v>
      </c>
      <c r="E45" s="596">
        <f t="shared" si="12"/>
        <v>100000</v>
      </c>
      <c r="F45" s="595">
        <f>'Прилож 4 24 (8)'!V39</f>
        <v>100000</v>
      </c>
      <c r="G45" s="595">
        <f>'Прилож 4 24 (8)'!W39</f>
        <v>0</v>
      </c>
      <c r="H45" s="595">
        <f>'Прилож 4 24 (8)'!X39</f>
        <v>0</v>
      </c>
      <c r="I45" s="621"/>
      <c r="J45" s="595">
        <f>'Прилож 4 24 (8)'!Z39</f>
        <v>0</v>
      </c>
      <c r="K45" s="595">
        <f>'Прилож 4 24 (8)'!AA39</f>
        <v>0</v>
      </c>
      <c r="L45" s="595">
        <f>'Прилож 4 24 (8)'!AB39</f>
        <v>0</v>
      </c>
      <c r="M45" s="876">
        <f t="shared" si="10"/>
        <v>0</v>
      </c>
      <c r="N45" s="875"/>
      <c r="O45" s="875"/>
      <c r="P45" s="875"/>
      <c r="Q45" s="877"/>
      <c r="R45" s="875"/>
      <c r="S45" s="875"/>
      <c r="T45" s="875"/>
      <c r="U45" s="876">
        <f t="shared" si="11"/>
        <v>100000</v>
      </c>
      <c r="V45" s="875">
        <f t="shared" si="7"/>
        <v>100000</v>
      </c>
      <c r="W45" s="875">
        <f t="shared" si="8"/>
        <v>0</v>
      </c>
      <c r="X45" s="875">
        <f t="shared" si="8"/>
        <v>0</v>
      </c>
      <c r="Y45" s="877"/>
      <c r="Z45" s="875">
        <f t="shared" si="13"/>
        <v>0</v>
      </c>
      <c r="AA45" s="875">
        <f t="shared" si="13"/>
        <v>0</v>
      </c>
      <c r="AB45" s="875">
        <f t="shared" si="13"/>
        <v>0</v>
      </c>
      <c r="AC45" s="878"/>
    </row>
    <row r="46" spans="1:32" ht="51.75" customHeight="1" x14ac:dyDescent="0.2">
      <c r="A46" s="618" t="s">
        <v>845</v>
      </c>
      <c r="B46" s="619" t="s">
        <v>729</v>
      </c>
      <c r="C46" s="620">
        <v>111</v>
      </c>
      <c r="D46" s="620">
        <v>266</v>
      </c>
      <c r="E46" s="596">
        <f t="shared" si="12"/>
        <v>80000</v>
      </c>
      <c r="F46" s="595">
        <f>'Прилож 4 24 (8)'!V40</f>
        <v>80000</v>
      </c>
      <c r="G46" s="595">
        <f>'Прилож 4 24 (8)'!W40</f>
        <v>0</v>
      </c>
      <c r="H46" s="595">
        <f>'Прилож 4 24 (8)'!X40</f>
        <v>0</v>
      </c>
      <c r="I46" s="621"/>
      <c r="J46" s="595">
        <f>'Прилож 4 24 (8)'!Z40</f>
        <v>0</v>
      </c>
      <c r="K46" s="595">
        <f>'Прилож 4 24 (8)'!AA40</f>
        <v>0</v>
      </c>
      <c r="L46" s="595">
        <f>'Прилож 4 24 (8)'!AB40</f>
        <v>0</v>
      </c>
      <c r="M46" s="876">
        <f t="shared" si="10"/>
        <v>0</v>
      </c>
      <c r="N46" s="875"/>
      <c r="O46" s="875"/>
      <c r="P46" s="875"/>
      <c r="Q46" s="877"/>
      <c r="R46" s="875"/>
      <c r="S46" s="875"/>
      <c r="T46" s="875"/>
      <c r="U46" s="876">
        <f t="shared" si="11"/>
        <v>80000</v>
      </c>
      <c r="V46" s="875">
        <f t="shared" si="7"/>
        <v>80000</v>
      </c>
      <c r="W46" s="875">
        <f t="shared" si="8"/>
        <v>0</v>
      </c>
      <c r="X46" s="875">
        <f t="shared" si="8"/>
        <v>0</v>
      </c>
      <c r="Y46" s="877"/>
      <c r="Z46" s="875">
        <f t="shared" si="13"/>
        <v>0</v>
      </c>
      <c r="AA46" s="875">
        <f t="shared" si="13"/>
        <v>0</v>
      </c>
      <c r="AB46" s="875">
        <f t="shared" si="13"/>
        <v>0</v>
      </c>
      <c r="AC46" s="878"/>
    </row>
    <row r="47" spans="1:32" s="614" customFormat="1" x14ac:dyDescent="0.2">
      <c r="A47" s="624" t="s">
        <v>847</v>
      </c>
      <c r="B47" s="624"/>
      <c r="C47" s="624"/>
      <c r="D47" s="624"/>
      <c r="E47" s="596">
        <f t="shared" si="12"/>
        <v>180000</v>
      </c>
      <c r="F47" s="595">
        <f>'Прилож 4 24 (8)'!V41</f>
        <v>180000</v>
      </c>
      <c r="G47" s="595">
        <f>'Прилож 4 24 (8)'!W41</f>
        <v>0</v>
      </c>
      <c r="H47" s="595">
        <f>'Прилож 4 24 (8)'!X41</f>
        <v>0</v>
      </c>
      <c r="I47" s="626"/>
      <c r="J47" s="595">
        <f>'Прилож 4 24 (8)'!Z41</f>
        <v>0</v>
      </c>
      <c r="K47" s="595">
        <f>'Прилож 4 24 (8)'!AA41</f>
        <v>0</v>
      </c>
      <c r="L47" s="595">
        <f>'Прилож 4 24 (8)'!AB41</f>
        <v>0</v>
      </c>
      <c r="M47" s="876">
        <f t="shared" si="10"/>
        <v>0</v>
      </c>
      <c r="N47" s="876"/>
      <c r="O47" s="876"/>
      <c r="P47" s="876"/>
      <c r="Q47" s="881"/>
      <c r="R47" s="876"/>
      <c r="S47" s="876"/>
      <c r="T47" s="876"/>
      <c r="U47" s="876">
        <f t="shared" si="11"/>
        <v>180000</v>
      </c>
      <c r="V47" s="875">
        <f t="shared" si="7"/>
        <v>180000</v>
      </c>
      <c r="W47" s="875">
        <f t="shared" si="8"/>
        <v>0</v>
      </c>
      <c r="X47" s="875">
        <f t="shared" si="8"/>
        <v>0</v>
      </c>
      <c r="Y47" s="881"/>
      <c r="Z47" s="875">
        <f t="shared" si="13"/>
        <v>0</v>
      </c>
      <c r="AA47" s="875">
        <f t="shared" si="13"/>
        <v>0</v>
      </c>
      <c r="AB47" s="875">
        <f t="shared" si="13"/>
        <v>0</v>
      </c>
      <c r="AC47" s="879"/>
    </row>
    <row r="48" spans="1:32" ht="58.5" customHeight="1" x14ac:dyDescent="0.2">
      <c r="A48" s="618" t="s">
        <v>1270</v>
      </c>
      <c r="B48" s="619" t="s">
        <v>691</v>
      </c>
      <c r="C48" s="620">
        <v>112</v>
      </c>
      <c r="D48" s="620">
        <v>222</v>
      </c>
      <c r="E48" s="596">
        <f t="shared" si="12"/>
        <v>0</v>
      </c>
      <c r="F48" s="595">
        <f>'Прилож 4 24 (8)'!V42</f>
        <v>0</v>
      </c>
      <c r="G48" s="595">
        <f>'Прилож 4 24 (8)'!W42</f>
        <v>0</v>
      </c>
      <c r="H48" s="595">
        <f>'Прилож 4 24 (8)'!X42</f>
        <v>0</v>
      </c>
      <c r="I48" s="621"/>
      <c r="J48" s="595">
        <f>'Прилож 4 24 (8)'!Z42</f>
        <v>0</v>
      </c>
      <c r="K48" s="595">
        <f>'Прилож 4 24 (8)'!AA42</f>
        <v>0</v>
      </c>
      <c r="L48" s="595">
        <f>'Прилож 4 24 (8)'!AB42</f>
        <v>0</v>
      </c>
      <c r="M48" s="876"/>
      <c r="N48" s="875"/>
      <c r="O48" s="875"/>
      <c r="P48" s="875"/>
      <c r="Q48" s="877"/>
      <c r="R48" s="875"/>
      <c r="S48" s="875"/>
      <c r="T48" s="875"/>
      <c r="U48" s="876">
        <f t="shared" si="11"/>
        <v>0</v>
      </c>
      <c r="V48" s="875">
        <f t="shared" si="7"/>
        <v>0</v>
      </c>
      <c r="W48" s="875">
        <f t="shared" si="8"/>
        <v>0</v>
      </c>
      <c r="X48" s="875">
        <f t="shared" si="8"/>
        <v>0</v>
      </c>
      <c r="Y48" s="877"/>
      <c r="Z48" s="875">
        <f t="shared" si="13"/>
        <v>0</v>
      </c>
      <c r="AA48" s="875">
        <f t="shared" si="13"/>
        <v>0</v>
      </c>
      <c r="AB48" s="875">
        <f t="shared" si="13"/>
        <v>0</v>
      </c>
      <c r="AC48" s="878"/>
    </row>
    <row r="49" spans="1:30" s="614" customFormat="1" x14ac:dyDescent="0.2">
      <c r="A49" s="624" t="s">
        <v>1264</v>
      </c>
      <c r="B49" s="624"/>
      <c r="C49" s="624"/>
      <c r="D49" s="624"/>
      <c r="E49" s="596">
        <f t="shared" si="12"/>
        <v>0</v>
      </c>
      <c r="F49" s="595">
        <f>'Прилож 4 24 (8)'!V43</f>
        <v>0</v>
      </c>
      <c r="G49" s="595">
        <f>'Прилож 4 24 (8)'!W43</f>
        <v>0</v>
      </c>
      <c r="H49" s="595">
        <f>'Прилож 4 24 (8)'!X43</f>
        <v>0</v>
      </c>
      <c r="I49" s="626"/>
      <c r="J49" s="595">
        <f>'Прилож 4 24 (8)'!Z43</f>
        <v>0</v>
      </c>
      <c r="K49" s="595">
        <f>'Прилож 4 24 (8)'!AA43</f>
        <v>0</v>
      </c>
      <c r="L49" s="595">
        <f>'Прилож 4 24 (8)'!AB43</f>
        <v>0</v>
      </c>
      <c r="M49" s="876">
        <f>N49+P49+R49+S49+T49+O49</f>
        <v>0</v>
      </c>
      <c r="N49" s="876"/>
      <c r="O49" s="876"/>
      <c r="P49" s="876">
        <f>SUM(P48)</f>
        <v>0</v>
      </c>
      <c r="Q49" s="881"/>
      <c r="R49" s="876"/>
      <c r="S49" s="876">
        <f>SUM(S48)</f>
        <v>0</v>
      </c>
      <c r="T49" s="876">
        <f>SUM(T48)</f>
        <v>0</v>
      </c>
      <c r="U49" s="876">
        <f t="shared" si="11"/>
        <v>0</v>
      </c>
      <c r="V49" s="875">
        <f t="shared" si="7"/>
        <v>0</v>
      </c>
      <c r="W49" s="875">
        <f t="shared" si="8"/>
        <v>0</v>
      </c>
      <c r="X49" s="875">
        <f t="shared" si="8"/>
        <v>0</v>
      </c>
      <c r="Y49" s="881"/>
      <c r="Z49" s="875">
        <f t="shared" si="13"/>
        <v>0</v>
      </c>
      <c r="AA49" s="875">
        <f t="shared" si="13"/>
        <v>0</v>
      </c>
      <c r="AB49" s="875">
        <f t="shared" si="13"/>
        <v>0</v>
      </c>
      <c r="AC49" s="879"/>
    </row>
    <row r="50" spans="1:30" s="614" customFormat="1" ht="69.75" customHeight="1" x14ac:dyDescent="0.2">
      <c r="A50" s="994" t="s">
        <v>1515</v>
      </c>
      <c r="B50" s="995" t="s">
        <v>729</v>
      </c>
      <c r="C50" s="996">
        <v>112</v>
      </c>
      <c r="D50" s="996">
        <v>214</v>
      </c>
      <c r="E50" s="997"/>
      <c r="F50" s="998"/>
      <c r="G50" s="998"/>
      <c r="H50" s="998"/>
      <c r="I50" s="1081"/>
      <c r="J50" s="998"/>
      <c r="K50" s="998"/>
      <c r="L50" s="998"/>
      <c r="M50" s="876">
        <f>N50+P50+R50+S50+T50+O50</f>
        <v>30000</v>
      </c>
      <c r="N50" s="875"/>
      <c r="O50" s="875"/>
      <c r="P50" s="875"/>
      <c r="Q50" s="877" t="s">
        <v>1526</v>
      </c>
      <c r="R50" s="875"/>
      <c r="S50" s="875">
        <v>30000</v>
      </c>
      <c r="T50" s="875"/>
      <c r="U50" s="876">
        <f t="shared" si="11"/>
        <v>30000</v>
      </c>
      <c r="V50" s="875">
        <f t="shared" si="7"/>
        <v>0</v>
      </c>
      <c r="W50" s="875">
        <f t="shared" si="8"/>
        <v>0</v>
      </c>
      <c r="X50" s="875">
        <f t="shared" si="8"/>
        <v>0</v>
      </c>
      <c r="Y50" s="883"/>
      <c r="Z50" s="875">
        <f t="shared" si="13"/>
        <v>0</v>
      </c>
      <c r="AA50" s="875">
        <f t="shared" si="13"/>
        <v>30000</v>
      </c>
      <c r="AB50" s="875">
        <f t="shared" si="13"/>
        <v>0</v>
      </c>
      <c r="AC50" s="878" t="s">
        <v>1527</v>
      </c>
    </row>
    <row r="51" spans="1:30" s="614" customFormat="1" x14ac:dyDescent="0.2">
      <c r="A51" s="1082" t="s">
        <v>1530</v>
      </c>
      <c r="B51" s="995"/>
      <c r="C51" s="996"/>
      <c r="D51" s="996"/>
      <c r="E51" s="997"/>
      <c r="F51" s="998"/>
      <c r="G51" s="998"/>
      <c r="H51" s="998"/>
      <c r="I51" s="1081"/>
      <c r="J51" s="998"/>
      <c r="K51" s="998"/>
      <c r="L51" s="998"/>
      <c r="M51" s="876">
        <f>N51+O51+P51+R51+S51+T51</f>
        <v>30000</v>
      </c>
      <c r="N51" s="875"/>
      <c r="O51" s="875"/>
      <c r="P51" s="875"/>
      <c r="Q51" s="877"/>
      <c r="R51" s="875"/>
      <c r="S51" s="875">
        <f>SUM(S50)</f>
        <v>30000</v>
      </c>
      <c r="T51" s="875"/>
      <c r="U51" s="876">
        <f t="shared" si="11"/>
        <v>30000</v>
      </c>
      <c r="V51" s="875"/>
      <c r="W51" s="875"/>
      <c r="X51" s="875"/>
      <c r="Y51" s="883"/>
      <c r="Z51" s="875"/>
      <c r="AA51" s="875">
        <f>SUM(AA50)</f>
        <v>30000</v>
      </c>
      <c r="AB51" s="875"/>
      <c r="AC51" s="878"/>
    </row>
    <row r="52" spans="1:30" s="614" customFormat="1" ht="63" x14ac:dyDescent="0.2">
      <c r="A52" s="618" t="s">
        <v>748</v>
      </c>
      <c r="B52" s="619" t="s">
        <v>747</v>
      </c>
      <c r="C52" s="620">
        <v>119</v>
      </c>
      <c r="D52" s="620">
        <v>213</v>
      </c>
      <c r="E52" s="596">
        <f>L52+K52+J52+H52+G52+F52</f>
        <v>4208069.9000000004</v>
      </c>
      <c r="F52" s="595">
        <f>'Прилож 4 24 (8)'!V44</f>
        <v>3530318.95</v>
      </c>
      <c r="G52" s="595">
        <f>'Прилож 4 24 (8)'!W44</f>
        <v>0</v>
      </c>
      <c r="H52" s="595">
        <f>'Прилож 4 24 (8)'!X44</f>
        <v>677750.95</v>
      </c>
      <c r="I52" s="628"/>
      <c r="J52" s="595">
        <f>'Прилож 4 24 (8)'!Z44</f>
        <v>0</v>
      </c>
      <c r="K52" s="595">
        <f>'Прилож 4 24 (8)'!AA44</f>
        <v>0</v>
      </c>
      <c r="L52" s="595">
        <f>'Прилож 4 24 (8)'!AB44</f>
        <v>0</v>
      </c>
      <c r="M52" s="876">
        <f t="shared" ref="M52:M115" si="14">N52+P52+R52+S52+T52+O52</f>
        <v>0</v>
      </c>
      <c r="N52" s="875"/>
      <c r="O52" s="875"/>
      <c r="P52" s="875"/>
      <c r="Q52" s="883"/>
      <c r="R52" s="875"/>
      <c r="S52" s="875"/>
      <c r="T52" s="875"/>
      <c r="U52" s="876">
        <f t="shared" si="11"/>
        <v>4208069.9000000004</v>
      </c>
      <c r="V52" s="875">
        <f t="shared" si="11"/>
        <v>3530318.95</v>
      </c>
      <c r="W52" s="875">
        <f t="shared" ref="W52:X83" si="15">O52+G52</f>
        <v>0</v>
      </c>
      <c r="X52" s="875">
        <f t="shared" si="15"/>
        <v>677750.95</v>
      </c>
      <c r="Y52" s="883"/>
      <c r="Z52" s="875">
        <f t="shared" ref="Z52:AB83" si="16">R52+J52</f>
        <v>0</v>
      </c>
      <c r="AA52" s="875">
        <f t="shared" si="16"/>
        <v>0</v>
      </c>
      <c r="AB52" s="875">
        <f t="shared" si="16"/>
        <v>0</v>
      </c>
      <c r="AC52" s="878"/>
    </row>
    <row r="53" spans="1:30" s="614" customFormat="1" ht="63" x14ac:dyDescent="0.2">
      <c r="A53" s="618" t="s">
        <v>748</v>
      </c>
      <c r="B53" s="619" t="s">
        <v>729</v>
      </c>
      <c r="C53" s="620">
        <v>119</v>
      </c>
      <c r="D53" s="620">
        <v>213</v>
      </c>
      <c r="E53" s="596">
        <f>L53+K53+J53+H53+G53+F53</f>
        <v>6068964.5700000003</v>
      </c>
      <c r="F53" s="595">
        <f>'Прилож 4 24 (8)'!V45</f>
        <v>5378022.5800000001</v>
      </c>
      <c r="G53" s="595">
        <f>'Прилож 4 24 (8)'!W45</f>
        <v>476041.99</v>
      </c>
      <c r="H53" s="595">
        <f>'Прилож 4 24 (8)'!X45</f>
        <v>214900</v>
      </c>
      <c r="I53" s="628"/>
      <c r="J53" s="595">
        <f>'Прилож 4 24 (8)'!Z45</f>
        <v>0</v>
      </c>
      <c r="K53" s="595">
        <f>'Прилож 4 24 (8)'!AA45</f>
        <v>0</v>
      </c>
      <c r="L53" s="595">
        <f>'Прилож 4 24 (8)'!AB45</f>
        <v>0</v>
      </c>
      <c r="M53" s="876">
        <f t="shared" si="14"/>
        <v>-476041.99</v>
      </c>
      <c r="N53" s="875"/>
      <c r="O53" s="875">
        <v>-476041.99</v>
      </c>
      <c r="P53" s="875"/>
      <c r="Q53" s="883"/>
      <c r="R53" s="875"/>
      <c r="S53" s="875"/>
      <c r="T53" s="875"/>
      <c r="U53" s="876">
        <f t="shared" si="11"/>
        <v>5592922.5800000001</v>
      </c>
      <c r="V53" s="875">
        <f t="shared" si="11"/>
        <v>5378022.5800000001</v>
      </c>
      <c r="W53" s="875">
        <f t="shared" si="15"/>
        <v>0</v>
      </c>
      <c r="X53" s="875">
        <f t="shared" si="15"/>
        <v>214900</v>
      </c>
      <c r="Y53" s="883"/>
      <c r="Z53" s="875">
        <f t="shared" si="16"/>
        <v>0</v>
      </c>
      <c r="AA53" s="875">
        <f t="shared" si="16"/>
        <v>0</v>
      </c>
      <c r="AB53" s="875">
        <f t="shared" si="16"/>
        <v>0</v>
      </c>
      <c r="AC53" s="624"/>
    </row>
    <row r="54" spans="1:30" s="614" customFormat="1" ht="63" x14ac:dyDescent="0.2">
      <c r="A54" s="618" t="s">
        <v>748</v>
      </c>
      <c r="B54" s="619" t="s">
        <v>729</v>
      </c>
      <c r="C54" s="620">
        <v>119</v>
      </c>
      <c r="D54" s="620">
        <v>213</v>
      </c>
      <c r="E54" s="596"/>
      <c r="F54" s="595"/>
      <c r="G54" s="595"/>
      <c r="H54" s="595"/>
      <c r="I54" s="628"/>
      <c r="J54" s="595"/>
      <c r="K54" s="595"/>
      <c r="L54" s="595"/>
      <c r="M54" s="876">
        <f t="shared" si="14"/>
        <v>476041.99</v>
      </c>
      <c r="N54" s="875"/>
      <c r="O54" s="875">
        <v>476041.99</v>
      </c>
      <c r="P54" s="875"/>
      <c r="Q54" s="883"/>
      <c r="R54" s="875"/>
      <c r="S54" s="875"/>
      <c r="T54" s="875"/>
      <c r="U54" s="876">
        <f t="shared" si="11"/>
        <v>476041.99</v>
      </c>
      <c r="V54" s="875">
        <f t="shared" si="11"/>
        <v>0</v>
      </c>
      <c r="W54" s="875">
        <f t="shared" si="15"/>
        <v>476041.99</v>
      </c>
      <c r="X54" s="875">
        <f t="shared" si="15"/>
        <v>0</v>
      </c>
      <c r="Y54" s="883"/>
      <c r="Z54" s="875">
        <f t="shared" si="16"/>
        <v>0</v>
      </c>
      <c r="AA54" s="875">
        <f t="shared" si="16"/>
        <v>0</v>
      </c>
      <c r="AB54" s="875">
        <f t="shared" si="16"/>
        <v>0</v>
      </c>
      <c r="AC54" s="624"/>
    </row>
    <row r="55" spans="1:30" s="614" customFormat="1" ht="63" x14ac:dyDescent="0.2">
      <c r="A55" s="618" t="s">
        <v>944</v>
      </c>
      <c r="B55" s="619" t="s">
        <v>729</v>
      </c>
      <c r="C55" s="620">
        <v>119</v>
      </c>
      <c r="D55" s="620">
        <v>213</v>
      </c>
      <c r="E55" s="596">
        <f>L55+K55+J55+H55+G55+F55</f>
        <v>82168.849999999991</v>
      </c>
      <c r="F55" s="595">
        <f>'Прилож 4 24 (8)'!V46</f>
        <v>27115.759999999998</v>
      </c>
      <c r="G55" s="595">
        <f>'Прилож 4 24 (8)'!W46</f>
        <v>55053.09</v>
      </c>
      <c r="H55" s="595">
        <f>'Прилож 4 24 (8)'!X46</f>
        <v>0</v>
      </c>
      <c r="I55" s="628"/>
      <c r="J55" s="595">
        <f>'Прилож 4 24 (8)'!Z46</f>
        <v>0</v>
      </c>
      <c r="K55" s="595">
        <f>'Прилож 4 24 (8)'!AA46</f>
        <v>0</v>
      </c>
      <c r="L55" s="595">
        <f>'Прилож 4 24 (8)'!AB46</f>
        <v>0</v>
      </c>
      <c r="M55" s="876">
        <f t="shared" si="14"/>
        <v>0</v>
      </c>
      <c r="N55" s="875"/>
      <c r="O55" s="875"/>
      <c r="P55" s="875"/>
      <c r="Q55" s="883"/>
      <c r="R55" s="875"/>
      <c r="S55" s="875"/>
      <c r="T55" s="875"/>
      <c r="U55" s="876">
        <f t="shared" si="11"/>
        <v>82168.849999999991</v>
      </c>
      <c r="V55" s="875">
        <f t="shared" si="11"/>
        <v>27115.759999999998</v>
      </c>
      <c r="W55" s="875">
        <f t="shared" si="15"/>
        <v>55053.09</v>
      </c>
      <c r="X55" s="875">
        <f t="shared" si="15"/>
        <v>0</v>
      </c>
      <c r="Y55" s="883"/>
      <c r="Z55" s="875">
        <f t="shared" si="16"/>
        <v>0</v>
      </c>
      <c r="AA55" s="875">
        <f t="shared" si="16"/>
        <v>0</v>
      </c>
      <c r="AB55" s="875">
        <f t="shared" si="16"/>
        <v>0</v>
      </c>
      <c r="AC55" s="624"/>
    </row>
    <row r="56" spans="1:30" s="614" customFormat="1" ht="63" x14ac:dyDescent="0.2">
      <c r="A56" s="1083" t="s">
        <v>748</v>
      </c>
      <c r="B56" s="619" t="s">
        <v>729</v>
      </c>
      <c r="C56" s="620">
        <v>119</v>
      </c>
      <c r="D56" s="620">
        <v>213</v>
      </c>
      <c r="E56" s="596"/>
      <c r="F56" s="595"/>
      <c r="G56" s="595"/>
      <c r="H56" s="595"/>
      <c r="I56" s="628"/>
      <c r="J56" s="595"/>
      <c r="K56" s="595"/>
      <c r="L56" s="595"/>
      <c r="M56" s="876">
        <f t="shared" si="14"/>
        <v>6038.46</v>
      </c>
      <c r="N56" s="875"/>
      <c r="O56" s="875">
        <v>6038.46</v>
      </c>
      <c r="P56" s="875"/>
      <c r="Q56" s="883"/>
      <c r="R56" s="875"/>
      <c r="S56" s="875"/>
      <c r="T56" s="875"/>
      <c r="U56" s="876">
        <f t="shared" si="11"/>
        <v>6038.46</v>
      </c>
      <c r="V56" s="875">
        <f t="shared" si="11"/>
        <v>0</v>
      </c>
      <c r="W56" s="875">
        <f t="shared" si="15"/>
        <v>6038.46</v>
      </c>
      <c r="X56" s="875">
        <f t="shared" si="15"/>
        <v>0</v>
      </c>
      <c r="Y56" s="883"/>
      <c r="Z56" s="875">
        <f t="shared" si="16"/>
        <v>0</v>
      </c>
      <c r="AA56" s="875">
        <f t="shared" si="16"/>
        <v>0</v>
      </c>
      <c r="AB56" s="875">
        <f t="shared" si="16"/>
        <v>0</v>
      </c>
      <c r="AC56" s="878" t="s">
        <v>1529</v>
      </c>
    </row>
    <row r="57" spans="1:30" s="614" customFormat="1" ht="63" x14ac:dyDescent="0.2">
      <c r="A57" s="618" t="s">
        <v>748</v>
      </c>
      <c r="B57" s="619" t="s">
        <v>64</v>
      </c>
      <c r="C57" s="620">
        <v>119</v>
      </c>
      <c r="D57" s="620">
        <v>213</v>
      </c>
      <c r="E57" s="596">
        <f>L57+K57+J57+H57+G57+F57</f>
        <v>19446</v>
      </c>
      <c r="F57" s="595">
        <f>'Прилож 4 24 (8)'!V47</f>
        <v>0</v>
      </c>
      <c r="G57" s="595">
        <f>'Прилож 4 24 (8)'!W47</f>
        <v>0</v>
      </c>
      <c r="H57" s="595">
        <f>'Прилож 4 24 (8)'!X47</f>
        <v>0</v>
      </c>
      <c r="I57" s="621" t="s">
        <v>1235</v>
      </c>
      <c r="J57" s="595">
        <f>'Прилож 4 24 (8)'!Z47</f>
        <v>0</v>
      </c>
      <c r="K57" s="595">
        <f>'Прилож 4 24 (8)'!AA47</f>
        <v>19446</v>
      </c>
      <c r="L57" s="595">
        <f>'Прилож 4 24 (8)'!AB47</f>
        <v>0</v>
      </c>
      <c r="M57" s="876">
        <f t="shared" si="14"/>
        <v>0</v>
      </c>
      <c r="N57" s="875"/>
      <c r="O57" s="875"/>
      <c r="P57" s="875"/>
      <c r="Q57" s="883"/>
      <c r="R57" s="875"/>
      <c r="S57" s="875"/>
      <c r="T57" s="875"/>
      <c r="U57" s="876">
        <f t="shared" si="11"/>
        <v>19446</v>
      </c>
      <c r="V57" s="875">
        <f t="shared" si="11"/>
        <v>0</v>
      </c>
      <c r="W57" s="875">
        <f t="shared" si="15"/>
        <v>0</v>
      </c>
      <c r="X57" s="875">
        <f t="shared" si="15"/>
        <v>0</v>
      </c>
      <c r="Y57" s="877" t="s">
        <v>1235</v>
      </c>
      <c r="Z57" s="875">
        <f t="shared" si="16"/>
        <v>0</v>
      </c>
      <c r="AA57" s="875">
        <f t="shared" si="16"/>
        <v>19446</v>
      </c>
      <c r="AB57" s="875">
        <f t="shared" si="16"/>
        <v>0</v>
      </c>
      <c r="AC57" s="878"/>
    </row>
    <row r="58" spans="1:30" s="614" customFormat="1" ht="63" x14ac:dyDescent="0.2">
      <c r="A58" s="618" t="s">
        <v>748</v>
      </c>
      <c r="B58" s="619" t="s">
        <v>691</v>
      </c>
      <c r="C58" s="620">
        <v>119</v>
      </c>
      <c r="D58" s="620">
        <v>213</v>
      </c>
      <c r="E58" s="596">
        <f>L58+K58+J58+H58+G58+F58</f>
        <v>16917.36</v>
      </c>
      <c r="F58" s="595">
        <f>'Прилож 4 24 (8)'!V48</f>
        <v>0</v>
      </c>
      <c r="G58" s="595">
        <f>'Прилож 4 24 (8)'!W48</f>
        <v>0</v>
      </c>
      <c r="H58" s="595">
        <f>'Прилож 4 24 (8)'!X48</f>
        <v>14362.7</v>
      </c>
      <c r="I58" s="628"/>
      <c r="J58" s="595">
        <f>'Прилож 4 24 (8)'!Z48</f>
        <v>0</v>
      </c>
      <c r="K58" s="595">
        <f>'Прилож 4 24 (8)'!AA48</f>
        <v>0</v>
      </c>
      <c r="L58" s="595">
        <f>'Прилож 4 24 (8)'!AB48</f>
        <v>2554.66</v>
      </c>
      <c r="M58" s="876">
        <f t="shared" si="14"/>
        <v>0</v>
      </c>
      <c r="N58" s="875"/>
      <c r="O58" s="875"/>
      <c r="P58" s="875"/>
      <c r="Q58" s="883"/>
      <c r="R58" s="875"/>
      <c r="S58" s="875"/>
      <c r="T58" s="875"/>
      <c r="U58" s="876">
        <f t="shared" si="11"/>
        <v>16917.36</v>
      </c>
      <c r="V58" s="875">
        <f t="shared" si="11"/>
        <v>0</v>
      </c>
      <c r="W58" s="875">
        <f t="shared" si="15"/>
        <v>0</v>
      </c>
      <c r="X58" s="875">
        <f t="shared" si="15"/>
        <v>14362.7</v>
      </c>
      <c r="Y58" s="883"/>
      <c r="Z58" s="875">
        <f t="shared" si="16"/>
        <v>0</v>
      </c>
      <c r="AA58" s="875">
        <f t="shared" si="16"/>
        <v>0</v>
      </c>
      <c r="AB58" s="875">
        <f t="shared" si="16"/>
        <v>2554.66</v>
      </c>
      <c r="AC58" s="878"/>
    </row>
    <row r="59" spans="1:30" s="614" customFormat="1" ht="110.25" x14ac:dyDescent="0.2">
      <c r="A59" s="618" t="s">
        <v>1468</v>
      </c>
      <c r="B59" s="619" t="s">
        <v>729</v>
      </c>
      <c r="C59" s="620">
        <v>119</v>
      </c>
      <c r="D59" s="620">
        <v>265</v>
      </c>
      <c r="E59" s="596">
        <v>8370.2000000000007</v>
      </c>
      <c r="F59" s="595">
        <f>'Прилож 4 24 (8)'!V49</f>
        <v>8370.2000000000007</v>
      </c>
      <c r="G59" s="595">
        <f>'Прилож 4 24 (8)'!W49</f>
        <v>0</v>
      </c>
      <c r="H59" s="595">
        <f>'Прилож 4 24 (8)'!X49</f>
        <v>0</v>
      </c>
      <c r="I59" s="628"/>
      <c r="J59" s="595">
        <f>'Прилож 4 24 (8)'!Z49</f>
        <v>0</v>
      </c>
      <c r="K59" s="595">
        <f>'Прилож 4 24 (8)'!AA49</f>
        <v>0</v>
      </c>
      <c r="L59" s="595">
        <f>'Прилож 4 24 (8)'!AB49</f>
        <v>0</v>
      </c>
      <c r="M59" s="876">
        <f t="shared" si="14"/>
        <v>0</v>
      </c>
      <c r="N59" s="875"/>
      <c r="O59" s="875"/>
      <c r="P59" s="875"/>
      <c r="Q59" s="883"/>
      <c r="R59" s="875"/>
      <c r="S59" s="875"/>
      <c r="T59" s="875"/>
      <c r="U59" s="876">
        <v>8370.2000000000007</v>
      </c>
      <c r="V59" s="875">
        <f t="shared" ref="V59:V122" si="17">F59+N59</f>
        <v>8370.2000000000007</v>
      </c>
      <c r="W59" s="875">
        <f t="shared" si="15"/>
        <v>0</v>
      </c>
      <c r="X59" s="875">
        <f t="shared" si="15"/>
        <v>0</v>
      </c>
      <c r="Y59" s="883"/>
      <c r="Z59" s="875">
        <f t="shared" si="16"/>
        <v>0</v>
      </c>
      <c r="AA59" s="875">
        <f t="shared" si="16"/>
        <v>0</v>
      </c>
      <c r="AB59" s="875">
        <f t="shared" si="16"/>
        <v>0</v>
      </c>
      <c r="AC59" s="878"/>
    </row>
    <row r="60" spans="1:30" s="614" customFormat="1" x14ac:dyDescent="0.2">
      <c r="A60" s="630" t="s">
        <v>733</v>
      </c>
      <c r="B60" s="631"/>
      <c r="C60" s="624"/>
      <c r="D60" s="624"/>
      <c r="E60" s="596">
        <f t="shared" ref="E60:E123" si="18">L60+K60+J60+H60+G60+F60</f>
        <v>10403936.879999999</v>
      </c>
      <c r="F60" s="595">
        <f>'Прилож 4 24 (8)'!V50</f>
        <v>8943827.4899999984</v>
      </c>
      <c r="G60" s="595">
        <f>'Прилож 4 24 (8)'!W50</f>
        <v>531095.07999999996</v>
      </c>
      <c r="H60" s="595">
        <f>'Прилож 4 24 (8)'!X50</f>
        <v>907013.64999999991</v>
      </c>
      <c r="I60" s="626"/>
      <c r="J60" s="595">
        <f>'Прилож 4 24 (8)'!Z50</f>
        <v>0</v>
      </c>
      <c r="K60" s="595">
        <f>'Прилож 4 24 (8)'!AA50</f>
        <v>19446</v>
      </c>
      <c r="L60" s="595">
        <f>'Прилож 4 24 (8)'!AB50</f>
        <v>2554.66</v>
      </c>
      <c r="M60" s="876">
        <f t="shared" si="14"/>
        <v>6038.46</v>
      </c>
      <c r="N60" s="876">
        <f>SUM(N52:N59)</f>
        <v>0</v>
      </c>
      <c r="O60" s="876">
        <f>SUM(O52:O58)</f>
        <v>6038.46</v>
      </c>
      <c r="P60" s="876">
        <f>SUM(P52:P58)</f>
        <v>0</v>
      </c>
      <c r="Q60" s="881"/>
      <c r="R60" s="876"/>
      <c r="S60" s="876">
        <f>SUM(S52:S59)</f>
        <v>0</v>
      </c>
      <c r="T60" s="876"/>
      <c r="U60" s="876">
        <f t="shared" ref="U60:V123" si="19">E60+M60</f>
        <v>10409975.34</v>
      </c>
      <c r="V60" s="875">
        <f t="shared" si="17"/>
        <v>8943827.4899999984</v>
      </c>
      <c r="W60" s="875">
        <f t="shared" si="15"/>
        <v>537133.53999999992</v>
      </c>
      <c r="X60" s="875">
        <f t="shared" si="15"/>
        <v>907013.64999999991</v>
      </c>
      <c r="Y60" s="881"/>
      <c r="Z60" s="875">
        <f t="shared" si="16"/>
        <v>0</v>
      </c>
      <c r="AA60" s="875">
        <f t="shared" si="16"/>
        <v>19446</v>
      </c>
      <c r="AB60" s="875">
        <f t="shared" si="16"/>
        <v>2554.66</v>
      </c>
      <c r="AC60" s="879"/>
      <c r="AD60" s="818"/>
    </row>
    <row r="61" spans="1:30" ht="31.5" x14ac:dyDescent="0.2">
      <c r="A61" s="618" t="s">
        <v>1183</v>
      </c>
      <c r="B61" s="619" t="s">
        <v>747</v>
      </c>
      <c r="C61" s="620">
        <v>244</v>
      </c>
      <c r="D61" s="620">
        <v>221</v>
      </c>
      <c r="E61" s="596">
        <f t="shared" si="18"/>
        <v>14452.3</v>
      </c>
      <c r="F61" s="595">
        <f>'Прилож 4 24 (8)'!V51</f>
        <v>0</v>
      </c>
      <c r="G61" s="595">
        <f>'Прилож 4 24 (8)'!W51</f>
        <v>0</v>
      </c>
      <c r="H61" s="595">
        <f>'Прилож 4 24 (8)'!X51</f>
        <v>14452.3</v>
      </c>
      <c r="I61" s="628"/>
      <c r="J61" s="595">
        <f>'Прилож 4 24 (8)'!Z51</f>
        <v>0</v>
      </c>
      <c r="K61" s="595">
        <f>'Прилож 4 24 (8)'!AA51</f>
        <v>0</v>
      </c>
      <c r="L61" s="595">
        <f>'Прилож 4 24 (8)'!AB51</f>
        <v>0</v>
      </c>
      <c r="M61" s="876">
        <f t="shared" si="14"/>
        <v>0</v>
      </c>
      <c r="N61" s="875"/>
      <c r="O61" s="875"/>
      <c r="P61" s="875"/>
      <c r="Q61" s="877"/>
      <c r="R61" s="875"/>
      <c r="S61" s="875"/>
      <c r="T61" s="875"/>
      <c r="U61" s="876">
        <f t="shared" si="19"/>
        <v>14452.3</v>
      </c>
      <c r="V61" s="875">
        <f t="shared" si="17"/>
        <v>0</v>
      </c>
      <c r="W61" s="875">
        <f t="shared" si="15"/>
        <v>0</v>
      </c>
      <c r="X61" s="875">
        <f t="shared" si="15"/>
        <v>14452.3</v>
      </c>
      <c r="Y61" s="883"/>
      <c r="Z61" s="875">
        <f t="shared" si="16"/>
        <v>0</v>
      </c>
      <c r="AA61" s="875">
        <f t="shared" si="16"/>
        <v>0</v>
      </c>
      <c r="AB61" s="875">
        <f t="shared" si="16"/>
        <v>0</v>
      </c>
      <c r="AC61" s="878"/>
    </row>
    <row r="62" spans="1:30" x14ac:dyDescent="0.2">
      <c r="A62" s="618" t="s">
        <v>1184</v>
      </c>
      <c r="B62" s="619" t="s">
        <v>747</v>
      </c>
      <c r="C62" s="620">
        <v>244</v>
      </c>
      <c r="D62" s="620">
        <v>221</v>
      </c>
      <c r="E62" s="596">
        <f t="shared" si="18"/>
        <v>36000</v>
      </c>
      <c r="F62" s="595">
        <f>'Прилож 4 24 (8)'!V52</f>
        <v>0</v>
      </c>
      <c r="G62" s="595">
        <f>'Прилож 4 24 (8)'!W52</f>
        <v>0</v>
      </c>
      <c r="H62" s="595">
        <f>'Прилож 4 24 (8)'!X52</f>
        <v>36000</v>
      </c>
      <c r="I62" s="628"/>
      <c r="J62" s="595">
        <f>'Прилож 4 24 (8)'!Z52</f>
        <v>0</v>
      </c>
      <c r="K62" s="595">
        <f>'Прилож 4 24 (8)'!AA52</f>
        <v>0</v>
      </c>
      <c r="L62" s="595">
        <f>'Прилож 4 24 (8)'!AB52</f>
        <v>0</v>
      </c>
      <c r="M62" s="876">
        <f t="shared" si="14"/>
        <v>0</v>
      </c>
      <c r="N62" s="875"/>
      <c r="O62" s="875"/>
      <c r="P62" s="875"/>
      <c r="Q62" s="877"/>
      <c r="R62" s="875"/>
      <c r="S62" s="875"/>
      <c r="T62" s="875"/>
      <c r="U62" s="876">
        <f t="shared" si="19"/>
        <v>36000</v>
      </c>
      <c r="V62" s="875">
        <f t="shared" si="17"/>
        <v>0</v>
      </c>
      <c r="W62" s="875">
        <f t="shared" si="15"/>
        <v>0</v>
      </c>
      <c r="X62" s="875">
        <f t="shared" si="15"/>
        <v>36000</v>
      </c>
      <c r="Y62" s="883"/>
      <c r="Z62" s="875">
        <f t="shared" si="16"/>
        <v>0</v>
      </c>
      <c r="AA62" s="875">
        <f t="shared" si="16"/>
        <v>0</v>
      </c>
      <c r="AB62" s="875">
        <f t="shared" si="16"/>
        <v>0</v>
      </c>
      <c r="AC62" s="878"/>
    </row>
    <row r="63" spans="1:30" x14ac:dyDescent="0.2">
      <c r="A63" s="618" t="s">
        <v>158</v>
      </c>
      <c r="B63" s="619" t="s">
        <v>747</v>
      </c>
      <c r="C63" s="620">
        <v>244</v>
      </c>
      <c r="D63" s="620">
        <v>221</v>
      </c>
      <c r="E63" s="596">
        <f t="shared" si="18"/>
        <v>6600</v>
      </c>
      <c r="F63" s="595">
        <f>'Прилож 4 24 (8)'!V53</f>
        <v>0</v>
      </c>
      <c r="G63" s="595">
        <f>'Прилож 4 24 (8)'!W53</f>
        <v>0</v>
      </c>
      <c r="H63" s="595">
        <f>'Прилож 4 24 (8)'!X53</f>
        <v>6600</v>
      </c>
      <c r="I63" s="628"/>
      <c r="J63" s="595">
        <f>'Прилож 4 24 (8)'!Z53</f>
        <v>0</v>
      </c>
      <c r="K63" s="595">
        <f>'Прилож 4 24 (8)'!AA53</f>
        <v>0</v>
      </c>
      <c r="L63" s="595">
        <f>'Прилож 4 24 (8)'!AB53</f>
        <v>0</v>
      </c>
      <c r="M63" s="876">
        <f t="shared" si="14"/>
        <v>0</v>
      </c>
      <c r="N63" s="875"/>
      <c r="O63" s="875"/>
      <c r="P63" s="875"/>
      <c r="Q63" s="877"/>
      <c r="R63" s="875"/>
      <c r="S63" s="875"/>
      <c r="T63" s="875"/>
      <c r="U63" s="876">
        <f t="shared" si="19"/>
        <v>6600</v>
      </c>
      <c r="V63" s="875">
        <f t="shared" si="17"/>
        <v>0</v>
      </c>
      <c r="W63" s="875">
        <f t="shared" si="15"/>
        <v>0</v>
      </c>
      <c r="X63" s="875">
        <f t="shared" si="15"/>
        <v>6600</v>
      </c>
      <c r="Y63" s="883"/>
      <c r="Z63" s="875">
        <f t="shared" si="16"/>
        <v>0</v>
      </c>
      <c r="AA63" s="875">
        <f t="shared" si="16"/>
        <v>0</v>
      </c>
      <c r="AB63" s="875">
        <f t="shared" si="16"/>
        <v>0</v>
      </c>
      <c r="AC63" s="878"/>
    </row>
    <row r="64" spans="1:30" s="637" customFormat="1" x14ac:dyDescent="0.2">
      <c r="A64" s="632" t="s">
        <v>1143</v>
      </c>
      <c r="B64" s="633" t="s">
        <v>747</v>
      </c>
      <c r="C64" s="634">
        <v>244</v>
      </c>
      <c r="D64" s="634">
        <v>221</v>
      </c>
      <c r="E64" s="596">
        <f t="shared" si="18"/>
        <v>57052.3</v>
      </c>
      <c r="F64" s="595">
        <f>'Прилож 4 24 (8)'!V54</f>
        <v>0</v>
      </c>
      <c r="G64" s="595">
        <f>'Прилож 4 24 (8)'!W54</f>
        <v>0</v>
      </c>
      <c r="H64" s="595">
        <f>'Прилож 4 24 (8)'!X54</f>
        <v>57052.3</v>
      </c>
      <c r="I64" s="635"/>
      <c r="J64" s="595">
        <f>'Прилож 4 24 (8)'!Z54</f>
        <v>0</v>
      </c>
      <c r="K64" s="595">
        <f>'Прилож 4 24 (8)'!AA54</f>
        <v>0</v>
      </c>
      <c r="L64" s="595">
        <f>'Прилож 4 24 (8)'!AB54</f>
        <v>0</v>
      </c>
      <c r="M64" s="876">
        <f t="shared" si="14"/>
        <v>0</v>
      </c>
      <c r="N64" s="884"/>
      <c r="O64" s="884"/>
      <c r="P64" s="884"/>
      <c r="Q64" s="885"/>
      <c r="R64" s="884"/>
      <c r="S64" s="884"/>
      <c r="T64" s="884"/>
      <c r="U64" s="876">
        <f t="shared" si="19"/>
        <v>57052.3</v>
      </c>
      <c r="V64" s="875">
        <f t="shared" si="17"/>
        <v>0</v>
      </c>
      <c r="W64" s="875">
        <f t="shared" si="15"/>
        <v>0</v>
      </c>
      <c r="X64" s="875">
        <f t="shared" si="15"/>
        <v>57052.3</v>
      </c>
      <c r="Y64" s="885"/>
      <c r="Z64" s="875">
        <f t="shared" si="16"/>
        <v>0</v>
      </c>
      <c r="AA64" s="875">
        <f t="shared" si="16"/>
        <v>0</v>
      </c>
      <c r="AB64" s="875">
        <f t="shared" si="16"/>
        <v>0</v>
      </c>
      <c r="AC64" s="886"/>
    </row>
    <row r="65" spans="1:29" ht="31.5" x14ac:dyDescent="0.2">
      <c r="A65" s="618" t="s">
        <v>1183</v>
      </c>
      <c r="B65" s="619" t="s">
        <v>729</v>
      </c>
      <c r="C65" s="620">
        <v>244</v>
      </c>
      <c r="D65" s="620">
        <v>221</v>
      </c>
      <c r="E65" s="596">
        <f t="shared" si="18"/>
        <v>44560.93</v>
      </c>
      <c r="F65" s="595">
        <f>'Прилож 4 24 (8)'!V55</f>
        <v>0</v>
      </c>
      <c r="G65" s="595">
        <f>'Прилож 4 24 (8)'!W55</f>
        <v>0</v>
      </c>
      <c r="H65" s="595">
        <f>'Прилож 4 24 (8)'!X55</f>
        <v>44560.93</v>
      </c>
      <c r="I65" s="628"/>
      <c r="J65" s="595">
        <f>'Прилож 4 24 (8)'!Z55</f>
        <v>0</v>
      </c>
      <c r="K65" s="595">
        <f>'Прилож 4 24 (8)'!AA55</f>
        <v>0</v>
      </c>
      <c r="L65" s="595">
        <f>'Прилож 4 24 (8)'!AB55</f>
        <v>0</v>
      </c>
      <c r="M65" s="876">
        <f t="shared" si="14"/>
        <v>0</v>
      </c>
      <c r="N65" s="875"/>
      <c r="O65" s="875"/>
      <c r="P65" s="875"/>
      <c r="Q65" s="877"/>
      <c r="R65" s="875"/>
      <c r="S65" s="875"/>
      <c r="T65" s="875"/>
      <c r="U65" s="876">
        <f t="shared" si="19"/>
        <v>44560.93</v>
      </c>
      <c r="V65" s="875">
        <f t="shared" si="17"/>
        <v>0</v>
      </c>
      <c r="W65" s="875">
        <f t="shared" si="15"/>
        <v>0</v>
      </c>
      <c r="X65" s="875">
        <f t="shared" si="15"/>
        <v>44560.93</v>
      </c>
      <c r="Y65" s="883"/>
      <c r="Z65" s="875">
        <f t="shared" si="16"/>
        <v>0</v>
      </c>
      <c r="AA65" s="875">
        <f t="shared" si="16"/>
        <v>0</v>
      </c>
      <c r="AB65" s="875">
        <f t="shared" si="16"/>
        <v>0</v>
      </c>
      <c r="AC65" s="878"/>
    </row>
    <row r="66" spans="1:29" ht="32.25" customHeight="1" x14ac:dyDescent="0.2">
      <c r="A66" s="618" t="s">
        <v>597</v>
      </c>
      <c r="B66" s="619" t="s">
        <v>729</v>
      </c>
      <c r="C66" s="620">
        <v>244</v>
      </c>
      <c r="D66" s="620">
        <v>221</v>
      </c>
      <c r="E66" s="596">
        <f t="shared" si="18"/>
        <v>11360</v>
      </c>
      <c r="F66" s="595">
        <f>'Прилож 4 24 (8)'!V56</f>
        <v>0</v>
      </c>
      <c r="G66" s="595">
        <f>'Прилож 4 24 (8)'!W56</f>
        <v>0</v>
      </c>
      <c r="H66" s="595">
        <f>'Прилож 4 24 (8)'!X56</f>
        <v>11360</v>
      </c>
      <c r="I66" s="628"/>
      <c r="J66" s="595">
        <f>'Прилож 4 24 (8)'!Z56</f>
        <v>0</v>
      </c>
      <c r="K66" s="595">
        <f>'Прилож 4 24 (8)'!AA56</f>
        <v>0</v>
      </c>
      <c r="L66" s="595">
        <f>'Прилож 4 24 (8)'!AB56</f>
        <v>0</v>
      </c>
      <c r="M66" s="876">
        <f t="shared" si="14"/>
        <v>0</v>
      </c>
      <c r="N66" s="875"/>
      <c r="O66" s="875"/>
      <c r="P66" s="875"/>
      <c r="Q66" s="877"/>
      <c r="R66" s="875"/>
      <c r="S66" s="875"/>
      <c r="T66" s="875"/>
      <c r="U66" s="876">
        <f t="shared" si="19"/>
        <v>11360</v>
      </c>
      <c r="V66" s="875">
        <f t="shared" si="17"/>
        <v>0</v>
      </c>
      <c r="W66" s="875">
        <f t="shared" si="15"/>
        <v>0</v>
      </c>
      <c r="X66" s="875">
        <f t="shared" si="15"/>
        <v>11360</v>
      </c>
      <c r="Y66" s="883"/>
      <c r="Z66" s="875">
        <f t="shared" si="16"/>
        <v>0</v>
      </c>
      <c r="AA66" s="875">
        <f t="shared" si="16"/>
        <v>0</v>
      </c>
      <c r="AB66" s="875">
        <f t="shared" si="16"/>
        <v>0</v>
      </c>
      <c r="AC66" s="878"/>
    </row>
    <row r="67" spans="1:29" x14ac:dyDescent="0.2">
      <c r="A67" s="618" t="s">
        <v>158</v>
      </c>
      <c r="B67" s="619" t="s">
        <v>729</v>
      </c>
      <c r="C67" s="620">
        <v>244</v>
      </c>
      <c r="D67" s="620">
        <v>221</v>
      </c>
      <c r="E67" s="596">
        <f t="shared" si="18"/>
        <v>6600</v>
      </c>
      <c r="F67" s="595">
        <f>'Прилож 4 24 (8)'!V57</f>
        <v>0</v>
      </c>
      <c r="G67" s="595">
        <f>'Прилож 4 24 (8)'!W57</f>
        <v>0</v>
      </c>
      <c r="H67" s="595">
        <f>'Прилож 4 24 (8)'!X57</f>
        <v>6600</v>
      </c>
      <c r="I67" s="628"/>
      <c r="J67" s="595">
        <f>'Прилож 4 24 (8)'!Z57</f>
        <v>0</v>
      </c>
      <c r="K67" s="595">
        <f>'Прилож 4 24 (8)'!AA57</f>
        <v>0</v>
      </c>
      <c r="L67" s="595">
        <f>'Прилож 4 24 (8)'!AB57</f>
        <v>0</v>
      </c>
      <c r="M67" s="876">
        <f t="shared" si="14"/>
        <v>0</v>
      </c>
      <c r="N67" s="875"/>
      <c r="O67" s="875"/>
      <c r="P67" s="875"/>
      <c r="Q67" s="877"/>
      <c r="R67" s="875"/>
      <c r="S67" s="875"/>
      <c r="T67" s="875"/>
      <c r="U67" s="876">
        <f t="shared" si="19"/>
        <v>6600</v>
      </c>
      <c r="V67" s="875">
        <f t="shared" si="17"/>
        <v>0</v>
      </c>
      <c r="W67" s="875">
        <f t="shared" si="15"/>
        <v>0</v>
      </c>
      <c r="X67" s="875">
        <f t="shared" si="15"/>
        <v>6600</v>
      </c>
      <c r="Y67" s="883"/>
      <c r="Z67" s="875">
        <f t="shared" si="16"/>
        <v>0</v>
      </c>
      <c r="AA67" s="875">
        <f t="shared" si="16"/>
        <v>0</v>
      </c>
      <c r="AB67" s="875">
        <f t="shared" si="16"/>
        <v>0</v>
      </c>
      <c r="AC67" s="878"/>
    </row>
    <row r="68" spans="1:29" s="637" customFormat="1" x14ac:dyDescent="0.2">
      <c r="A68" s="632" t="s">
        <v>1143</v>
      </c>
      <c r="B68" s="633" t="s">
        <v>729</v>
      </c>
      <c r="C68" s="634">
        <v>244</v>
      </c>
      <c r="D68" s="634">
        <v>221</v>
      </c>
      <c r="E68" s="596">
        <f t="shared" si="18"/>
        <v>62520.929999999993</v>
      </c>
      <c r="F68" s="595">
        <f>'Прилож 4 24 (8)'!V58</f>
        <v>0</v>
      </c>
      <c r="G68" s="595">
        <f>'Прилож 4 24 (8)'!W58</f>
        <v>0</v>
      </c>
      <c r="H68" s="595">
        <f>'Прилож 4 24 (8)'!X58</f>
        <v>62520.929999999993</v>
      </c>
      <c r="I68" s="635"/>
      <c r="J68" s="595">
        <f>'Прилож 4 24 (8)'!Z58</f>
        <v>0</v>
      </c>
      <c r="K68" s="595">
        <f>'Прилож 4 24 (8)'!AA58</f>
        <v>0</v>
      </c>
      <c r="L68" s="595">
        <f>'Прилож 4 24 (8)'!AB58</f>
        <v>0</v>
      </c>
      <c r="M68" s="876">
        <f t="shared" si="14"/>
        <v>0</v>
      </c>
      <c r="N68" s="884"/>
      <c r="O68" s="884"/>
      <c r="P68" s="884">
        <f>SUM(P65:P67)</f>
        <v>0</v>
      </c>
      <c r="Q68" s="885"/>
      <c r="R68" s="884"/>
      <c r="S68" s="884"/>
      <c r="T68" s="884"/>
      <c r="U68" s="876">
        <f t="shared" si="19"/>
        <v>62520.929999999993</v>
      </c>
      <c r="V68" s="875">
        <f t="shared" si="17"/>
        <v>0</v>
      </c>
      <c r="W68" s="875">
        <f t="shared" si="15"/>
        <v>0</v>
      </c>
      <c r="X68" s="875">
        <f t="shared" si="15"/>
        <v>62520.929999999993</v>
      </c>
      <c r="Y68" s="885"/>
      <c r="Z68" s="875">
        <f t="shared" si="16"/>
        <v>0</v>
      </c>
      <c r="AA68" s="875">
        <f t="shared" si="16"/>
        <v>0</v>
      </c>
      <c r="AB68" s="875">
        <f t="shared" si="16"/>
        <v>0</v>
      </c>
      <c r="AC68" s="886"/>
    </row>
    <row r="69" spans="1:29" s="614" customFormat="1" x14ac:dyDescent="0.2">
      <c r="A69" s="630" t="s">
        <v>734</v>
      </c>
      <c r="B69" s="631"/>
      <c r="C69" s="624"/>
      <c r="D69" s="624"/>
      <c r="E69" s="596">
        <f t="shared" si="18"/>
        <v>119573.22999999998</v>
      </c>
      <c r="F69" s="595">
        <f>'Прилож 4 24 (8)'!V59</f>
        <v>0</v>
      </c>
      <c r="G69" s="595">
        <f>'Прилож 4 24 (8)'!W59</f>
        <v>0</v>
      </c>
      <c r="H69" s="595">
        <f>'Прилож 4 24 (8)'!X59</f>
        <v>119573.22999999998</v>
      </c>
      <c r="I69" s="626"/>
      <c r="J69" s="595">
        <f>'Прилож 4 24 (8)'!Z59</f>
        <v>0</v>
      </c>
      <c r="K69" s="595">
        <f>'Прилож 4 24 (8)'!AA59</f>
        <v>0</v>
      </c>
      <c r="L69" s="595">
        <f>'Прилож 4 24 (8)'!AB59</f>
        <v>0</v>
      </c>
      <c r="M69" s="876">
        <f t="shared" si="14"/>
        <v>0</v>
      </c>
      <c r="N69" s="876"/>
      <c r="O69" s="876"/>
      <c r="P69" s="876">
        <f>P68+P64</f>
        <v>0</v>
      </c>
      <c r="Q69" s="881"/>
      <c r="R69" s="876"/>
      <c r="S69" s="876"/>
      <c r="T69" s="876"/>
      <c r="U69" s="876">
        <f t="shared" si="19"/>
        <v>119573.22999999998</v>
      </c>
      <c r="V69" s="875">
        <f t="shared" si="17"/>
        <v>0</v>
      </c>
      <c r="W69" s="875">
        <f t="shared" si="15"/>
        <v>0</v>
      </c>
      <c r="X69" s="875">
        <f t="shared" si="15"/>
        <v>119573.22999999998</v>
      </c>
      <c r="Y69" s="881"/>
      <c r="Z69" s="875">
        <f t="shared" si="16"/>
        <v>0</v>
      </c>
      <c r="AA69" s="875">
        <f t="shared" si="16"/>
        <v>0</v>
      </c>
      <c r="AB69" s="875">
        <f t="shared" si="16"/>
        <v>0</v>
      </c>
      <c r="AC69" s="879"/>
    </row>
    <row r="70" spans="1:29" x14ac:dyDescent="0.2">
      <c r="A70" s="618" t="s">
        <v>126</v>
      </c>
      <c r="B70" s="619" t="s">
        <v>747</v>
      </c>
      <c r="C70" s="620">
        <v>244</v>
      </c>
      <c r="D70" s="620">
        <v>223</v>
      </c>
      <c r="E70" s="596">
        <f t="shared" si="18"/>
        <v>30113.4</v>
      </c>
      <c r="F70" s="595">
        <f>'Прилож 4 24 (8)'!V60</f>
        <v>0</v>
      </c>
      <c r="G70" s="595">
        <f>'Прилож 4 24 (8)'!W60</f>
        <v>0</v>
      </c>
      <c r="H70" s="595">
        <f>'Прилож 4 24 (8)'!X60</f>
        <v>30113.4</v>
      </c>
      <c r="I70" s="628"/>
      <c r="J70" s="595">
        <f>'Прилож 4 24 (8)'!Z60</f>
        <v>0</v>
      </c>
      <c r="K70" s="595">
        <f>'Прилож 4 24 (8)'!AA60</f>
        <v>0</v>
      </c>
      <c r="L70" s="595">
        <f>'Прилож 4 24 (8)'!AB60</f>
        <v>0</v>
      </c>
      <c r="M70" s="876">
        <f t="shared" si="14"/>
        <v>0</v>
      </c>
      <c r="N70" s="875"/>
      <c r="O70" s="875"/>
      <c r="P70" s="875"/>
      <c r="Q70" s="877"/>
      <c r="R70" s="875"/>
      <c r="S70" s="875"/>
      <c r="T70" s="875"/>
      <c r="U70" s="876">
        <f t="shared" si="19"/>
        <v>30113.4</v>
      </c>
      <c r="V70" s="875">
        <f t="shared" si="17"/>
        <v>0</v>
      </c>
      <c r="W70" s="875">
        <f t="shared" si="15"/>
        <v>0</v>
      </c>
      <c r="X70" s="875">
        <f t="shared" si="15"/>
        <v>30113.4</v>
      </c>
      <c r="Y70" s="883"/>
      <c r="Z70" s="875">
        <f t="shared" si="16"/>
        <v>0</v>
      </c>
      <c r="AA70" s="875">
        <f t="shared" si="16"/>
        <v>0</v>
      </c>
      <c r="AB70" s="875">
        <f t="shared" si="16"/>
        <v>0</v>
      </c>
      <c r="AC70" s="878"/>
    </row>
    <row r="71" spans="1:29" x14ac:dyDescent="0.2">
      <c r="A71" s="618" t="s">
        <v>1261</v>
      </c>
      <c r="B71" s="619" t="s">
        <v>747</v>
      </c>
      <c r="C71" s="620">
        <v>244</v>
      </c>
      <c r="D71" s="620">
        <v>223</v>
      </c>
      <c r="E71" s="596">
        <f t="shared" si="18"/>
        <v>40636.9</v>
      </c>
      <c r="F71" s="595">
        <f>'Прилож 4 24 (8)'!V61</f>
        <v>0</v>
      </c>
      <c r="G71" s="595">
        <f>'Прилож 4 24 (8)'!W61</f>
        <v>0</v>
      </c>
      <c r="H71" s="595">
        <f>'Прилож 4 24 (8)'!X61</f>
        <v>40636.9</v>
      </c>
      <c r="I71" s="628"/>
      <c r="J71" s="595">
        <f>'Прилож 4 24 (8)'!Z61</f>
        <v>0</v>
      </c>
      <c r="K71" s="595">
        <f>'Прилож 4 24 (8)'!AA61</f>
        <v>0</v>
      </c>
      <c r="L71" s="595">
        <f>'Прилож 4 24 (8)'!AB61</f>
        <v>0</v>
      </c>
      <c r="M71" s="876">
        <f t="shared" si="14"/>
        <v>0</v>
      </c>
      <c r="N71" s="875"/>
      <c r="O71" s="875"/>
      <c r="P71" s="875"/>
      <c r="Q71" s="877"/>
      <c r="R71" s="875"/>
      <c r="S71" s="875"/>
      <c r="T71" s="875"/>
      <c r="U71" s="876">
        <f t="shared" si="19"/>
        <v>40636.9</v>
      </c>
      <c r="V71" s="875">
        <f t="shared" si="17"/>
        <v>0</v>
      </c>
      <c r="W71" s="875">
        <f t="shared" si="15"/>
        <v>0</v>
      </c>
      <c r="X71" s="875">
        <f t="shared" si="15"/>
        <v>40636.9</v>
      </c>
      <c r="Y71" s="883"/>
      <c r="Z71" s="875">
        <f t="shared" si="16"/>
        <v>0</v>
      </c>
      <c r="AA71" s="875">
        <f t="shared" si="16"/>
        <v>0</v>
      </c>
      <c r="AB71" s="875">
        <f t="shared" si="16"/>
        <v>0</v>
      </c>
      <c r="AC71" s="878"/>
    </row>
    <row r="72" spans="1:29" x14ac:dyDescent="0.2">
      <c r="A72" s="618" t="s">
        <v>128</v>
      </c>
      <c r="B72" s="619" t="s">
        <v>747</v>
      </c>
      <c r="C72" s="620">
        <v>244</v>
      </c>
      <c r="D72" s="620">
        <v>223</v>
      </c>
      <c r="E72" s="596">
        <f t="shared" si="18"/>
        <v>75941.84</v>
      </c>
      <c r="F72" s="595">
        <f>'Прилож 4 24 (8)'!V62</f>
        <v>0</v>
      </c>
      <c r="G72" s="595">
        <f>'Прилож 4 24 (8)'!W62</f>
        <v>0</v>
      </c>
      <c r="H72" s="595">
        <f>'Прилож 4 24 (8)'!X62</f>
        <v>75941.84</v>
      </c>
      <c r="I72" s="628"/>
      <c r="J72" s="595">
        <f>'Прилож 4 24 (8)'!Z62</f>
        <v>0</v>
      </c>
      <c r="K72" s="595">
        <f>'Прилож 4 24 (8)'!AA62</f>
        <v>0</v>
      </c>
      <c r="L72" s="595">
        <f>'Прилож 4 24 (8)'!AB62</f>
        <v>0</v>
      </c>
      <c r="M72" s="876">
        <f t="shared" si="14"/>
        <v>0</v>
      </c>
      <c r="N72" s="875"/>
      <c r="O72" s="875"/>
      <c r="P72" s="875"/>
      <c r="Q72" s="877"/>
      <c r="R72" s="875"/>
      <c r="S72" s="875"/>
      <c r="T72" s="875"/>
      <c r="U72" s="876">
        <f t="shared" si="19"/>
        <v>75941.84</v>
      </c>
      <c r="V72" s="875">
        <f t="shared" si="17"/>
        <v>0</v>
      </c>
      <c r="W72" s="875">
        <f t="shared" si="15"/>
        <v>0</v>
      </c>
      <c r="X72" s="875">
        <f t="shared" si="15"/>
        <v>75941.84</v>
      </c>
      <c r="Y72" s="883"/>
      <c r="Z72" s="875">
        <f t="shared" si="16"/>
        <v>0</v>
      </c>
      <c r="AA72" s="875">
        <f t="shared" si="16"/>
        <v>0</v>
      </c>
      <c r="AB72" s="875">
        <f t="shared" si="16"/>
        <v>0</v>
      </c>
      <c r="AC72" s="878"/>
    </row>
    <row r="73" spans="1:29" x14ac:dyDescent="0.2">
      <c r="A73" s="618" t="s">
        <v>1259</v>
      </c>
      <c r="B73" s="619" t="s">
        <v>747</v>
      </c>
      <c r="C73" s="620">
        <v>244</v>
      </c>
      <c r="D73" s="620">
        <v>223</v>
      </c>
      <c r="E73" s="596">
        <f t="shared" si="18"/>
        <v>78343.55</v>
      </c>
      <c r="F73" s="595">
        <f>'Прилож 4 24 (8)'!V63</f>
        <v>0</v>
      </c>
      <c r="G73" s="595">
        <f>'Прилож 4 24 (8)'!W63</f>
        <v>0</v>
      </c>
      <c r="H73" s="595">
        <f>'Прилож 4 24 (8)'!X63</f>
        <v>78343.55</v>
      </c>
      <c r="I73" s="628"/>
      <c r="J73" s="595">
        <f>'Прилож 4 24 (8)'!Z63</f>
        <v>0</v>
      </c>
      <c r="K73" s="595">
        <f>'Прилож 4 24 (8)'!AA63</f>
        <v>0</v>
      </c>
      <c r="L73" s="595">
        <f>'Прилож 4 24 (8)'!AB63</f>
        <v>0</v>
      </c>
      <c r="M73" s="876">
        <f t="shared" si="14"/>
        <v>0</v>
      </c>
      <c r="N73" s="875"/>
      <c r="O73" s="875"/>
      <c r="P73" s="875"/>
      <c r="Q73" s="877"/>
      <c r="R73" s="875"/>
      <c r="S73" s="875"/>
      <c r="T73" s="875"/>
      <c r="U73" s="876">
        <f t="shared" si="19"/>
        <v>78343.55</v>
      </c>
      <c r="V73" s="875">
        <f t="shared" si="17"/>
        <v>0</v>
      </c>
      <c r="W73" s="875">
        <f t="shared" si="15"/>
        <v>0</v>
      </c>
      <c r="X73" s="875">
        <f t="shared" si="15"/>
        <v>78343.55</v>
      </c>
      <c r="Y73" s="883"/>
      <c r="Z73" s="875">
        <f t="shared" si="16"/>
        <v>0</v>
      </c>
      <c r="AA73" s="875">
        <f t="shared" si="16"/>
        <v>0</v>
      </c>
      <c r="AB73" s="875">
        <f t="shared" si="16"/>
        <v>0</v>
      </c>
      <c r="AC73" s="878"/>
    </row>
    <row r="74" spans="1:29" ht="31.5" x14ac:dyDescent="0.2">
      <c r="A74" s="618" t="s">
        <v>1238</v>
      </c>
      <c r="B74" s="619" t="s">
        <v>747</v>
      </c>
      <c r="C74" s="620">
        <v>244</v>
      </c>
      <c r="D74" s="620">
        <v>223</v>
      </c>
      <c r="E74" s="596">
        <f t="shared" si="18"/>
        <v>37970.92</v>
      </c>
      <c r="F74" s="595">
        <f>'Прилож 4 24 (8)'!V64</f>
        <v>0</v>
      </c>
      <c r="G74" s="595">
        <f>'Прилож 4 24 (8)'!W64</f>
        <v>0</v>
      </c>
      <c r="H74" s="595">
        <f>'Прилож 4 24 (8)'!X64</f>
        <v>37970.92</v>
      </c>
      <c r="I74" s="628"/>
      <c r="J74" s="595">
        <f>'Прилож 4 24 (8)'!Z64</f>
        <v>0</v>
      </c>
      <c r="K74" s="595">
        <f>'Прилож 4 24 (8)'!AA64</f>
        <v>0</v>
      </c>
      <c r="L74" s="595">
        <f>'Прилож 4 24 (8)'!AB64</f>
        <v>0</v>
      </c>
      <c r="M74" s="876">
        <f t="shared" si="14"/>
        <v>0</v>
      </c>
      <c r="N74" s="875"/>
      <c r="O74" s="875"/>
      <c r="P74" s="875"/>
      <c r="Q74" s="877"/>
      <c r="R74" s="875"/>
      <c r="S74" s="875"/>
      <c r="T74" s="875"/>
      <c r="U74" s="876">
        <f t="shared" si="19"/>
        <v>37970.92</v>
      </c>
      <c r="V74" s="875">
        <f t="shared" si="17"/>
        <v>0</v>
      </c>
      <c r="W74" s="875">
        <f t="shared" si="15"/>
        <v>0</v>
      </c>
      <c r="X74" s="875">
        <f t="shared" si="15"/>
        <v>37970.92</v>
      </c>
      <c r="Y74" s="883"/>
      <c r="Z74" s="875">
        <f t="shared" si="16"/>
        <v>0</v>
      </c>
      <c r="AA74" s="875">
        <f t="shared" si="16"/>
        <v>0</v>
      </c>
      <c r="AB74" s="875">
        <f t="shared" si="16"/>
        <v>0</v>
      </c>
      <c r="AC74" s="878"/>
    </row>
    <row r="75" spans="1:29" ht="31.5" x14ac:dyDescent="0.2">
      <c r="A75" s="618" t="s">
        <v>1262</v>
      </c>
      <c r="B75" s="619" t="s">
        <v>747</v>
      </c>
      <c r="C75" s="620">
        <v>244</v>
      </c>
      <c r="D75" s="620">
        <v>223</v>
      </c>
      <c r="E75" s="596">
        <f t="shared" si="18"/>
        <v>39171.78</v>
      </c>
      <c r="F75" s="595">
        <f>'Прилож 4 24 (8)'!V65</f>
        <v>0</v>
      </c>
      <c r="G75" s="595">
        <f>'Прилож 4 24 (8)'!W65</f>
        <v>0</v>
      </c>
      <c r="H75" s="595">
        <f>'Прилож 4 24 (8)'!X65</f>
        <v>39171.78</v>
      </c>
      <c r="I75" s="628"/>
      <c r="J75" s="595">
        <f>'Прилож 4 24 (8)'!Z65</f>
        <v>0</v>
      </c>
      <c r="K75" s="595">
        <f>'Прилож 4 24 (8)'!AA65</f>
        <v>0</v>
      </c>
      <c r="L75" s="595">
        <f>'Прилож 4 24 (8)'!AB65</f>
        <v>0</v>
      </c>
      <c r="M75" s="876">
        <f t="shared" si="14"/>
        <v>0</v>
      </c>
      <c r="N75" s="875"/>
      <c r="O75" s="875"/>
      <c r="P75" s="875"/>
      <c r="Q75" s="877"/>
      <c r="R75" s="875"/>
      <c r="S75" s="875"/>
      <c r="T75" s="875"/>
      <c r="U75" s="876">
        <f t="shared" si="19"/>
        <v>39171.78</v>
      </c>
      <c r="V75" s="875">
        <f t="shared" si="17"/>
        <v>0</v>
      </c>
      <c r="W75" s="875">
        <f t="shared" si="15"/>
        <v>0</v>
      </c>
      <c r="X75" s="875">
        <f t="shared" si="15"/>
        <v>39171.78</v>
      </c>
      <c r="Y75" s="883"/>
      <c r="Z75" s="875">
        <f t="shared" si="16"/>
        <v>0</v>
      </c>
      <c r="AA75" s="875">
        <f t="shared" si="16"/>
        <v>0</v>
      </c>
      <c r="AB75" s="875">
        <f t="shared" si="16"/>
        <v>0</v>
      </c>
      <c r="AC75" s="878"/>
    </row>
    <row r="76" spans="1:29" ht="31.5" x14ac:dyDescent="0.2">
      <c r="A76" s="618" t="s">
        <v>1140</v>
      </c>
      <c r="B76" s="619" t="s">
        <v>747</v>
      </c>
      <c r="C76" s="620">
        <v>244</v>
      </c>
      <c r="D76" s="620">
        <v>223</v>
      </c>
      <c r="E76" s="596">
        <f t="shared" si="18"/>
        <v>9612.2000000000007</v>
      </c>
      <c r="F76" s="595">
        <f>'Прилож 4 24 (8)'!V66</f>
        <v>0</v>
      </c>
      <c r="G76" s="595">
        <f>'Прилож 4 24 (8)'!W66</f>
        <v>0</v>
      </c>
      <c r="H76" s="595">
        <f>'Прилож 4 24 (8)'!X66</f>
        <v>9612.2000000000007</v>
      </c>
      <c r="I76" s="628"/>
      <c r="J76" s="595">
        <f>'Прилож 4 24 (8)'!Z66</f>
        <v>0</v>
      </c>
      <c r="K76" s="595">
        <f>'Прилож 4 24 (8)'!AA66</f>
        <v>0</v>
      </c>
      <c r="L76" s="595">
        <f>'Прилож 4 24 (8)'!AB66</f>
        <v>0</v>
      </c>
      <c r="M76" s="876">
        <f t="shared" si="14"/>
        <v>0</v>
      </c>
      <c r="N76" s="875"/>
      <c r="O76" s="875"/>
      <c r="P76" s="875"/>
      <c r="Q76" s="877"/>
      <c r="R76" s="875"/>
      <c r="S76" s="875"/>
      <c r="T76" s="875"/>
      <c r="U76" s="876">
        <f t="shared" si="19"/>
        <v>9612.2000000000007</v>
      </c>
      <c r="V76" s="875">
        <f t="shared" si="17"/>
        <v>0</v>
      </c>
      <c r="W76" s="875">
        <f t="shared" si="15"/>
        <v>0</v>
      </c>
      <c r="X76" s="875">
        <f t="shared" si="15"/>
        <v>9612.2000000000007</v>
      </c>
      <c r="Y76" s="883"/>
      <c r="Z76" s="875">
        <f t="shared" si="16"/>
        <v>0</v>
      </c>
      <c r="AA76" s="875">
        <f t="shared" si="16"/>
        <v>0</v>
      </c>
      <c r="AB76" s="875">
        <f t="shared" si="16"/>
        <v>0</v>
      </c>
      <c r="AC76" s="878"/>
    </row>
    <row r="77" spans="1:29" ht="48.75" customHeight="1" x14ac:dyDescent="0.2">
      <c r="A77" s="618" t="s">
        <v>1141</v>
      </c>
      <c r="B77" s="619" t="s">
        <v>747</v>
      </c>
      <c r="C77" s="620">
        <v>244</v>
      </c>
      <c r="D77" s="620">
        <v>223</v>
      </c>
      <c r="E77" s="596">
        <f t="shared" si="18"/>
        <v>9008.24</v>
      </c>
      <c r="F77" s="595">
        <f>'Прилож 4 24 (8)'!V67</f>
        <v>0</v>
      </c>
      <c r="G77" s="595">
        <f>'Прилож 4 24 (8)'!W67</f>
        <v>0</v>
      </c>
      <c r="H77" s="595">
        <f>'Прилож 4 24 (8)'!X67</f>
        <v>9008.24</v>
      </c>
      <c r="I77" s="628"/>
      <c r="J77" s="595">
        <f>'Прилож 4 24 (8)'!Z67</f>
        <v>0</v>
      </c>
      <c r="K77" s="595">
        <f>'Прилож 4 24 (8)'!AA67</f>
        <v>0</v>
      </c>
      <c r="L77" s="595">
        <f>'Прилож 4 24 (8)'!AB67</f>
        <v>0</v>
      </c>
      <c r="M77" s="876">
        <f t="shared" si="14"/>
        <v>0</v>
      </c>
      <c r="N77" s="875"/>
      <c r="O77" s="875"/>
      <c r="P77" s="875"/>
      <c r="Q77" s="877"/>
      <c r="R77" s="875"/>
      <c r="S77" s="875"/>
      <c r="T77" s="875"/>
      <c r="U77" s="876">
        <f t="shared" si="19"/>
        <v>9008.24</v>
      </c>
      <c r="V77" s="875">
        <f t="shared" si="17"/>
        <v>0</v>
      </c>
      <c r="W77" s="875">
        <f t="shared" si="15"/>
        <v>0</v>
      </c>
      <c r="X77" s="875">
        <f t="shared" si="15"/>
        <v>9008.24</v>
      </c>
      <c r="Y77" s="883"/>
      <c r="Z77" s="875">
        <f t="shared" si="16"/>
        <v>0</v>
      </c>
      <c r="AA77" s="875">
        <f t="shared" si="16"/>
        <v>0</v>
      </c>
      <c r="AB77" s="875">
        <f t="shared" si="16"/>
        <v>0</v>
      </c>
      <c r="AC77" s="878"/>
    </row>
    <row r="78" spans="1:29" ht="36" customHeight="1" x14ac:dyDescent="0.2">
      <c r="A78" s="618" t="s">
        <v>130</v>
      </c>
      <c r="B78" s="619" t="s">
        <v>747</v>
      </c>
      <c r="C78" s="620">
        <v>244</v>
      </c>
      <c r="D78" s="620">
        <v>223</v>
      </c>
      <c r="E78" s="596">
        <f t="shared" si="18"/>
        <v>50838.7</v>
      </c>
      <c r="F78" s="595">
        <f>'Прилож 4 24 (8)'!V68</f>
        <v>0</v>
      </c>
      <c r="G78" s="595">
        <f>'Прилож 4 24 (8)'!W68</f>
        <v>0</v>
      </c>
      <c r="H78" s="595">
        <f>'Прилож 4 24 (8)'!X68</f>
        <v>50838.7</v>
      </c>
      <c r="I78" s="628"/>
      <c r="J78" s="595">
        <f>'Прилож 4 24 (8)'!Z68</f>
        <v>0</v>
      </c>
      <c r="K78" s="595">
        <f>'Прилож 4 24 (8)'!AA68</f>
        <v>0</v>
      </c>
      <c r="L78" s="595">
        <f>'Прилож 4 24 (8)'!AB68</f>
        <v>0</v>
      </c>
      <c r="M78" s="876">
        <f t="shared" si="14"/>
        <v>0</v>
      </c>
      <c r="N78" s="875"/>
      <c r="O78" s="875"/>
      <c r="P78" s="875"/>
      <c r="Q78" s="877"/>
      <c r="R78" s="875"/>
      <c r="S78" s="875"/>
      <c r="T78" s="875"/>
      <c r="U78" s="876">
        <f t="shared" si="19"/>
        <v>50838.7</v>
      </c>
      <c r="V78" s="875">
        <f t="shared" si="17"/>
        <v>0</v>
      </c>
      <c r="W78" s="875">
        <f t="shared" si="15"/>
        <v>0</v>
      </c>
      <c r="X78" s="875">
        <f t="shared" si="15"/>
        <v>50838.7</v>
      </c>
      <c r="Y78" s="883"/>
      <c r="Z78" s="875">
        <f t="shared" si="16"/>
        <v>0</v>
      </c>
      <c r="AA78" s="875">
        <f t="shared" si="16"/>
        <v>0</v>
      </c>
      <c r="AB78" s="875">
        <f t="shared" si="16"/>
        <v>0</v>
      </c>
      <c r="AC78" s="878"/>
    </row>
    <row r="79" spans="1:29" s="637" customFormat="1" ht="16.5" customHeight="1" x14ac:dyDescent="0.2">
      <c r="A79" s="632" t="s">
        <v>1143</v>
      </c>
      <c r="B79" s="633" t="s">
        <v>747</v>
      </c>
      <c r="C79" s="634">
        <v>244</v>
      </c>
      <c r="D79" s="634">
        <v>223</v>
      </c>
      <c r="E79" s="596">
        <f t="shared" si="18"/>
        <v>371637.53</v>
      </c>
      <c r="F79" s="595">
        <f>'Прилож 4 24 (8)'!V69</f>
        <v>0</v>
      </c>
      <c r="G79" s="595">
        <f>'Прилож 4 24 (8)'!W69</f>
        <v>0</v>
      </c>
      <c r="H79" s="595">
        <f>'Прилож 4 24 (8)'!X69</f>
        <v>371637.53</v>
      </c>
      <c r="I79" s="639"/>
      <c r="J79" s="595">
        <f>'Прилож 4 24 (8)'!Z69</f>
        <v>0</v>
      </c>
      <c r="K79" s="595">
        <f>'Прилож 4 24 (8)'!AA69</f>
        <v>0</v>
      </c>
      <c r="L79" s="595">
        <f>'Прилож 4 24 (8)'!AB69</f>
        <v>0</v>
      </c>
      <c r="M79" s="876">
        <f t="shared" si="14"/>
        <v>0</v>
      </c>
      <c r="N79" s="887"/>
      <c r="O79" s="887"/>
      <c r="P79" s="887"/>
      <c r="Q79" s="888"/>
      <c r="R79" s="887"/>
      <c r="S79" s="887"/>
      <c r="T79" s="887"/>
      <c r="U79" s="876">
        <f t="shared" si="19"/>
        <v>371637.53</v>
      </c>
      <c r="V79" s="875">
        <f t="shared" si="17"/>
        <v>0</v>
      </c>
      <c r="W79" s="875">
        <f t="shared" si="15"/>
        <v>0</v>
      </c>
      <c r="X79" s="875">
        <f t="shared" si="15"/>
        <v>371637.53</v>
      </c>
      <c r="Y79" s="889"/>
      <c r="Z79" s="875">
        <f t="shared" si="16"/>
        <v>0</v>
      </c>
      <c r="AA79" s="875">
        <f t="shared" si="16"/>
        <v>0</v>
      </c>
      <c r="AB79" s="875">
        <f t="shared" si="16"/>
        <v>0</v>
      </c>
      <c r="AC79" s="886"/>
    </row>
    <row r="80" spans="1:29" x14ac:dyDescent="0.2">
      <c r="A80" s="618" t="s">
        <v>126</v>
      </c>
      <c r="B80" s="619" t="s">
        <v>729</v>
      </c>
      <c r="C80" s="620">
        <v>244</v>
      </c>
      <c r="D80" s="620">
        <v>223</v>
      </c>
      <c r="E80" s="596">
        <f t="shared" si="18"/>
        <v>17818.059999999998</v>
      </c>
      <c r="F80" s="595">
        <f>'Прилож 4 24 (8)'!V70</f>
        <v>0</v>
      </c>
      <c r="G80" s="595">
        <f>'Прилож 4 24 (8)'!W70</f>
        <v>0</v>
      </c>
      <c r="H80" s="595">
        <f>'Прилож 4 24 (8)'!X70</f>
        <v>9511.2999999999993</v>
      </c>
      <c r="I80" s="628"/>
      <c r="J80" s="595">
        <f>'Прилож 4 24 (8)'!Z70</f>
        <v>0</v>
      </c>
      <c r="K80" s="595">
        <f>'Прилож 4 24 (8)'!AA70</f>
        <v>0</v>
      </c>
      <c r="L80" s="595">
        <f>'Прилож 4 24 (8)'!AB70</f>
        <v>8306.76</v>
      </c>
      <c r="M80" s="876">
        <f t="shared" si="14"/>
        <v>0</v>
      </c>
      <c r="N80" s="875"/>
      <c r="O80" s="875"/>
      <c r="P80" s="875"/>
      <c r="Q80" s="877"/>
      <c r="R80" s="875"/>
      <c r="S80" s="875"/>
      <c r="T80" s="875"/>
      <c r="U80" s="876">
        <f t="shared" si="19"/>
        <v>17818.059999999998</v>
      </c>
      <c r="V80" s="875">
        <f t="shared" si="17"/>
        <v>0</v>
      </c>
      <c r="W80" s="875">
        <f t="shared" si="15"/>
        <v>0</v>
      </c>
      <c r="X80" s="875">
        <f t="shared" si="15"/>
        <v>9511.2999999999993</v>
      </c>
      <c r="Y80" s="883"/>
      <c r="Z80" s="875">
        <f t="shared" si="16"/>
        <v>0</v>
      </c>
      <c r="AA80" s="875">
        <f t="shared" si="16"/>
        <v>0</v>
      </c>
      <c r="AB80" s="875">
        <f t="shared" si="16"/>
        <v>8306.76</v>
      </c>
      <c r="AC80" s="878"/>
    </row>
    <row r="81" spans="1:29" x14ac:dyDescent="0.2">
      <c r="A81" s="618" t="s">
        <v>127</v>
      </c>
      <c r="B81" s="619" t="s">
        <v>729</v>
      </c>
      <c r="C81" s="620">
        <v>244</v>
      </c>
      <c r="D81" s="620">
        <v>223</v>
      </c>
      <c r="E81" s="596">
        <f t="shared" si="18"/>
        <v>10576.599999999999</v>
      </c>
      <c r="F81" s="595">
        <f>'Прилож 4 24 (8)'!V71</f>
        <v>0</v>
      </c>
      <c r="G81" s="595">
        <f>'Прилож 4 24 (8)'!W71</f>
        <v>0</v>
      </c>
      <c r="H81" s="595">
        <f>'Прилож 4 24 (8)'!X71</f>
        <v>4191.91</v>
      </c>
      <c r="I81" s="628"/>
      <c r="J81" s="595">
        <f>'Прилож 4 24 (8)'!Z71</f>
        <v>0</v>
      </c>
      <c r="K81" s="595">
        <f>'Прилож 4 24 (8)'!AA71</f>
        <v>0</v>
      </c>
      <c r="L81" s="595">
        <f>'Прилож 4 24 (8)'!AB71</f>
        <v>6384.69</v>
      </c>
      <c r="M81" s="876">
        <f t="shared" si="14"/>
        <v>389.85</v>
      </c>
      <c r="N81" s="875"/>
      <c r="O81" s="875"/>
      <c r="P81" s="875"/>
      <c r="Q81" s="877"/>
      <c r="R81" s="875"/>
      <c r="S81" s="875"/>
      <c r="T81" s="875">
        <f>167.08+222.77</f>
        <v>389.85</v>
      </c>
      <c r="U81" s="876">
        <f t="shared" si="19"/>
        <v>10966.449999999999</v>
      </c>
      <c r="V81" s="875">
        <f t="shared" si="17"/>
        <v>0</v>
      </c>
      <c r="W81" s="875">
        <f t="shared" si="15"/>
        <v>0</v>
      </c>
      <c r="X81" s="875">
        <f t="shared" si="15"/>
        <v>4191.91</v>
      </c>
      <c r="Y81" s="883"/>
      <c r="Z81" s="875">
        <f t="shared" si="16"/>
        <v>0</v>
      </c>
      <c r="AA81" s="875">
        <f t="shared" si="16"/>
        <v>0</v>
      </c>
      <c r="AB81" s="875">
        <f t="shared" si="16"/>
        <v>6774.54</v>
      </c>
      <c r="AC81" s="878" t="s">
        <v>1349</v>
      </c>
    </row>
    <row r="82" spans="1:29" x14ac:dyDescent="0.2">
      <c r="A82" s="618" t="s">
        <v>128</v>
      </c>
      <c r="B82" s="619" t="s">
        <v>729</v>
      </c>
      <c r="C82" s="620">
        <v>244</v>
      </c>
      <c r="D82" s="620">
        <v>223</v>
      </c>
      <c r="E82" s="596">
        <f t="shared" si="18"/>
        <v>36541.259999999995</v>
      </c>
      <c r="F82" s="595">
        <f>'Прилож 4 24 (8)'!V72</f>
        <v>0</v>
      </c>
      <c r="G82" s="595">
        <f>'Прилож 4 24 (8)'!W72</f>
        <v>0</v>
      </c>
      <c r="H82" s="595">
        <f>'Прилож 4 24 (8)'!X72</f>
        <v>19267.8</v>
      </c>
      <c r="I82" s="628"/>
      <c r="J82" s="595">
        <f>'Прилож 4 24 (8)'!Z72</f>
        <v>0</v>
      </c>
      <c r="K82" s="595">
        <f>'Прилож 4 24 (8)'!AA72</f>
        <v>0</v>
      </c>
      <c r="L82" s="595">
        <f>'Прилож 4 24 (8)'!AB72</f>
        <v>17273.46</v>
      </c>
      <c r="M82" s="876">
        <f t="shared" si="14"/>
        <v>0</v>
      </c>
      <c r="N82" s="875"/>
      <c r="O82" s="875"/>
      <c r="P82" s="875"/>
      <c r="Q82" s="877"/>
      <c r="R82" s="875"/>
      <c r="S82" s="875"/>
      <c r="T82" s="875"/>
      <c r="U82" s="876">
        <f t="shared" si="19"/>
        <v>36541.259999999995</v>
      </c>
      <c r="V82" s="875">
        <f t="shared" si="17"/>
        <v>0</v>
      </c>
      <c r="W82" s="875">
        <f t="shared" si="15"/>
        <v>0</v>
      </c>
      <c r="X82" s="875">
        <f t="shared" si="15"/>
        <v>19267.8</v>
      </c>
      <c r="Y82" s="883"/>
      <c r="Z82" s="875">
        <f t="shared" si="16"/>
        <v>0</v>
      </c>
      <c r="AA82" s="875">
        <f t="shared" si="16"/>
        <v>0</v>
      </c>
      <c r="AB82" s="875">
        <f t="shared" si="16"/>
        <v>17273.46</v>
      </c>
      <c r="AC82" s="878"/>
    </row>
    <row r="83" spans="1:29" x14ac:dyDescent="0.2">
      <c r="A83" s="618" t="s">
        <v>129</v>
      </c>
      <c r="B83" s="619" t="s">
        <v>729</v>
      </c>
      <c r="C83" s="620">
        <v>244</v>
      </c>
      <c r="D83" s="620">
        <v>223</v>
      </c>
      <c r="E83" s="596">
        <f t="shared" si="18"/>
        <v>26001.4</v>
      </c>
      <c r="F83" s="595">
        <f>'Прилож 4 24 (8)'!V73</f>
        <v>0</v>
      </c>
      <c r="G83" s="595">
        <f>'Прилож 4 24 (8)'!W73</f>
        <v>0</v>
      </c>
      <c r="H83" s="595">
        <f>'Прилож 4 24 (8)'!X73</f>
        <v>12829.48</v>
      </c>
      <c r="I83" s="628"/>
      <c r="J83" s="595">
        <f>'Прилож 4 24 (8)'!Z73</f>
        <v>0</v>
      </c>
      <c r="K83" s="595">
        <f>'Прилож 4 24 (8)'!AA73</f>
        <v>0</v>
      </c>
      <c r="L83" s="595">
        <f>'Прилож 4 24 (8)'!AB73</f>
        <v>13171.92</v>
      </c>
      <c r="M83" s="876">
        <f t="shared" si="14"/>
        <v>465.34000000000003</v>
      </c>
      <c r="N83" s="875"/>
      <c r="O83" s="875"/>
      <c r="P83" s="875"/>
      <c r="Q83" s="877"/>
      <c r="R83" s="875"/>
      <c r="S83" s="875"/>
      <c r="T83" s="875">
        <f>199.43+265.91</f>
        <v>465.34000000000003</v>
      </c>
      <c r="U83" s="876">
        <f t="shared" si="19"/>
        <v>26466.74</v>
      </c>
      <c r="V83" s="875">
        <f t="shared" si="17"/>
        <v>0</v>
      </c>
      <c r="W83" s="875">
        <f t="shared" si="15"/>
        <v>0</v>
      </c>
      <c r="X83" s="875">
        <f t="shared" si="15"/>
        <v>12829.48</v>
      </c>
      <c r="Y83" s="883"/>
      <c r="Z83" s="875">
        <f t="shared" si="16"/>
        <v>0</v>
      </c>
      <c r="AA83" s="875">
        <f t="shared" si="16"/>
        <v>0</v>
      </c>
      <c r="AB83" s="875">
        <f t="shared" si="16"/>
        <v>13637.26</v>
      </c>
      <c r="AC83" s="878" t="s">
        <v>1349</v>
      </c>
    </row>
    <row r="84" spans="1:29" ht="31.5" x14ac:dyDescent="0.2">
      <c r="A84" s="618" t="s">
        <v>1238</v>
      </c>
      <c r="B84" s="619" t="s">
        <v>729</v>
      </c>
      <c r="C84" s="620">
        <v>244</v>
      </c>
      <c r="D84" s="620">
        <v>223</v>
      </c>
      <c r="E84" s="596">
        <f t="shared" si="18"/>
        <v>18270.629999999997</v>
      </c>
      <c r="F84" s="595">
        <f>'Прилож 4 24 (8)'!V74</f>
        <v>0</v>
      </c>
      <c r="G84" s="595">
        <f>'Прилож 4 24 (8)'!W74</f>
        <v>0</v>
      </c>
      <c r="H84" s="595">
        <f>'Прилож 4 24 (8)'!X74</f>
        <v>9633.9</v>
      </c>
      <c r="I84" s="628"/>
      <c r="J84" s="595">
        <f>'Прилож 4 24 (8)'!Z74</f>
        <v>0</v>
      </c>
      <c r="K84" s="595">
        <f>'Прилож 4 24 (8)'!AA74</f>
        <v>0</v>
      </c>
      <c r="L84" s="595">
        <f>'Прилож 4 24 (8)'!AB74</f>
        <v>8636.73</v>
      </c>
      <c r="M84" s="876">
        <f t="shared" si="14"/>
        <v>0</v>
      </c>
      <c r="N84" s="875"/>
      <c r="O84" s="875"/>
      <c r="P84" s="875"/>
      <c r="Q84" s="877"/>
      <c r="R84" s="875"/>
      <c r="S84" s="875"/>
      <c r="T84" s="875"/>
      <c r="U84" s="876">
        <f t="shared" si="19"/>
        <v>18270.629999999997</v>
      </c>
      <c r="V84" s="875">
        <f t="shared" si="17"/>
        <v>0</v>
      </c>
      <c r="W84" s="875">
        <f t="shared" ref="W84:X115" si="20">O84+G84</f>
        <v>0</v>
      </c>
      <c r="X84" s="875">
        <f t="shared" si="20"/>
        <v>9633.9</v>
      </c>
      <c r="Y84" s="883"/>
      <c r="Z84" s="875">
        <f t="shared" ref="Z84:AB115" si="21">R84+J84</f>
        <v>0</v>
      </c>
      <c r="AA84" s="875">
        <f t="shared" si="21"/>
        <v>0</v>
      </c>
      <c r="AB84" s="875">
        <f t="shared" si="21"/>
        <v>8636.73</v>
      </c>
      <c r="AC84" s="878"/>
    </row>
    <row r="85" spans="1:29" ht="31.5" x14ac:dyDescent="0.2">
      <c r="A85" s="618" t="s">
        <v>1239</v>
      </c>
      <c r="B85" s="619" t="s">
        <v>729</v>
      </c>
      <c r="C85" s="620">
        <v>244</v>
      </c>
      <c r="D85" s="620">
        <v>223</v>
      </c>
      <c r="E85" s="596">
        <f t="shared" si="18"/>
        <v>13000.7</v>
      </c>
      <c r="F85" s="595">
        <f>'Прилож 4 24 (8)'!V75</f>
        <v>0</v>
      </c>
      <c r="G85" s="595">
        <f>'Прилож 4 24 (8)'!W75</f>
        <v>0</v>
      </c>
      <c r="H85" s="595">
        <f>'Прилож 4 24 (8)'!X75</f>
        <v>6414.74</v>
      </c>
      <c r="I85" s="628"/>
      <c r="J85" s="595">
        <f>'Прилож 4 24 (8)'!Z75</f>
        <v>0</v>
      </c>
      <c r="K85" s="595">
        <f>'Прилож 4 24 (8)'!AA75</f>
        <v>0</v>
      </c>
      <c r="L85" s="595">
        <f>'Прилож 4 24 (8)'!AB75</f>
        <v>6585.96</v>
      </c>
      <c r="M85" s="876">
        <f t="shared" si="14"/>
        <v>232.67</v>
      </c>
      <c r="N85" s="875"/>
      <c r="O85" s="875"/>
      <c r="P85" s="875"/>
      <c r="Q85" s="877"/>
      <c r="R85" s="875"/>
      <c r="S85" s="875"/>
      <c r="T85" s="875">
        <v>232.67</v>
      </c>
      <c r="U85" s="876">
        <f t="shared" si="19"/>
        <v>13233.37</v>
      </c>
      <c r="V85" s="875">
        <f t="shared" si="17"/>
        <v>0</v>
      </c>
      <c r="W85" s="875">
        <f t="shared" si="20"/>
        <v>0</v>
      </c>
      <c r="X85" s="875">
        <f t="shared" si="20"/>
        <v>6414.74</v>
      </c>
      <c r="Y85" s="883"/>
      <c r="Z85" s="875">
        <f t="shared" si="21"/>
        <v>0</v>
      </c>
      <c r="AA85" s="875">
        <f t="shared" si="21"/>
        <v>0</v>
      </c>
      <c r="AB85" s="875">
        <f t="shared" si="21"/>
        <v>6818.63</v>
      </c>
      <c r="AC85" s="878" t="s">
        <v>1349</v>
      </c>
    </row>
    <row r="86" spans="1:29" ht="31.5" x14ac:dyDescent="0.2">
      <c r="A86" s="618" t="s">
        <v>1140</v>
      </c>
      <c r="B86" s="619" t="s">
        <v>729</v>
      </c>
      <c r="C86" s="620">
        <v>244</v>
      </c>
      <c r="D86" s="620">
        <v>223</v>
      </c>
      <c r="E86" s="596">
        <f t="shared" si="18"/>
        <v>30788.12</v>
      </c>
      <c r="F86" s="595">
        <f>'Прилож 4 24 (8)'!V76</f>
        <v>0</v>
      </c>
      <c r="G86" s="595">
        <f>'Прилож 4 24 (8)'!W76</f>
        <v>0</v>
      </c>
      <c r="H86" s="595">
        <f>'Прилож 4 24 (8)'!X76</f>
        <v>30788.12</v>
      </c>
      <c r="I86" s="628"/>
      <c r="J86" s="595">
        <f>'Прилож 4 24 (8)'!Z76</f>
        <v>0</v>
      </c>
      <c r="K86" s="595">
        <f>'Прилож 4 24 (8)'!AA76</f>
        <v>0</v>
      </c>
      <c r="L86" s="595">
        <f>'Прилож 4 24 (8)'!AB76</f>
        <v>0</v>
      </c>
      <c r="M86" s="876">
        <f t="shared" si="14"/>
        <v>0</v>
      </c>
      <c r="N86" s="875"/>
      <c r="O86" s="875"/>
      <c r="P86" s="875"/>
      <c r="Q86" s="877"/>
      <c r="R86" s="875"/>
      <c r="S86" s="875"/>
      <c r="T86" s="875"/>
      <c r="U86" s="876">
        <f t="shared" si="19"/>
        <v>30788.12</v>
      </c>
      <c r="V86" s="875">
        <f t="shared" si="17"/>
        <v>0</v>
      </c>
      <c r="W86" s="875">
        <f t="shared" si="20"/>
        <v>0</v>
      </c>
      <c r="X86" s="875">
        <f t="shared" si="20"/>
        <v>30788.12</v>
      </c>
      <c r="Y86" s="883"/>
      <c r="Z86" s="875">
        <f t="shared" si="21"/>
        <v>0</v>
      </c>
      <c r="AA86" s="875">
        <f t="shared" si="21"/>
        <v>0</v>
      </c>
      <c r="AB86" s="875">
        <f t="shared" si="21"/>
        <v>0</v>
      </c>
      <c r="AC86" s="878"/>
    </row>
    <row r="87" spans="1:29" ht="31.5" x14ac:dyDescent="0.2">
      <c r="A87" s="618" t="s">
        <v>1141</v>
      </c>
      <c r="B87" s="619" t="s">
        <v>729</v>
      </c>
      <c r="C87" s="620">
        <v>244</v>
      </c>
      <c r="D87" s="620">
        <v>223</v>
      </c>
      <c r="E87" s="596">
        <f t="shared" si="18"/>
        <v>28826.37</v>
      </c>
      <c r="F87" s="595">
        <f>'Прилож 4 24 (8)'!V77</f>
        <v>0</v>
      </c>
      <c r="G87" s="595">
        <f>'Прилож 4 24 (8)'!W77</f>
        <v>0</v>
      </c>
      <c r="H87" s="595">
        <f>'Прилож 4 24 (8)'!X77</f>
        <v>28826.37</v>
      </c>
      <c r="I87" s="628"/>
      <c r="J87" s="595">
        <f>'Прилож 4 24 (8)'!Z77</f>
        <v>0</v>
      </c>
      <c r="K87" s="595">
        <f>'Прилож 4 24 (8)'!AA77</f>
        <v>0</v>
      </c>
      <c r="L87" s="595">
        <f>'Прилож 4 24 (8)'!AB77</f>
        <v>0</v>
      </c>
      <c r="M87" s="876">
        <f t="shared" si="14"/>
        <v>0</v>
      </c>
      <c r="N87" s="875"/>
      <c r="O87" s="875"/>
      <c r="P87" s="875"/>
      <c r="Q87" s="877"/>
      <c r="R87" s="875"/>
      <c r="S87" s="875"/>
      <c r="T87" s="875"/>
      <c r="U87" s="876">
        <f t="shared" si="19"/>
        <v>28826.37</v>
      </c>
      <c r="V87" s="875">
        <f t="shared" si="17"/>
        <v>0</v>
      </c>
      <c r="W87" s="875">
        <f t="shared" si="20"/>
        <v>0</v>
      </c>
      <c r="X87" s="875">
        <f t="shared" si="20"/>
        <v>28826.37</v>
      </c>
      <c r="Y87" s="883"/>
      <c r="Z87" s="875">
        <f t="shared" si="21"/>
        <v>0</v>
      </c>
      <c r="AA87" s="875">
        <f t="shared" si="21"/>
        <v>0</v>
      </c>
      <c r="AB87" s="875">
        <f t="shared" si="21"/>
        <v>0</v>
      </c>
      <c r="AC87" s="878"/>
    </row>
    <row r="88" spans="1:29" ht="27" customHeight="1" x14ac:dyDescent="0.2">
      <c r="A88" s="618" t="s">
        <v>130</v>
      </c>
      <c r="B88" s="619" t="s">
        <v>729</v>
      </c>
      <c r="C88" s="620">
        <v>244</v>
      </c>
      <c r="D88" s="620">
        <v>223</v>
      </c>
      <c r="E88" s="596">
        <f t="shared" si="18"/>
        <v>63300</v>
      </c>
      <c r="F88" s="595">
        <f>'Прилож 4 24 (8)'!V78</f>
        <v>0</v>
      </c>
      <c r="G88" s="595">
        <f>'Прилож 4 24 (8)'!W78</f>
        <v>0</v>
      </c>
      <c r="H88" s="595">
        <f>'Прилож 4 24 (8)'!X78</f>
        <v>63300</v>
      </c>
      <c r="I88" s="628"/>
      <c r="J88" s="595">
        <f>'Прилож 4 24 (8)'!Z78</f>
        <v>0</v>
      </c>
      <c r="K88" s="595">
        <f>'Прилож 4 24 (8)'!AA78</f>
        <v>0</v>
      </c>
      <c r="L88" s="595">
        <f>'Прилож 4 24 (8)'!AB78</f>
        <v>0</v>
      </c>
      <c r="M88" s="876">
        <f t="shared" si="14"/>
        <v>0</v>
      </c>
      <c r="N88" s="875"/>
      <c r="O88" s="875"/>
      <c r="P88" s="875"/>
      <c r="Q88" s="877"/>
      <c r="R88" s="875"/>
      <c r="S88" s="875"/>
      <c r="T88" s="875"/>
      <c r="U88" s="876">
        <f t="shared" si="19"/>
        <v>63300</v>
      </c>
      <c r="V88" s="875">
        <f t="shared" si="17"/>
        <v>0</v>
      </c>
      <c r="W88" s="875">
        <f t="shared" si="20"/>
        <v>0</v>
      </c>
      <c r="X88" s="875">
        <f t="shared" si="20"/>
        <v>63300</v>
      </c>
      <c r="Y88" s="883"/>
      <c r="Z88" s="875">
        <f t="shared" si="21"/>
        <v>0</v>
      </c>
      <c r="AA88" s="875">
        <f t="shared" si="21"/>
        <v>0</v>
      </c>
      <c r="AB88" s="875">
        <f t="shared" si="21"/>
        <v>0</v>
      </c>
      <c r="AC88" s="878"/>
    </row>
    <row r="89" spans="1:29" s="637" customFormat="1" ht="35.25" customHeight="1" x14ac:dyDescent="0.2">
      <c r="A89" s="1046" t="s">
        <v>1143</v>
      </c>
      <c r="B89" s="1047" t="s">
        <v>729</v>
      </c>
      <c r="C89" s="1048">
        <v>244</v>
      </c>
      <c r="D89" s="1048">
        <v>223</v>
      </c>
      <c r="E89" s="596">
        <f t="shared" si="18"/>
        <v>245123.13999999998</v>
      </c>
      <c r="F89" s="595">
        <f>'Прилож 4 24 (8)'!V79</f>
        <v>0</v>
      </c>
      <c r="G89" s="595">
        <f>'Прилож 4 24 (8)'!W79</f>
        <v>0</v>
      </c>
      <c r="H89" s="595">
        <f>'Прилож 4 24 (8)'!X79</f>
        <v>184763.62</v>
      </c>
      <c r="I89" s="635"/>
      <c r="J89" s="595">
        <f>'Прилож 4 24 (8)'!Z79</f>
        <v>0</v>
      </c>
      <c r="K89" s="595">
        <f>'Прилож 4 24 (8)'!AA79</f>
        <v>0</v>
      </c>
      <c r="L89" s="595">
        <f>'Прилож 4 24 (8)'!AB79</f>
        <v>60359.519999999997</v>
      </c>
      <c r="M89" s="876">
        <f t="shared" si="14"/>
        <v>1087.8600000000001</v>
      </c>
      <c r="N89" s="884"/>
      <c r="O89" s="884"/>
      <c r="P89" s="884"/>
      <c r="Q89" s="885"/>
      <c r="R89" s="884"/>
      <c r="S89" s="884"/>
      <c r="T89" s="884">
        <f>SUM(T80:T88)</f>
        <v>1087.8600000000001</v>
      </c>
      <c r="U89" s="876">
        <f t="shared" si="19"/>
        <v>246210.99999999997</v>
      </c>
      <c r="V89" s="876">
        <f t="shared" si="17"/>
        <v>0</v>
      </c>
      <c r="W89" s="876">
        <f t="shared" si="20"/>
        <v>0</v>
      </c>
      <c r="X89" s="876">
        <f t="shared" si="20"/>
        <v>184763.62</v>
      </c>
      <c r="Y89" s="885"/>
      <c r="Z89" s="876">
        <f t="shared" si="21"/>
        <v>0</v>
      </c>
      <c r="AA89" s="876">
        <f t="shared" si="21"/>
        <v>0</v>
      </c>
      <c r="AB89" s="876">
        <f t="shared" si="21"/>
        <v>61447.38</v>
      </c>
      <c r="AC89" s="878"/>
    </row>
    <row r="90" spans="1:29" s="614" customFormat="1" x14ac:dyDescent="0.2">
      <c r="A90" s="630" t="s">
        <v>736</v>
      </c>
      <c r="B90" s="631"/>
      <c r="C90" s="624"/>
      <c r="D90" s="624"/>
      <c r="E90" s="596">
        <f t="shared" si="18"/>
        <v>616760.67000000004</v>
      </c>
      <c r="F90" s="595">
        <f>'Прилож 4 24 (8)'!V80</f>
        <v>0</v>
      </c>
      <c r="G90" s="595">
        <f>'Прилож 4 24 (8)'!W80</f>
        <v>0</v>
      </c>
      <c r="H90" s="595">
        <f>'Прилож 4 24 (8)'!X80</f>
        <v>556401.15</v>
      </c>
      <c r="I90" s="626"/>
      <c r="J90" s="595">
        <f>'Прилож 4 24 (8)'!Z80</f>
        <v>0</v>
      </c>
      <c r="K90" s="595">
        <f>'Прилож 4 24 (8)'!AA80</f>
        <v>0</v>
      </c>
      <c r="L90" s="595">
        <f>'Прилож 4 24 (8)'!AB80</f>
        <v>60359.519999999997</v>
      </c>
      <c r="M90" s="876">
        <f t="shared" si="14"/>
        <v>1087.8600000000001</v>
      </c>
      <c r="N90" s="876"/>
      <c r="O90" s="876"/>
      <c r="P90" s="876"/>
      <c r="Q90" s="881"/>
      <c r="R90" s="876"/>
      <c r="S90" s="876"/>
      <c r="T90" s="876">
        <f>T79+T89</f>
        <v>1087.8600000000001</v>
      </c>
      <c r="U90" s="876">
        <f t="shared" si="19"/>
        <v>617848.53</v>
      </c>
      <c r="V90" s="875">
        <f t="shared" si="17"/>
        <v>0</v>
      </c>
      <c r="W90" s="875">
        <f t="shared" si="20"/>
        <v>0</v>
      </c>
      <c r="X90" s="875">
        <f t="shared" si="20"/>
        <v>556401.15</v>
      </c>
      <c r="Y90" s="881"/>
      <c r="Z90" s="875">
        <f t="shared" si="21"/>
        <v>0</v>
      </c>
      <c r="AA90" s="875">
        <f t="shared" si="21"/>
        <v>0</v>
      </c>
      <c r="AB90" s="875">
        <f t="shared" si="21"/>
        <v>61447.38</v>
      </c>
      <c r="AC90" s="878"/>
    </row>
    <row r="91" spans="1:29" x14ac:dyDescent="0.2">
      <c r="A91" s="618" t="s">
        <v>131</v>
      </c>
      <c r="B91" s="619" t="s">
        <v>747</v>
      </c>
      <c r="C91" s="620">
        <v>247</v>
      </c>
      <c r="D91" s="620">
        <v>223</v>
      </c>
      <c r="E91" s="596">
        <f t="shared" si="18"/>
        <v>546600</v>
      </c>
      <c r="F91" s="595">
        <f>'Прилож 4 24 (8)'!V81</f>
        <v>0</v>
      </c>
      <c r="G91" s="595">
        <f>'Прилож 4 24 (8)'!W81</f>
        <v>0</v>
      </c>
      <c r="H91" s="595">
        <f>'Прилож 4 24 (8)'!X81</f>
        <v>546600</v>
      </c>
      <c r="I91" s="621"/>
      <c r="J91" s="595">
        <f>'Прилож 4 24 (8)'!Z81</f>
        <v>0</v>
      </c>
      <c r="K91" s="595">
        <f>'Прилож 4 24 (8)'!AA81</f>
        <v>0</v>
      </c>
      <c r="L91" s="595">
        <f>'Прилож 4 24 (8)'!AB81</f>
        <v>0</v>
      </c>
      <c r="M91" s="876">
        <f t="shared" si="14"/>
        <v>0</v>
      </c>
      <c r="N91" s="875"/>
      <c r="O91" s="875"/>
      <c r="P91" s="875"/>
      <c r="Q91" s="877"/>
      <c r="R91" s="875"/>
      <c r="S91" s="875"/>
      <c r="T91" s="875"/>
      <c r="U91" s="876">
        <f t="shared" si="19"/>
        <v>546600</v>
      </c>
      <c r="V91" s="875">
        <f t="shared" si="17"/>
        <v>0</v>
      </c>
      <c r="W91" s="875">
        <f t="shared" si="20"/>
        <v>0</v>
      </c>
      <c r="X91" s="875">
        <f t="shared" si="20"/>
        <v>546600</v>
      </c>
      <c r="Y91" s="877"/>
      <c r="Z91" s="875">
        <f t="shared" si="21"/>
        <v>0</v>
      </c>
      <c r="AA91" s="875">
        <f t="shared" si="21"/>
        <v>0</v>
      </c>
      <c r="AB91" s="875">
        <f t="shared" si="21"/>
        <v>0</v>
      </c>
      <c r="AC91" s="878"/>
    </row>
    <row r="92" spans="1:29" ht="16.5" customHeight="1" x14ac:dyDescent="0.2">
      <c r="A92" s="618" t="s">
        <v>133</v>
      </c>
      <c r="B92" s="619" t="s">
        <v>747</v>
      </c>
      <c r="C92" s="620">
        <v>247</v>
      </c>
      <c r="D92" s="620">
        <v>223</v>
      </c>
      <c r="E92" s="596">
        <f t="shared" si="18"/>
        <v>465510.83</v>
      </c>
      <c r="F92" s="595">
        <f>'Прилож 4 24 (8)'!V82</f>
        <v>0</v>
      </c>
      <c r="G92" s="595">
        <f>'Прилож 4 24 (8)'!W82</f>
        <v>0</v>
      </c>
      <c r="H92" s="595">
        <f>'Прилож 4 24 (8)'!X82</f>
        <v>465510.83</v>
      </c>
      <c r="I92" s="621"/>
      <c r="J92" s="595">
        <f>'Прилож 4 24 (8)'!Z82</f>
        <v>0</v>
      </c>
      <c r="K92" s="595">
        <f>'Прилож 4 24 (8)'!AA82</f>
        <v>0</v>
      </c>
      <c r="L92" s="595">
        <f>'Прилож 4 24 (8)'!AB82</f>
        <v>0</v>
      </c>
      <c r="M92" s="876">
        <f t="shared" si="14"/>
        <v>0</v>
      </c>
      <c r="N92" s="875"/>
      <c r="O92" s="875"/>
      <c r="P92" s="875"/>
      <c r="Q92" s="877"/>
      <c r="R92" s="875"/>
      <c r="S92" s="875"/>
      <c r="T92" s="875"/>
      <c r="U92" s="876">
        <f t="shared" si="19"/>
        <v>465510.83</v>
      </c>
      <c r="V92" s="875">
        <f t="shared" si="17"/>
        <v>0</v>
      </c>
      <c r="W92" s="875">
        <f t="shared" si="20"/>
        <v>0</v>
      </c>
      <c r="X92" s="875">
        <f t="shared" si="20"/>
        <v>465510.83</v>
      </c>
      <c r="Y92" s="877"/>
      <c r="Z92" s="875">
        <f t="shared" si="21"/>
        <v>0</v>
      </c>
      <c r="AA92" s="875">
        <f t="shared" si="21"/>
        <v>0</v>
      </c>
      <c r="AB92" s="875">
        <f t="shared" si="21"/>
        <v>0</v>
      </c>
      <c r="AC92" s="878"/>
    </row>
    <row r="93" spans="1:29" ht="16.5" customHeight="1" x14ac:dyDescent="0.2">
      <c r="A93" s="618" t="s">
        <v>1260</v>
      </c>
      <c r="B93" s="619" t="s">
        <v>747</v>
      </c>
      <c r="C93" s="620">
        <v>247</v>
      </c>
      <c r="D93" s="620">
        <v>223</v>
      </c>
      <c r="E93" s="596">
        <f t="shared" si="18"/>
        <v>318968.24</v>
      </c>
      <c r="F93" s="595">
        <f>'Прилож 4 24 (8)'!V83</f>
        <v>0</v>
      </c>
      <c r="G93" s="595">
        <f>'Прилож 4 24 (8)'!W83</f>
        <v>0</v>
      </c>
      <c r="H93" s="595">
        <f>'Прилож 4 24 (8)'!X83</f>
        <v>318968.24</v>
      </c>
      <c r="I93" s="621"/>
      <c r="J93" s="595">
        <f>'Прилож 4 24 (8)'!Z83</f>
        <v>0</v>
      </c>
      <c r="K93" s="595">
        <f>'Прилож 4 24 (8)'!AA83</f>
        <v>0</v>
      </c>
      <c r="L93" s="595">
        <f>'Прилож 4 24 (8)'!AB83</f>
        <v>0</v>
      </c>
      <c r="M93" s="876">
        <f t="shared" si="14"/>
        <v>0</v>
      </c>
      <c r="N93" s="875"/>
      <c r="O93" s="875"/>
      <c r="P93" s="875"/>
      <c r="Q93" s="877"/>
      <c r="R93" s="875"/>
      <c r="S93" s="875"/>
      <c r="T93" s="875"/>
      <c r="U93" s="876">
        <f t="shared" si="19"/>
        <v>318968.24</v>
      </c>
      <c r="V93" s="875">
        <f t="shared" si="17"/>
        <v>0</v>
      </c>
      <c r="W93" s="875">
        <f t="shared" si="20"/>
        <v>0</v>
      </c>
      <c r="X93" s="875">
        <f t="shared" si="20"/>
        <v>318968.24</v>
      </c>
      <c r="Y93" s="877"/>
      <c r="Z93" s="875">
        <f t="shared" si="21"/>
        <v>0</v>
      </c>
      <c r="AA93" s="875">
        <f t="shared" si="21"/>
        <v>0</v>
      </c>
      <c r="AB93" s="875">
        <f t="shared" si="21"/>
        <v>0</v>
      </c>
      <c r="AC93" s="878"/>
    </row>
    <row r="94" spans="1:29" ht="31.5" x14ac:dyDescent="0.2">
      <c r="A94" s="618" t="s">
        <v>1240</v>
      </c>
      <c r="B94" s="619" t="s">
        <v>747</v>
      </c>
      <c r="C94" s="620">
        <v>247</v>
      </c>
      <c r="D94" s="620">
        <v>223</v>
      </c>
      <c r="E94" s="596">
        <f t="shared" si="18"/>
        <v>63447.51</v>
      </c>
      <c r="F94" s="595">
        <f>'Прилож 4 24 (8)'!V84</f>
        <v>0</v>
      </c>
      <c r="G94" s="595">
        <f>'Прилож 4 24 (8)'!W84</f>
        <v>0</v>
      </c>
      <c r="H94" s="595">
        <f>'Прилож 4 24 (8)'!X84</f>
        <v>63447.51</v>
      </c>
      <c r="I94" s="621"/>
      <c r="J94" s="595">
        <f>'Прилож 4 24 (8)'!Z84</f>
        <v>0</v>
      </c>
      <c r="K94" s="595">
        <f>'Прилож 4 24 (8)'!AA84</f>
        <v>0</v>
      </c>
      <c r="L94" s="595">
        <f>'Прилож 4 24 (8)'!AB84</f>
        <v>0</v>
      </c>
      <c r="M94" s="876">
        <f t="shared" si="14"/>
        <v>0</v>
      </c>
      <c r="N94" s="875"/>
      <c r="O94" s="875"/>
      <c r="P94" s="875"/>
      <c r="Q94" s="877"/>
      <c r="R94" s="875"/>
      <c r="S94" s="875"/>
      <c r="T94" s="875"/>
      <c r="U94" s="876">
        <f t="shared" si="19"/>
        <v>63447.51</v>
      </c>
      <c r="V94" s="875">
        <f t="shared" si="17"/>
        <v>0</v>
      </c>
      <c r="W94" s="875">
        <f t="shared" si="20"/>
        <v>0</v>
      </c>
      <c r="X94" s="875">
        <f t="shared" si="20"/>
        <v>63447.51</v>
      </c>
      <c r="Y94" s="877"/>
      <c r="Z94" s="875">
        <f t="shared" si="21"/>
        <v>0</v>
      </c>
      <c r="AA94" s="875">
        <f t="shared" si="21"/>
        <v>0</v>
      </c>
      <c r="AB94" s="875">
        <f t="shared" si="21"/>
        <v>0</v>
      </c>
      <c r="AC94" s="878"/>
    </row>
    <row r="95" spans="1:29" ht="31.5" x14ac:dyDescent="0.2">
      <c r="A95" s="618" t="s">
        <v>1241</v>
      </c>
      <c r="B95" s="619" t="s">
        <v>747</v>
      </c>
      <c r="C95" s="620">
        <v>247</v>
      </c>
      <c r="D95" s="620">
        <v>223</v>
      </c>
      <c r="E95" s="596">
        <f t="shared" si="18"/>
        <v>52047.07</v>
      </c>
      <c r="F95" s="595">
        <f>'Прилож 4 24 (8)'!V85</f>
        <v>0</v>
      </c>
      <c r="G95" s="595">
        <f>'Прилож 4 24 (8)'!W85</f>
        <v>0</v>
      </c>
      <c r="H95" s="595">
        <f>'Прилож 4 24 (8)'!X85</f>
        <v>52047.07</v>
      </c>
      <c r="I95" s="621"/>
      <c r="J95" s="595">
        <f>'Прилож 4 24 (8)'!Z85</f>
        <v>0</v>
      </c>
      <c r="K95" s="595">
        <f>'Прилож 4 24 (8)'!AA85</f>
        <v>0</v>
      </c>
      <c r="L95" s="595">
        <f>'Прилож 4 24 (8)'!AB85</f>
        <v>0</v>
      </c>
      <c r="M95" s="876">
        <f t="shared" si="14"/>
        <v>0</v>
      </c>
      <c r="N95" s="875"/>
      <c r="O95" s="875"/>
      <c r="P95" s="875"/>
      <c r="Q95" s="877"/>
      <c r="R95" s="875"/>
      <c r="S95" s="875"/>
      <c r="T95" s="875"/>
      <c r="U95" s="876">
        <f t="shared" si="19"/>
        <v>52047.07</v>
      </c>
      <c r="V95" s="875">
        <f t="shared" si="17"/>
        <v>0</v>
      </c>
      <c r="W95" s="875">
        <f t="shared" si="20"/>
        <v>0</v>
      </c>
      <c r="X95" s="875">
        <f t="shared" si="20"/>
        <v>52047.07</v>
      </c>
      <c r="Y95" s="877"/>
      <c r="Z95" s="875">
        <f t="shared" si="21"/>
        <v>0</v>
      </c>
      <c r="AA95" s="875">
        <f t="shared" si="21"/>
        <v>0</v>
      </c>
      <c r="AB95" s="875">
        <f t="shared" si="21"/>
        <v>0</v>
      </c>
      <c r="AC95" s="878"/>
    </row>
    <row r="96" spans="1:29" ht="31.5" x14ac:dyDescent="0.2">
      <c r="A96" s="618" t="s">
        <v>1242</v>
      </c>
      <c r="B96" s="619" t="s">
        <v>747</v>
      </c>
      <c r="C96" s="620">
        <v>247</v>
      </c>
      <c r="D96" s="620">
        <v>223</v>
      </c>
      <c r="E96" s="596">
        <f t="shared" si="18"/>
        <v>40719.379999999997</v>
      </c>
      <c r="F96" s="595">
        <f>'Прилож 4 24 (8)'!V86</f>
        <v>0</v>
      </c>
      <c r="G96" s="595">
        <f>'Прилож 4 24 (8)'!W86</f>
        <v>0</v>
      </c>
      <c r="H96" s="595">
        <f>'Прилож 4 24 (8)'!X86</f>
        <v>40719.379999999997</v>
      </c>
      <c r="I96" s="621"/>
      <c r="J96" s="595">
        <f>'Прилож 4 24 (8)'!Z86</f>
        <v>0</v>
      </c>
      <c r="K96" s="595">
        <f>'Прилож 4 24 (8)'!AA86</f>
        <v>0</v>
      </c>
      <c r="L96" s="595">
        <f>'Прилож 4 24 (8)'!AB86</f>
        <v>0</v>
      </c>
      <c r="M96" s="876">
        <f t="shared" si="14"/>
        <v>0</v>
      </c>
      <c r="N96" s="875"/>
      <c r="O96" s="875"/>
      <c r="P96" s="875"/>
      <c r="Q96" s="877"/>
      <c r="R96" s="875"/>
      <c r="S96" s="875"/>
      <c r="T96" s="875"/>
      <c r="U96" s="876">
        <f t="shared" si="19"/>
        <v>40719.379999999997</v>
      </c>
      <c r="V96" s="875">
        <f t="shared" si="17"/>
        <v>0</v>
      </c>
      <c r="W96" s="875">
        <f t="shared" si="20"/>
        <v>0</v>
      </c>
      <c r="X96" s="875">
        <f t="shared" si="20"/>
        <v>40719.379999999997</v>
      </c>
      <c r="Y96" s="877"/>
      <c r="Z96" s="875">
        <f t="shared" si="21"/>
        <v>0</v>
      </c>
      <c r="AA96" s="875">
        <f t="shared" si="21"/>
        <v>0</v>
      </c>
      <c r="AB96" s="875">
        <f t="shared" si="21"/>
        <v>0</v>
      </c>
      <c r="AC96" s="878"/>
    </row>
    <row r="97" spans="1:29" ht="31.5" x14ac:dyDescent="0.2">
      <c r="A97" s="618" t="s">
        <v>1242</v>
      </c>
      <c r="B97" s="619" t="s">
        <v>747</v>
      </c>
      <c r="C97" s="620">
        <v>247</v>
      </c>
      <c r="D97" s="620">
        <v>223</v>
      </c>
      <c r="E97" s="596">
        <f t="shared" si="18"/>
        <v>52360.07</v>
      </c>
      <c r="F97" s="595">
        <f>'Прилож 4 24 (8)'!V87</f>
        <v>0</v>
      </c>
      <c r="G97" s="595">
        <f>'Прилож 4 24 (8)'!W87</f>
        <v>0</v>
      </c>
      <c r="H97" s="595">
        <f>'Прилож 4 24 (8)'!X87</f>
        <v>52360.07</v>
      </c>
      <c r="I97" s="621"/>
      <c r="J97" s="595">
        <f>'Прилож 4 24 (8)'!Z87</f>
        <v>0</v>
      </c>
      <c r="K97" s="595">
        <f>'Прилож 4 24 (8)'!AA87</f>
        <v>0</v>
      </c>
      <c r="L97" s="595">
        <f>'Прилож 4 24 (8)'!AB87</f>
        <v>0</v>
      </c>
      <c r="M97" s="876">
        <f t="shared" si="14"/>
        <v>0</v>
      </c>
      <c r="N97" s="875"/>
      <c r="O97" s="875"/>
      <c r="P97" s="875"/>
      <c r="Q97" s="877"/>
      <c r="R97" s="875"/>
      <c r="S97" s="875"/>
      <c r="T97" s="875"/>
      <c r="U97" s="876">
        <f t="shared" si="19"/>
        <v>52360.07</v>
      </c>
      <c r="V97" s="875">
        <f t="shared" si="17"/>
        <v>0</v>
      </c>
      <c r="W97" s="875">
        <f t="shared" si="20"/>
        <v>0</v>
      </c>
      <c r="X97" s="875">
        <f t="shared" si="20"/>
        <v>52360.07</v>
      </c>
      <c r="Y97" s="877"/>
      <c r="Z97" s="875">
        <f t="shared" si="21"/>
        <v>0</v>
      </c>
      <c r="AA97" s="875">
        <f t="shared" si="21"/>
        <v>0</v>
      </c>
      <c r="AB97" s="875">
        <f t="shared" si="21"/>
        <v>0</v>
      </c>
      <c r="AC97" s="878"/>
    </row>
    <row r="98" spans="1:29" s="637" customFormat="1" ht="25.5" customHeight="1" x14ac:dyDescent="0.2">
      <c r="A98" s="1046" t="s">
        <v>1143</v>
      </c>
      <c r="B98" s="1047" t="s">
        <v>747</v>
      </c>
      <c r="C98" s="1048">
        <v>247</v>
      </c>
      <c r="D98" s="1048">
        <v>223</v>
      </c>
      <c r="E98" s="596">
        <f t="shared" si="18"/>
        <v>1539653.1</v>
      </c>
      <c r="F98" s="595">
        <f>'Прилож 4 24 (8)'!V88</f>
        <v>0</v>
      </c>
      <c r="G98" s="595">
        <f>'Прилож 4 24 (8)'!W88</f>
        <v>0</v>
      </c>
      <c r="H98" s="595">
        <f>'Прилож 4 24 (8)'!X88</f>
        <v>1539653.1</v>
      </c>
      <c r="I98" s="635"/>
      <c r="J98" s="595">
        <f>'Прилож 4 24 (8)'!Z88</f>
        <v>0</v>
      </c>
      <c r="K98" s="595">
        <f>'Прилож 4 24 (8)'!AA88</f>
        <v>0</v>
      </c>
      <c r="L98" s="595">
        <f>'Прилож 4 24 (8)'!AB88</f>
        <v>0</v>
      </c>
      <c r="M98" s="876">
        <f t="shared" si="14"/>
        <v>0</v>
      </c>
      <c r="N98" s="884"/>
      <c r="O98" s="884"/>
      <c r="P98" s="884"/>
      <c r="Q98" s="885"/>
      <c r="R98" s="884"/>
      <c r="S98" s="884"/>
      <c r="T98" s="884"/>
      <c r="U98" s="876">
        <f t="shared" si="19"/>
        <v>1539653.1</v>
      </c>
      <c r="V98" s="876">
        <f t="shared" si="17"/>
        <v>0</v>
      </c>
      <c r="W98" s="876">
        <f t="shared" si="20"/>
        <v>0</v>
      </c>
      <c r="X98" s="876">
        <f t="shared" si="20"/>
        <v>1539653.1</v>
      </c>
      <c r="Y98" s="885"/>
      <c r="Z98" s="876">
        <f t="shared" si="21"/>
        <v>0</v>
      </c>
      <c r="AA98" s="876">
        <f t="shared" si="21"/>
        <v>0</v>
      </c>
      <c r="AB98" s="876">
        <f t="shared" si="21"/>
        <v>0</v>
      </c>
      <c r="AC98" s="1049"/>
    </row>
    <row r="99" spans="1:29" ht="23.45" customHeight="1" x14ac:dyDescent="0.2">
      <c r="A99" s="618" t="s">
        <v>131</v>
      </c>
      <c r="B99" s="619" t="s">
        <v>729</v>
      </c>
      <c r="C99" s="620">
        <v>247</v>
      </c>
      <c r="D99" s="620">
        <v>223</v>
      </c>
      <c r="E99" s="596">
        <f t="shared" si="18"/>
        <v>939599.21</v>
      </c>
      <c r="F99" s="595">
        <f>'Прилож 4 24 (8)'!V89</f>
        <v>0</v>
      </c>
      <c r="G99" s="595">
        <f>'Прилож 4 24 (8)'!W89</f>
        <v>0</v>
      </c>
      <c r="H99" s="595">
        <f>'Прилож 4 24 (8)'!X89</f>
        <v>446000</v>
      </c>
      <c r="I99" s="621"/>
      <c r="J99" s="595">
        <f>'Прилож 4 24 (8)'!Z89</f>
        <v>0</v>
      </c>
      <c r="K99" s="595">
        <f>'Прилож 4 24 (8)'!AA89</f>
        <v>0</v>
      </c>
      <c r="L99" s="595">
        <f>'Прилож 4 24 (8)'!AB89</f>
        <v>493599.21</v>
      </c>
      <c r="M99" s="876">
        <f t="shared" si="14"/>
        <v>4201.6000000000004</v>
      </c>
      <c r="N99" s="875"/>
      <c r="O99" s="875"/>
      <c r="P99" s="875"/>
      <c r="Q99" s="877"/>
      <c r="R99" s="875"/>
      <c r="S99" s="875"/>
      <c r="T99" s="875">
        <v>4201.6000000000004</v>
      </c>
      <c r="U99" s="876">
        <f t="shared" si="19"/>
        <v>943800.80999999994</v>
      </c>
      <c r="V99" s="875">
        <f t="shared" si="17"/>
        <v>0</v>
      </c>
      <c r="W99" s="875">
        <f t="shared" si="20"/>
        <v>0</v>
      </c>
      <c r="X99" s="875">
        <f t="shared" si="20"/>
        <v>446000</v>
      </c>
      <c r="Y99" s="877"/>
      <c r="Z99" s="875">
        <f t="shared" si="21"/>
        <v>0</v>
      </c>
      <c r="AA99" s="875">
        <f t="shared" si="21"/>
        <v>0</v>
      </c>
      <c r="AB99" s="875">
        <f t="shared" si="21"/>
        <v>497800.81</v>
      </c>
      <c r="AC99" s="878" t="s">
        <v>1349</v>
      </c>
    </row>
    <row r="100" spans="1:29" ht="30" customHeight="1" x14ac:dyDescent="0.2">
      <c r="A100" s="618" t="s">
        <v>133</v>
      </c>
      <c r="B100" s="619" t="s">
        <v>729</v>
      </c>
      <c r="C100" s="620">
        <v>247</v>
      </c>
      <c r="D100" s="620">
        <v>223</v>
      </c>
      <c r="E100" s="596">
        <f t="shared" si="18"/>
        <v>1433105.62</v>
      </c>
      <c r="F100" s="595">
        <f>'Прилож 4 24 (8)'!V90</f>
        <v>0</v>
      </c>
      <c r="G100" s="595">
        <f>'Прилож 4 24 (8)'!W90</f>
        <v>0</v>
      </c>
      <c r="H100" s="595">
        <f>'Прилож 4 24 (8)'!X90</f>
        <v>1088533.3600000001</v>
      </c>
      <c r="I100" s="621"/>
      <c r="J100" s="595">
        <f>'Прилож 4 24 (8)'!Z90</f>
        <v>0</v>
      </c>
      <c r="K100" s="595">
        <f>'Прилож 4 24 (8)'!AA90</f>
        <v>0</v>
      </c>
      <c r="L100" s="595">
        <f>'Прилож 4 24 (8)'!AB90</f>
        <v>344572.26</v>
      </c>
      <c r="M100" s="876">
        <f t="shared" si="14"/>
        <v>0</v>
      </c>
      <c r="N100" s="875"/>
      <c r="O100" s="875"/>
      <c r="P100" s="875"/>
      <c r="Q100" s="877"/>
      <c r="R100" s="875"/>
      <c r="S100" s="875"/>
      <c r="T100" s="875"/>
      <c r="U100" s="876">
        <f t="shared" si="19"/>
        <v>1433105.62</v>
      </c>
      <c r="V100" s="875">
        <f t="shared" si="17"/>
        <v>0</v>
      </c>
      <c r="W100" s="875">
        <f t="shared" si="20"/>
        <v>0</v>
      </c>
      <c r="X100" s="875">
        <f t="shared" si="20"/>
        <v>1088533.3600000001</v>
      </c>
      <c r="Y100" s="877"/>
      <c r="Z100" s="875">
        <f t="shared" si="21"/>
        <v>0</v>
      </c>
      <c r="AA100" s="875">
        <f t="shared" si="21"/>
        <v>0</v>
      </c>
      <c r="AB100" s="875">
        <f t="shared" si="21"/>
        <v>344572.26</v>
      </c>
      <c r="AC100" s="878"/>
    </row>
    <row r="101" spans="1:29" ht="34.5" customHeight="1" x14ac:dyDescent="0.2">
      <c r="A101" s="618" t="s">
        <v>1260</v>
      </c>
      <c r="B101" s="619" t="s">
        <v>729</v>
      </c>
      <c r="C101" s="620">
        <v>247</v>
      </c>
      <c r="D101" s="620">
        <v>223</v>
      </c>
      <c r="E101" s="596">
        <f t="shared" si="18"/>
        <v>899813.5</v>
      </c>
      <c r="F101" s="595">
        <f>'Прилож 4 24 (8)'!V91</f>
        <v>0</v>
      </c>
      <c r="G101" s="595">
        <f>'Прилож 4 24 (8)'!W91</f>
        <v>0</v>
      </c>
      <c r="H101" s="595">
        <f>'Прилож 4 24 (8)'!X91</f>
        <v>618609.81999999995</v>
      </c>
      <c r="I101" s="621"/>
      <c r="J101" s="595">
        <f>'Прилож 4 24 (8)'!Z91</f>
        <v>0</v>
      </c>
      <c r="K101" s="595">
        <f>'Прилож 4 24 (8)'!AA91</f>
        <v>0</v>
      </c>
      <c r="L101" s="595">
        <f>'Прилож 4 24 (8)'!AB91</f>
        <v>281203.68</v>
      </c>
      <c r="M101" s="876">
        <f t="shared" si="14"/>
        <v>1768.25</v>
      </c>
      <c r="N101" s="875"/>
      <c r="O101" s="875"/>
      <c r="P101" s="875"/>
      <c r="Q101" s="877"/>
      <c r="R101" s="875"/>
      <c r="S101" s="875"/>
      <c r="T101" s="875">
        <v>1768.25</v>
      </c>
      <c r="U101" s="876">
        <f t="shared" si="19"/>
        <v>901581.75</v>
      </c>
      <c r="V101" s="875">
        <f t="shared" si="17"/>
        <v>0</v>
      </c>
      <c r="W101" s="875">
        <f t="shared" si="20"/>
        <v>0</v>
      </c>
      <c r="X101" s="875">
        <f t="shared" si="20"/>
        <v>618609.81999999995</v>
      </c>
      <c r="Y101" s="877"/>
      <c r="Z101" s="875">
        <f t="shared" si="21"/>
        <v>0</v>
      </c>
      <c r="AA101" s="875">
        <f t="shared" si="21"/>
        <v>0</v>
      </c>
      <c r="AB101" s="875">
        <f t="shared" si="21"/>
        <v>282971.93</v>
      </c>
      <c r="AC101" s="878" t="s">
        <v>1349</v>
      </c>
    </row>
    <row r="102" spans="1:29" ht="31.5" x14ac:dyDescent="0.2">
      <c r="A102" s="618" t="s">
        <v>1240</v>
      </c>
      <c r="B102" s="619" t="s">
        <v>729</v>
      </c>
      <c r="C102" s="620">
        <v>247</v>
      </c>
      <c r="D102" s="620">
        <v>223</v>
      </c>
      <c r="E102" s="596">
        <f t="shared" si="18"/>
        <v>26226.5</v>
      </c>
      <c r="F102" s="595">
        <f>'Прилож 4 24 (8)'!V92</f>
        <v>0</v>
      </c>
      <c r="G102" s="595">
        <f>'Прилож 4 24 (8)'!W92</f>
        <v>0</v>
      </c>
      <c r="H102" s="595">
        <f>'Прилож 4 24 (8)'!X92</f>
        <v>15346.51</v>
      </c>
      <c r="I102" s="621"/>
      <c r="J102" s="595">
        <f>'Прилож 4 24 (8)'!Z92</f>
        <v>0</v>
      </c>
      <c r="K102" s="595">
        <f>'Прилож 4 24 (8)'!AA92</f>
        <v>0</v>
      </c>
      <c r="L102" s="595">
        <f>'Прилож 4 24 (8)'!AB92</f>
        <v>10879.99</v>
      </c>
      <c r="M102" s="876">
        <f t="shared" si="14"/>
        <v>0</v>
      </c>
      <c r="N102" s="875"/>
      <c r="O102" s="875"/>
      <c r="P102" s="875"/>
      <c r="Q102" s="877"/>
      <c r="R102" s="875"/>
      <c r="S102" s="875"/>
      <c r="T102" s="875"/>
      <c r="U102" s="876">
        <f t="shared" si="19"/>
        <v>26226.5</v>
      </c>
      <c r="V102" s="875">
        <f t="shared" si="17"/>
        <v>0</v>
      </c>
      <c r="W102" s="875">
        <f t="shared" si="20"/>
        <v>0</v>
      </c>
      <c r="X102" s="875">
        <f t="shared" si="20"/>
        <v>15346.51</v>
      </c>
      <c r="Y102" s="877"/>
      <c r="Z102" s="875">
        <f t="shared" si="21"/>
        <v>0</v>
      </c>
      <c r="AA102" s="875">
        <f t="shared" si="21"/>
        <v>0</v>
      </c>
      <c r="AB102" s="875">
        <f t="shared" si="21"/>
        <v>10879.99</v>
      </c>
      <c r="AC102" s="878"/>
    </row>
    <row r="103" spans="1:29" ht="31.5" x14ac:dyDescent="0.2">
      <c r="A103" s="618" t="s">
        <v>1241</v>
      </c>
      <c r="B103" s="619" t="s">
        <v>729</v>
      </c>
      <c r="C103" s="620">
        <v>247</v>
      </c>
      <c r="D103" s="620">
        <v>223</v>
      </c>
      <c r="E103" s="596">
        <f t="shared" si="18"/>
        <v>22442.33</v>
      </c>
      <c r="F103" s="595">
        <f>'Прилож 4 24 (8)'!V93</f>
        <v>0</v>
      </c>
      <c r="G103" s="595">
        <f>'Прилож 4 24 (8)'!W93</f>
        <v>0</v>
      </c>
      <c r="H103" s="595">
        <f>'Прилож 4 24 (8)'!X93</f>
        <v>13515.22</v>
      </c>
      <c r="I103" s="621"/>
      <c r="J103" s="595">
        <f>'Прилож 4 24 (8)'!Z93</f>
        <v>0</v>
      </c>
      <c r="K103" s="595">
        <f>'Прилож 4 24 (8)'!AA93</f>
        <v>0</v>
      </c>
      <c r="L103" s="595">
        <f>'Прилож 4 24 (8)'!AB93</f>
        <v>8927.11</v>
      </c>
      <c r="M103" s="876">
        <f t="shared" si="14"/>
        <v>0</v>
      </c>
      <c r="N103" s="875"/>
      <c r="O103" s="875"/>
      <c r="P103" s="875"/>
      <c r="Q103" s="877"/>
      <c r="R103" s="875"/>
      <c r="S103" s="875"/>
      <c r="T103" s="875"/>
      <c r="U103" s="876">
        <f t="shared" si="19"/>
        <v>22442.33</v>
      </c>
      <c r="V103" s="875">
        <f t="shared" si="17"/>
        <v>0</v>
      </c>
      <c r="W103" s="875">
        <f t="shared" si="20"/>
        <v>0</v>
      </c>
      <c r="X103" s="875">
        <f t="shared" si="20"/>
        <v>13515.22</v>
      </c>
      <c r="Y103" s="877"/>
      <c r="Z103" s="875">
        <f t="shared" si="21"/>
        <v>0</v>
      </c>
      <c r="AA103" s="875">
        <f t="shared" si="21"/>
        <v>0</v>
      </c>
      <c r="AB103" s="875">
        <f t="shared" si="21"/>
        <v>8927.11</v>
      </c>
      <c r="AC103" s="878"/>
    </row>
    <row r="104" spans="1:29" ht="31.5" x14ac:dyDescent="0.2">
      <c r="A104" s="618" t="s">
        <v>1242</v>
      </c>
      <c r="B104" s="619" t="s">
        <v>729</v>
      </c>
      <c r="C104" s="620">
        <v>247</v>
      </c>
      <c r="D104" s="620">
        <v>223</v>
      </c>
      <c r="E104" s="596">
        <f t="shared" si="18"/>
        <v>17091.29</v>
      </c>
      <c r="F104" s="595">
        <f>'Прилож 4 24 (8)'!V94</f>
        <v>0</v>
      </c>
      <c r="G104" s="595">
        <f>'Прилож 4 24 (8)'!W94</f>
        <v>0</v>
      </c>
      <c r="H104" s="595">
        <f>'Прилож 4 24 (8)'!X94</f>
        <v>9599.83</v>
      </c>
      <c r="I104" s="621"/>
      <c r="J104" s="595">
        <f>'Прилож 4 24 (8)'!Z94</f>
        <v>0</v>
      </c>
      <c r="K104" s="595">
        <f>'Прилож 4 24 (8)'!AA94</f>
        <v>0</v>
      </c>
      <c r="L104" s="595">
        <f>'Прилож 4 24 (8)'!AB94</f>
        <v>7491.46</v>
      </c>
      <c r="M104" s="876">
        <f t="shared" si="14"/>
        <v>0</v>
      </c>
      <c r="N104" s="875"/>
      <c r="O104" s="875"/>
      <c r="P104" s="875"/>
      <c r="Q104" s="877"/>
      <c r="R104" s="875"/>
      <c r="S104" s="875"/>
      <c r="T104" s="875"/>
      <c r="U104" s="876">
        <f t="shared" si="19"/>
        <v>17091.29</v>
      </c>
      <c r="V104" s="875">
        <f t="shared" si="17"/>
        <v>0</v>
      </c>
      <c r="W104" s="875">
        <f t="shared" si="20"/>
        <v>0</v>
      </c>
      <c r="X104" s="875">
        <f t="shared" si="20"/>
        <v>9599.83</v>
      </c>
      <c r="Y104" s="877"/>
      <c r="Z104" s="875">
        <f t="shared" si="21"/>
        <v>0</v>
      </c>
      <c r="AA104" s="875">
        <f t="shared" si="21"/>
        <v>0</v>
      </c>
      <c r="AB104" s="875">
        <f t="shared" si="21"/>
        <v>7491.46</v>
      </c>
      <c r="AC104" s="878"/>
    </row>
    <row r="105" spans="1:29" ht="31.5" x14ac:dyDescent="0.2">
      <c r="A105" s="618" t="s">
        <v>1242</v>
      </c>
      <c r="B105" s="619" t="s">
        <v>729</v>
      </c>
      <c r="C105" s="620">
        <v>247</v>
      </c>
      <c r="D105" s="620">
        <v>223</v>
      </c>
      <c r="E105" s="596">
        <f t="shared" si="18"/>
        <v>18156.04</v>
      </c>
      <c r="F105" s="595">
        <f>'Прилож 4 24 (8)'!V95</f>
        <v>0</v>
      </c>
      <c r="G105" s="595">
        <f>'Прилож 4 24 (8)'!W95</f>
        <v>0</v>
      </c>
      <c r="H105" s="595">
        <f>'Прилож 4 24 (8)'!X95</f>
        <v>10621.01</v>
      </c>
      <c r="I105" s="621"/>
      <c r="J105" s="595">
        <f>'Прилож 4 24 (8)'!Z95</f>
        <v>0</v>
      </c>
      <c r="K105" s="595">
        <f>'Прилож 4 24 (8)'!AA95</f>
        <v>0</v>
      </c>
      <c r="L105" s="595">
        <f>'Прилож 4 24 (8)'!AB95</f>
        <v>7535.03</v>
      </c>
      <c r="M105" s="876">
        <f t="shared" si="14"/>
        <v>0</v>
      </c>
      <c r="N105" s="875"/>
      <c r="O105" s="875"/>
      <c r="P105" s="875"/>
      <c r="Q105" s="877"/>
      <c r="R105" s="875"/>
      <c r="S105" s="875"/>
      <c r="T105" s="875"/>
      <c r="U105" s="876">
        <f t="shared" si="19"/>
        <v>18156.04</v>
      </c>
      <c r="V105" s="875">
        <f t="shared" si="17"/>
        <v>0</v>
      </c>
      <c r="W105" s="875">
        <f t="shared" si="20"/>
        <v>0</v>
      </c>
      <c r="X105" s="875">
        <f t="shared" si="20"/>
        <v>10621.01</v>
      </c>
      <c r="Y105" s="877"/>
      <c r="Z105" s="875">
        <f t="shared" si="21"/>
        <v>0</v>
      </c>
      <c r="AA105" s="875">
        <f t="shared" si="21"/>
        <v>0</v>
      </c>
      <c r="AB105" s="875">
        <f t="shared" si="21"/>
        <v>7535.03</v>
      </c>
      <c r="AC105" s="878"/>
    </row>
    <row r="106" spans="1:29" s="637" customFormat="1" x14ac:dyDescent="0.2">
      <c r="A106" s="632" t="s">
        <v>1143</v>
      </c>
      <c r="B106" s="633" t="s">
        <v>729</v>
      </c>
      <c r="C106" s="634">
        <v>247</v>
      </c>
      <c r="D106" s="634">
        <v>223</v>
      </c>
      <c r="E106" s="596">
        <f t="shared" si="18"/>
        <v>3356434.49</v>
      </c>
      <c r="F106" s="595">
        <f>'Прилож 4 24 (8)'!V96</f>
        <v>0</v>
      </c>
      <c r="G106" s="595">
        <f>'Прилож 4 24 (8)'!W96</f>
        <v>0</v>
      </c>
      <c r="H106" s="595">
        <f>'Прилож 4 24 (8)'!X96</f>
        <v>2202225.75</v>
      </c>
      <c r="I106" s="635"/>
      <c r="J106" s="595">
        <f>'Прилож 4 24 (8)'!Z96</f>
        <v>0</v>
      </c>
      <c r="K106" s="595">
        <f>'Прилож 4 24 (8)'!AA96</f>
        <v>0</v>
      </c>
      <c r="L106" s="595">
        <f>'Прилож 4 24 (8)'!AB96</f>
        <v>1154208.74</v>
      </c>
      <c r="M106" s="876">
        <f t="shared" si="14"/>
        <v>5969.85</v>
      </c>
      <c r="N106" s="884"/>
      <c r="O106" s="884"/>
      <c r="P106" s="884"/>
      <c r="Q106" s="885"/>
      <c r="R106" s="884"/>
      <c r="S106" s="884"/>
      <c r="T106" s="884">
        <f>SUM(T99:T105)</f>
        <v>5969.85</v>
      </c>
      <c r="U106" s="876">
        <f t="shared" si="19"/>
        <v>3362404.3400000003</v>
      </c>
      <c r="V106" s="875">
        <f t="shared" si="17"/>
        <v>0</v>
      </c>
      <c r="W106" s="875">
        <f t="shared" si="20"/>
        <v>0</v>
      </c>
      <c r="X106" s="875">
        <f t="shared" si="20"/>
        <v>2202225.75</v>
      </c>
      <c r="Y106" s="885"/>
      <c r="Z106" s="875">
        <f t="shared" si="21"/>
        <v>0</v>
      </c>
      <c r="AA106" s="875">
        <f t="shared" si="21"/>
        <v>0</v>
      </c>
      <c r="AB106" s="875">
        <f t="shared" si="21"/>
        <v>1160178.5900000001</v>
      </c>
      <c r="AC106" s="878"/>
    </row>
    <row r="107" spans="1:29" s="614" customFormat="1" x14ac:dyDescent="0.2">
      <c r="A107" s="630" t="s">
        <v>737</v>
      </c>
      <c r="B107" s="631"/>
      <c r="C107" s="624"/>
      <c r="D107" s="624"/>
      <c r="E107" s="596">
        <f t="shared" si="18"/>
        <v>4896087.59</v>
      </c>
      <c r="F107" s="595">
        <f>'Прилож 4 24 (8)'!V97</f>
        <v>0</v>
      </c>
      <c r="G107" s="595">
        <f>'Прилож 4 24 (8)'!W97</f>
        <v>0</v>
      </c>
      <c r="H107" s="595">
        <f>'Прилож 4 24 (8)'!X97</f>
        <v>3741878.85</v>
      </c>
      <c r="I107" s="626"/>
      <c r="J107" s="595">
        <f>'Прилож 4 24 (8)'!Z97</f>
        <v>0</v>
      </c>
      <c r="K107" s="595">
        <f>'Прилож 4 24 (8)'!AA97</f>
        <v>0</v>
      </c>
      <c r="L107" s="595">
        <f>'Прилож 4 24 (8)'!AB97</f>
        <v>1154208.74</v>
      </c>
      <c r="M107" s="876">
        <f t="shared" si="14"/>
        <v>5969.85</v>
      </c>
      <c r="N107" s="876"/>
      <c r="O107" s="876"/>
      <c r="P107" s="876"/>
      <c r="Q107" s="881"/>
      <c r="R107" s="876"/>
      <c r="S107" s="876"/>
      <c r="T107" s="876">
        <f>T98+T106</f>
        <v>5969.85</v>
      </c>
      <c r="U107" s="876">
        <f t="shared" si="19"/>
        <v>4902057.4399999995</v>
      </c>
      <c r="V107" s="875">
        <f t="shared" si="17"/>
        <v>0</v>
      </c>
      <c r="W107" s="875">
        <f t="shared" si="20"/>
        <v>0</v>
      </c>
      <c r="X107" s="875">
        <f t="shared" si="20"/>
        <v>3741878.85</v>
      </c>
      <c r="Y107" s="881"/>
      <c r="Z107" s="875">
        <f t="shared" si="21"/>
        <v>0</v>
      </c>
      <c r="AA107" s="875">
        <f t="shared" si="21"/>
        <v>0</v>
      </c>
      <c r="AB107" s="875">
        <f t="shared" si="21"/>
        <v>1160178.5900000001</v>
      </c>
      <c r="AC107" s="879"/>
    </row>
    <row r="108" spans="1:29" ht="31.5" x14ac:dyDescent="0.2">
      <c r="A108" s="618" t="s">
        <v>1230</v>
      </c>
      <c r="B108" s="619" t="s">
        <v>729</v>
      </c>
      <c r="C108" s="620">
        <v>243</v>
      </c>
      <c r="D108" s="620">
        <v>225</v>
      </c>
      <c r="E108" s="596">
        <f t="shared" si="18"/>
        <v>0</v>
      </c>
      <c r="F108" s="595">
        <f>'Прилож 4 24 (8)'!V98</f>
        <v>0</v>
      </c>
      <c r="G108" s="595">
        <f>'Прилож 4 24 (8)'!W98</f>
        <v>0</v>
      </c>
      <c r="H108" s="595">
        <f>'Прилож 4 24 (8)'!X98</f>
        <v>0</v>
      </c>
      <c r="I108" s="621"/>
      <c r="J108" s="595">
        <f>'Прилож 4 24 (8)'!Z98</f>
        <v>0</v>
      </c>
      <c r="K108" s="595">
        <f>'Прилож 4 24 (8)'!AA98</f>
        <v>0</v>
      </c>
      <c r="L108" s="595">
        <f>'Прилож 4 24 (8)'!AB98</f>
        <v>0</v>
      </c>
      <c r="M108" s="876">
        <f t="shared" si="14"/>
        <v>0</v>
      </c>
      <c r="N108" s="875"/>
      <c r="O108" s="875"/>
      <c r="P108" s="875"/>
      <c r="Q108" s="890"/>
      <c r="R108" s="875"/>
      <c r="S108" s="875"/>
      <c r="T108" s="875"/>
      <c r="U108" s="876">
        <f t="shared" si="19"/>
        <v>0</v>
      </c>
      <c r="V108" s="875">
        <f t="shared" si="17"/>
        <v>0</v>
      </c>
      <c r="W108" s="875">
        <f t="shared" si="20"/>
        <v>0</v>
      </c>
      <c r="X108" s="875">
        <f t="shared" si="20"/>
        <v>0</v>
      </c>
      <c r="Y108" s="877"/>
      <c r="Z108" s="875">
        <f t="shared" si="21"/>
        <v>0</v>
      </c>
      <c r="AA108" s="875">
        <f t="shared" si="21"/>
        <v>0</v>
      </c>
      <c r="AB108" s="875">
        <f t="shared" si="21"/>
        <v>0</v>
      </c>
      <c r="AC108" s="878"/>
    </row>
    <row r="109" spans="1:29" s="614" customFormat="1" ht="28.5" customHeight="1" x14ac:dyDescent="0.2">
      <c r="A109" s="630" t="s">
        <v>1312</v>
      </c>
      <c r="B109" s="631" t="s">
        <v>729</v>
      </c>
      <c r="C109" s="624">
        <v>243</v>
      </c>
      <c r="D109" s="624">
        <v>225</v>
      </c>
      <c r="E109" s="596">
        <f t="shared" si="18"/>
        <v>0</v>
      </c>
      <c r="F109" s="595">
        <f>'Прилож 4 24 (8)'!V99</f>
        <v>0</v>
      </c>
      <c r="G109" s="595">
        <f>'Прилож 4 24 (8)'!W99</f>
        <v>0</v>
      </c>
      <c r="H109" s="595">
        <f>'Прилож 4 24 (8)'!X99</f>
        <v>0</v>
      </c>
      <c r="I109" s="626"/>
      <c r="J109" s="595">
        <f>'Прилож 4 24 (8)'!Z99</f>
        <v>0</v>
      </c>
      <c r="K109" s="595">
        <f>'Прилож 4 24 (8)'!AA99</f>
        <v>0</v>
      </c>
      <c r="L109" s="595">
        <f>'Прилож 4 24 (8)'!AB99</f>
        <v>0</v>
      </c>
      <c r="M109" s="876">
        <f t="shared" si="14"/>
        <v>0</v>
      </c>
      <c r="N109" s="876"/>
      <c r="O109" s="876"/>
      <c r="P109" s="876"/>
      <c r="Q109" s="881"/>
      <c r="R109" s="876"/>
      <c r="S109" s="876"/>
      <c r="T109" s="876"/>
      <c r="U109" s="876">
        <f t="shared" si="19"/>
        <v>0</v>
      </c>
      <c r="V109" s="875">
        <f t="shared" si="17"/>
        <v>0</v>
      </c>
      <c r="W109" s="875">
        <f t="shared" si="20"/>
        <v>0</v>
      </c>
      <c r="X109" s="875">
        <f t="shared" si="20"/>
        <v>0</v>
      </c>
      <c r="Y109" s="881"/>
      <c r="Z109" s="875">
        <f t="shared" si="21"/>
        <v>0</v>
      </c>
      <c r="AA109" s="875">
        <f t="shared" si="21"/>
        <v>0</v>
      </c>
      <c r="AB109" s="875">
        <f t="shared" si="21"/>
        <v>0</v>
      </c>
      <c r="AC109" s="879"/>
    </row>
    <row r="110" spans="1:29" ht="69" customHeight="1" x14ac:dyDescent="0.2">
      <c r="A110" s="618" t="s">
        <v>1188</v>
      </c>
      <c r="B110" s="619" t="s">
        <v>747</v>
      </c>
      <c r="C110" s="620">
        <v>244</v>
      </c>
      <c r="D110" s="620">
        <v>225</v>
      </c>
      <c r="E110" s="596">
        <f t="shared" si="18"/>
        <v>50400</v>
      </c>
      <c r="F110" s="595">
        <f>'Прилож 4 24 (8)'!V100</f>
        <v>0</v>
      </c>
      <c r="G110" s="595">
        <f>'Прилож 4 24 (8)'!W100</f>
        <v>0</v>
      </c>
      <c r="H110" s="595">
        <f>'Прилож 4 24 (8)'!X100</f>
        <v>50400</v>
      </c>
      <c r="I110" s="628"/>
      <c r="J110" s="595">
        <f>'Прилож 4 24 (8)'!Z100</f>
        <v>0</v>
      </c>
      <c r="K110" s="595">
        <f>'Прилож 4 24 (8)'!AA100</f>
        <v>0</v>
      </c>
      <c r="L110" s="595">
        <f>'Прилож 4 24 (8)'!AB100</f>
        <v>0</v>
      </c>
      <c r="M110" s="876">
        <f t="shared" si="14"/>
        <v>0</v>
      </c>
      <c r="N110" s="875"/>
      <c r="O110" s="875"/>
      <c r="P110" s="875"/>
      <c r="Q110" s="877"/>
      <c r="R110" s="875"/>
      <c r="S110" s="875"/>
      <c r="T110" s="875"/>
      <c r="U110" s="876">
        <f t="shared" si="19"/>
        <v>50400</v>
      </c>
      <c r="V110" s="875">
        <f t="shared" si="17"/>
        <v>0</v>
      </c>
      <c r="W110" s="875">
        <f t="shared" si="20"/>
        <v>0</v>
      </c>
      <c r="X110" s="875">
        <f t="shared" si="20"/>
        <v>50400</v>
      </c>
      <c r="Y110" s="883"/>
      <c r="Z110" s="875">
        <f t="shared" si="21"/>
        <v>0</v>
      </c>
      <c r="AA110" s="875">
        <f t="shared" si="21"/>
        <v>0</v>
      </c>
      <c r="AB110" s="875">
        <f t="shared" si="21"/>
        <v>0</v>
      </c>
      <c r="AC110" s="878"/>
    </row>
    <row r="111" spans="1:29" x14ac:dyDescent="0.2">
      <c r="A111" s="618" t="s">
        <v>1193</v>
      </c>
      <c r="B111" s="619" t="s">
        <v>747</v>
      </c>
      <c r="C111" s="620">
        <v>244</v>
      </c>
      <c r="D111" s="620">
        <v>225</v>
      </c>
      <c r="E111" s="596">
        <f t="shared" si="18"/>
        <v>49836</v>
      </c>
      <c r="F111" s="595">
        <f>'Прилож 4 24 (8)'!V101</f>
        <v>0</v>
      </c>
      <c r="G111" s="595">
        <f>'Прилож 4 24 (8)'!W101</f>
        <v>0</v>
      </c>
      <c r="H111" s="595">
        <f>'Прилож 4 24 (8)'!X101</f>
        <v>49836</v>
      </c>
      <c r="I111" s="628"/>
      <c r="J111" s="595">
        <f>'Прилож 4 24 (8)'!Z101</f>
        <v>0</v>
      </c>
      <c r="K111" s="595">
        <f>'Прилож 4 24 (8)'!AA101</f>
        <v>0</v>
      </c>
      <c r="L111" s="595">
        <f>'Прилож 4 24 (8)'!AB101</f>
        <v>0</v>
      </c>
      <c r="M111" s="876">
        <f t="shared" si="14"/>
        <v>0</v>
      </c>
      <c r="N111" s="875"/>
      <c r="O111" s="875"/>
      <c r="P111" s="875"/>
      <c r="Q111" s="877"/>
      <c r="R111" s="875"/>
      <c r="S111" s="875"/>
      <c r="T111" s="875"/>
      <c r="U111" s="876">
        <f t="shared" si="19"/>
        <v>49836</v>
      </c>
      <c r="V111" s="875">
        <f t="shared" si="17"/>
        <v>0</v>
      </c>
      <c r="W111" s="875">
        <f t="shared" si="20"/>
        <v>0</v>
      </c>
      <c r="X111" s="875">
        <f t="shared" si="20"/>
        <v>49836</v>
      </c>
      <c r="Y111" s="883"/>
      <c r="Z111" s="875">
        <f t="shared" si="21"/>
        <v>0</v>
      </c>
      <c r="AA111" s="875">
        <f t="shared" si="21"/>
        <v>0</v>
      </c>
      <c r="AB111" s="875">
        <f t="shared" si="21"/>
        <v>0</v>
      </c>
      <c r="AC111" s="878"/>
    </row>
    <row r="112" spans="1:29" ht="41.25" customHeight="1" x14ac:dyDescent="0.2">
      <c r="A112" s="618" t="s">
        <v>1192</v>
      </c>
      <c r="B112" s="619" t="s">
        <v>747</v>
      </c>
      <c r="C112" s="620">
        <v>244</v>
      </c>
      <c r="D112" s="620">
        <v>225</v>
      </c>
      <c r="E112" s="596">
        <f t="shared" si="18"/>
        <v>3859</v>
      </c>
      <c r="F112" s="595">
        <f>'Прилож 4 24 (8)'!V102</f>
        <v>0</v>
      </c>
      <c r="G112" s="595">
        <f>'Прилож 4 24 (8)'!W102</f>
        <v>0</v>
      </c>
      <c r="H112" s="595">
        <f>'Прилож 4 24 (8)'!X102</f>
        <v>3859</v>
      </c>
      <c r="I112" s="628"/>
      <c r="J112" s="595">
        <f>'Прилож 4 24 (8)'!Z102</f>
        <v>0</v>
      </c>
      <c r="K112" s="595">
        <f>'Прилож 4 24 (8)'!AA102</f>
        <v>0</v>
      </c>
      <c r="L112" s="595">
        <f>'Прилож 4 24 (8)'!AB102</f>
        <v>0</v>
      </c>
      <c r="M112" s="876">
        <f t="shared" si="14"/>
        <v>0</v>
      </c>
      <c r="N112" s="875"/>
      <c r="O112" s="875"/>
      <c r="P112" s="875"/>
      <c r="Q112" s="877"/>
      <c r="R112" s="875"/>
      <c r="S112" s="875"/>
      <c r="T112" s="875"/>
      <c r="U112" s="876">
        <f t="shared" si="19"/>
        <v>3859</v>
      </c>
      <c r="V112" s="875">
        <f t="shared" si="17"/>
        <v>0</v>
      </c>
      <c r="W112" s="875">
        <f t="shared" si="20"/>
        <v>0</v>
      </c>
      <c r="X112" s="875">
        <f t="shared" si="20"/>
        <v>3859</v>
      </c>
      <c r="Y112" s="883"/>
      <c r="Z112" s="875">
        <f t="shared" si="21"/>
        <v>0</v>
      </c>
      <c r="AA112" s="875">
        <f t="shared" si="21"/>
        <v>0</v>
      </c>
      <c r="AB112" s="875">
        <f t="shared" si="21"/>
        <v>0</v>
      </c>
      <c r="AC112" s="878"/>
    </row>
    <row r="113" spans="1:29" x14ac:dyDescent="0.2">
      <c r="A113" s="618" t="s">
        <v>1187</v>
      </c>
      <c r="B113" s="619" t="s">
        <v>747</v>
      </c>
      <c r="C113" s="620">
        <v>244</v>
      </c>
      <c r="D113" s="620">
        <v>225</v>
      </c>
      <c r="E113" s="596">
        <f t="shared" si="18"/>
        <v>21600</v>
      </c>
      <c r="F113" s="595">
        <f>'Прилож 4 24 (8)'!V103</f>
        <v>0</v>
      </c>
      <c r="G113" s="595">
        <f>'Прилож 4 24 (8)'!W103</f>
        <v>0</v>
      </c>
      <c r="H113" s="595">
        <f>'Прилож 4 24 (8)'!X103</f>
        <v>21600</v>
      </c>
      <c r="I113" s="628"/>
      <c r="J113" s="595">
        <f>'Прилож 4 24 (8)'!Z103</f>
        <v>0</v>
      </c>
      <c r="K113" s="595">
        <f>'Прилож 4 24 (8)'!AA103</f>
        <v>0</v>
      </c>
      <c r="L113" s="595">
        <f>'Прилож 4 24 (8)'!AB103</f>
        <v>0</v>
      </c>
      <c r="M113" s="876">
        <f t="shared" si="14"/>
        <v>0</v>
      </c>
      <c r="N113" s="875"/>
      <c r="O113" s="875"/>
      <c r="P113" s="875"/>
      <c r="Q113" s="877"/>
      <c r="R113" s="875"/>
      <c r="S113" s="875"/>
      <c r="T113" s="875"/>
      <c r="U113" s="876">
        <f t="shared" si="19"/>
        <v>21600</v>
      </c>
      <c r="V113" s="875">
        <f t="shared" si="17"/>
        <v>0</v>
      </c>
      <c r="W113" s="875">
        <f t="shared" si="20"/>
        <v>0</v>
      </c>
      <c r="X113" s="875">
        <f t="shared" si="20"/>
        <v>21600</v>
      </c>
      <c r="Y113" s="883"/>
      <c r="Z113" s="875">
        <f t="shared" si="21"/>
        <v>0</v>
      </c>
      <c r="AA113" s="875">
        <f t="shared" si="21"/>
        <v>0</v>
      </c>
      <c r="AB113" s="875">
        <f t="shared" si="21"/>
        <v>0</v>
      </c>
      <c r="AC113" s="878"/>
    </row>
    <row r="114" spans="1:29" s="612" customFormat="1" ht="31.5" x14ac:dyDescent="0.2">
      <c r="A114" s="618" t="s">
        <v>1203</v>
      </c>
      <c r="B114" s="619" t="s">
        <v>747</v>
      </c>
      <c r="C114" s="620">
        <v>244</v>
      </c>
      <c r="D114" s="620">
        <v>225</v>
      </c>
      <c r="E114" s="596">
        <f t="shared" si="18"/>
        <v>16551.099999999999</v>
      </c>
      <c r="F114" s="595">
        <f>'Прилож 4 24 (8)'!V104</f>
        <v>0</v>
      </c>
      <c r="G114" s="595">
        <f>'Прилож 4 24 (8)'!W104</f>
        <v>0</v>
      </c>
      <c r="H114" s="595">
        <f>'Прилож 4 24 (8)'!X104</f>
        <v>16551.099999999999</v>
      </c>
      <c r="I114" s="628"/>
      <c r="J114" s="595">
        <f>'Прилож 4 24 (8)'!Z104</f>
        <v>0</v>
      </c>
      <c r="K114" s="595">
        <f>'Прилож 4 24 (8)'!AA104</f>
        <v>0</v>
      </c>
      <c r="L114" s="595">
        <f>'Прилож 4 24 (8)'!AB104</f>
        <v>0</v>
      </c>
      <c r="M114" s="876">
        <f t="shared" si="14"/>
        <v>0</v>
      </c>
      <c r="N114" s="875"/>
      <c r="O114" s="875"/>
      <c r="P114" s="875"/>
      <c r="Q114" s="877"/>
      <c r="R114" s="875"/>
      <c r="S114" s="875"/>
      <c r="T114" s="875"/>
      <c r="U114" s="876">
        <f t="shared" si="19"/>
        <v>16551.099999999999</v>
      </c>
      <c r="V114" s="875">
        <f t="shared" si="17"/>
        <v>0</v>
      </c>
      <c r="W114" s="875">
        <f t="shared" si="20"/>
        <v>0</v>
      </c>
      <c r="X114" s="875">
        <f t="shared" si="20"/>
        <v>16551.099999999999</v>
      </c>
      <c r="Y114" s="883"/>
      <c r="Z114" s="875">
        <f t="shared" si="21"/>
        <v>0</v>
      </c>
      <c r="AA114" s="875">
        <f t="shared" si="21"/>
        <v>0</v>
      </c>
      <c r="AB114" s="875">
        <f t="shared" si="21"/>
        <v>0</v>
      </c>
      <c r="AC114" s="878"/>
    </row>
    <row r="115" spans="1:29" s="612" customFormat="1" ht="32.25" customHeight="1" x14ac:dyDescent="0.2">
      <c r="A115" s="618" t="s">
        <v>583</v>
      </c>
      <c r="B115" s="619" t="s">
        <v>747</v>
      </c>
      <c r="C115" s="620">
        <v>244</v>
      </c>
      <c r="D115" s="620">
        <v>225</v>
      </c>
      <c r="E115" s="596">
        <f t="shared" si="18"/>
        <v>8330</v>
      </c>
      <c r="F115" s="595">
        <f>'Прилож 4 24 (8)'!V105</f>
        <v>0</v>
      </c>
      <c r="G115" s="595">
        <f>'Прилож 4 24 (8)'!W105</f>
        <v>0</v>
      </c>
      <c r="H115" s="595">
        <f>'Прилож 4 24 (8)'!X105</f>
        <v>8330</v>
      </c>
      <c r="I115" s="628"/>
      <c r="J115" s="595">
        <f>'Прилож 4 24 (8)'!Z105</f>
        <v>0</v>
      </c>
      <c r="K115" s="595">
        <f>'Прилож 4 24 (8)'!AA105</f>
        <v>0</v>
      </c>
      <c r="L115" s="595">
        <f>'Прилож 4 24 (8)'!AB105</f>
        <v>0</v>
      </c>
      <c r="M115" s="876">
        <f t="shared" si="14"/>
        <v>0</v>
      </c>
      <c r="N115" s="875"/>
      <c r="O115" s="875"/>
      <c r="P115" s="875"/>
      <c r="Q115" s="877"/>
      <c r="R115" s="875"/>
      <c r="S115" s="875"/>
      <c r="T115" s="875"/>
      <c r="U115" s="876">
        <f t="shared" si="19"/>
        <v>8330</v>
      </c>
      <c r="V115" s="875">
        <f t="shared" si="17"/>
        <v>0</v>
      </c>
      <c r="W115" s="875">
        <f t="shared" si="20"/>
        <v>0</v>
      </c>
      <c r="X115" s="875">
        <f t="shared" si="20"/>
        <v>8330</v>
      </c>
      <c r="Y115" s="883"/>
      <c r="Z115" s="875">
        <f t="shared" si="21"/>
        <v>0</v>
      </c>
      <c r="AA115" s="875">
        <f t="shared" si="21"/>
        <v>0</v>
      </c>
      <c r="AB115" s="875">
        <f t="shared" si="21"/>
        <v>0</v>
      </c>
      <c r="AC115" s="878"/>
    </row>
    <row r="116" spans="1:29" s="612" customFormat="1" x14ac:dyDescent="0.2">
      <c r="A116" s="618" t="s">
        <v>1297</v>
      </c>
      <c r="B116" s="619" t="s">
        <v>747</v>
      </c>
      <c r="C116" s="620">
        <v>244</v>
      </c>
      <c r="D116" s="620">
        <v>225</v>
      </c>
      <c r="E116" s="596">
        <f t="shared" si="18"/>
        <v>4000</v>
      </c>
      <c r="F116" s="595">
        <f>'Прилож 4 24 (8)'!V106</f>
        <v>0</v>
      </c>
      <c r="G116" s="595">
        <f>'Прилож 4 24 (8)'!W106</f>
        <v>0</v>
      </c>
      <c r="H116" s="595">
        <f>'Прилож 4 24 (8)'!X106</f>
        <v>4000</v>
      </c>
      <c r="I116" s="628"/>
      <c r="J116" s="595">
        <f>'Прилож 4 24 (8)'!Z106</f>
        <v>0</v>
      </c>
      <c r="K116" s="595">
        <f>'Прилож 4 24 (8)'!AA106</f>
        <v>0</v>
      </c>
      <c r="L116" s="595">
        <f>'Прилож 4 24 (8)'!AB106</f>
        <v>0</v>
      </c>
      <c r="M116" s="876">
        <f t="shared" ref="M116:M174" si="22">N116+P116+R116+S116+T116+O116</f>
        <v>0</v>
      </c>
      <c r="N116" s="875"/>
      <c r="O116" s="875"/>
      <c r="P116" s="875"/>
      <c r="Q116" s="877"/>
      <c r="R116" s="875"/>
      <c r="S116" s="875"/>
      <c r="T116" s="875"/>
      <c r="U116" s="876">
        <f t="shared" si="19"/>
        <v>4000</v>
      </c>
      <c r="V116" s="875">
        <f t="shared" si="17"/>
        <v>0</v>
      </c>
      <c r="W116" s="875">
        <f t="shared" ref="W116:X147" si="23">O116+G116</f>
        <v>0</v>
      </c>
      <c r="X116" s="875">
        <f t="shared" si="23"/>
        <v>4000</v>
      </c>
      <c r="Y116" s="883"/>
      <c r="Z116" s="875">
        <f t="shared" ref="Z116:AB129" si="24">R116+J116</f>
        <v>0</v>
      </c>
      <c r="AA116" s="875">
        <f t="shared" si="24"/>
        <v>0</v>
      </c>
      <c r="AB116" s="875">
        <f t="shared" si="24"/>
        <v>0</v>
      </c>
      <c r="AC116" s="878"/>
    </row>
    <row r="117" spans="1:29" s="612" customFormat="1" ht="50.25" customHeight="1" x14ac:dyDescent="0.2">
      <c r="A117" s="618" t="s">
        <v>1204</v>
      </c>
      <c r="B117" s="619" t="s">
        <v>747</v>
      </c>
      <c r="C117" s="620">
        <v>244</v>
      </c>
      <c r="D117" s="620">
        <v>225</v>
      </c>
      <c r="E117" s="596">
        <f t="shared" si="18"/>
        <v>20000</v>
      </c>
      <c r="F117" s="595">
        <f>'Прилож 4 24 (8)'!V107</f>
        <v>0</v>
      </c>
      <c r="G117" s="595">
        <f>'Прилож 4 24 (8)'!W107</f>
        <v>0</v>
      </c>
      <c r="H117" s="595">
        <f>'Прилож 4 24 (8)'!X107</f>
        <v>20000</v>
      </c>
      <c r="I117" s="628"/>
      <c r="J117" s="595">
        <f>'Прилож 4 24 (8)'!Z107</f>
        <v>0</v>
      </c>
      <c r="K117" s="595">
        <f>'Прилож 4 24 (8)'!AA107</f>
        <v>0</v>
      </c>
      <c r="L117" s="595">
        <f>'Прилож 4 24 (8)'!AB107</f>
        <v>0</v>
      </c>
      <c r="M117" s="876">
        <f t="shared" si="22"/>
        <v>-13057.66</v>
      </c>
      <c r="N117" s="875"/>
      <c r="O117" s="875"/>
      <c r="P117" s="875">
        <f>-1503.96-11553.7</f>
        <v>-13057.66</v>
      </c>
      <c r="Q117" s="877"/>
      <c r="R117" s="875"/>
      <c r="S117" s="875"/>
      <c r="T117" s="875"/>
      <c r="U117" s="876">
        <f t="shared" si="19"/>
        <v>6942.34</v>
      </c>
      <c r="V117" s="875">
        <f t="shared" si="17"/>
        <v>0</v>
      </c>
      <c r="W117" s="875">
        <f t="shared" si="23"/>
        <v>0</v>
      </c>
      <c r="X117" s="875">
        <f t="shared" si="23"/>
        <v>6942.34</v>
      </c>
      <c r="Y117" s="883"/>
      <c r="Z117" s="875">
        <f t="shared" si="24"/>
        <v>0</v>
      </c>
      <c r="AA117" s="875">
        <f t="shared" si="24"/>
        <v>0</v>
      </c>
      <c r="AB117" s="875">
        <f t="shared" si="24"/>
        <v>0</v>
      </c>
      <c r="AC117" s="878" t="s">
        <v>1531</v>
      </c>
    </row>
    <row r="118" spans="1:29" s="612" customFormat="1" ht="31.5" customHeight="1" x14ac:dyDescent="0.2">
      <c r="A118" s="618" t="s">
        <v>143</v>
      </c>
      <c r="B118" s="619" t="s">
        <v>747</v>
      </c>
      <c r="C118" s="620">
        <v>244</v>
      </c>
      <c r="D118" s="620">
        <v>225</v>
      </c>
      <c r="E118" s="596">
        <f t="shared" si="18"/>
        <v>12104.58</v>
      </c>
      <c r="F118" s="595">
        <f>'Прилож 4 24 (8)'!V108</f>
        <v>0</v>
      </c>
      <c r="G118" s="595">
        <f>'Прилож 4 24 (8)'!W108</f>
        <v>0</v>
      </c>
      <c r="H118" s="595">
        <f>'Прилож 4 24 (8)'!X108</f>
        <v>12104.58</v>
      </c>
      <c r="I118" s="628"/>
      <c r="J118" s="595">
        <f>'Прилож 4 24 (8)'!Z108</f>
        <v>0</v>
      </c>
      <c r="K118" s="595">
        <f>'Прилож 4 24 (8)'!AA108</f>
        <v>0</v>
      </c>
      <c r="L118" s="595">
        <f>'Прилож 4 24 (8)'!AB108</f>
        <v>0</v>
      </c>
      <c r="M118" s="876">
        <f t="shared" si="22"/>
        <v>0</v>
      </c>
      <c r="N118" s="875"/>
      <c r="O118" s="875"/>
      <c r="P118" s="875"/>
      <c r="Q118" s="877"/>
      <c r="R118" s="875"/>
      <c r="S118" s="875"/>
      <c r="T118" s="875"/>
      <c r="U118" s="876">
        <f t="shared" si="19"/>
        <v>12104.58</v>
      </c>
      <c r="V118" s="875">
        <f t="shared" si="17"/>
        <v>0</v>
      </c>
      <c r="W118" s="875">
        <f t="shared" si="23"/>
        <v>0</v>
      </c>
      <c r="X118" s="875">
        <f t="shared" si="23"/>
        <v>12104.58</v>
      </c>
      <c r="Y118" s="883"/>
      <c r="Z118" s="875">
        <f t="shared" si="24"/>
        <v>0</v>
      </c>
      <c r="AA118" s="875">
        <f t="shared" si="24"/>
        <v>0</v>
      </c>
      <c r="AB118" s="875">
        <f t="shared" si="24"/>
        <v>0</v>
      </c>
      <c r="AC118" s="878"/>
    </row>
    <row r="119" spans="1:29" s="612" customFormat="1" ht="31.5" x14ac:dyDescent="0.2">
      <c r="A119" s="618" t="s">
        <v>645</v>
      </c>
      <c r="B119" s="619" t="s">
        <v>747</v>
      </c>
      <c r="C119" s="620">
        <v>244</v>
      </c>
      <c r="D119" s="620">
        <v>225</v>
      </c>
      <c r="E119" s="596">
        <f t="shared" si="18"/>
        <v>0</v>
      </c>
      <c r="F119" s="595">
        <f>'Прилож 4 24 (8)'!V109</f>
        <v>0</v>
      </c>
      <c r="G119" s="595">
        <f>'Прилож 4 24 (8)'!W109</f>
        <v>0</v>
      </c>
      <c r="H119" s="595">
        <f>'Прилож 4 24 (8)'!X109</f>
        <v>0</v>
      </c>
      <c r="I119" s="628"/>
      <c r="J119" s="595">
        <f>'Прилож 4 24 (8)'!Z109</f>
        <v>0</v>
      </c>
      <c r="K119" s="595">
        <f>'Прилож 4 24 (8)'!AA109</f>
        <v>0</v>
      </c>
      <c r="L119" s="595">
        <f>'Прилож 4 24 (8)'!AB109</f>
        <v>0</v>
      </c>
      <c r="M119" s="876">
        <f t="shared" si="22"/>
        <v>0</v>
      </c>
      <c r="N119" s="875"/>
      <c r="O119" s="875"/>
      <c r="P119" s="875"/>
      <c r="Q119" s="877"/>
      <c r="R119" s="875"/>
      <c r="S119" s="875"/>
      <c r="T119" s="875"/>
      <c r="U119" s="876">
        <f t="shared" si="19"/>
        <v>0</v>
      </c>
      <c r="V119" s="875">
        <f t="shared" si="17"/>
        <v>0</v>
      </c>
      <c r="W119" s="875">
        <f t="shared" si="23"/>
        <v>0</v>
      </c>
      <c r="X119" s="875">
        <f t="shared" si="23"/>
        <v>0</v>
      </c>
      <c r="Y119" s="883"/>
      <c r="Z119" s="875">
        <f t="shared" si="24"/>
        <v>0</v>
      </c>
      <c r="AA119" s="875">
        <f t="shared" si="24"/>
        <v>0</v>
      </c>
      <c r="AB119" s="875">
        <f t="shared" si="24"/>
        <v>0</v>
      </c>
      <c r="AC119" s="878"/>
    </row>
    <row r="120" spans="1:29" s="612" customFormat="1" ht="31.5" x14ac:dyDescent="0.2">
      <c r="A120" s="618" t="s">
        <v>646</v>
      </c>
      <c r="B120" s="619" t="s">
        <v>747</v>
      </c>
      <c r="C120" s="620">
        <v>244</v>
      </c>
      <c r="D120" s="620">
        <v>225</v>
      </c>
      <c r="E120" s="596">
        <f t="shared" si="18"/>
        <v>44200</v>
      </c>
      <c r="F120" s="595">
        <f>'Прилож 4 24 (8)'!V110</f>
        <v>0</v>
      </c>
      <c r="G120" s="595">
        <f>'Прилож 4 24 (8)'!W110</f>
        <v>0</v>
      </c>
      <c r="H120" s="595">
        <f>'Прилож 4 24 (8)'!X110</f>
        <v>44200</v>
      </c>
      <c r="I120" s="628"/>
      <c r="J120" s="595">
        <f>'Прилож 4 24 (8)'!Z110</f>
        <v>0</v>
      </c>
      <c r="K120" s="595">
        <f>'Прилож 4 24 (8)'!AA110</f>
        <v>0</v>
      </c>
      <c r="L120" s="595">
        <f>'Прилож 4 24 (8)'!AB110</f>
        <v>0</v>
      </c>
      <c r="M120" s="876">
        <f t="shared" si="22"/>
        <v>0</v>
      </c>
      <c r="N120" s="875"/>
      <c r="O120" s="875"/>
      <c r="P120" s="875"/>
      <c r="Q120" s="877"/>
      <c r="R120" s="875"/>
      <c r="S120" s="875"/>
      <c r="T120" s="875"/>
      <c r="U120" s="876">
        <f t="shared" si="19"/>
        <v>44200</v>
      </c>
      <c r="V120" s="875">
        <f t="shared" si="17"/>
        <v>0</v>
      </c>
      <c r="W120" s="875">
        <f t="shared" si="23"/>
        <v>0</v>
      </c>
      <c r="X120" s="875">
        <f t="shared" si="23"/>
        <v>44200</v>
      </c>
      <c r="Y120" s="883"/>
      <c r="Z120" s="875">
        <f t="shared" si="24"/>
        <v>0</v>
      </c>
      <c r="AA120" s="875">
        <f t="shared" si="24"/>
        <v>0</v>
      </c>
      <c r="AB120" s="875">
        <f t="shared" si="24"/>
        <v>0</v>
      </c>
      <c r="AC120" s="878"/>
    </row>
    <row r="121" spans="1:29" s="612" customFormat="1" ht="38.25" customHeight="1" x14ac:dyDescent="0.2">
      <c r="A121" s="618" t="s">
        <v>146</v>
      </c>
      <c r="B121" s="619" t="s">
        <v>747</v>
      </c>
      <c r="C121" s="620">
        <v>244</v>
      </c>
      <c r="D121" s="620">
        <v>225</v>
      </c>
      <c r="E121" s="596">
        <f t="shared" si="18"/>
        <v>20000</v>
      </c>
      <c r="F121" s="595">
        <f>'Прилож 4 24 (8)'!V111</f>
        <v>0</v>
      </c>
      <c r="G121" s="595">
        <f>'Прилож 4 24 (8)'!W111</f>
        <v>0</v>
      </c>
      <c r="H121" s="595">
        <f>'Прилож 4 24 (8)'!X111</f>
        <v>20000</v>
      </c>
      <c r="I121" s="628"/>
      <c r="J121" s="595">
        <f>'Прилож 4 24 (8)'!Z111</f>
        <v>0</v>
      </c>
      <c r="K121" s="595">
        <f>'Прилож 4 24 (8)'!AA111</f>
        <v>0</v>
      </c>
      <c r="L121" s="595">
        <f>'Прилож 4 24 (8)'!AB111</f>
        <v>0</v>
      </c>
      <c r="M121" s="876">
        <f t="shared" si="22"/>
        <v>-18089.8</v>
      </c>
      <c r="N121" s="875"/>
      <c r="O121" s="875"/>
      <c r="P121" s="875">
        <f>-5931.72-5158.08-7000</f>
        <v>-18089.8</v>
      </c>
      <c r="Q121" s="877"/>
      <c r="R121" s="875"/>
      <c r="S121" s="875"/>
      <c r="T121" s="875"/>
      <c r="U121" s="876">
        <f t="shared" si="19"/>
        <v>1910.2000000000007</v>
      </c>
      <c r="V121" s="875">
        <f t="shared" si="17"/>
        <v>0</v>
      </c>
      <c r="W121" s="875">
        <f t="shared" si="23"/>
        <v>0</v>
      </c>
      <c r="X121" s="875">
        <f t="shared" si="23"/>
        <v>1910.2000000000007</v>
      </c>
      <c r="Y121" s="883"/>
      <c r="Z121" s="875">
        <f t="shared" si="24"/>
        <v>0</v>
      </c>
      <c r="AA121" s="875">
        <f t="shared" si="24"/>
        <v>0</v>
      </c>
      <c r="AB121" s="875">
        <f t="shared" si="24"/>
        <v>0</v>
      </c>
      <c r="AC121" s="878" t="s">
        <v>1532</v>
      </c>
    </row>
    <row r="122" spans="1:29" s="612" customFormat="1" ht="47.25" x14ac:dyDescent="0.2">
      <c r="A122" s="618" t="s">
        <v>148</v>
      </c>
      <c r="B122" s="619" t="s">
        <v>747</v>
      </c>
      <c r="C122" s="620">
        <v>244</v>
      </c>
      <c r="D122" s="620">
        <v>225</v>
      </c>
      <c r="E122" s="596">
        <f t="shared" si="18"/>
        <v>12000</v>
      </c>
      <c r="F122" s="595">
        <f>'Прилож 4 24 (8)'!V112</f>
        <v>0</v>
      </c>
      <c r="G122" s="595">
        <f>'Прилож 4 24 (8)'!W112</f>
        <v>0</v>
      </c>
      <c r="H122" s="595">
        <f>'Прилож 4 24 (8)'!X112</f>
        <v>12000</v>
      </c>
      <c r="I122" s="628"/>
      <c r="J122" s="595">
        <f>'Прилож 4 24 (8)'!Z112</f>
        <v>0</v>
      </c>
      <c r="K122" s="595">
        <f>'Прилож 4 24 (8)'!AA112</f>
        <v>0</v>
      </c>
      <c r="L122" s="595">
        <f>'Прилож 4 24 (8)'!AB112</f>
        <v>0</v>
      </c>
      <c r="M122" s="876">
        <f t="shared" si="22"/>
        <v>0</v>
      </c>
      <c r="N122" s="875"/>
      <c r="O122" s="875"/>
      <c r="P122" s="875"/>
      <c r="Q122" s="877"/>
      <c r="R122" s="875"/>
      <c r="S122" s="875"/>
      <c r="T122" s="875"/>
      <c r="U122" s="876">
        <f t="shared" si="19"/>
        <v>12000</v>
      </c>
      <c r="V122" s="875">
        <f t="shared" si="17"/>
        <v>0</v>
      </c>
      <c r="W122" s="875">
        <f t="shared" si="23"/>
        <v>0</v>
      </c>
      <c r="X122" s="875">
        <f t="shared" si="23"/>
        <v>12000</v>
      </c>
      <c r="Y122" s="883"/>
      <c r="Z122" s="875">
        <f t="shared" si="24"/>
        <v>0</v>
      </c>
      <c r="AA122" s="875">
        <f t="shared" si="24"/>
        <v>0</v>
      </c>
      <c r="AB122" s="875">
        <f t="shared" si="24"/>
        <v>0</v>
      </c>
      <c r="AC122" s="878"/>
    </row>
    <row r="123" spans="1:29" s="612" customFormat="1" ht="42" customHeight="1" x14ac:dyDescent="0.2">
      <c r="A123" s="618" t="s">
        <v>149</v>
      </c>
      <c r="B123" s="619" t="s">
        <v>747</v>
      </c>
      <c r="C123" s="620">
        <v>244</v>
      </c>
      <c r="D123" s="620">
        <v>225</v>
      </c>
      <c r="E123" s="596">
        <f t="shared" si="18"/>
        <v>3033.2200000000003</v>
      </c>
      <c r="F123" s="595">
        <f>'Прилож 4 24 (8)'!V113</f>
        <v>0</v>
      </c>
      <c r="G123" s="595">
        <f>'Прилож 4 24 (8)'!W113</f>
        <v>0</v>
      </c>
      <c r="H123" s="595">
        <f>'Прилож 4 24 (8)'!X113</f>
        <v>3033.2200000000003</v>
      </c>
      <c r="I123" s="628"/>
      <c r="J123" s="595">
        <f>'Прилож 4 24 (8)'!Z113</f>
        <v>0</v>
      </c>
      <c r="K123" s="595">
        <f>'Прилож 4 24 (8)'!AA113</f>
        <v>0</v>
      </c>
      <c r="L123" s="595">
        <f>'Прилож 4 24 (8)'!AB113</f>
        <v>0</v>
      </c>
      <c r="M123" s="876">
        <f t="shared" si="22"/>
        <v>-683.22</v>
      </c>
      <c r="N123" s="875"/>
      <c r="O123" s="875"/>
      <c r="P123" s="875">
        <v>-683.22</v>
      </c>
      <c r="Q123" s="877"/>
      <c r="R123" s="875"/>
      <c r="S123" s="875"/>
      <c r="T123" s="875"/>
      <c r="U123" s="876">
        <f t="shared" si="19"/>
        <v>2350</v>
      </c>
      <c r="V123" s="875">
        <f t="shared" si="19"/>
        <v>0</v>
      </c>
      <c r="W123" s="875">
        <f t="shared" si="23"/>
        <v>0</v>
      </c>
      <c r="X123" s="875">
        <f t="shared" si="23"/>
        <v>2350</v>
      </c>
      <c r="Y123" s="883"/>
      <c r="Z123" s="875">
        <f t="shared" si="24"/>
        <v>0</v>
      </c>
      <c r="AA123" s="875">
        <f t="shared" si="24"/>
        <v>0</v>
      </c>
      <c r="AB123" s="875">
        <f t="shared" si="24"/>
        <v>0</v>
      </c>
      <c r="AC123" s="878" t="s">
        <v>1533</v>
      </c>
    </row>
    <row r="124" spans="1:29" s="612" customFormat="1" ht="27.75" customHeight="1" x14ac:dyDescent="0.2">
      <c r="A124" s="618" t="s">
        <v>647</v>
      </c>
      <c r="B124" s="619" t="s">
        <v>747</v>
      </c>
      <c r="C124" s="620">
        <v>244</v>
      </c>
      <c r="D124" s="620">
        <v>225</v>
      </c>
      <c r="E124" s="596">
        <f t="shared" ref="E124:E134" si="25">L124+K124+J124+H124+G124+F124</f>
        <v>10000</v>
      </c>
      <c r="F124" s="595">
        <f>'Прилож 4 24 (8)'!V114</f>
        <v>0</v>
      </c>
      <c r="G124" s="595">
        <f>'Прилож 4 24 (8)'!W114</f>
        <v>0</v>
      </c>
      <c r="H124" s="595">
        <f>'Прилож 4 24 (8)'!X114</f>
        <v>10000</v>
      </c>
      <c r="I124" s="628"/>
      <c r="J124" s="595">
        <f>'Прилож 4 24 (8)'!Z114</f>
        <v>0</v>
      </c>
      <c r="K124" s="595">
        <f>'Прилож 4 24 (8)'!AA114</f>
        <v>0</v>
      </c>
      <c r="L124" s="595">
        <f>'Прилож 4 24 (8)'!AB114</f>
        <v>0</v>
      </c>
      <c r="M124" s="876">
        <f t="shared" si="22"/>
        <v>6614.9400000000005</v>
      </c>
      <c r="N124" s="875"/>
      <c r="O124" s="875"/>
      <c r="P124" s="875">
        <f>5931.72+683.22</f>
        <v>6614.9400000000005</v>
      </c>
      <c r="Q124" s="877"/>
      <c r="R124" s="875"/>
      <c r="S124" s="875"/>
      <c r="T124" s="875"/>
      <c r="U124" s="876">
        <f t="shared" ref="U124:V187" si="26">E124+M124</f>
        <v>16614.940000000002</v>
      </c>
      <c r="V124" s="875">
        <f t="shared" si="26"/>
        <v>0</v>
      </c>
      <c r="W124" s="875">
        <f t="shared" si="23"/>
        <v>0</v>
      </c>
      <c r="X124" s="875">
        <f t="shared" si="23"/>
        <v>16614.940000000002</v>
      </c>
      <c r="Y124" s="883"/>
      <c r="Z124" s="875">
        <f t="shared" si="24"/>
        <v>0</v>
      </c>
      <c r="AA124" s="875">
        <f t="shared" si="24"/>
        <v>0</v>
      </c>
      <c r="AB124" s="875">
        <f t="shared" si="24"/>
        <v>0</v>
      </c>
      <c r="AC124" s="878" t="s">
        <v>1458</v>
      </c>
    </row>
    <row r="125" spans="1:29" s="612" customFormat="1" ht="31.5" x14ac:dyDescent="0.2">
      <c r="A125" s="618" t="s">
        <v>1185</v>
      </c>
      <c r="B125" s="619" t="s">
        <v>747</v>
      </c>
      <c r="C125" s="620">
        <v>244</v>
      </c>
      <c r="D125" s="620">
        <v>225</v>
      </c>
      <c r="E125" s="596">
        <f t="shared" si="25"/>
        <v>19716</v>
      </c>
      <c r="F125" s="595">
        <f>'Прилож 4 24 (8)'!V115</f>
        <v>0</v>
      </c>
      <c r="G125" s="595">
        <f>'Прилож 4 24 (8)'!W115</f>
        <v>0</v>
      </c>
      <c r="H125" s="595">
        <f>'Прилож 4 24 (8)'!X115</f>
        <v>19716</v>
      </c>
      <c r="I125" s="628"/>
      <c r="J125" s="595">
        <f>'Прилож 4 24 (8)'!Z115</f>
        <v>0</v>
      </c>
      <c r="K125" s="595">
        <f>'Прилож 4 24 (8)'!AA115</f>
        <v>0</v>
      </c>
      <c r="L125" s="595">
        <f>'Прилож 4 24 (8)'!AB115</f>
        <v>0</v>
      </c>
      <c r="M125" s="876">
        <f t="shared" si="22"/>
        <v>0</v>
      </c>
      <c r="N125" s="875"/>
      <c r="O125" s="875"/>
      <c r="P125" s="875"/>
      <c r="Q125" s="877"/>
      <c r="R125" s="875"/>
      <c r="S125" s="875"/>
      <c r="T125" s="875"/>
      <c r="U125" s="876">
        <f t="shared" si="26"/>
        <v>19716</v>
      </c>
      <c r="V125" s="875">
        <f t="shared" si="26"/>
        <v>0</v>
      </c>
      <c r="W125" s="875">
        <f t="shared" si="23"/>
        <v>0</v>
      </c>
      <c r="X125" s="875">
        <f t="shared" si="23"/>
        <v>19716</v>
      </c>
      <c r="Y125" s="883"/>
      <c r="Z125" s="875">
        <f t="shared" si="24"/>
        <v>0</v>
      </c>
      <c r="AA125" s="875">
        <f t="shared" si="24"/>
        <v>0</v>
      </c>
      <c r="AB125" s="875">
        <f t="shared" si="24"/>
        <v>0</v>
      </c>
      <c r="AC125" s="878"/>
    </row>
    <row r="126" spans="1:29" s="612" customFormat="1" ht="31.5" x14ac:dyDescent="0.2">
      <c r="A126" s="618" t="s">
        <v>587</v>
      </c>
      <c r="B126" s="619" t="s">
        <v>747</v>
      </c>
      <c r="C126" s="620">
        <v>244</v>
      </c>
      <c r="D126" s="620">
        <v>225</v>
      </c>
      <c r="E126" s="596">
        <f t="shared" si="25"/>
        <v>14952</v>
      </c>
      <c r="F126" s="595">
        <f>'Прилож 4 24 (8)'!V116</f>
        <v>0</v>
      </c>
      <c r="G126" s="595">
        <f>'Прилож 4 24 (8)'!W116</f>
        <v>0</v>
      </c>
      <c r="H126" s="595">
        <f>'Прилож 4 24 (8)'!X116</f>
        <v>14952</v>
      </c>
      <c r="I126" s="628"/>
      <c r="J126" s="595">
        <f>'Прилож 4 24 (8)'!Z116</f>
        <v>0</v>
      </c>
      <c r="K126" s="595">
        <f>'Прилож 4 24 (8)'!AA116</f>
        <v>0</v>
      </c>
      <c r="L126" s="595">
        <f>'Прилож 4 24 (8)'!AB116</f>
        <v>0</v>
      </c>
      <c r="M126" s="876">
        <f t="shared" si="22"/>
        <v>0</v>
      </c>
      <c r="N126" s="875"/>
      <c r="O126" s="875"/>
      <c r="P126" s="875"/>
      <c r="Q126" s="877"/>
      <c r="R126" s="875"/>
      <c r="S126" s="875"/>
      <c r="T126" s="875"/>
      <c r="U126" s="876">
        <f t="shared" si="26"/>
        <v>14952</v>
      </c>
      <c r="V126" s="875">
        <f t="shared" si="26"/>
        <v>0</v>
      </c>
      <c r="W126" s="875">
        <f t="shared" si="23"/>
        <v>0</v>
      </c>
      <c r="X126" s="875">
        <f t="shared" si="23"/>
        <v>14952</v>
      </c>
      <c r="Y126" s="883"/>
      <c r="Z126" s="875">
        <f t="shared" si="24"/>
        <v>0</v>
      </c>
      <c r="AA126" s="875">
        <f t="shared" si="24"/>
        <v>0</v>
      </c>
      <c r="AB126" s="875">
        <f t="shared" si="24"/>
        <v>0</v>
      </c>
      <c r="AC126" s="878"/>
    </row>
    <row r="127" spans="1:29" s="612" customFormat="1" ht="22.5" customHeight="1" x14ac:dyDescent="0.2">
      <c r="A127" s="618" t="s">
        <v>1109</v>
      </c>
      <c r="B127" s="619" t="s">
        <v>747</v>
      </c>
      <c r="C127" s="620">
        <v>244</v>
      </c>
      <c r="D127" s="620">
        <v>225</v>
      </c>
      <c r="E127" s="596">
        <f t="shared" si="25"/>
        <v>45398.879999999997</v>
      </c>
      <c r="F127" s="595">
        <f>'Прилож 4 24 (8)'!V117</f>
        <v>0</v>
      </c>
      <c r="G127" s="595">
        <f>'Прилож 4 24 (8)'!W117</f>
        <v>0</v>
      </c>
      <c r="H127" s="595">
        <f>'Прилож 4 24 (8)'!X117</f>
        <v>45398.879999999997</v>
      </c>
      <c r="I127" s="621"/>
      <c r="J127" s="595">
        <f>'Прилож 4 24 (8)'!Z117</f>
        <v>0</v>
      </c>
      <c r="K127" s="595">
        <f>'Прилож 4 24 (8)'!AA117</f>
        <v>0</v>
      </c>
      <c r="L127" s="595">
        <f>'Прилож 4 24 (8)'!AB117</f>
        <v>0</v>
      </c>
      <c r="M127" s="876">
        <f t="shared" si="22"/>
        <v>0</v>
      </c>
      <c r="N127" s="875"/>
      <c r="O127" s="875"/>
      <c r="P127" s="875"/>
      <c r="Q127" s="877"/>
      <c r="R127" s="875"/>
      <c r="S127" s="875"/>
      <c r="T127" s="875"/>
      <c r="U127" s="876">
        <f t="shared" si="26"/>
        <v>45398.879999999997</v>
      </c>
      <c r="V127" s="875">
        <f t="shared" si="26"/>
        <v>0</v>
      </c>
      <c r="W127" s="875">
        <f t="shared" si="23"/>
        <v>0</v>
      </c>
      <c r="X127" s="875">
        <f t="shared" si="23"/>
        <v>45398.879999999997</v>
      </c>
      <c r="Y127" s="877"/>
      <c r="Z127" s="875">
        <f t="shared" si="24"/>
        <v>0</v>
      </c>
      <c r="AA127" s="875">
        <f t="shared" si="24"/>
        <v>0</v>
      </c>
      <c r="AB127" s="875">
        <f t="shared" si="24"/>
        <v>0</v>
      </c>
      <c r="AC127" s="878"/>
    </row>
    <row r="128" spans="1:29" ht="31.5" x14ac:dyDescent="0.2">
      <c r="A128" s="618" t="s">
        <v>157</v>
      </c>
      <c r="B128" s="619" t="s">
        <v>747</v>
      </c>
      <c r="C128" s="620">
        <v>244</v>
      </c>
      <c r="D128" s="620">
        <v>225</v>
      </c>
      <c r="E128" s="596">
        <f t="shared" si="25"/>
        <v>8500</v>
      </c>
      <c r="F128" s="595">
        <f>'Прилож 4 24 (8)'!V118</f>
        <v>0</v>
      </c>
      <c r="G128" s="595">
        <f>'Прилож 4 24 (8)'!W118</f>
        <v>0</v>
      </c>
      <c r="H128" s="595">
        <f>'Прилож 4 24 (8)'!X118</f>
        <v>8500</v>
      </c>
      <c r="I128" s="628"/>
      <c r="J128" s="595">
        <f>'Прилож 4 24 (8)'!Z118</f>
        <v>0</v>
      </c>
      <c r="K128" s="595">
        <f>'Прилож 4 24 (8)'!AA118</f>
        <v>0</v>
      </c>
      <c r="L128" s="595">
        <f>'Прилож 4 24 (8)'!AB118</f>
        <v>0</v>
      </c>
      <c r="M128" s="876">
        <f t="shared" si="22"/>
        <v>0</v>
      </c>
      <c r="N128" s="875"/>
      <c r="O128" s="875"/>
      <c r="P128" s="875"/>
      <c r="Q128" s="877"/>
      <c r="R128" s="875"/>
      <c r="S128" s="875"/>
      <c r="T128" s="875"/>
      <c r="U128" s="876">
        <f t="shared" si="26"/>
        <v>8500</v>
      </c>
      <c r="V128" s="875">
        <f t="shared" si="26"/>
        <v>0</v>
      </c>
      <c r="W128" s="875">
        <f t="shared" si="23"/>
        <v>0</v>
      </c>
      <c r="X128" s="875">
        <f t="shared" si="23"/>
        <v>8500</v>
      </c>
      <c r="Y128" s="883"/>
      <c r="Z128" s="875">
        <f t="shared" si="24"/>
        <v>0</v>
      </c>
      <c r="AA128" s="875">
        <f t="shared" si="24"/>
        <v>0</v>
      </c>
      <c r="AB128" s="875">
        <f t="shared" si="24"/>
        <v>0</v>
      </c>
      <c r="AC128" s="878"/>
    </row>
    <row r="129" spans="1:29" ht="34.15" customHeight="1" x14ac:dyDescent="0.2">
      <c r="A129" s="618" t="s">
        <v>1317</v>
      </c>
      <c r="B129" s="619" t="s">
        <v>747</v>
      </c>
      <c r="C129" s="620">
        <v>244</v>
      </c>
      <c r="D129" s="620">
        <v>225</v>
      </c>
      <c r="E129" s="596">
        <f t="shared" si="25"/>
        <v>202823.2</v>
      </c>
      <c r="F129" s="595">
        <f>'Прилож 4 24 (8)'!V119</f>
        <v>0</v>
      </c>
      <c r="G129" s="595">
        <f>'Прилож 4 24 (8)'!W119</f>
        <v>0</v>
      </c>
      <c r="H129" s="595">
        <f>'Прилож 4 24 (8)'!X119</f>
        <v>0</v>
      </c>
      <c r="I129" s="623" t="s">
        <v>1322</v>
      </c>
      <c r="J129" s="595">
        <f>'Прилож 4 24 (8)'!Z119</f>
        <v>0</v>
      </c>
      <c r="K129" s="595">
        <f>'Прилож 4 24 (8)'!AA119</f>
        <v>202823.2</v>
      </c>
      <c r="L129" s="595">
        <f>'Прилож 4 24 (8)'!AB119</f>
        <v>0</v>
      </c>
      <c r="M129" s="876">
        <f t="shared" si="22"/>
        <v>0</v>
      </c>
      <c r="N129" s="875"/>
      <c r="O129" s="875"/>
      <c r="P129" s="875"/>
      <c r="Q129" s="877"/>
      <c r="R129" s="875"/>
      <c r="S129" s="875"/>
      <c r="T129" s="875"/>
      <c r="U129" s="876">
        <f t="shared" si="26"/>
        <v>202823.2</v>
      </c>
      <c r="V129" s="875">
        <f t="shared" si="26"/>
        <v>0</v>
      </c>
      <c r="W129" s="875">
        <f t="shared" si="23"/>
        <v>0</v>
      </c>
      <c r="X129" s="875">
        <f t="shared" si="23"/>
        <v>0</v>
      </c>
      <c r="Y129" s="877" t="s">
        <v>1322</v>
      </c>
      <c r="Z129" s="875">
        <f t="shared" si="24"/>
        <v>0</v>
      </c>
      <c r="AA129" s="875">
        <f t="shared" si="24"/>
        <v>202823.2</v>
      </c>
      <c r="AB129" s="875">
        <f t="shared" si="24"/>
        <v>0</v>
      </c>
      <c r="AC129" s="878"/>
    </row>
    <row r="130" spans="1:29" ht="34.15" customHeight="1" x14ac:dyDescent="0.2">
      <c r="A130" s="618" t="s">
        <v>1319</v>
      </c>
      <c r="B130" s="619" t="s">
        <v>747</v>
      </c>
      <c r="C130" s="620">
        <v>244</v>
      </c>
      <c r="D130" s="620">
        <v>225</v>
      </c>
      <c r="E130" s="596">
        <f t="shared" si="25"/>
        <v>219000</v>
      </c>
      <c r="F130" s="595">
        <f>'Прилож 4 24 (8)'!V120</f>
        <v>0</v>
      </c>
      <c r="G130" s="595">
        <f>'Прилож 4 24 (8)'!W120</f>
        <v>0</v>
      </c>
      <c r="H130" s="595">
        <f>'Прилож 4 24 (8)'!X120</f>
        <v>0</v>
      </c>
      <c r="I130" s="623" t="s">
        <v>1322</v>
      </c>
      <c r="J130" s="595">
        <f>'Прилож 4 24 (8)'!Z120</f>
        <v>0</v>
      </c>
      <c r="K130" s="595">
        <f>'Прилож 4 24 (8)'!AA120</f>
        <v>219000</v>
      </c>
      <c r="L130" s="595">
        <f>'Прилож 4 24 (8)'!AB120</f>
        <v>0</v>
      </c>
      <c r="M130" s="876">
        <f t="shared" si="22"/>
        <v>0</v>
      </c>
      <c r="N130" s="875"/>
      <c r="O130" s="875"/>
      <c r="P130" s="875"/>
      <c r="Q130" s="1050"/>
      <c r="S130" s="875"/>
      <c r="T130" s="875"/>
      <c r="U130" s="876">
        <f t="shared" si="26"/>
        <v>219000</v>
      </c>
      <c r="V130" s="875">
        <f t="shared" si="26"/>
        <v>0</v>
      </c>
      <c r="W130" s="875">
        <f t="shared" si="23"/>
        <v>0</v>
      </c>
      <c r="X130" s="875">
        <f t="shared" si="23"/>
        <v>0</v>
      </c>
      <c r="Y130" s="877" t="s">
        <v>1322</v>
      </c>
      <c r="Z130" s="875"/>
      <c r="AA130" s="875">
        <f>S130+K130</f>
        <v>219000</v>
      </c>
      <c r="AB130" s="875">
        <f>T130+L130</f>
        <v>0</v>
      </c>
      <c r="AC130" s="878"/>
    </row>
    <row r="131" spans="1:29" ht="47.25" x14ac:dyDescent="0.2">
      <c r="A131" s="618" t="s">
        <v>1320</v>
      </c>
      <c r="B131" s="619" t="s">
        <v>747</v>
      </c>
      <c r="C131" s="620">
        <v>244</v>
      </c>
      <c r="D131" s="620">
        <v>225</v>
      </c>
      <c r="E131" s="596">
        <f t="shared" si="25"/>
        <v>299000</v>
      </c>
      <c r="F131" s="595">
        <f>'Прилож 4 24 (8)'!V121</f>
        <v>0</v>
      </c>
      <c r="G131" s="595">
        <f>'Прилож 4 24 (8)'!W121</f>
        <v>0</v>
      </c>
      <c r="H131" s="595">
        <f>'Прилож 4 24 (8)'!X121</f>
        <v>0</v>
      </c>
      <c r="I131" s="623" t="s">
        <v>1322</v>
      </c>
      <c r="J131" s="595">
        <f>'Прилож 4 24 (8)'!Z121</f>
        <v>0</v>
      </c>
      <c r="K131" s="595">
        <f>'Прилож 4 24 (8)'!AA121</f>
        <v>299000</v>
      </c>
      <c r="L131" s="595">
        <f>'Прилож 4 24 (8)'!AB121</f>
        <v>0</v>
      </c>
      <c r="M131" s="876">
        <f t="shared" si="22"/>
        <v>0</v>
      </c>
      <c r="N131" s="875"/>
      <c r="O131" s="875"/>
      <c r="P131" s="875"/>
      <c r="Q131" s="1050"/>
      <c r="S131" s="875"/>
      <c r="T131" s="875"/>
      <c r="U131" s="876">
        <f t="shared" si="26"/>
        <v>299000</v>
      </c>
      <c r="V131" s="875">
        <f t="shared" si="26"/>
        <v>0</v>
      </c>
      <c r="W131" s="875">
        <f t="shared" si="23"/>
        <v>0</v>
      </c>
      <c r="X131" s="875">
        <f t="shared" si="23"/>
        <v>0</v>
      </c>
      <c r="Y131" s="877" t="s">
        <v>1322</v>
      </c>
      <c r="Z131" s="875"/>
      <c r="AA131" s="875">
        <f>S131+K131</f>
        <v>299000</v>
      </c>
      <c r="AB131" s="875">
        <f>T131+L131</f>
        <v>0</v>
      </c>
      <c r="AC131" s="878"/>
    </row>
    <row r="132" spans="1:29" ht="48.75" customHeight="1" x14ac:dyDescent="0.2">
      <c r="A132" s="618" t="s">
        <v>1481</v>
      </c>
      <c r="B132" s="619" t="s">
        <v>747</v>
      </c>
      <c r="C132" s="620">
        <v>244</v>
      </c>
      <c r="D132" s="620">
        <v>225</v>
      </c>
      <c r="E132" s="596">
        <f t="shared" si="25"/>
        <v>36125.660000000003</v>
      </c>
      <c r="F132" s="595">
        <f>'Прилож 4 24 (8)'!V122</f>
        <v>0</v>
      </c>
      <c r="G132" s="595">
        <f>'Прилож 4 24 (8)'!W122</f>
        <v>0</v>
      </c>
      <c r="H132" s="595">
        <f>'Прилож 4 24 (8)'!X122</f>
        <v>0</v>
      </c>
      <c r="I132" s="623" t="s">
        <v>1322</v>
      </c>
      <c r="J132" s="595">
        <f>'Прилож 4 24 (8)'!Z122</f>
        <v>0</v>
      </c>
      <c r="K132" s="595">
        <f>'Прилож 4 24 (8)'!AA122</f>
        <v>36125.660000000003</v>
      </c>
      <c r="L132" s="595">
        <f>'Прилож 4 24 (8)'!AB122</f>
        <v>0</v>
      </c>
      <c r="M132" s="876">
        <f t="shared" si="22"/>
        <v>3120885.26</v>
      </c>
      <c r="N132" s="875"/>
      <c r="O132" s="875"/>
      <c r="P132" s="875"/>
      <c r="Q132" s="623" t="s">
        <v>1322</v>
      </c>
      <c r="R132" s="595"/>
      <c r="S132" s="595">
        <f>1523324.69+1597560.57</f>
        <v>3120885.26</v>
      </c>
      <c r="T132" s="875"/>
      <c r="U132" s="876">
        <f t="shared" si="26"/>
        <v>3157010.92</v>
      </c>
      <c r="V132" s="875">
        <f t="shared" si="26"/>
        <v>0</v>
      </c>
      <c r="W132" s="875">
        <f t="shared" si="23"/>
        <v>0</v>
      </c>
      <c r="X132" s="875">
        <f t="shared" si="23"/>
        <v>0</v>
      </c>
      <c r="Y132" s="877" t="s">
        <v>1322</v>
      </c>
      <c r="Z132" s="875"/>
      <c r="AA132" s="875">
        <f t="shared" ref="AA132:AB161" si="27">S132+K132</f>
        <v>3157010.92</v>
      </c>
      <c r="AB132" s="875"/>
      <c r="AC132" s="1003" t="s">
        <v>1528</v>
      </c>
    </row>
    <row r="133" spans="1:29" ht="31.5" x14ac:dyDescent="0.2">
      <c r="A133" s="618" t="s">
        <v>1318</v>
      </c>
      <c r="B133" s="619" t="s">
        <v>747</v>
      </c>
      <c r="C133" s="620">
        <v>244</v>
      </c>
      <c r="D133" s="620">
        <v>225</v>
      </c>
      <c r="E133" s="596">
        <f t="shared" si="25"/>
        <v>252769.2</v>
      </c>
      <c r="F133" s="595">
        <f>'Прилож 4 24 (8)'!V123</f>
        <v>0</v>
      </c>
      <c r="G133" s="595">
        <f>'Прилож 4 24 (8)'!W123</f>
        <v>0</v>
      </c>
      <c r="H133" s="595">
        <f>'Прилож 4 24 (8)'!X123</f>
        <v>0</v>
      </c>
      <c r="I133" s="1051">
        <v>963324045</v>
      </c>
      <c r="J133" s="595">
        <f>'Прилож 4 24 (8)'!Z123</f>
        <v>0</v>
      </c>
      <c r="K133" s="595">
        <f>'Прилож 4 24 (8)'!AA123</f>
        <v>252769.2</v>
      </c>
      <c r="L133" s="595">
        <f>'Прилож 4 24 (8)'!AB123</f>
        <v>0</v>
      </c>
      <c r="M133" s="876">
        <f t="shared" si="22"/>
        <v>0</v>
      </c>
      <c r="N133" s="875"/>
      <c r="O133" s="875"/>
      <c r="P133" s="875"/>
      <c r="Q133" s="623"/>
      <c r="R133" s="595"/>
      <c r="S133" s="875"/>
      <c r="T133" s="875"/>
      <c r="U133" s="876">
        <f t="shared" si="26"/>
        <v>252769.2</v>
      </c>
      <c r="V133" s="875">
        <f t="shared" si="26"/>
        <v>0</v>
      </c>
      <c r="W133" s="875">
        <f t="shared" si="23"/>
        <v>0</v>
      </c>
      <c r="X133" s="875">
        <f t="shared" si="23"/>
        <v>0</v>
      </c>
      <c r="Y133" s="877" t="s">
        <v>1322</v>
      </c>
      <c r="Z133" s="875"/>
      <c r="AA133" s="875">
        <f t="shared" si="27"/>
        <v>252769.2</v>
      </c>
      <c r="AB133" s="875"/>
      <c r="AC133" s="878"/>
    </row>
    <row r="134" spans="1:29" ht="47.25" x14ac:dyDescent="0.2">
      <c r="A134" s="618" t="s">
        <v>1513</v>
      </c>
      <c r="B134" s="619" t="s">
        <v>747</v>
      </c>
      <c r="C134" s="620">
        <v>244</v>
      </c>
      <c r="D134" s="620">
        <v>225</v>
      </c>
      <c r="E134" s="596">
        <f t="shared" si="25"/>
        <v>0</v>
      </c>
      <c r="F134" s="595"/>
      <c r="G134" s="595"/>
      <c r="H134" s="595"/>
      <c r="I134" s="1051"/>
      <c r="J134" s="595"/>
      <c r="K134" s="595"/>
      <c r="L134" s="595"/>
      <c r="M134" s="876">
        <f t="shared" si="22"/>
        <v>11553.7</v>
      </c>
      <c r="N134" s="875"/>
      <c r="O134" s="875"/>
      <c r="P134" s="875">
        <v>11553.7</v>
      </c>
      <c r="Q134" s="623"/>
      <c r="S134" s="875"/>
      <c r="T134" s="875"/>
      <c r="U134" s="876">
        <f t="shared" si="26"/>
        <v>11553.7</v>
      </c>
      <c r="V134" s="875">
        <f t="shared" si="26"/>
        <v>0</v>
      </c>
      <c r="W134" s="875">
        <f t="shared" si="23"/>
        <v>0</v>
      </c>
      <c r="X134" s="875">
        <f t="shared" si="23"/>
        <v>11553.7</v>
      </c>
      <c r="Y134" s="877"/>
      <c r="Z134" s="875"/>
      <c r="AA134" s="875">
        <f t="shared" si="27"/>
        <v>0</v>
      </c>
      <c r="AB134" s="875"/>
      <c r="AC134" s="878" t="s">
        <v>1458</v>
      </c>
    </row>
    <row r="135" spans="1:29" s="637" customFormat="1" ht="27.75" customHeight="1" x14ac:dyDescent="0.2">
      <c r="A135" s="632" t="s">
        <v>1143</v>
      </c>
      <c r="B135" s="633" t="s">
        <v>747</v>
      </c>
      <c r="C135" s="634">
        <v>244</v>
      </c>
      <c r="D135" s="634">
        <v>225</v>
      </c>
      <c r="E135" s="596">
        <f t="shared" ref="E135:E162" si="28">L135+K135+J135+H135+G135+F135</f>
        <v>1374198.84</v>
      </c>
      <c r="F135" s="595">
        <f>'Прилож 4 24 (8)'!V124</f>
        <v>0</v>
      </c>
      <c r="G135" s="595">
        <f>'Прилож 4 24 (8)'!W124</f>
        <v>0</v>
      </c>
      <c r="H135" s="595">
        <f>'Прилож 4 24 (8)'!X124</f>
        <v>364480.77999999997</v>
      </c>
      <c r="I135" s="635"/>
      <c r="J135" s="595">
        <f>'Прилож 4 24 (8)'!Z124</f>
        <v>0</v>
      </c>
      <c r="K135" s="595">
        <f>'Прилож 4 24 (8)'!AA124</f>
        <v>1009718.06</v>
      </c>
      <c r="L135" s="595">
        <f>'Прилож 4 24 (8)'!AB124</f>
        <v>0</v>
      </c>
      <c r="M135" s="876">
        <f t="shared" si="22"/>
        <v>3107223.2199999997</v>
      </c>
      <c r="N135" s="884">
        <f>SUM(N110:N131)</f>
        <v>0</v>
      </c>
      <c r="O135" s="884"/>
      <c r="P135" s="884">
        <f>SUM(P110:P134)</f>
        <v>-13662.039999999997</v>
      </c>
      <c r="Q135" s="885"/>
      <c r="R135" s="884"/>
      <c r="S135" s="884">
        <f>SUM(S110:S133)</f>
        <v>3120885.26</v>
      </c>
      <c r="T135" s="884"/>
      <c r="U135" s="876">
        <f t="shared" si="26"/>
        <v>4481422.0599999996</v>
      </c>
      <c r="V135" s="875">
        <f t="shared" si="26"/>
        <v>0</v>
      </c>
      <c r="W135" s="875">
        <f t="shared" si="23"/>
        <v>0</v>
      </c>
      <c r="X135" s="875">
        <f t="shared" si="23"/>
        <v>350818.74</v>
      </c>
      <c r="Y135" s="885"/>
      <c r="Z135" s="875">
        <f t="shared" ref="Z135:Z161" si="29">R135+J135</f>
        <v>0</v>
      </c>
      <c r="AA135" s="875">
        <f t="shared" si="27"/>
        <v>4130603.32</v>
      </c>
      <c r="AB135" s="875">
        <f t="shared" si="27"/>
        <v>0</v>
      </c>
      <c r="AC135" s="886"/>
    </row>
    <row r="136" spans="1:29" ht="66.75" customHeight="1" x14ac:dyDescent="0.2">
      <c r="A136" s="618" t="s">
        <v>1188</v>
      </c>
      <c r="B136" s="619" t="s">
        <v>729</v>
      </c>
      <c r="C136" s="620">
        <v>244</v>
      </c>
      <c r="D136" s="620">
        <v>225</v>
      </c>
      <c r="E136" s="596">
        <f t="shared" si="28"/>
        <v>50400</v>
      </c>
      <c r="F136" s="595">
        <f>'Прилож 4 24 (8)'!V125</f>
        <v>0</v>
      </c>
      <c r="G136" s="595">
        <f>'Прилож 4 24 (8)'!W125</f>
        <v>0</v>
      </c>
      <c r="H136" s="595">
        <f>'Прилож 4 24 (8)'!X125</f>
        <v>50400</v>
      </c>
      <c r="I136" s="628"/>
      <c r="J136" s="595">
        <f>'Прилож 4 24 (8)'!Z125</f>
        <v>0</v>
      </c>
      <c r="K136" s="595">
        <f>'Прилож 4 24 (8)'!AA125</f>
        <v>0</v>
      </c>
      <c r="L136" s="595">
        <f>'Прилож 4 24 (8)'!AB125</f>
        <v>0</v>
      </c>
      <c r="M136" s="876">
        <f t="shared" si="22"/>
        <v>0</v>
      </c>
      <c r="N136" s="875"/>
      <c r="O136" s="875"/>
      <c r="P136" s="875"/>
      <c r="Q136" s="877"/>
      <c r="R136" s="875"/>
      <c r="S136" s="875"/>
      <c r="T136" s="875"/>
      <c r="U136" s="876">
        <f t="shared" si="26"/>
        <v>50400</v>
      </c>
      <c r="V136" s="875">
        <f t="shared" si="26"/>
        <v>0</v>
      </c>
      <c r="W136" s="875">
        <f t="shared" si="23"/>
        <v>0</v>
      </c>
      <c r="X136" s="875">
        <f t="shared" si="23"/>
        <v>50400</v>
      </c>
      <c r="Y136" s="883"/>
      <c r="Z136" s="875">
        <f t="shared" si="29"/>
        <v>0</v>
      </c>
      <c r="AA136" s="875">
        <f t="shared" si="27"/>
        <v>0</v>
      </c>
      <c r="AB136" s="875">
        <f t="shared" si="27"/>
        <v>0</v>
      </c>
      <c r="AC136" s="878"/>
    </row>
    <row r="137" spans="1:29" x14ac:dyDescent="0.2">
      <c r="A137" s="618" t="s">
        <v>1193</v>
      </c>
      <c r="B137" s="619" t="s">
        <v>729</v>
      </c>
      <c r="C137" s="620">
        <v>244</v>
      </c>
      <c r="D137" s="620">
        <v>225</v>
      </c>
      <c r="E137" s="596">
        <f t="shared" si="28"/>
        <v>73152</v>
      </c>
      <c r="F137" s="595">
        <f>'Прилож 4 24 (8)'!V126</f>
        <v>0</v>
      </c>
      <c r="G137" s="595">
        <f>'Прилож 4 24 (8)'!W126</f>
        <v>0</v>
      </c>
      <c r="H137" s="595">
        <f>'Прилож 4 24 (8)'!X126</f>
        <v>73152</v>
      </c>
      <c r="I137" s="628"/>
      <c r="J137" s="595">
        <f>'Прилож 4 24 (8)'!Z126</f>
        <v>0</v>
      </c>
      <c r="K137" s="595">
        <f>'Прилож 4 24 (8)'!AA126</f>
        <v>0</v>
      </c>
      <c r="L137" s="595">
        <f>'Прилож 4 24 (8)'!AB126</f>
        <v>0</v>
      </c>
      <c r="M137" s="876">
        <f t="shared" si="22"/>
        <v>0</v>
      </c>
      <c r="N137" s="875"/>
      <c r="O137" s="875"/>
      <c r="P137" s="875"/>
      <c r="Q137" s="877"/>
      <c r="R137" s="875"/>
      <c r="S137" s="875"/>
      <c r="T137" s="875"/>
      <c r="U137" s="876">
        <f t="shared" si="26"/>
        <v>73152</v>
      </c>
      <c r="V137" s="875">
        <f t="shared" si="26"/>
        <v>0</v>
      </c>
      <c r="W137" s="875">
        <f t="shared" si="23"/>
        <v>0</v>
      </c>
      <c r="X137" s="875">
        <f t="shared" si="23"/>
        <v>73152</v>
      </c>
      <c r="Y137" s="883"/>
      <c r="Z137" s="875">
        <f t="shared" si="29"/>
        <v>0</v>
      </c>
      <c r="AA137" s="875">
        <f t="shared" si="27"/>
        <v>0</v>
      </c>
      <c r="AB137" s="875">
        <f t="shared" si="27"/>
        <v>0</v>
      </c>
      <c r="AC137" s="878"/>
    </row>
    <row r="138" spans="1:29" ht="36.75" customHeight="1" x14ac:dyDescent="0.2">
      <c r="A138" s="618" t="s">
        <v>1192</v>
      </c>
      <c r="B138" s="619" t="s">
        <v>729</v>
      </c>
      <c r="C138" s="620">
        <v>244</v>
      </c>
      <c r="D138" s="620">
        <v>225</v>
      </c>
      <c r="E138" s="596">
        <f t="shared" si="28"/>
        <v>3859</v>
      </c>
      <c r="F138" s="595">
        <f>'Прилож 4 24 (8)'!V127</f>
        <v>0</v>
      </c>
      <c r="G138" s="595">
        <f>'Прилож 4 24 (8)'!W127</f>
        <v>0</v>
      </c>
      <c r="H138" s="595">
        <f>'Прилож 4 24 (8)'!X127</f>
        <v>3859</v>
      </c>
      <c r="I138" s="628"/>
      <c r="J138" s="595">
        <f>'Прилож 4 24 (8)'!Z127</f>
        <v>0</v>
      </c>
      <c r="K138" s="595">
        <f>'Прилож 4 24 (8)'!AA127</f>
        <v>0</v>
      </c>
      <c r="L138" s="595">
        <f>'Прилож 4 24 (8)'!AB127</f>
        <v>0</v>
      </c>
      <c r="M138" s="876">
        <f t="shared" si="22"/>
        <v>0</v>
      </c>
      <c r="N138" s="875"/>
      <c r="O138" s="875"/>
      <c r="P138" s="875"/>
      <c r="Q138" s="877"/>
      <c r="R138" s="875"/>
      <c r="S138" s="875"/>
      <c r="T138" s="875"/>
      <c r="U138" s="876">
        <f t="shared" si="26"/>
        <v>3859</v>
      </c>
      <c r="V138" s="875">
        <f t="shared" si="26"/>
        <v>0</v>
      </c>
      <c r="W138" s="875">
        <f t="shared" si="23"/>
        <v>0</v>
      </c>
      <c r="X138" s="875">
        <f t="shared" si="23"/>
        <v>3859</v>
      </c>
      <c r="Y138" s="883"/>
      <c r="Z138" s="875">
        <f t="shared" si="29"/>
        <v>0</v>
      </c>
      <c r="AA138" s="875">
        <f t="shared" si="27"/>
        <v>0</v>
      </c>
      <c r="AB138" s="875">
        <f t="shared" si="27"/>
        <v>0</v>
      </c>
      <c r="AC138" s="878"/>
    </row>
    <row r="139" spans="1:29" ht="31.5" x14ac:dyDescent="0.2">
      <c r="A139" s="618" t="s">
        <v>1186</v>
      </c>
      <c r="B139" s="619" t="s">
        <v>729</v>
      </c>
      <c r="C139" s="620">
        <v>244</v>
      </c>
      <c r="D139" s="620">
        <v>225</v>
      </c>
      <c r="E139" s="596">
        <f t="shared" si="28"/>
        <v>23457.360000000001</v>
      </c>
      <c r="F139" s="595">
        <f>'Прилож 4 24 (8)'!V128</f>
        <v>0</v>
      </c>
      <c r="G139" s="595">
        <f>'Прилож 4 24 (8)'!W128</f>
        <v>0</v>
      </c>
      <c r="H139" s="595">
        <f>'Прилож 4 24 (8)'!X128</f>
        <v>23457.360000000001</v>
      </c>
      <c r="I139" s="628"/>
      <c r="J139" s="595">
        <f>'Прилож 4 24 (8)'!Z128</f>
        <v>0</v>
      </c>
      <c r="K139" s="595">
        <f>'Прилож 4 24 (8)'!AA128</f>
        <v>0</v>
      </c>
      <c r="L139" s="595">
        <f>'Прилож 4 24 (8)'!AB128</f>
        <v>0</v>
      </c>
      <c r="M139" s="876">
        <f t="shared" si="22"/>
        <v>0</v>
      </c>
      <c r="N139" s="875"/>
      <c r="O139" s="875"/>
      <c r="P139" s="875"/>
      <c r="Q139" s="877"/>
      <c r="R139" s="875"/>
      <c r="S139" s="875"/>
      <c r="T139" s="875"/>
      <c r="U139" s="876">
        <f t="shared" si="26"/>
        <v>23457.360000000001</v>
      </c>
      <c r="V139" s="875">
        <f t="shared" si="26"/>
        <v>0</v>
      </c>
      <c r="W139" s="875">
        <f t="shared" si="23"/>
        <v>0</v>
      </c>
      <c r="X139" s="875">
        <f t="shared" si="23"/>
        <v>23457.360000000001</v>
      </c>
      <c r="Y139" s="883"/>
      <c r="Z139" s="875">
        <f t="shared" si="29"/>
        <v>0</v>
      </c>
      <c r="AA139" s="875">
        <f t="shared" si="27"/>
        <v>0</v>
      </c>
      <c r="AB139" s="875">
        <f t="shared" si="27"/>
        <v>0</v>
      </c>
      <c r="AC139" s="878"/>
    </row>
    <row r="140" spans="1:29" ht="55.5" customHeight="1" x14ac:dyDescent="0.2">
      <c r="A140" s="618" t="s">
        <v>148</v>
      </c>
      <c r="B140" s="619" t="s">
        <v>729</v>
      </c>
      <c r="C140" s="620">
        <v>244</v>
      </c>
      <c r="D140" s="620">
        <v>225</v>
      </c>
      <c r="E140" s="596">
        <f t="shared" si="28"/>
        <v>4000</v>
      </c>
      <c r="F140" s="595">
        <f>'Прилож 4 24 (8)'!V129</f>
        <v>0</v>
      </c>
      <c r="G140" s="595">
        <f>'Прилож 4 24 (8)'!W129</f>
        <v>0</v>
      </c>
      <c r="H140" s="595">
        <f>'Прилож 4 24 (8)'!X129</f>
        <v>4000</v>
      </c>
      <c r="I140" s="628"/>
      <c r="J140" s="595">
        <f>'Прилож 4 24 (8)'!Z129</f>
        <v>0</v>
      </c>
      <c r="K140" s="595">
        <f>'Прилож 4 24 (8)'!AA129</f>
        <v>0</v>
      </c>
      <c r="L140" s="595">
        <f>'Прилож 4 24 (8)'!AB129</f>
        <v>0</v>
      </c>
      <c r="M140" s="876">
        <f t="shared" si="22"/>
        <v>0</v>
      </c>
      <c r="N140" s="875"/>
      <c r="O140" s="875"/>
      <c r="P140" s="875"/>
      <c r="Q140" s="877"/>
      <c r="R140" s="875"/>
      <c r="S140" s="875"/>
      <c r="T140" s="875"/>
      <c r="U140" s="876">
        <f t="shared" si="26"/>
        <v>4000</v>
      </c>
      <c r="V140" s="875">
        <f t="shared" si="26"/>
        <v>0</v>
      </c>
      <c r="W140" s="875">
        <f t="shared" si="23"/>
        <v>0</v>
      </c>
      <c r="X140" s="875">
        <f t="shared" si="23"/>
        <v>4000</v>
      </c>
      <c r="Y140" s="883"/>
      <c r="Z140" s="875">
        <f t="shared" si="29"/>
        <v>0</v>
      </c>
      <c r="AA140" s="875">
        <f t="shared" si="27"/>
        <v>0</v>
      </c>
      <c r="AB140" s="875">
        <f t="shared" si="27"/>
        <v>0</v>
      </c>
      <c r="AC140" s="878"/>
    </row>
    <row r="141" spans="1:29" x14ac:dyDescent="0.2">
      <c r="A141" s="618" t="s">
        <v>627</v>
      </c>
      <c r="B141" s="619" t="s">
        <v>729</v>
      </c>
      <c r="C141" s="620">
        <v>244</v>
      </c>
      <c r="D141" s="620">
        <v>225</v>
      </c>
      <c r="E141" s="596">
        <f t="shared" si="28"/>
        <v>126092.16</v>
      </c>
      <c r="F141" s="595">
        <f>'Прилож 4 24 (8)'!V130</f>
        <v>0</v>
      </c>
      <c r="G141" s="595">
        <f>'Прилож 4 24 (8)'!W130</f>
        <v>0</v>
      </c>
      <c r="H141" s="595">
        <f>'Прилож 4 24 (8)'!X130</f>
        <v>126092.16</v>
      </c>
      <c r="I141" s="628"/>
      <c r="J141" s="595">
        <f>'Прилож 4 24 (8)'!Z130</f>
        <v>0</v>
      </c>
      <c r="K141" s="595">
        <f>'Прилож 4 24 (8)'!AA130</f>
        <v>0</v>
      </c>
      <c r="L141" s="595">
        <f>'Прилож 4 24 (8)'!AB130</f>
        <v>0</v>
      </c>
      <c r="M141" s="876">
        <f t="shared" si="22"/>
        <v>0</v>
      </c>
      <c r="N141" s="875"/>
      <c r="O141" s="875"/>
      <c r="P141" s="875"/>
      <c r="Q141" s="877"/>
      <c r="R141" s="875"/>
      <c r="S141" s="875"/>
      <c r="T141" s="875"/>
      <c r="U141" s="876">
        <f t="shared" si="26"/>
        <v>126092.16</v>
      </c>
      <c r="V141" s="875">
        <f t="shared" si="26"/>
        <v>0</v>
      </c>
      <c r="W141" s="875">
        <f t="shared" si="23"/>
        <v>0</v>
      </c>
      <c r="X141" s="875">
        <f t="shared" si="23"/>
        <v>126092.16</v>
      </c>
      <c r="Y141" s="883"/>
      <c r="Z141" s="875">
        <f t="shared" si="29"/>
        <v>0</v>
      </c>
      <c r="AA141" s="875">
        <f t="shared" si="27"/>
        <v>0</v>
      </c>
      <c r="AB141" s="875">
        <f t="shared" si="27"/>
        <v>0</v>
      </c>
      <c r="AC141" s="878"/>
    </row>
    <row r="142" spans="1:29" ht="34.5" customHeight="1" x14ac:dyDescent="0.2">
      <c r="A142" s="618" t="s">
        <v>759</v>
      </c>
      <c r="B142" s="619" t="s">
        <v>729</v>
      </c>
      <c r="C142" s="620">
        <v>244</v>
      </c>
      <c r="D142" s="620">
        <v>225</v>
      </c>
      <c r="E142" s="596">
        <f t="shared" si="28"/>
        <v>0</v>
      </c>
      <c r="F142" s="595">
        <f>'Прилож 4 24 (8)'!V131</f>
        <v>0</v>
      </c>
      <c r="G142" s="595">
        <f>'Прилож 4 24 (8)'!W131</f>
        <v>0</v>
      </c>
      <c r="H142" s="595">
        <f>'Прилож 4 24 (8)'!X131</f>
        <v>0</v>
      </c>
      <c r="I142" s="628"/>
      <c r="J142" s="595">
        <f>'Прилож 4 24 (8)'!Z131</f>
        <v>0</v>
      </c>
      <c r="K142" s="595">
        <f>'Прилож 4 24 (8)'!AA131</f>
        <v>0</v>
      </c>
      <c r="L142" s="595">
        <f>'Прилож 4 24 (8)'!AB131</f>
        <v>0</v>
      </c>
      <c r="M142" s="876">
        <f t="shared" si="22"/>
        <v>0</v>
      </c>
      <c r="N142" s="875"/>
      <c r="O142" s="875"/>
      <c r="P142" s="875"/>
      <c r="Q142" s="877"/>
      <c r="R142" s="875"/>
      <c r="S142" s="875"/>
      <c r="T142" s="875"/>
      <c r="U142" s="876">
        <f t="shared" si="26"/>
        <v>0</v>
      </c>
      <c r="V142" s="875">
        <f t="shared" si="26"/>
        <v>0</v>
      </c>
      <c r="W142" s="875">
        <f t="shared" si="23"/>
        <v>0</v>
      </c>
      <c r="X142" s="875">
        <f t="shared" si="23"/>
        <v>0</v>
      </c>
      <c r="Y142" s="883"/>
      <c r="Z142" s="875">
        <f t="shared" si="29"/>
        <v>0</v>
      </c>
      <c r="AA142" s="875">
        <f t="shared" si="27"/>
        <v>0</v>
      </c>
      <c r="AB142" s="875">
        <f t="shared" si="27"/>
        <v>0</v>
      </c>
      <c r="AC142" s="878"/>
    </row>
    <row r="143" spans="1:29" ht="28.5" customHeight="1" x14ac:dyDescent="0.2">
      <c r="A143" s="618" t="s">
        <v>143</v>
      </c>
      <c r="B143" s="619" t="s">
        <v>729</v>
      </c>
      <c r="C143" s="620">
        <v>244</v>
      </c>
      <c r="D143" s="620">
        <v>225</v>
      </c>
      <c r="E143" s="596">
        <f t="shared" si="28"/>
        <v>43576.47</v>
      </c>
      <c r="F143" s="595">
        <f>'Прилож 4 24 (8)'!V132</f>
        <v>0</v>
      </c>
      <c r="G143" s="595">
        <f>'Прилож 4 24 (8)'!W132</f>
        <v>0</v>
      </c>
      <c r="H143" s="595">
        <f>'Прилож 4 24 (8)'!X132</f>
        <v>43576.47</v>
      </c>
      <c r="I143" s="628"/>
      <c r="J143" s="595">
        <f>'Прилож 4 24 (8)'!Z132</f>
        <v>0</v>
      </c>
      <c r="K143" s="595">
        <f>'Прилож 4 24 (8)'!AA132</f>
        <v>0</v>
      </c>
      <c r="L143" s="595">
        <f>'Прилож 4 24 (8)'!AB132</f>
        <v>0</v>
      </c>
      <c r="M143" s="876">
        <f t="shared" si="22"/>
        <v>0</v>
      </c>
      <c r="N143" s="875"/>
      <c r="O143" s="875"/>
      <c r="P143" s="875"/>
      <c r="Q143" s="877"/>
      <c r="R143" s="875"/>
      <c r="S143" s="875"/>
      <c r="T143" s="875"/>
      <c r="U143" s="876">
        <f t="shared" si="26"/>
        <v>43576.47</v>
      </c>
      <c r="V143" s="875">
        <f t="shared" si="26"/>
        <v>0</v>
      </c>
      <c r="W143" s="875">
        <f t="shared" si="23"/>
        <v>0</v>
      </c>
      <c r="X143" s="875">
        <f t="shared" si="23"/>
        <v>43576.47</v>
      </c>
      <c r="Y143" s="883"/>
      <c r="Z143" s="875">
        <f t="shared" si="29"/>
        <v>0</v>
      </c>
      <c r="AA143" s="875">
        <f t="shared" si="27"/>
        <v>0</v>
      </c>
      <c r="AB143" s="875">
        <f t="shared" si="27"/>
        <v>0</v>
      </c>
      <c r="AC143" s="878"/>
    </row>
    <row r="144" spans="1:29" ht="39" customHeight="1" x14ac:dyDescent="0.2">
      <c r="A144" s="618" t="s">
        <v>635</v>
      </c>
      <c r="B144" s="619" t="s">
        <v>729</v>
      </c>
      <c r="C144" s="620">
        <v>244</v>
      </c>
      <c r="D144" s="620">
        <v>225</v>
      </c>
      <c r="E144" s="596">
        <f t="shared" si="28"/>
        <v>76500</v>
      </c>
      <c r="F144" s="595">
        <f>'Прилож 4 24 (8)'!V133</f>
        <v>0</v>
      </c>
      <c r="G144" s="595">
        <f>'Прилож 4 24 (8)'!W133</f>
        <v>0</v>
      </c>
      <c r="H144" s="595">
        <f>'Прилож 4 24 (8)'!X133</f>
        <v>76500</v>
      </c>
      <c r="I144" s="628"/>
      <c r="J144" s="595">
        <f>'Прилож 4 24 (8)'!Z133</f>
        <v>0</v>
      </c>
      <c r="K144" s="595">
        <f>'Прилож 4 24 (8)'!AA133</f>
        <v>0</v>
      </c>
      <c r="L144" s="595">
        <f>'Прилож 4 24 (8)'!AB133</f>
        <v>0</v>
      </c>
      <c r="M144" s="876">
        <f t="shared" si="22"/>
        <v>751.4</v>
      </c>
      <c r="N144" s="875"/>
      <c r="O144" s="875"/>
      <c r="P144" s="875">
        <v>751.4</v>
      </c>
      <c r="Q144" s="877"/>
      <c r="R144" s="875"/>
      <c r="S144" s="875"/>
      <c r="T144" s="875"/>
      <c r="U144" s="876">
        <f t="shared" si="26"/>
        <v>77251.399999999994</v>
      </c>
      <c r="V144" s="875">
        <f t="shared" si="26"/>
        <v>0</v>
      </c>
      <c r="W144" s="875">
        <f t="shared" si="23"/>
        <v>0</v>
      </c>
      <c r="X144" s="875">
        <f t="shared" si="23"/>
        <v>77251.399999999994</v>
      </c>
      <c r="Y144" s="883"/>
      <c r="Z144" s="875">
        <f t="shared" si="29"/>
        <v>0</v>
      </c>
      <c r="AA144" s="875">
        <f t="shared" si="27"/>
        <v>0</v>
      </c>
      <c r="AB144" s="875">
        <f t="shared" si="27"/>
        <v>0</v>
      </c>
      <c r="AC144" s="878" t="s">
        <v>1534</v>
      </c>
    </row>
    <row r="145" spans="1:29" ht="36.75" customHeight="1" x14ac:dyDescent="0.2">
      <c r="A145" s="618" t="s">
        <v>951</v>
      </c>
      <c r="B145" s="619" t="s">
        <v>729</v>
      </c>
      <c r="C145" s="620">
        <v>244</v>
      </c>
      <c r="D145" s="620">
        <v>225</v>
      </c>
      <c r="E145" s="596">
        <f t="shared" si="28"/>
        <v>24062.89</v>
      </c>
      <c r="F145" s="595">
        <f>'Прилож 4 24 (8)'!V134</f>
        <v>0</v>
      </c>
      <c r="G145" s="595">
        <f>'Прилож 4 24 (8)'!W134</f>
        <v>0</v>
      </c>
      <c r="H145" s="595">
        <f>'Прилож 4 24 (8)'!X134</f>
        <v>24062.89</v>
      </c>
      <c r="I145" s="628"/>
      <c r="J145" s="595">
        <f>'Прилож 4 24 (8)'!Z134</f>
        <v>0</v>
      </c>
      <c r="K145" s="595">
        <f>'Прилож 4 24 (8)'!AA134</f>
        <v>0</v>
      </c>
      <c r="L145" s="595">
        <f>'Прилож 4 24 (8)'!AB134</f>
        <v>0</v>
      </c>
      <c r="M145" s="876">
        <f t="shared" si="22"/>
        <v>33500</v>
      </c>
      <c r="N145" s="875"/>
      <c r="O145" s="875"/>
      <c r="P145" s="875">
        <v>33500</v>
      </c>
      <c r="Q145" s="877"/>
      <c r="R145" s="875"/>
      <c r="S145" s="875"/>
      <c r="T145" s="875"/>
      <c r="U145" s="876">
        <f t="shared" si="26"/>
        <v>57562.89</v>
      </c>
      <c r="V145" s="875">
        <f t="shared" si="26"/>
        <v>0</v>
      </c>
      <c r="W145" s="875">
        <f t="shared" si="23"/>
        <v>0</v>
      </c>
      <c r="X145" s="875">
        <f t="shared" si="23"/>
        <v>57562.89</v>
      </c>
      <c r="Y145" s="883"/>
      <c r="Z145" s="875">
        <f t="shared" si="29"/>
        <v>0</v>
      </c>
      <c r="AA145" s="875">
        <f t="shared" si="27"/>
        <v>0</v>
      </c>
      <c r="AB145" s="875">
        <f t="shared" si="27"/>
        <v>0</v>
      </c>
      <c r="AC145" s="878" t="s">
        <v>1535</v>
      </c>
    </row>
    <row r="146" spans="1:29" ht="34.5" customHeight="1" x14ac:dyDescent="0.2">
      <c r="A146" s="618" t="s">
        <v>150</v>
      </c>
      <c r="B146" s="619" t="s">
        <v>729</v>
      </c>
      <c r="C146" s="620">
        <v>244</v>
      </c>
      <c r="D146" s="620">
        <v>225</v>
      </c>
      <c r="E146" s="596">
        <f t="shared" si="28"/>
        <v>0</v>
      </c>
      <c r="F146" s="595">
        <f>'Прилож 4 24 (8)'!V135</f>
        <v>0</v>
      </c>
      <c r="G146" s="595">
        <f>'Прилож 4 24 (8)'!W135</f>
        <v>0</v>
      </c>
      <c r="H146" s="595">
        <f>'Прилож 4 24 (8)'!X135</f>
        <v>0</v>
      </c>
      <c r="I146" s="628"/>
      <c r="J146" s="595">
        <f>'Прилож 4 24 (8)'!Z135</f>
        <v>0</v>
      </c>
      <c r="K146" s="595">
        <f>'Прилож 4 24 (8)'!AA135</f>
        <v>0</v>
      </c>
      <c r="L146" s="595">
        <f>'Прилож 4 24 (8)'!AB135</f>
        <v>0</v>
      </c>
      <c r="M146" s="876">
        <f t="shared" si="22"/>
        <v>0</v>
      </c>
      <c r="N146" s="875"/>
      <c r="O146" s="875"/>
      <c r="P146" s="875"/>
      <c r="Q146" s="877"/>
      <c r="R146" s="875"/>
      <c r="S146" s="875"/>
      <c r="T146" s="875"/>
      <c r="U146" s="876">
        <f t="shared" si="26"/>
        <v>0</v>
      </c>
      <c r="V146" s="875">
        <f t="shared" si="26"/>
        <v>0</v>
      </c>
      <c r="W146" s="875">
        <f t="shared" si="23"/>
        <v>0</v>
      </c>
      <c r="X146" s="875">
        <f t="shared" si="23"/>
        <v>0</v>
      </c>
      <c r="Y146" s="883"/>
      <c r="Z146" s="875">
        <f t="shared" si="29"/>
        <v>0</v>
      </c>
      <c r="AA146" s="875">
        <f t="shared" si="27"/>
        <v>0</v>
      </c>
      <c r="AB146" s="875">
        <f t="shared" si="27"/>
        <v>0</v>
      </c>
      <c r="AC146" s="878"/>
    </row>
    <row r="147" spans="1:29" ht="41.25" customHeight="1" x14ac:dyDescent="0.2">
      <c r="A147" s="618" t="s">
        <v>952</v>
      </c>
      <c r="B147" s="619" t="s">
        <v>729</v>
      </c>
      <c r="C147" s="620">
        <v>244</v>
      </c>
      <c r="D147" s="620">
        <v>225</v>
      </c>
      <c r="E147" s="596">
        <f t="shared" si="28"/>
        <v>21188</v>
      </c>
      <c r="F147" s="595">
        <f>'Прилож 4 24 (8)'!V136</f>
        <v>0</v>
      </c>
      <c r="G147" s="595">
        <f>'Прилож 4 24 (8)'!W136</f>
        <v>0</v>
      </c>
      <c r="H147" s="595">
        <f>'Прилож 4 24 (8)'!X136</f>
        <v>21188</v>
      </c>
      <c r="I147" s="628"/>
      <c r="J147" s="595">
        <f>'Прилож 4 24 (8)'!Z136</f>
        <v>0</v>
      </c>
      <c r="K147" s="595">
        <f>'Прилож 4 24 (8)'!AA136</f>
        <v>0</v>
      </c>
      <c r="L147" s="595">
        <f>'Прилож 4 24 (8)'!AB136</f>
        <v>0</v>
      </c>
      <c r="M147" s="876">
        <f t="shared" si="22"/>
        <v>0</v>
      </c>
      <c r="N147" s="875"/>
      <c r="O147" s="875"/>
      <c r="P147" s="875"/>
      <c r="Q147" s="877"/>
      <c r="R147" s="875"/>
      <c r="S147" s="875"/>
      <c r="T147" s="875"/>
      <c r="U147" s="876">
        <f t="shared" si="26"/>
        <v>21188</v>
      </c>
      <c r="V147" s="875">
        <f t="shared" si="26"/>
        <v>0</v>
      </c>
      <c r="W147" s="875">
        <f t="shared" si="23"/>
        <v>0</v>
      </c>
      <c r="X147" s="875">
        <f t="shared" si="23"/>
        <v>21188</v>
      </c>
      <c r="Y147" s="883"/>
      <c r="Z147" s="875">
        <f t="shared" si="29"/>
        <v>0</v>
      </c>
      <c r="AA147" s="875">
        <f t="shared" si="27"/>
        <v>0</v>
      </c>
      <c r="AB147" s="875">
        <f t="shared" si="27"/>
        <v>0</v>
      </c>
      <c r="AC147" s="878"/>
    </row>
    <row r="148" spans="1:29" ht="46.5" customHeight="1" x14ac:dyDescent="0.2">
      <c r="A148" s="618" t="s">
        <v>149</v>
      </c>
      <c r="B148" s="619" t="s">
        <v>729</v>
      </c>
      <c r="C148" s="620">
        <v>244</v>
      </c>
      <c r="D148" s="620">
        <v>225</v>
      </c>
      <c r="E148" s="596">
        <f t="shared" si="28"/>
        <v>2652</v>
      </c>
      <c r="F148" s="595">
        <f>'Прилож 4 24 (8)'!V137</f>
        <v>0</v>
      </c>
      <c r="G148" s="595">
        <f>'Прилож 4 24 (8)'!W137</f>
        <v>0</v>
      </c>
      <c r="H148" s="595">
        <f>'Прилож 4 24 (8)'!X137</f>
        <v>2652</v>
      </c>
      <c r="I148" s="628"/>
      <c r="J148" s="595">
        <f>'Прилож 4 24 (8)'!Z137</f>
        <v>0</v>
      </c>
      <c r="K148" s="595">
        <f>'Прилож 4 24 (8)'!AA137</f>
        <v>0</v>
      </c>
      <c r="L148" s="595">
        <f>'Прилож 4 24 (8)'!AB137</f>
        <v>0</v>
      </c>
      <c r="M148" s="876">
        <f t="shared" si="22"/>
        <v>-772</v>
      </c>
      <c r="N148" s="875"/>
      <c r="O148" s="875"/>
      <c r="P148" s="875">
        <f>-751.4-20.6</f>
        <v>-772</v>
      </c>
      <c r="Q148" s="877"/>
      <c r="R148" s="875"/>
      <c r="S148" s="875"/>
      <c r="T148" s="875"/>
      <c r="U148" s="876">
        <f t="shared" si="26"/>
        <v>1880</v>
      </c>
      <c r="V148" s="875">
        <f t="shared" si="26"/>
        <v>0</v>
      </c>
      <c r="W148" s="875">
        <f t="shared" ref="W148:X161" si="30">O148+G148</f>
        <v>0</v>
      </c>
      <c r="X148" s="875">
        <f t="shared" si="30"/>
        <v>1880</v>
      </c>
      <c r="Y148" s="883"/>
      <c r="Z148" s="875">
        <f t="shared" si="29"/>
        <v>0</v>
      </c>
      <c r="AA148" s="875">
        <f t="shared" si="27"/>
        <v>0</v>
      </c>
      <c r="AB148" s="875">
        <f t="shared" si="27"/>
        <v>0</v>
      </c>
      <c r="AC148" s="878" t="s">
        <v>1536</v>
      </c>
    </row>
    <row r="149" spans="1:29" ht="63" x14ac:dyDescent="0.2">
      <c r="A149" s="618" t="s">
        <v>644</v>
      </c>
      <c r="B149" s="619" t="s">
        <v>729</v>
      </c>
      <c r="C149" s="620">
        <v>244</v>
      </c>
      <c r="D149" s="620">
        <v>225</v>
      </c>
      <c r="E149" s="596">
        <f t="shared" si="28"/>
        <v>15000</v>
      </c>
      <c r="F149" s="595">
        <f>'Прилож 4 24 (8)'!V138</f>
        <v>0</v>
      </c>
      <c r="G149" s="595">
        <f>'Прилож 4 24 (8)'!W138</f>
        <v>0</v>
      </c>
      <c r="H149" s="595">
        <f>'Прилож 4 24 (8)'!X138</f>
        <v>15000</v>
      </c>
      <c r="I149" s="628"/>
      <c r="J149" s="595">
        <f>'Прилож 4 24 (8)'!Z138</f>
        <v>0</v>
      </c>
      <c r="K149" s="595">
        <f>'Прилож 4 24 (8)'!AA138</f>
        <v>0</v>
      </c>
      <c r="L149" s="595">
        <f>'Прилож 4 24 (8)'!AB138</f>
        <v>0</v>
      </c>
      <c r="M149" s="876">
        <f t="shared" si="22"/>
        <v>26282.940000000002</v>
      </c>
      <c r="N149" s="875"/>
      <c r="O149" s="875"/>
      <c r="P149" s="875">
        <f>20.6+9846.04+1906.23</f>
        <v>11772.87</v>
      </c>
      <c r="Q149" s="877"/>
      <c r="R149" s="875"/>
      <c r="S149" s="875"/>
      <c r="T149" s="875">
        <v>14510.07</v>
      </c>
      <c r="U149" s="876">
        <f t="shared" si="26"/>
        <v>41282.94</v>
      </c>
      <c r="V149" s="875">
        <f t="shared" si="26"/>
        <v>0</v>
      </c>
      <c r="W149" s="875">
        <f t="shared" si="30"/>
        <v>0</v>
      </c>
      <c r="X149" s="875">
        <f t="shared" si="30"/>
        <v>26772.870000000003</v>
      </c>
      <c r="Y149" s="883"/>
      <c r="Z149" s="875">
        <f t="shared" si="29"/>
        <v>0</v>
      </c>
      <c r="AA149" s="875">
        <f t="shared" si="27"/>
        <v>0</v>
      </c>
      <c r="AB149" s="875">
        <f t="shared" si="27"/>
        <v>14510.07</v>
      </c>
      <c r="AC149" s="878" t="s">
        <v>1537</v>
      </c>
    </row>
    <row r="150" spans="1:29" ht="31.5" x14ac:dyDescent="0.2">
      <c r="A150" s="618" t="s">
        <v>587</v>
      </c>
      <c r="B150" s="619" t="s">
        <v>729</v>
      </c>
      <c r="C150" s="620">
        <v>244</v>
      </c>
      <c r="D150" s="620">
        <v>225</v>
      </c>
      <c r="E150" s="596">
        <f t="shared" si="28"/>
        <v>15624</v>
      </c>
      <c r="F150" s="595">
        <f>'Прилож 4 24 (8)'!V139</f>
        <v>0</v>
      </c>
      <c r="G150" s="595">
        <f>'Прилож 4 24 (8)'!W139</f>
        <v>0</v>
      </c>
      <c r="H150" s="595">
        <f>'Прилож 4 24 (8)'!X139</f>
        <v>15624</v>
      </c>
      <c r="I150" s="628"/>
      <c r="J150" s="595">
        <f>'Прилож 4 24 (8)'!Z139</f>
        <v>0</v>
      </c>
      <c r="K150" s="595">
        <f>'Прилож 4 24 (8)'!AA139</f>
        <v>0</v>
      </c>
      <c r="L150" s="595">
        <f>'Прилож 4 24 (8)'!AB139</f>
        <v>0</v>
      </c>
      <c r="M150" s="876">
        <f t="shared" si="22"/>
        <v>0</v>
      </c>
      <c r="N150" s="875"/>
      <c r="O150" s="875"/>
      <c r="P150" s="875"/>
      <c r="Q150" s="877"/>
      <c r="R150" s="875"/>
      <c r="S150" s="875"/>
      <c r="T150" s="875"/>
      <c r="U150" s="876">
        <f t="shared" si="26"/>
        <v>15624</v>
      </c>
      <c r="V150" s="875">
        <f t="shared" si="26"/>
        <v>0</v>
      </c>
      <c r="W150" s="875">
        <f t="shared" si="30"/>
        <v>0</v>
      </c>
      <c r="X150" s="875">
        <f t="shared" si="30"/>
        <v>15624</v>
      </c>
      <c r="Y150" s="883"/>
      <c r="Z150" s="875">
        <f t="shared" si="29"/>
        <v>0</v>
      </c>
      <c r="AA150" s="875">
        <f t="shared" si="27"/>
        <v>0</v>
      </c>
      <c r="AB150" s="875">
        <f t="shared" si="27"/>
        <v>0</v>
      </c>
      <c r="AC150" s="878"/>
    </row>
    <row r="151" spans="1:29" ht="28.5" customHeight="1" x14ac:dyDescent="0.2">
      <c r="A151" s="618" t="s">
        <v>1208</v>
      </c>
      <c r="B151" s="619" t="s">
        <v>729</v>
      </c>
      <c r="C151" s="620">
        <v>244</v>
      </c>
      <c r="D151" s="620">
        <v>225</v>
      </c>
      <c r="E151" s="596">
        <f t="shared" si="28"/>
        <v>0</v>
      </c>
      <c r="F151" s="595">
        <f>'Прилож 4 24 (8)'!V140</f>
        <v>0</v>
      </c>
      <c r="G151" s="595">
        <f>'Прилож 4 24 (8)'!W140</f>
        <v>0</v>
      </c>
      <c r="H151" s="595">
        <f>'Прилож 4 24 (8)'!X140</f>
        <v>0</v>
      </c>
      <c r="I151" s="628"/>
      <c r="J151" s="595">
        <f>'Прилож 4 24 (8)'!Z140</f>
        <v>0</v>
      </c>
      <c r="K151" s="595">
        <f>'Прилож 4 24 (8)'!AA140</f>
        <v>0</v>
      </c>
      <c r="L151" s="595">
        <f>'Прилож 4 24 (8)'!AB140</f>
        <v>0</v>
      </c>
      <c r="M151" s="876">
        <f t="shared" si="22"/>
        <v>0</v>
      </c>
      <c r="N151" s="875"/>
      <c r="O151" s="875"/>
      <c r="P151" s="875"/>
      <c r="Q151" s="877"/>
      <c r="R151" s="875"/>
      <c r="S151" s="875"/>
      <c r="T151" s="875"/>
      <c r="U151" s="876">
        <f t="shared" si="26"/>
        <v>0</v>
      </c>
      <c r="V151" s="875">
        <f t="shared" si="26"/>
        <v>0</v>
      </c>
      <c r="W151" s="875">
        <f t="shared" si="30"/>
        <v>0</v>
      </c>
      <c r="X151" s="875">
        <f t="shared" si="30"/>
        <v>0</v>
      </c>
      <c r="Y151" s="883"/>
      <c r="Z151" s="875">
        <f t="shared" si="29"/>
        <v>0</v>
      </c>
      <c r="AA151" s="875">
        <f t="shared" si="27"/>
        <v>0</v>
      </c>
      <c r="AB151" s="875">
        <f t="shared" si="27"/>
        <v>0</v>
      </c>
      <c r="AC151" s="878"/>
    </row>
    <row r="152" spans="1:29" ht="31.5" x14ac:dyDescent="0.2">
      <c r="A152" s="618" t="s">
        <v>157</v>
      </c>
      <c r="B152" s="619" t="s">
        <v>729</v>
      </c>
      <c r="C152" s="620">
        <v>244</v>
      </c>
      <c r="D152" s="620">
        <v>225</v>
      </c>
      <c r="E152" s="596">
        <f t="shared" si="28"/>
        <v>8500</v>
      </c>
      <c r="F152" s="595">
        <f>'Прилож 4 24 (8)'!V141</f>
        <v>0</v>
      </c>
      <c r="G152" s="595">
        <f>'Прилож 4 24 (8)'!W141</f>
        <v>0</v>
      </c>
      <c r="H152" s="595">
        <f>'Прилож 4 24 (8)'!X141</f>
        <v>8500</v>
      </c>
      <c r="I152" s="628"/>
      <c r="J152" s="595">
        <f>'Прилож 4 24 (8)'!Z141</f>
        <v>0</v>
      </c>
      <c r="K152" s="595">
        <f>'Прилож 4 24 (8)'!AA141</f>
        <v>0</v>
      </c>
      <c r="L152" s="595">
        <f>'Прилож 4 24 (8)'!AB141</f>
        <v>0</v>
      </c>
      <c r="M152" s="876">
        <f t="shared" si="22"/>
        <v>0</v>
      </c>
      <c r="N152" s="875"/>
      <c r="O152" s="875"/>
      <c r="P152" s="875"/>
      <c r="Q152" s="877"/>
      <c r="R152" s="875"/>
      <c r="S152" s="875"/>
      <c r="T152" s="875"/>
      <c r="U152" s="876">
        <f t="shared" si="26"/>
        <v>8500</v>
      </c>
      <c r="V152" s="875">
        <f t="shared" si="26"/>
        <v>0</v>
      </c>
      <c r="W152" s="875">
        <f t="shared" si="30"/>
        <v>0</v>
      </c>
      <c r="X152" s="875">
        <f t="shared" si="30"/>
        <v>8500</v>
      </c>
      <c r="Y152" s="883"/>
      <c r="Z152" s="875">
        <f t="shared" si="29"/>
        <v>0</v>
      </c>
      <c r="AA152" s="875">
        <f t="shared" si="27"/>
        <v>0</v>
      </c>
      <c r="AB152" s="875">
        <f t="shared" si="27"/>
        <v>0</v>
      </c>
      <c r="AC152" s="878"/>
    </row>
    <row r="153" spans="1:29" ht="30" customHeight="1" x14ac:dyDescent="0.2">
      <c r="A153" s="618" t="s">
        <v>583</v>
      </c>
      <c r="B153" s="619" t="s">
        <v>729</v>
      </c>
      <c r="C153" s="620">
        <v>244</v>
      </c>
      <c r="D153" s="620">
        <v>225</v>
      </c>
      <c r="E153" s="596">
        <f t="shared" si="28"/>
        <v>10310</v>
      </c>
      <c r="F153" s="595">
        <f>'Прилож 4 24 (8)'!V142</f>
        <v>0</v>
      </c>
      <c r="G153" s="595">
        <f>'Прилож 4 24 (8)'!W142</f>
        <v>0</v>
      </c>
      <c r="H153" s="595">
        <f>'Прилож 4 24 (8)'!X142</f>
        <v>10310</v>
      </c>
      <c r="I153" s="628"/>
      <c r="J153" s="595">
        <f>'Прилож 4 24 (8)'!Z142</f>
        <v>0</v>
      </c>
      <c r="K153" s="595">
        <f>'Прилож 4 24 (8)'!AA142</f>
        <v>0</v>
      </c>
      <c r="L153" s="595">
        <f>'Прилож 4 24 (8)'!AB142</f>
        <v>0</v>
      </c>
      <c r="M153" s="876">
        <f t="shared" si="22"/>
        <v>0</v>
      </c>
      <c r="N153" s="875"/>
      <c r="O153" s="875"/>
      <c r="P153" s="875"/>
      <c r="Q153" s="877"/>
      <c r="R153" s="875"/>
      <c r="S153" s="875"/>
      <c r="T153" s="875"/>
      <c r="U153" s="876">
        <f t="shared" si="26"/>
        <v>10310</v>
      </c>
      <c r="V153" s="875">
        <f t="shared" si="26"/>
        <v>0</v>
      </c>
      <c r="W153" s="875">
        <f t="shared" si="30"/>
        <v>0</v>
      </c>
      <c r="X153" s="875">
        <f t="shared" si="30"/>
        <v>10310</v>
      </c>
      <c r="Y153" s="883"/>
      <c r="Z153" s="875">
        <f t="shared" si="29"/>
        <v>0</v>
      </c>
      <c r="AA153" s="875">
        <f t="shared" si="27"/>
        <v>0</v>
      </c>
      <c r="AB153" s="875">
        <f t="shared" si="27"/>
        <v>0</v>
      </c>
      <c r="AC153" s="878"/>
    </row>
    <row r="154" spans="1:29" ht="31.5" customHeight="1" x14ac:dyDescent="0.2">
      <c r="A154" s="618" t="s">
        <v>1204</v>
      </c>
      <c r="B154" s="619" t="s">
        <v>729</v>
      </c>
      <c r="C154" s="620">
        <v>244</v>
      </c>
      <c r="D154" s="620">
        <v>225</v>
      </c>
      <c r="E154" s="596">
        <f t="shared" si="28"/>
        <v>36178</v>
      </c>
      <c r="F154" s="595">
        <f>'Прилож 4 24 (8)'!V143</f>
        <v>0</v>
      </c>
      <c r="G154" s="595">
        <f>'Прилож 4 24 (8)'!W143</f>
        <v>0</v>
      </c>
      <c r="H154" s="595">
        <f>'Прилож 4 24 (8)'!X143</f>
        <v>36178</v>
      </c>
      <c r="I154" s="628"/>
      <c r="J154" s="595">
        <f>'Прилож 4 24 (8)'!Z143</f>
        <v>0</v>
      </c>
      <c r="K154" s="595">
        <f>'Прилож 4 24 (8)'!AA143</f>
        <v>0</v>
      </c>
      <c r="L154" s="595">
        <f>'Прилож 4 24 (8)'!AB143</f>
        <v>0</v>
      </c>
      <c r="M154" s="876">
        <f t="shared" si="22"/>
        <v>-120</v>
      </c>
      <c r="N154" s="875"/>
      <c r="O154" s="875"/>
      <c r="P154" s="875">
        <v>-120</v>
      </c>
      <c r="Q154" s="877"/>
      <c r="R154" s="875"/>
      <c r="S154" s="875"/>
      <c r="T154" s="875"/>
      <c r="U154" s="876">
        <f t="shared" si="26"/>
        <v>36058</v>
      </c>
      <c r="V154" s="875">
        <f t="shared" si="26"/>
        <v>0</v>
      </c>
      <c r="W154" s="875">
        <f t="shared" si="30"/>
        <v>0</v>
      </c>
      <c r="X154" s="875">
        <f t="shared" si="30"/>
        <v>36058</v>
      </c>
      <c r="Y154" s="883"/>
      <c r="Z154" s="875">
        <f t="shared" si="29"/>
        <v>0</v>
      </c>
      <c r="AA154" s="875">
        <f t="shared" si="27"/>
        <v>0</v>
      </c>
      <c r="AB154" s="875">
        <f t="shared" si="27"/>
        <v>0</v>
      </c>
      <c r="AC154" s="878" t="s">
        <v>1538</v>
      </c>
    </row>
    <row r="155" spans="1:29" ht="47.25" x14ac:dyDescent="0.2">
      <c r="A155" s="618" t="s">
        <v>1327</v>
      </c>
      <c r="B155" s="619" t="s">
        <v>729</v>
      </c>
      <c r="C155" s="620">
        <v>244</v>
      </c>
      <c r="D155" s="620">
        <v>225</v>
      </c>
      <c r="E155" s="596">
        <f t="shared" si="28"/>
        <v>0</v>
      </c>
      <c r="F155" s="595">
        <f>'Прилож 4 24 (8)'!V144</f>
        <v>0</v>
      </c>
      <c r="G155" s="595">
        <f>'Прилож 4 24 (8)'!W144</f>
        <v>0</v>
      </c>
      <c r="H155" s="595">
        <f>'Прилож 4 24 (8)'!X144</f>
        <v>0</v>
      </c>
      <c r="I155" s="621" t="s">
        <v>1314</v>
      </c>
      <c r="J155" s="595">
        <f>'Прилож 4 24 (8)'!Z144</f>
        <v>0</v>
      </c>
      <c r="K155" s="595">
        <f>'Прилож 4 24 (8)'!AA144</f>
        <v>0</v>
      </c>
      <c r="L155" s="595">
        <f>'Прилож 4 24 (8)'!AB144</f>
        <v>0</v>
      </c>
      <c r="M155" s="876">
        <f t="shared" si="22"/>
        <v>0</v>
      </c>
      <c r="N155" s="875"/>
      <c r="O155" s="875"/>
      <c r="P155" s="875"/>
      <c r="Q155" s="621"/>
      <c r="R155" s="875"/>
      <c r="S155" s="875"/>
      <c r="T155" s="875"/>
      <c r="U155" s="876">
        <f t="shared" si="26"/>
        <v>0</v>
      </c>
      <c r="V155" s="875">
        <f t="shared" si="26"/>
        <v>0</v>
      </c>
      <c r="W155" s="875">
        <f t="shared" si="30"/>
        <v>0</v>
      </c>
      <c r="X155" s="875">
        <f t="shared" si="30"/>
        <v>0</v>
      </c>
      <c r="Y155" s="877" t="s">
        <v>1314</v>
      </c>
      <c r="Z155" s="875">
        <f t="shared" si="29"/>
        <v>0</v>
      </c>
      <c r="AA155" s="875">
        <f t="shared" si="27"/>
        <v>0</v>
      </c>
      <c r="AB155" s="875">
        <f t="shared" si="27"/>
        <v>0</v>
      </c>
      <c r="AC155" s="878"/>
    </row>
    <row r="156" spans="1:29" ht="37.5" customHeight="1" x14ac:dyDescent="0.2">
      <c r="A156" s="994" t="s">
        <v>1446</v>
      </c>
      <c r="B156" s="619" t="s">
        <v>729</v>
      </c>
      <c r="C156" s="620">
        <v>244</v>
      </c>
      <c r="D156" s="620">
        <v>225</v>
      </c>
      <c r="E156" s="596">
        <f t="shared" si="28"/>
        <v>249291.8</v>
      </c>
      <c r="F156" s="595">
        <f>'Прилож 4 24 (8)'!V145</f>
        <v>0</v>
      </c>
      <c r="G156" s="595">
        <f>'Прилож 4 24 (8)'!W145</f>
        <v>0</v>
      </c>
      <c r="H156" s="595">
        <f>'Прилож 4 24 (8)'!X145</f>
        <v>0</v>
      </c>
      <c r="I156" s="621" t="s">
        <v>1314</v>
      </c>
      <c r="J156" s="595">
        <f>'Прилож 4 24 (8)'!Z145</f>
        <v>0</v>
      </c>
      <c r="K156" s="595">
        <f>'Прилож 4 24 (8)'!AA145</f>
        <v>249291.8</v>
      </c>
      <c r="L156" s="595">
        <f>'Прилож 4 24 (8)'!AB145</f>
        <v>0</v>
      </c>
      <c r="M156" s="876">
        <f t="shared" si="22"/>
        <v>0</v>
      </c>
      <c r="N156" s="875"/>
      <c r="O156" s="875"/>
      <c r="P156" s="875"/>
      <c r="Q156" s="621"/>
      <c r="R156" s="875"/>
      <c r="S156" s="875"/>
      <c r="T156" s="875"/>
      <c r="U156" s="876">
        <f t="shared" si="26"/>
        <v>249291.8</v>
      </c>
      <c r="V156" s="875">
        <f t="shared" si="26"/>
        <v>0</v>
      </c>
      <c r="W156" s="875">
        <f t="shared" si="30"/>
        <v>0</v>
      </c>
      <c r="X156" s="875">
        <f t="shared" si="30"/>
        <v>0</v>
      </c>
      <c r="Y156" s="877" t="s">
        <v>1314</v>
      </c>
      <c r="Z156" s="875">
        <f t="shared" si="29"/>
        <v>0</v>
      </c>
      <c r="AA156" s="875">
        <f t="shared" si="27"/>
        <v>249291.8</v>
      </c>
      <c r="AB156" s="875">
        <f t="shared" si="27"/>
        <v>0</v>
      </c>
      <c r="AC156" s="878"/>
    </row>
    <row r="157" spans="1:29" ht="30" customHeight="1" x14ac:dyDescent="0.2">
      <c r="A157" s="994" t="s">
        <v>1447</v>
      </c>
      <c r="B157" s="619" t="s">
        <v>729</v>
      </c>
      <c r="C157" s="620">
        <v>244</v>
      </c>
      <c r="D157" s="620">
        <v>225</v>
      </c>
      <c r="E157" s="596">
        <f t="shared" si="28"/>
        <v>268872.66000000003</v>
      </c>
      <c r="F157" s="595">
        <f>'Прилож 4 24 (8)'!V146</f>
        <v>0</v>
      </c>
      <c r="G157" s="595">
        <f>'Прилож 4 24 (8)'!W146</f>
        <v>0</v>
      </c>
      <c r="H157" s="595">
        <f>'Прилож 4 24 (8)'!X146</f>
        <v>0</v>
      </c>
      <c r="I157" s="621" t="s">
        <v>1314</v>
      </c>
      <c r="J157" s="595">
        <f>'Прилож 4 24 (8)'!Z146</f>
        <v>0</v>
      </c>
      <c r="K157" s="595">
        <f>'Прилож 4 24 (8)'!AA146</f>
        <v>268872.66000000003</v>
      </c>
      <c r="L157" s="595">
        <f>'Прилож 4 24 (8)'!AB146</f>
        <v>0</v>
      </c>
      <c r="M157" s="876">
        <f t="shared" si="22"/>
        <v>0</v>
      </c>
      <c r="N157" s="875"/>
      <c r="O157" s="875"/>
      <c r="P157" s="875"/>
      <c r="Q157" s="621"/>
      <c r="R157" s="875"/>
      <c r="S157" s="875"/>
      <c r="T157" s="875"/>
      <c r="U157" s="876">
        <f t="shared" si="26"/>
        <v>268872.66000000003</v>
      </c>
      <c r="V157" s="875">
        <f t="shared" si="26"/>
        <v>0</v>
      </c>
      <c r="W157" s="875">
        <f t="shared" si="30"/>
        <v>0</v>
      </c>
      <c r="X157" s="875">
        <f t="shared" si="30"/>
        <v>0</v>
      </c>
      <c r="Y157" s="877" t="s">
        <v>1314</v>
      </c>
      <c r="Z157" s="875">
        <f t="shared" si="29"/>
        <v>0</v>
      </c>
      <c r="AA157" s="875">
        <f t="shared" si="27"/>
        <v>268872.66000000003</v>
      </c>
      <c r="AB157" s="875">
        <f t="shared" si="27"/>
        <v>0</v>
      </c>
      <c r="AC157" s="878"/>
    </row>
    <row r="158" spans="1:29" ht="38.25" customHeight="1" x14ac:dyDescent="0.2">
      <c r="A158" s="994" t="s">
        <v>1460</v>
      </c>
      <c r="B158" s="619" t="s">
        <v>729</v>
      </c>
      <c r="C158" s="620">
        <v>244</v>
      </c>
      <c r="D158" s="620">
        <v>225</v>
      </c>
      <c r="E158" s="596">
        <f t="shared" si="28"/>
        <v>18000</v>
      </c>
      <c r="F158" s="595">
        <f>'Прилож 4 24 (8)'!V147</f>
        <v>0</v>
      </c>
      <c r="G158" s="595">
        <f>'Прилож 4 24 (8)'!W147</f>
        <v>0</v>
      </c>
      <c r="H158" s="595">
        <f>'Прилож 4 24 (8)'!X147</f>
        <v>18000</v>
      </c>
      <c r="I158" s="621"/>
      <c r="J158" s="595">
        <f>'Прилож 4 24 (8)'!Z147</f>
        <v>0</v>
      </c>
      <c r="K158" s="595">
        <f>'Прилож 4 24 (8)'!AA147</f>
        <v>0</v>
      </c>
      <c r="L158" s="595">
        <f>'Прилож 4 24 (8)'!AB147</f>
        <v>0</v>
      </c>
      <c r="M158" s="876">
        <f t="shared" si="22"/>
        <v>0</v>
      </c>
      <c r="N158" s="875"/>
      <c r="O158" s="875"/>
      <c r="P158" s="875"/>
      <c r="Q158" s="621"/>
      <c r="R158" s="875"/>
      <c r="S158" s="875"/>
      <c r="T158" s="875"/>
      <c r="U158" s="876">
        <f t="shared" si="26"/>
        <v>18000</v>
      </c>
      <c r="V158" s="875">
        <f t="shared" si="26"/>
        <v>0</v>
      </c>
      <c r="W158" s="875">
        <f t="shared" si="30"/>
        <v>0</v>
      </c>
      <c r="X158" s="875">
        <f t="shared" si="30"/>
        <v>18000</v>
      </c>
      <c r="Y158" s="877"/>
      <c r="Z158" s="875">
        <f t="shared" si="29"/>
        <v>0</v>
      </c>
      <c r="AA158" s="875">
        <f t="shared" si="27"/>
        <v>0</v>
      </c>
      <c r="AB158" s="875">
        <f t="shared" si="27"/>
        <v>0</v>
      </c>
      <c r="AC158" s="878"/>
    </row>
    <row r="159" spans="1:29" ht="32.25" customHeight="1" x14ac:dyDescent="0.2">
      <c r="A159" s="994" t="s">
        <v>1474</v>
      </c>
      <c r="B159" s="619" t="s">
        <v>729</v>
      </c>
      <c r="C159" s="620">
        <v>244</v>
      </c>
      <c r="D159" s="620">
        <v>225</v>
      </c>
      <c r="E159" s="596">
        <f t="shared" si="28"/>
        <v>491120.73</v>
      </c>
      <c r="F159" s="595">
        <f>'Прилож 4 24 (8)'!V148</f>
        <v>0</v>
      </c>
      <c r="G159" s="595">
        <f>'Прилож 4 24 (8)'!W148</f>
        <v>0</v>
      </c>
      <c r="H159" s="595">
        <f>'Прилож 4 24 (8)'!X148</f>
        <v>0</v>
      </c>
      <c r="I159" s="621" t="s">
        <v>1314</v>
      </c>
      <c r="J159" s="595">
        <f>'Прилож 4 24 (8)'!Z148</f>
        <v>0</v>
      </c>
      <c r="K159" s="595">
        <f>'Прилож 4 24 (8)'!AA148</f>
        <v>491120.73</v>
      </c>
      <c r="L159" s="595">
        <f>'Прилож 4 24 (8)'!AB148</f>
        <v>0</v>
      </c>
      <c r="M159" s="876">
        <f t="shared" si="22"/>
        <v>0</v>
      </c>
      <c r="N159" s="875"/>
      <c r="O159" s="875"/>
      <c r="P159" s="875"/>
      <c r="Q159" s="621"/>
      <c r="R159" s="875"/>
      <c r="S159" s="875"/>
      <c r="T159" s="875"/>
      <c r="U159" s="876">
        <f t="shared" si="26"/>
        <v>491120.73</v>
      </c>
      <c r="V159" s="875">
        <f t="shared" si="26"/>
        <v>0</v>
      </c>
      <c r="W159" s="875">
        <f t="shared" si="30"/>
        <v>0</v>
      </c>
      <c r="X159" s="875">
        <f t="shared" si="30"/>
        <v>0</v>
      </c>
      <c r="Y159" s="877" t="s">
        <v>1314</v>
      </c>
      <c r="Z159" s="875">
        <f t="shared" si="29"/>
        <v>0</v>
      </c>
      <c r="AA159" s="875">
        <f t="shared" si="27"/>
        <v>491120.73</v>
      </c>
      <c r="AB159" s="875"/>
      <c r="AC159" s="878"/>
    </row>
    <row r="160" spans="1:29" ht="66" customHeight="1" x14ac:dyDescent="0.2">
      <c r="A160" s="994" t="s">
        <v>1475</v>
      </c>
      <c r="B160" s="619" t="s">
        <v>729</v>
      </c>
      <c r="C160" s="620">
        <v>244</v>
      </c>
      <c r="D160" s="620">
        <v>225</v>
      </c>
      <c r="E160" s="596">
        <f t="shared" si="28"/>
        <v>183401.27</v>
      </c>
      <c r="F160" s="595">
        <f>'Прилож 4 24 (8)'!V149</f>
        <v>0</v>
      </c>
      <c r="G160" s="595">
        <f>'Прилож 4 24 (8)'!W149</f>
        <v>0</v>
      </c>
      <c r="H160" s="595">
        <f>'Прилож 4 24 (8)'!X149</f>
        <v>0</v>
      </c>
      <c r="I160" s="621" t="s">
        <v>1314</v>
      </c>
      <c r="J160" s="595">
        <f>'Прилож 4 24 (8)'!Z149</f>
        <v>0</v>
      </c>
      <c r="K160" s="595">
        <f>'Прилож 4 24 (8)'!AA149</f>
        <v>183401.27</v>
      </c>
      <c r="L160" s="595">
        <f>'Прилож 4 24 (8)'!AB149</f>
        <v>0</v>
      </c>
      <c r="M160" s="876">
        <f t="shared" si="22"/>
        <v>0</v>
      </c>
      <c r="N160" s="875"/>
      <c r="O160" s="875"/>
      <c r="P160" s="875"/>
      <c r="Q160" s="621"/>
      <c r="R160" s="875"/>
      <c r="S160" s="875"/>
      <c r="T160" s="875"/>
      <c r="U160" s="876">
        <f t="shared" si="26"/>
        <v>183401.27</v>
      </c>
      <c r="V160" s="875">
        <f t="shared" si="26"/>
        <v>0</v>
      </c>
      <c r="W160" s="875">
        <f t="shared" si="30"/>
        <v>0</v>
      </c>
      <c r="X160" s="875">
        <f t="shared" si="30"/>
        <v>0</v>
      </c>
      <c r="Y160" s="877" t="s">
        <v>1314</v>
      </c>
      <c r="Z160" s="875">
        <f t="shared" si="29"/>
        <v>0</v>
      </c>
      <c r="AA160" s="875">
        <f t="shared" si="27"/>
        <v>183401.27</v>
      </c>
      <c r="AB160" s="875"/>
      <c r="AC160" s="878"/>
    </row>
    <row r="161" spans="1:30" ht="42" customHeight="1" x14ac:dyDescent="0.2">
      <c r="A161" s="994" t="s">
        <v>1185</v>
      </c>
      <c r="B161" s="619" t="s">
        <v>729</v>
      </c>
      <c r="C161" s="620">
        <v>244</v>
      </c>
      <c r="D161" s="620">
        <v>225</v>
      </c>
      <c r="E161" s="596">
        <f t="shared" si="28"/>
        <v>9600</v>
      </c>
      <c r="F161" s="595">
        <f>'Прилож 4 24 (8)'!V150</f>
        <v>0</v>
      </c>
      <c r="G161" s="595">
        <f>'Прилож 4 24 (8)'!W150</f>
        <v>0</v>
      </c>
      <c r="H161" s="595">
        <f>'Прилож 4 24 (8)'!X150</f>
        <v>9600</v>
      </c>
      <c r="I161" s="621"/>
      <c r="J161" s="595">
        <f>'Прилож 4 24 (8)'!Z150</f>
        <v>0</v>
      </c>
      <c r="K161" s="595">
        <f>'Прилож 4 24 (8)'!AA150</f>
        <v>0</v>
      </c>
      <c r="L161" s="595">
        <f>'Прилож 4 24 (8)'!AB150</f>
        <v>0</v>
      </c>
      <c r="M161" s="876">
        <f t="shared" si="22"/>
        <v>0</v>
      </c>
      <c r="N161" s="875"/>
      <c r="O161" s="875"/>
      <c r="P161" s="875"/>
      <c r="Q161" s="621"/>
      <c r="R161" s="875"/>
      <c r="S161" s="875"/>
      <c r="T161" s="875"/>
      <c r="U161" s="876">
        <f t="shared" si="26"/>
        <v>9600</v>
      </c>
      <c r="V161" s="875">
        <f t="shared" si="26"/>
        <v>0</v>
      </c>
      <c r="W161" s="875">
        <f t="shared" si="30"/>
        <v>0</v>
      </c>
      <c r="X161" s="875">
        <f t="shared" si="30"/>
        <v>9600</v>
      </c>
      <c r="Y161" s="877"/>
      <c r="Z161" s="875">
        <f t="shared" si="29"/>
        <v>0</v>
      </c>
      <c r="AA161" s="875">
        <f t="shared" si="27"/>
        <v>0</v>
      </c>
      <c r="AB161" s="875"/>
      <c r="AC161" s="878"/>
    </row>
    <row r="162" spans="1:30" ht="48" customHeight="1" x14ac:dyDescent="0.2">
      <c r="A162" s="618" t="s">
        <v>1393</v>
      </c>
      <c r="B162" s="619" t="s">
        <v>729</v>
      </c>
      <c r="C162" s="620">
        <v>244</v>
      </c>
      <c r="D162" s="620">
        <v>225</v>
      </c>
      <c r="E162" s="596">
        <f t="shared" si="28"/>
        <v>36920</v>
      </c>
      <c r="F162" s="595">
        <f>'Прилож 4 24 (8)'!V151</f>
        <v>0</v>
      </c>
      <c r="G162" s="595">
        <f>'Прилож 4 24 (8)'!W151</f>
        <v>0</v>
      </c>
      <c r="H162" s="595">
        <f>'Прилож 4 24 (8)'!X151</f>
        <v>36920</v>
      </c>
      <c r="I162" s="621"/>
      <c r="J162" s="595">
        <f>'Прилож 4 24 (8)'!Z151</f>
        <v>0</v>
      </c>
      <c r="K162" s="595">
        <f>'Прилож 4 24 (8)'!AA151</f>
        <v>0</v>
      </c>
      <c r="L162" s="595">
        <f>'Прилож 4 24 (8)'!AB151</f>
        <v>0</v>
      </c>
      <c r="M162" s="876">
        <f t="shared" si="22"/>
        <v>120</v>
      </c>
      <c r="N162" s="875"/>
      <c r="O162" s="875"/>
      <c r="P162" s="875">
        <v>120</v>
      </c>
      <c r="Q162" s="621"/>
      <c r="R162" s="875"/>
      <c r="S162" s="875"/>
      <c r="T162" s="875"/>
      <c r="U162" s="876">
        <f t="shared" si="26"/>
        <v>37040</v>
      </c>
      <c r="V162" s="875"/>
      <c r="W162" s="875"/>
      <c r="X162" s="875">
        <f>P162+H162</f>
        <v>37040</v>
      </c>
      <c r="Y162" s="877"/>
      <c r="Z162" s="875"/>
      <c r="AA162" s="875"/>
      <c r="AB162" s="875"/>
      <c r="AC162" s="878" t="s">
        <v>1539</v>
      </c>
    </row>
    <row r="163" spans="1:30" s="637" customFormat="1" ht="33" customHeight="1" x14ac:dyDescent="0.2">
      <c r="A163" s="1052" t="s">
        <v>1143</v>
      </c>
      <c r="B163" s="631" t="s">
        <v>729</v>
      </c>
      <c r="C163" s="624">
        <v>244</v>
      </c>
      <c r="D163" s="624">
        <v>225</v>
      </c>
      <c r="E163" s="596">
        <f t="shared" ref="E163:E173" si="31">L163+K163+J163+H163+G163+F163</f>
        <v>1791758.3399999994</v>
      </c>
      <c r="F163" s="595">
        <f>'Прилож 4 24 (8)'!V152</f>
        <v>0</v>
      </c>
      <c r="G163" s="595">
        <f>'Прилож 4 24 (8)'!W152</f>
        <v>0</v>
      </c>
      <c r="H163" s="595">
        <f>'Прилож 4 24 (8)'!X152</f>
        <v>599071.88</v>
      </c>
      <c r="I163" s="626"/>
      <c r="J163" s="595">
        <f>'Прилож 4 24 (8)'!Z152</f>
        <v>0</v>
      </c>
      <c r="K163" s="595">
        <f>'Прилож 4 24 (8)'!AA152</f>
        <v>1192686.4599999995</v>
      </c>
      <c r="L163" s="595">
        <f>'Прилож 4 24 (8)'!AB152</f>
        <v>0</v>
      </c>
      <c r="M163" s="876">
        <f t="shared" si="22"/>
        <v>59762.340000000004</v>
      </c>
      <c r="N163" s="1053"/>
      <c r="O163" s="1053"/>
      <c r="P163" s="1054">
        <f>SUM(P136:P162)</f>
        <v>45252.270000000004</v>
      </c>
      <c r="Q163" s="881"/>
      <c r="R163" s="876">
        <f>SUM(R136:R161)</f>
        <v>0</v>
      </c>
      <c r="S163" s="876">
        <f>SUM(S136:S161)</f>
        <v>0</v>
      </c>
      <c r="T163" s="876">
        <f>SUM(T136:T162)</f>
        <v>14510.07</v>
      </c>
      <c r="U163" s="876">
        <f t="shared" si="26"/>
        <v>1851520.6799999995</v>
      </c>
      <c r="V163" s="876">
        <f>F163+N163</f>
        <v>0</v>
      </c>
      <c r="W163" s="876">
        <f>O163+G163</f>
        <v>0</v>
      </c>
      <c r="X163" s="876">
        <f>P163+H163</f>
        <v>644324.15</v>
      </c>
      <c r="Y163" s="881"/>
      <c r="Z163" s="876">
        <f t="shared" ref="Z163:AB164" si="32">R163+J163</f>
        <v>0</v>
      </c>
      <c r="AA163" s="876">
        <f t="shared" si="32"/>
        <v>1192686.4599999995</v>
      </c>
      <c r="AB163" s="876">
        <f t="shared" si="32"/>
        <v>14510.07</v>
      </c>
      <c r="AC163" s="879"/>
    </row>
    <row r="164" spans="1:30" ht="36" customHeight="1" x14ac:dyDescent="0.2">
      <c r="A164" s="994" t="s">
        <v>677</v>
      </c>
      <c r="B164" s="619" t="s">
        <v>691</v>
      </c>
      <c r="C164" s="620">
        <v>244</v>
      </c>
      <c r="D164" s="620">
        <v>225</v>
      </c>
      <c r="E164" s="596">
        <f t="shared" si="31"/>
        <v>13451.999999999998</v>
      </c>
      <c r="F164" s="595">
        <f>'Прилож 4 24 (8)'!V153</f>
        <v>0</v>
      </c>
      <c r="G164" s="595">
        <f>'Прилож 4 24 (8)'!W153</f>
        <v>0</v>
      </c>
      <c r="H164" s="595">
        <f>'Прилож 4 24 (8)'!X153</f>
        <v>11086.939999999999</v>
      </c>
      <c r="I164" s="628"/>
      <c r="J164" s="595">
        <f>'Прилож 4 24 (8)'!Z153</f>
        <v>0</v>
      </c>
      <c r="K164" s="595">
        <f>'Прилож 4 24 (8)'!AA153</f>
        <v>0</v>
      </c>
      <c r="L164" s="595">
        <f>'Прилож 4 24 (8)'!AB153</f>
        <v>2365.06</v>
      </c>
      <c r="M164" s="876">
        <f t="shared" si="22"/>
        <v>0</v>
      </c>
      <c r="N164" s="875"/>
      <c r="O164" s="875"/>
      <c r="P164" s="875"/>
      <c r="Q164" s="877"/>
      <c r="R164" s="875"/>
      <c r="S164" s="875"/>
      <c r="T164" s="875"/>
      <c r="U164" s="876">
        <f t="shared" si="26"/>
        <v>13451.999999999998</v>
      </c>
      <c r="V164" s="875">
        <f>F164+N164</f>
        <v>0</v>
      </c>
      <c r="W164" s="875">
        <f>O164+G164</f>
        <v>0</v>
      </c>
      <c r="X164" s="875">
        <f>P164+H164</f>
        <v>11086.939999999999</v>
      </c>
      <c r="Y164" s="883"/>
      <c r="Z164" s="875">
        <f t="shared" si="32"/>
        <v>0</v>
      </c>
      <c r="AA164" s="875">
        <f t="shared" si="32"/>
        <v>0</v>
      </c>
      <c r="AB164" s="875">
        <f t="shared" si="32"/>
        <v>2365.06</v>
      </c>
      <c r="AC164" s="878"/>
    </row>
    <row r="165" spans="1:30" ht="36" customHeight="1" x14ac:dyDescent="0.2">
      <c r="A165" s="994" t="s">
        <v>1436</v>
      </c>
      <c r="B165" s="619" t="s">
        <v>691</v>
      </c>
      <c r="C165" s="620">
        <v>244</v>
      </c>
      <c r="D165" s="620">
        <v>225</v>
      </c>
      <c r="E165" s="596">
        <f t="shared" si="31"/>
        <v>10200</v>
      </c>
      <c r="F165" s="595">
        <f>'Прилож 4 24 (8)'!V154</f>
        <v>0</v>
      </c>
      <c r="G165" s="595">
        <f>'Прилож 4 24 (8)'!W154</f>
        <v>0</v>
      </c>
      <c r="H165" s="595">
        <f>'Прилож 4 24 (8)'!X154</f>
        <v>0</v>
      </c>
      <c r="I165" s="877" t="s">
        <v>1440</v>
      </c>
      <c r="J165" s="595">
        <f>'Прилож 4 24 (8)'!Z154</f>
        <v>0</v>
      </c>
      <c r="K165" s="595">
        <f>'Прилож 4 24 (8)'!AA154</f>
        <v>10200</v>
      </c>
      <c r="L165" s="595">
        <f>'Прилож 4 24 (8)'!AB154</f>
        <v>0</v>
      </c>
      <c r="M165" s="876">
        <f t="shared" si="22"/>
        <v>0</v>
      </c>
      <c r="N165" s="875"/>
      <c r="O165" s="875"/>
      <c r="P165" s="875"/>
      <c r="Q165" s="877"/>
      <c r="R165" s="875"/>
      <c r="S165" s="875"/>
      <c r="T165" s="875"/>
      <c r="U165" s="876">
        <f t="shared" si="26"/>
        <v>10200</v>
      </c>
      <c r="V165" s="875"/>
      <c r="W165" s="875"/>
      <c r="X165" s="875"/>
      <c r="Y165" s="877" t="s">
        <v>1440</v>
      </c>
      <c r="Z165" s="875"/>
      <c r="AA165" s="875">
        <f>S165+K165</f>
        <v>10200</v>
      </c>
      <c r="AB165" s="875"/>
      <c r="AC165" s="878"/>
    </row>
    <row r="166" spans="1:30" ht="17.25" customHeight="1" x14ac:dyDescent="0.2">
      <c r="A166" s="632" t="s">
        <v>1143</v>
      </c>
      <c r="B166" s="633" t="s">
        <v>691</v>
      </c>
      <c r="C166" s="634">
        <v>244</v>
      </c>
      <c r="D166" s="634">
        <v>225</v>
      </c>
      <c r="E166" s="596">
        <f t="shared" si="31"/>
        <v>23652</v>
      </c>
      <c r="F166" s="595">
        <f>'Прилож 4 24 (8)'!V155</f>
        <v>0</v>
      </c>
      <c r="G166" s="595">
        <f>'Прилож 4 24 (8)'!W155</f>
        <v>0</v>
      </c>
      <c r="H166" s="595">
        <f>'Прилож 4 24 (8)'!X155</f>
        <v>11086.939999999999</v>
      </c>
      <c r="I166" s="628"/>
      <c r="J166" s="595">
        <f>'Прилож 4 24 (8)'!Z155</f>
        <v>0</v>
      </c>
      <c r="K166" s="595">
        <f>'Прилож 4 24 (8)'!AA155</f>
        <v>10200</v>
      </c>
      <c r="L166" s="595">
        <f>'Прилож 4 24 (8)'!AB155</f>
        <v>2365.06</v>
      </c>
      <c r="M166" s="876">
        <f t="shared" si="22"/>
        <v>0</v>
      </c>
      <c r="N166" s="875"/>
      <c r="O166" s="875"/>
      <c r="P166" s="875"/>
      <c r="Q166" s="877"/>
      <c r="R166" s="875"/>
      <c r="S166" s="875">
        <f>SUM(S164:S165)</f>
        <v>0</v>
      </c>
      <c r="T166" s="875"/>
      <c r="U166" s="876">
        <f t="shared" si="26"/>
        <v>23652</v>
      </c>
      <c r="V166" s="875"/>
      <c r="W166" s="875"/>
      <c r="X166" s="875">
        <f>SUM(X164:X165)</f>
        <v>11086.939999999999</v>
      </c>
      <c r="Y166" s="883"/>
      <c r="Z166" s="875"/>
      <c r="AA166" s="875">
        <f>SUM(AA164:AA165)</f>
        <v>10200</v>
      </c>
      <c r="AB166" s="875">
        <f>SUM(AB164:AB165)</f>
        <v>2365.06</v>
      </c>
      <c r="AC166" s="878"/>
    </row>
    <row r="167" spans="1:30" s="614" customFormat="1" ht="32.25" customHeight="1" x14ac:dyDescent="0.2">
      <c r="A167" s="630" t="s">
        <v>738</v>
      </c>
      <c r="B167" s="631"/>
      <c r="C167" s="624"/>
      <c r="D167" s="624"/>
      <c r="E167" s="596">
        <f t="shared" si="31"/>
        <v>3189609.18</v>
      </c>
      <c r="F167" s="595">
        <f>'Прилож 4 24 (8)'!V156</f>
        <v>0</v>
      </c>
      <c r="G167" s="595">
        <f>'Прилож 4 24 (8)'!W156</f>
        <v>0</v>
      </c>
      <c r="H167" s="595">
        <f>'Прилож 4 24 (8)'!X156</f>
        <v>974639.60000000009</v>
      </c>
      <c r="I167" s="626"/>
      <c r="J167" s="595">
        <f>'Прилож 4 24 (8)'!Z156</f>
        <v>0</v>
      </c>
      <c r="K167" s="595">
        <f>'Прилож 4 24 (8)'!AA156</f>
        <v>2212604.52</v>
      </c>
      <c r="L167" s="595">
        <f>'Прилож 4 24 (8)'!AB156</f>
        <v>2365.06</v>
      </c>
      <c r="M167" s="876">
        <f t="shared" si="22"/>
        <v>3166985.5599999996</v>
      </c>
      <c r="N167" s="876">
        <f>N135+N163+N164</f>
        <v>0</v>
      </c>
      <c r="O167" s="876"/>
      <c r="P167" s="876">
        <f>P135+P163+P164</f>
        <v>31590.230000000007</v>
      </c>
      <c r="Q167" s="881"/>
      <c r="R167" s="876"/>
      <c r="S167" s="876">
        <f>S163+S135+S166</f>
        <v>3120885.26</v>
      </c>
      <c r="T167" s="876">
        <f>T163+T135+T166</f>
        <v>14510.07</v>
      </c>
      <c r="U167" s="876">
        <f t="shared" si="26"/>
        <v>6356594.7400000002</v>
      </c>
      <c r="V167" s="875">
        <f t="shared" si="26"/>
        <v>0</v>
      </c>
      <c r="W167" s="875">
        <f t="shared" ref="W167:X199" si="33">O167+G167</f>
        <v>0</v>
      </c>
      <c r="X167" s="875">
        <f t="shared" si="33"/>
        <v>1006229.8300000001</v>
      </c>
      <c r="Y167" s="881"/>
      <c r="Z167" s="875">
        <f t="shared" ref="Z167:AB182" si="34">R167+J167</f>
        <v>0</v>
      </c>
      <c r="AA167" s="875">
        <f t="shared" si="34"/>
        <v>5333489.7799999993</v>
      </c>
      <c r="AB167" s="875">
        <f t="shared" si="34"/>
        <v>16875.13</v>
      </c>
      <c r="AC167" s="879"/>
      <c r="AD167" s="818"/>
    </row>
    <row r="168" spans="1:30" ht="31.5" x14ac:dyDescent="0.2">
      <c r="A168" s="618" t="s">
        <v>586</v>
      </c>
      <c r="B168" s="619" t="s">
        <v>747</v>
      </c>
      <c r="C168" s="620">
        <v>244</v>
      </c>
      <c r="D168" s="620">
        <v>226</v>
      </c>
      <c r="E168" s="596">
        <f t="shared" si="31"/>
        <v>53845.919999999998</v>
      </c>
      <c r="F168" s="595">
        <f>'Прилож 4 24 (8)'!V157</f>
        <v>0</v>
      </c>
      <c r="G168" s="595">
        <f>'Прилож 4 24 (8)'!W157</f>
        <v>0</v>
      </c>
      <c r="H168" s="595">
        <f>'Прилож 4 24 (8)'!X157</f>
        <v>53845.919999999998</v>
      </c>
      <c r="I168" s="628"/>
      <c r="J168" s="595">
        <f>'Прилож 4 24 (8)'!Z157</f>
        <v>0</v>
      </c>
      <c r="K168" s="595">
        <f>'Прилож 4 24 (8)'!AA157</f>
        <v>0</v>
      </c>
      <c r="L168" s="595">
        <f>'Прилож 4 24 (8)'!AB157</f>
        <v>0</v>
      </c>
      <c r="M168" s="876">
        <f t="shared" si="22"/>
        <v>0</v>
      </c>
      <c r="N168" s="875"/>
      <c r="O168" s="875"/>
      <c r="P168" s="875"/>
      <c r="Q168" s="877"/>
      <c r="R168" s="875"/>
      <c r="S168" s="875"/>
      <c r="T168" s="875"/>
      <c r="U168" s="876">
        <f t="shared" si="26"/>
        <v>53845.919999999998</v>
      </c>
      <c r="V168" s="875">
        <f t="shared" si="26"/>
        <v>0</v>
      </c>
      <c r="W168" s="875">
        <f t="shared" si="33"/>
        <v>0</v>
      </c>
      <c r="X168" s="875">
        <f t="shared" si="33"/>
        <v>53845.919999999998</v>
      </c>
      <c r="Y168" s="883"/>
      <c r="Z168" s="875">
        <f t="shared" si="34"/>
        <v>0</v>
      </c>
      <c r="AA168" s="875">
        <f t="shared" si="34"/>
        <v>0</v>
      </c>
      <c r="AB168" s="875">
        <f t="shared" si="34"/>
        <v>0</v>
      </c>
      <c r="AC168" s="878"/>
    </row>
    <row r="169" spans="1:30" ht="31.5" x14ac:dyDescent="0.2">
      <c r="A169" s="618" t="s">
        <v>154</v>
      </c>
      <c r="B169" s="619" t="s">
        <v>747</v>
      </c>
      <c r="C169" s="620">
        <v>244</v>
      </c>
      <c r="D169" s="620">
        <v>226</v>
      </c>
      <c r="E169" s="596">
        <f t="shared" si="31"/>
        <v>110500</v>
      </c>
      <c r="F169" s="595">
        <f>'Прилож 4 24 (8)'!V158</f>
        <v>0</v>
      </c>
      <c r="G169" s="595">
        <f>'Прилож 4 24 (8)'!W158</f>
        <v>0</v>
      </c>
      <c r="H169" s="595">
        <f>'Прилож 4 24 (8)'!X158</f>
        <v>110500</v>
      </c>
      <c r="I169" s="628"/>
      <c r="J169" s="595">
        <f>'Прилож 4 24 (8)'!Z158</f>
        <v>0</v>
      </c>
      <c r="K169" s="595">
        <f>'Прилож 4 24 (8)'!AA158</f>
        <v>0</v>
      </c>
      <c r="L169" s="595">
        <f>'Прилож 4 24 (8)'!AB158</f>
        <v>0</v>
      </c>
      <c r="M169" s="876">
        <f t="shared" si="22"/>
        <v>-4500</v>
      </c>
      <c r="N169" s="875"/>
      <c r="O169" s="875"/>
      <c r="P169" s="875">
        <v>-4500</v>
      </c>
      <c r="Q169" s="877"/>
      <c r="R169" s="875"/>
      <c r="S169" s="875"/>
      <c r="T169" s="875"/>
      <c r="U169" s="876">
        <f t="shared" si="26"/>
        <v>106000</v>
      </c>
      <c r="V169" s="875">
        <f t="shared" si="26"/>
        <v>0</v>
      </c>
      <c r="W169" s="875">
        <f t="shared" si="33"/>
        <v>0</v>
      </c>
      <c r="X169" s="875">
        <f t="shared" si="33"/>
        <v>106000</v>
      </c>
      <c r="Y169" s="883"/>
      <c r="Z169" s="875">
        <f t="shared" si="34"/>
        <v>0</v>
      </c>
      <c r="AA169" s="875">
        <f t="shared" si="34"/>
        <v>0</v>
      </c>
      <c r="AB169" s="875">
        <f t="shared" si="34"/>
        <v>0</v>
      </c>
      <c r="AC169" s="878" t="s">
        <v>1354</v>
      </c>
    </row>
    <row r="170" spans="1:30" ht="31.5" x14ac:dyDescent="0.2">
      <c r="A170" s="618" t="s">
        <v>642</v>
      </c>
      <c r="B170" s="619" t="s">
        <v>747</v>
      </c>
      <c r="C170" s="620">
        <v>244</v>
      </c>
      <c r="D170" s="620">
        <v>226</v>
      </c>
      <c r="E170" s="596">
        <f t="shared" si="31"/>
        <v>60720</v>
      </c>
      <c r="F170" s="595">
        <f>'Прилож 4 24 (8)'!V159</f>
        <v>0</v>
      </c>
      <c r="G170" s="595">
        <f>'Прилож 4 24 (8)'!W159</f>
        <v>0</v>
      </c>
      <c r="H170" s="595">
        <f>'Прилож 4 24 (8)'!X159</f>
        <v>60720</v>
      </c>
      <c r="I170" s="628"/>
      <c r="J170" s="595">
        <f>'Прилож 4 24 (8)'!Z159</f>
        <v>0</v>
      </c>
      <c r="K170" s="595">
        <f>'Прилож 4 24 (8)'!AA159</f>
        <v>0</v>
      </c>
      <c r="L170" s="595">
        <f>'Прилож 4 24 (8)'!AB159</f>
        <v>0</v>
      </c>
      <c r="M170" s="876">
        <f t="shared" si="22"/>
        <v>0</v>
      </c>
      <c r="N170" s="875"/>
      <c r="O170" s="875"/>
      <c r="P170" s="875"/>
      <c r="Q170" s="877"/>
      <c r="R170" s="875"/>
      <c r="S170" s="875"/>
      <c r="T170" s="875"/>
      <c r="U170" s="876">
        <f t="shared" si="26"/>
        <v>60720</v>
      </c>
      <c r="V170" s="875">
        <f t="shared" si="26"/>
        <v>0</v>
      </c>
      <c r="W170" s="875">
        <f t="shared" si="33"/>
        <v>0</v>
      </c>
      <c r="X170" s="875">
        <f t="shared" si="33"/>
        <v>60720</v>
      </c>
      <c r="Y170" s="883"/>
      <c r="Z170" s="875">
        <f t="shared" si="34"/>
        <v>0</v>
      </c>
      <c r="AA170" s="875">
        <f t="shared" si="34"/>
        <v>0</v>
      </c>
      <c r="AB170" s="875">
        <f t="shared" si="34"/>
        <v>0</v>
      </c>
      <c r="AC170" s="878"/>
    </row>
    <row r="171" spans="1:30" ht="157.5" customHeight="1" x14ac:dyDescent="0.2">
      <c r="A171" s="618" t="s">
        <v>1243</v>
      </c>
      <c r="B171" s="619" t="s">
        <v>747</v>
      </c>
      <c r="C171" s="620">
        <v>244</v>
      </c>
      <c r="D171" s="620">
        <v>226</v>
      </c>
      <c r="E171" s="596">
        <f t="shared" si="31"/>
        <v>23635.919999999998</v>
      </c>
      <c r="F171" s="595">
        <f>'Прилож 4 24 (8)'!V160</f>
        <v>0</v>
      </c>
      <c r="G171" s="595">
        <f>'Прилож 4 24 (8)'!W160</f>
        <v>0</v>
      </c>
      <c r="H171" s="595">
        <f>'Прилож 4 24 (8)'!X160</f>
        <v>23635.919999999998</v>
      </c>
      <c r="I171" s="628"/>
      <c r="J171" s="595">
        <f>'Прилож 4 24 (8)'!Z160</f>
        <v>0</v>
      </c>
      <c r="K171" s="595">
        <f>'Прилож 4 24 (8)'!AA160</f>
        <v>0</v>
      </c>
      <c r="L171" s="595">
        <f>'Прилож 4 24 (8)'!AB160</f>
        <v>0</v>
      </c>
      <c r="M171" s="876">
        <f t="shared" si="22"/>
        <v>12158.08</v>
      </c>
      <c r="N171" s="875"/>
      <c r="O171" s="875"/>
      <c r="P171" s="875">
        <f>5158.08+7000</f>
        <v>12158.08</v>
      </c>
      <c r="Q171" s="877"/>
      <c r="R171" s="875"/>
      <c r="S171" s="875"/>
      <c r="T171" s="875"/>
      <c r="U171" s="876">
        <f t="shared" si="26"/>
        <v>35794</v>
      </c>
      <c r="V171" s="875">
        <f t="shared" si="26"/>
        <v>0</v>
      </c>
      <c r="W171" s="875">
        <f t="shared" si="33"/>
        <v>0</v>
      </c>
      <c r="X171" s="875">
        <f t="shared" si="33"/>
        <v>35794</v>
      </c>
      <c r="Y171" s="883"/>
      <c r="Z171" s="875">
        <f t="shared" si="34"/>
        <v>0</v>
      </c>
      <c r="AA171" s="875">
        <f t="shared" si="34"/>
        <v>0</v>
      </c>
      <c r="AB171" s="875">
        <f t="shared" si="34"/>
        <v>0</v>
      </c>
      <c r="AC171" s="878" t="s">
        <v>1458</v>
      </c>
    </row>
    <row r="172" spans="1:30" ht="57.75" customHeight="1" x14ac:dyDescent="0.2">
      <c r="A172" s="618" t="s">
        <v>593</v>
      </c>
      <c r="B172" s="619" t="s">
        <v>747</v>
      </c>
      <c r="C172" s="620">
        <v>244</v>
      </c>
      <c r="D172" s="620">
        <v>226</v>
      </c>
      <c r="E172" s="596">
        <f t="shared" si="31"/>
        <v>9124.08</v>
      </c>
      <c r="F172" s="595">
        <f>'Прилож 4 24 (8)'!V161</f>
        <v>0</v>
      </c>
      <c r="G172" s="595">
        <f>'Прилож 4 24 (8)'!W161</f>
        <v>0</v>
      </c>
      <c r="H172" s="595">
        <f>'Прилож 4 24 (8)'!X161</f>
        <v>9124.08</v>
      </c>
      <c r="I172" s="628"/>
      <c r="J172" s="595">
        <f>'Прилож 4 24 (8)'!Z161</f>
        <v>0</v>
      </c>
      <c r="K172" s="595">
        <f>'Прилож 4 24 (8)'!AA161</f>
        <v>0</v>
      </c>
      <c r="L172" s="595">
        <f>'Прилож 4 24 (8)'!AB161</f>
        <v>0</v>
      </c>
      <c r="M172" s="876">
        <f t="shared" si="22"/>
        <v>6003.96</v>
      </c>
      <c r="N172" s="875"/>
      <c r="O172" s="875"/>
      <c r="P172" s="875">
        <f>1503.96+4500</f>
        <v>6003.96</v>
      </c>
      <c r="Q172" s="877"/>
      <c r="R172" s="875"/>
      <c r="S172" s="875"/>
      <c r="T172" s="875"/>
      <c r="U172" s="876">
        <f t="shared" si="26"/>
        <v>15128.04</v>
      </c>
      <c r="V172" s="875">
        <f t="shared" si="26"/>
        <v>0</v>
      </c>
      <c r="W172" s="875">
        <f t="shared" si="33"/>
        <v>0</v>
      </c>
      <c r="X172" s="875">
        <f t="shared" si="33"/>
        <v>15128.04</v>
      </c>
      <c r="Y172" s="883"/>
      <c r="Z172" s="875">
        <f t="shared" si="34"/>
        <v>0</v>
      </c>
      <c r="AA172" s="875">
        <f t="shared" si="34"/>
        <v>0</v>
      </c>
      <c r="AB172" s="875">
        <f t="shared" si="34"/>
        <v>0</v>
      </c>
      <c r="AC172" s="878" t="s">
        <v>1540</v>
      </c>
    </row>
    <row r="173" spans="1:30" ht="24" customHeight="1" x14ac:dyDescent="0.2">
      <c r="A173" s="618" t="s">
        <v>1194</v>
      </c>
      <c r="B173" s="619" t="s">
        <v>747</v>
      </c>
      <c r="C173" s="620">
        <v>244</v>
      </c>
      <c r="D173" s="620">
        <v>226</v>
      </c>
      <c r="E173" s="596">
        <f t="shared" si="31"/>
        <v>20250</v>
      </c>
      <c r="F173" s="595">
        <f>'Прилож 4 24 (8)'!V162</f>
        <v>0</v>
      </c>
      <c r="G173" s="595">
        <f>'Прилож 4 24 (8)'!W162</f>
        <v>0</v>
      </c>
      <c r="H173" s="595">
        <f>'Прилож 4 24 (8)'!X162</f>
        <v>20250</v>
      </c>
      <c r="I173" s="628"/>
      <c r="J173" s="595">
        <f>'Прилож 4 24 (8)'!Z162</f>
        <v>0</v>
      </c>
      <c r="K173" s="595">
        <f>'Прилож 4 24 (8)'!AA162</f>
        <v>0</v>
      </c>
      <c r="L173" s="595">
        <f>'Прилож 4 24 (8)'!AB162</f>
        <v>0</v>
      </c>
      <c r="M173" s="876">
        <f t="shared" si="22"/>
        <v>0</v>
      </c>
      <c r="N173" s="875"/>
      <c r="O173" s="875"/>
      <c r="P173" s="875"/>
      <c r="Q173" s="877"/>
      <c r="R173" s="875"/>
      <c r="S173" s="875"/>
      <c r="T173" s="875"/>
      <c r="U173" s="876">
        <f t="shared" si="26"/>
        <v>20250</v>
      </c>
      <c r="V173" s="875">
        <f t="shared" si="26"/>
        <v>0</v>
      </c>
      <c r="W173" s="875">
        <f t="shared" si="33"/>
        <v>0</v>
      </c>
      <c r="X173" s="875">
        <f t="shared" si="33"/>
        <v>20250</v>
      </c>
      <c r="Y173" s="883"/>
      <c r="Z173" s="875">
        <f t="shared" si="34"/>
        <v>0</v>
      </c>
      <c r="AA173" s="875">
        <f t="shared" si="34"/>
        <v>0</v>
      </c>
      <c r="AB173" s="875">
        <f t="shared" si="34"/>
        <v>0</v>
      </c>
      <c r="AC173" s="878"/>
    </row>
    <row r="174" spans="1:30" ht="52.9" customHeight="1" x14ac:dyDescent="0.2">
      <c r="A174" s="618" t="s">
        <v>1518</v>
      </c>
      <c r="B174" s="619" t="s">
        <v>747</v>
      </c>
      <c r="C174" s="620">
        <v>244</v>
      </c>
      <c r="D174" s="620">
        <v>226</v>
      </c>
      <c r="E174" s="596"/>
      <c r="F174" s="595"/>
      <c r="G174" s="595"/>
      <c r="H174" s="595"/>
      <c r="I174" s="628"/>
      <c r="J174" s="595"/>
      <c r="K174" s="595"/>
      <c r="L174" s="595"/>
      <c r="M174" s="876">
        <f t="shared" si="22"/>
        <v>10676.16</v>
      </c>
      <c r="N174" s="875"/>
      <c r="O174" s="875"/>
      <c r="P174" s="875"/>
      <c r="Q174" s="877"/>
      <c r="R174" s="875"/>
      <c r="S174" s="875"/>
      <c r="T174" s="875">
        <v>10676.16</v>
      </c>
      <c r="U174" s="876">
        <f t="shared" si="26"/>
        <v>10676.16</v>
      </c>
      <c r="V174" s="875">
        <f t="shared" si="26"/>
        <v>0</v>
      </c>
      <c r="W174" s="875">
        <f t="shared" si="33"/>
        <v>0</v>
      </c>
      <c r="X174" s="875">
        <f t="shared" si="33"/>
        <v>0</v>
      </c>
      <c r="Y174" s="883"/>
      <c r="Z174" s="875"/>
      <c r="AA174" s="875"/>
      <c r="AB174" s="875">
        <f t="shared" si="34"/>
        <v>10676.16</v>
      </c>
      <c r="AC174" s="878" t="s">
        <v>1525</v>
      </c>
    </row>
    <row r="175" spans="1:30" ht="32.25" customHeight="1" x14ac:dyDescent="0.2">
      <c r="A175" s="618" t="s">
        <v>1318</v>
      </c>
      <c r="B175" s="619" t="s">
        <v>747</v>
      </c>
      <c r="C175" s="620">
        <v>244</v>
      </c>
      <c r="D175" s="620">
        <v>226</v>
      </c>
      <c r="E175" s="596">
        <f t="shared" ref="E175:E213" si="35">L175+K175+J175+H175+G175+F175</f>
        <v>0</v>
      </c>
      <c r="F175" s="595">
        <f>'Прилож 4 24 (8)'!V163</f>
        <v>0</v>
      </c>
      <c r="G175" s="595">
        <f>'Прилож 4 24 (8)'!W163</f>
        <v>0</v>
      </c>
      <c r="H175" s="595">
        <f>'Прилож 4 24 (8)'!X163</f>
        <v>0</v>
      </c>
      <c r="I175" s="877" t="s">
        <v>1322</v>
      </c>
      <c r="J175" s="595">
        <f>'Прилож 4 24 (8)'!Z163</f>
        <v>0</v>
      </c>
      <c r="K175" s="595">
        <f>'Прилож 4 24 (8)'!AA163</f>
        <v>0</v>
      </c>
      <c r="L175" s="595">
        <f>'Прилож 4 24 (8)'!AB163</f>
        <v>0</v>
      </c>
      <c r="M175" s="875">
        <f>N175+O175+P175+R175+S175+T175</f>
        <v>0</v>
      </c>
      <c r="N175" s="875"/>
      <c r="O175" s="875"/>
      <c r="P175" s="875"/>
      <c r="Q175" s="877"/>
      <c r="R175" s="875"/>
      <c r="S175" s="875"/>
      <c r="T175" s="875"/>
      <c r="U175" s="876">
        <f t="shared" si="26"/>
        <v>0</v>
      </c>
      <c r="V175" s="875">
        <f t="shared" si="26"/>
        <v>0</v>
      </c>
      <c r="W175" s="875">
        <f t="shared" si="33"/>
        <v>0</v>
      </c>
      <c r="X175" s="875">
        <f t="shared" si="33"/>
        <v>0</v>
      </c>
      <c r="Y175" s="877" t="s">
        <v>1322</v>
      </c>
      <c r="Z175" s="875">
        <f t="shared" ref="Z175:AB199" si="36">R175+J175</f>
        <v>0</v>
      </c>
      <c r="AA175" s="875">
        <f t="shared" si="36"/>
        <v>0</v>
      </c>
      <c r="AB175" s="875">
        <f t="shared" si="34"/>
        <v>0</v>
      </c>
      <c r="AC175" s="878"/>
    </row>
    <row r="176" spans="1:30" s="637" customFormat="1" ht="25.5" customHeight="1" x14ac:dyDescent="0.2">
      <c r="A176" s="632" t="s">
        <v>1143</v>
      </c>
      <c r="B176" s="619" t="s">
        <v>747</v>
      </c>
      <c r="C176" s="634">
        <v>244</v>
      </c>
      <c r="D176" s="634">
        <v>226</v>
      </c>
      <c r="E176" s="596">
        <f t="shared" si="35"/>
        <v>278075.92</v>
      </c>
      <c r="F176" s="595">
        <f>'Прилож 4 24 (8)'!V164</f>
        <v>0</v>
      </c>
      <c r="G176" s="595">
        <f>'Прилож 4 24 (8)'!W164</f>
        <v>0</v>
      </c>
      <c r="H176" s="595">
        <f>'Прилож 4 24 (8)'!X164</f>
        <v>278075.92</v>
      </c>
      <c r="I176" s="640"/>
      <c r="J176" s="595">
        <f>'Прилож 4 24 (8)'!Z164</f>
        <v>0</v>
      </c>
      <c r="K176" s="595">
        <f>'Прилож 4 24 (8)'!AA164</f>
        <v>0</v>
      </c>
      <c r="L176" s="595">
        <f>'Прилож 4 24 (8)'!AB164</f>
        <v>0</v>
      </c>
      <c r="M176" s="876">
        <f t="shared" ref="M176:M239" si="37">N176+P176+R176+S176+T176+O176</f>
        <v>24338.2</v>
      </c>
      <c r="N176" s="887"/>
      <c r="O176" s="887"/>
      <c r="P176" s="887">
        <f>SUM(P168:P173)</f>
        <v>13662.04</v>
      </c>
      <c r="Q176" s="893"/>
      <c r="R176" s="887"/>
      <c r="S176" s="887">
        <f>SUM(S168:S175)</f>
        <v>0</v>
      </c>
      <c r="T176" s="887">
        <f>SUM(T170:T175)</f>
        <v>10676.16</v>
      </c>
      <c r="U176" s="876">
        <f t="shared" si="26"/>
        <v>302414.12</v>
      </c>
      <c r="V176" s="875">
        <f t="shared" si="26"/>
        <v>0</v>
      </c>
      <c r="W176" s="875">
        <f t="shared" si="33"/>
        <v>0</v>
      </c>
      <c r="X176" s="875">
        <f t="shared" si="33"/>
        <v>291737.95999999996</v>
      </c>
      <c r="Y176" s="893"/>
      <c r="Z176" s="875">
        <f t="shared" si="36"/>
        <v>0</v>
      </c>
      <c r="AA176" s="875">
        <f t="shared" si="36"/>
        <v>0</v>
      </c>
      <c r="AB176" s="875">
        <f t="shared" si="34"/>
        <v>10676.16</v>
      </c>
      <c r="AC176" s="886"/>
    </row>
    <row r="177" spans="1:29" ht="31.5" x14ac:dyDescent="0.2">
      <c r="A177" s="618" t="s">
        <v>586</v>
      </c>
      <c r="B177" s="619" t="s">
        <v>729</v>
      </c>
      <c r="C177" s="620">
        <v>244</v>
      </c>
      <c r="D177" s="620">
        <v>226</v>
      </c>
      <c r="E177" s="596">
        <f t="shared" si="35"/>
        <v>53845.919999999998</v>
      </c>
      <c r="F177" s="595">
        <f>'Прилож 4 24 (8)'!V165</f>
        <v>0</v>
      </c>
      <c r="G177" s="595">
        <f>'Прилож 4 24 (8)'!W165</f>
        <v>0</v>
      </c>
      <c r="H177" s="595">
        <f>'Прилож 4 24 (8)'!X165</f>
        <v>53845.919999999998</v>
      </c>
      <c r="I177" s="628"/>
      <c r="J177" s="595">
        <f>'Прилож 4 24 (8)'!Z165</f>
        <v>0</v>
      </c>
      <c r="K177" s="595">
        <f>'Прилож 4 24 (8)'!AA165</f>
        <v>0</v>
      </c>
      <c r="L177" s="595">
        <f>'Прилож 4 24 (8)'!AB165</f>
        <v>0</v>
      </c>
      <c r="M177" s="876">
        <f t="shared" si="37"/>
        <v>0</v>
      </c>
      <c r="N177" s="875"/>
      <c r="O177" s="875"/>
      <c r="P177" s="875"/>
      <c r="Q177" s="877"/>
      <c r="R177" s="875"/>
      <c r="S177" s="875"/>
      <c r="T177" s="875"/>
      <c r="U177" s="876">
        <f t="shared" si="26"/>
        <v>53845.919999999998</v>
      </c>
      <c r="V177" s="875">
        <f t="shared" si="26"/>
        <v>0</v>
      </c>
      <c r="W177" s="875">
        <f t="shared" si="33"/>
        <v>0</v>
      </c>
      <c r="X177" s="875">
        <f t="shared" si="33"/>
        <v>53845.919999999998</v>
      </c>
      <c r="Y177" s="883"/>
      <c r="Z177" s="875">
        <f t="shared" si="36"/>
        <v>0</v>
      </c>
      <c r="AA177" s="875">
        <f t="shared" si="36"/>
        <v>0</v>
      </c>
      <c r="AB177" s="875">
        <f t="shared" si="34"/>
        <v>0</v>
      </c>
      <c r="AC177" s="878"/>
    </row>
    <row r="178" spans="1:29" ht="31.5" x14ac:dyDescent="0.2">
      <c r="A178" s="618" t="s">
        <v>642</v>
      </c>
      <c r="B178" s="619" t="s">
        <v>729</v>
      </c>
      <c r="C178" s="620">
        <v>244</v>
      </c>
      <c r="D178" s="620">
        <v>226</v>
      </c>
      <c r="E178" s="596">
        <f t="shared" si="35"/>
        <v>60720</v>
      </c>
      <c r="F178" s="595">
        <f>'Прилож 4 24 (8)'!V166</f>
        <v>0</v>
      </c>
      <c r="G178" s="595">
        <f>'Прилож 4 24 (8)'!W166</f>
        <v>0</v>
      </c>
      <c r="H178" s="595">
        <f>'Прилож 4 24 (8)'!X166</f>
        <v>60720</v>
      </c>
      <c r="I178" s="628"/>
      <c r="J178" s="595">
        <f>'Прилож 4 24 (8)'!Z166</f>
        <v>0</v>
      </c>
      <c r="K178" s="595">
        <f>'Прилож 4 24 (8)'!AA166</f>
        <v>0</v>
      </c>
      <c r="L178" s="595">
        <f>'Прилож 4 24 (8)'!AB166</f>
        <v>0</v>
      </c>
      <c r="M178" s="876">
        <f t="shared" si="37"/>
        <v>0</v>
      </c>
      <c r="N178" s="875"/>
      <c r="O178" s="875"/>
      <c r="P178" s="875"/>
      <c r="Q178" s="877"/>
      <c r="R178" s="875"/>
      <c r="S178" s="875"/>
      <c r="T178" s="875"/>
      <c r="U178" s="876">
        <f t="shared" si="26"/>
        <v>60720</v>
      </c>
      <c r="V178" s="875">
        <f t="shared" si="26"/>
        <v>0</v>
      </c>
      <c r="W178" s="875">
        <f t="shared" si="33"/>
        <v>0</v>
      </c>
      <c r="X178" s="875">
        <f t="shared" si="33"/>
        <v>60720</v>
      </c>
      <c r="Y178" s="883"/>
      <c r="Z178" s="875">
        <f t="shared" si="36"/>
        <v>0</v>
      </c>
      <c r="AA178" s="875">
        <f t="shared" si="36"/>
        <v>0</v>
      </c>
      <c r="AB178" s="875">
        <f t="shared" si="34"/>
        <v>0</v>
      </c>
      <c r="AC178" s="878"/>
    </row>
    <row r="179" spans="1:29" ht="60.75" customHeight="1" x14ac:dyDescent="0.2">
      <c r="A179" s="618" t="s">
        <v>1244</v>
      </c>
      <c r="B179" s="619" t="s">
        <v>729</v>
      </c>
      <c r="C179" s="620">
        <v>244</v>
      </c>
      <c r="D179" s="620">
        <v>226</v>
      </c>
      <c r="E179" s="596">
        <f t="shared" si="35"/>
        <v>32665</v>
      </c>
      <c r="F179" s="595">
        <f>'Прилож 4 24 (8)'!V167</f>
        <v>0</v>
      </c>
      <c r="G179" s="595">
        <f>'Прилож 4 24 (8)'!W167</f>
        <v>0</v>
      </c>
      <c r="H179" s="595">
        <f>'Прилож 4 24 (8)'!X167</f>
        <v>32665</v>
      </c>
      <c r="I179" s="628"/>
      <c r="J179" s="595">
        <f>'Прилож 4 24 (8)'!Z167</f>
        <v>0</v>
      </c>
      <c r="K179" s="595">
        <f>'Прилож 4 24 (8)'!AA167</f>
        <v>0</v>
      </c>
      <c r="L179" s="595">
        <f>'Прилож 4 24 (8)'!AB167</f>
        <v>0</v>
      </c>
      <c r="M179" s="876">
        <f t="shared" si="37"/>
        <v>0</v>
      </c>
      <c r="N179" s="875"/>
      <c r="O179" s="875"/>
      <c r="P179" s="875"/>
      <c r="Q179" s="877"/>
      <c r="R179" s="875"/>
      <c r="S179" s="875"/>
      <c r="T179" s="875"/>
      <c r="U179" s="876">
        <f t="shared" si="26"/>
        <v>32665</v>
      </c>
      <c r="V179" s="875">
        <f t="shared" si="26"/>
        <v>0</v>
      </c>
      <c r="W179" s="875">
        <f t="shared" si="33"/>
        <v>0</v>
      </c>
      <c r="X179" s="875">
        <f t="shared" si="33"/>
        <v>32665</v>
      </c>
      <c r="Y179" s="883"/>
      <c r="Z179" s="875">
        <f t="shared" si="36"/>
        <v>0</v>
      </c>
      <c r="AA179" s="875">
        <f t="shared" si="36"/>
        <v>0</v>
      </c>
      <c r="AB179" s="875">
        <f t="shared" si="34"/>
        <v>0</v>
      </c>
      <c r="AC179" s="878"/>
    </row>
    <row r="180" spans="1:29" ht="31.5" x14ac:dyDescent="0.2">
      <c r="A180" s="618" t="s">
        <v>752</v>
      </c>
      <c r="B180" s="619" t="s">
        <v>729</v>
      </c>
      <c r="C180" s="620">
        <v>244</v>
      </c>
      <c r="D180" s="620">
        <v>226</v>
      </c>
      <c r="E180" s="596">
        <f t="shared" si="35"/>
        <v>150000</v>
      </c>
      <c r="F180" s="595">
        <f>'Прилож 4 24 (8)'!V168</f>
        <v>0</v>
      </c>
      <c r="G180" s="595">
        <f>'Прилож 4 24 (8)'!W168</f>
        <v>0</v>
      </c>
      <c r="H180" s="595">
        <f>'Прилож 4 24 (8)'!X168</f>
        <v>150000</v>
      </c>
      <c r="I180" s="628"/>
      <c r="J180" s="595">
        <f>'Прилож 4 24 (8)'!Z168</f>
        <v>0</v>
      </c>
      <c r="K180" s="595">
        <f>'Прилож 4 24 (8)'!AA168</f>
        <v>0</v>
      </c>
      <c r="L180" s="595">
        <f>'Прилож 4 24 (8)'!AB168</f>
        <v>0</v>
      </c>
      <c r="M180" s="876">
        <f t="shared" si="37"/>
        <v>1500</v>
      </c>
      <c r="N180" s="875"/>
      <c r="O180" s="875"/>
      <c r="P180" s="875">
        <v>1500</v>
      </c>
      <c r="Q180" s="877"/>
      <c r="R180" s="875"/>
      <c r="S180" s="875"/>
      <c r="T180" s="875"/>
      <c r="U180" s="876">
        <f t="shared" si="26"/>
        <v>151500</v>
      </c>
      <c r="V180" s="875">
        <f t="shared" si="26"/>
        <v>0</v>
      </c>
      <c r="W180" s="875">
        <f t="shared" si="33"/>
        <v>0</v>
      </c>
      <c r="X180" s="875">
        <f t="shared" si="33"/>
        <v>151500</v>
      </c>
      <c r="Y180" s="883"/>
      <c r="Z180" s="875">
        <f t="shared" si="36"/>
        <v>0</v>
      </c>
      <c r="AA180" s="875">
        <f t="shared" si="36"/>
        <v>0</v>
      </c>
      <c r="AB180" s="875">
        <f t="shared" si="34"/>
        <v>0</v>
      </c>
      <c r="AC180" s="878" t="s">
        <v>1534</v>
      </c>
    </row>
    <row r="181" spans="1:29" ht="60.6" customHeight="1" x14ac:dyDescent="0.2">
      <c r="A181" s="618" t="s">
        <v>593</v>
      </c>
      <c r="B181" s="619" t="s">
        <v>729</v>
      </c>
      <c r="C181" s="620">
        <v>244</v>
      </c>
      <c r="D181" s="620">
        <v>226</v>
      </c>
      <c r="E181" s="596">
        <f t="shared" si="35"/>
        <v>13720</v>
      </c>
      <c r="F181" s="595">
        <f>'Прилож 4 24 (8)'!V169</f>
        <v>0</v>
      </c>
      <c r="G181" s="595">
        <f>'Прилож 4 24 (8)'!W169</f>
        <v>0</v>
      </c>
      <c r="H181" s="595">
        <f>'Прилож 4 24 (8)'!X169</f>
        <v>13720</v>
      </c>
      <c r="I181" s="628"/>
      <c r="J181" s="595">
        <f>'Прилож 4 24 (8)'!Z169</f>
        <v>0</v>
      </c>
      <c r="K181" s="595">
        <f>'Прилож 4 24 (8)'!AA169</f>
        <v>0</v>
      </c>
      <c r="L181" s="595">
        <f>'Прилож 4 24 (8)'!AB169</f>
        <v>0</v>
      </c>
      <c r="M181" s="876">
        <f t="shared" si="37"/>
        <v>-11346.04</v>
      </c>
      <c r="N181" s="875"/>
      <c r="O181" s="875"/>
      <c r="P181" s="875">
        <f>-9846.04-1500</f>
        <v>-11346.04</v>
      </c>
      <c r="Q181" s="877"/>
      <c r="R181" s="875"/>
      <c r="S181" s="875"/>
      <c r="T181" s="875"/>
      <c r="U181" s="876">
        <f t="shared" si="26"/>
        <v>2373.9599999999991</v>
      </c>
      <c r="V181" s="875">
        <f t="shared" si="26"/>
        <v>0</v>
      </c>
      <c r="W181" s="875">
        <f t="shared" si="33"/>
        <v>0</v>
      </c>
      <c r="X181" s="875">
        <f t="shared" si="33"/>
        <v>2373.9599999999991</v>
      </c>
      <c r="Y181" s="883"/>
      <c r="Z181" s="875">
        <f t="shared" si="36"/>
        <v>0</v>
      </c>
      <c r="AA181" s="875">
        <f t="shared" si="36"/>
        <v>0</v>
      </c>
      <c r="AB181" s="875">
        <f t="shared" si="34"/>
        <v>0</v>
      </c>
      <c r="AC181" s="878" t="s">
        <v>1541</v>
      </c>
    </row>
    <row r="182" spans="1:29" ht="23.25" customHeight="1" x14ac:dyDescent="0.2">
      <c r="A182" s="618" t="s">
        <v>914</v>
      </c>
      <c r="B182" s="619" t="s">
        <v>729</v>
      </c>
      <c r="C182" s="620">
        <v>244</v>
      </c>
      <c r="D182" s="620">
        <v>226</v>
      </c>
      <c r="E182" s="596">
        <f t="shared" si="35"/>
        <v>54800</v>
      </c>
      <c r="F182" s="595">
        <f>'Прилож 4 24 (8)'!V170</f>
        <v>0</v>
      </c>
      <c r="G182" s="595">
        <f>'Прилож 4 24 (8)'!W170</f>
        <v>0</v>
      </c>
      <c r="H182" s="595">
        <f>'Прилож 4 24 (8)'!X170</f>
        <v>54800</v>
      </c>
      <c r="I182" s="628"/>
      <c r="J182" s="595">
        <f>'Прилож 4 24 (8)'!Z170</f>
        <v>0</v>
      </c>
      <c r="K182" s="595">
        <f>'Прилож 4 24 (8)'!AA170</f>
        <v>0</v>
      </c>
      <c r="L182" s="595">
        <f>'Прилож 4 24 (8)'!AB170</f>
        <v>0</v>
      </c>
      <c r="M182" s="876">
        <f t="shared" si="37"/>
        <v>0</v>
      </c>
      <c r="N182" s="875"/>
      <c r="O182" s="875"/>
      <c r="P182" s="875"/>
      <c r="Q182" s="877"/>
      <c r="R182" s="875"/>
      <c r="S182" s="875"/>
      <c r="T182" s="875"/>
      <c r="U182" s="876">
        <f t="shared" si="26"/>
        <v>54800</v>
      </c>
      <c r="V182" s="875">
        <f t="shared" si="26"/>
        <v>0</v>
      </c>
      <c r="W182" s="875">
        <f t="shared" si="33"/>
        <v>0</v>
      </c>
      <c r="X182" s="875">
        <f t="shared" si="33"/>
        <v>54800</v>
      </c>
      <c r="Y182" s="883"/>
      <c r="Z182" s="875">
        <f t="shared" si="36"/>
        <v>0</v>
      </c>
      <c r="AA182" s="875">
        <f t="shared" si="36"/>
        <v>0</v>
      </c>
      <c r="AB182" s="875">
        <f t="shared" si="34"/>
        <v>0</v>
      </c>
      <c r="AC182" s="1003"/>
    </row>
    <row r="183" spans="1:29" ht="31.5" customHeight="1" x14ac:dyDescent="0.2">
      <c r="A183" s="618" t="s">
        <v>1245</v>
      </c>
      <c r="B183" s="619" t="s">
        <v>729</v>
      </c>
      <c r="C183" s="620">
        <v>244</v>
      </c>
      <c r="D183" s="620">
        <v>226</v>
      </c>
      <c r="E183" s="596">
        <f t="shared" si="35"/>
        <v>7200</v>
      </c>
      <c r="F183" s="595">
        <f>'Прилож 4 24 (8)'!V171</f>
        <v>0</v>
      </c>
      <c r="G183" s="595">
        <f>'Прилож 4 24 (8)'!W171</f>
        <v>0</v>
      </c>
      <c r="H183" s="595">
        <f>'Прилож 4 24 (8)'!X171</f>
        <v>7200</v>
      </c>
      <c r="I183" s="628"/>
      <c r="J183" s="595">
        <f>'Прилож 4 24 (8)'!Z171</f>
        <v>0</v>
      </c>
      <c r="K183" s="595">
        <f>'Прилож 4 24 (8)'!AA171</f>
        <v>0</v>
      </c>
      <c r="L183" s="595">
        <f>'Прилож 4 24 (8)'!AB171</f>
        <v>0</v>
      </c>
      <c r="M183" s="876">
        <f t="shared" si="37"/>
        <v>0</v>
      </c>
      <c r="N183" s="875"/>
      <c r="O183" s="875"/>
      <c r="P183" s="875"/>
      <c r="Q183" s="877"/>
      <c r="R183" s="875"/>
      <c r="S183" s="875"/>
      <c r="T183" s="875"/>
      <c r="U183" s="876">
        <f t="shared" si="26"/>
        <v>7200</v>
      </c>
      <c r="V183" s="875">
        <f t="shared" si="26"/>
        <v>0</v>
      </c>
      <c r="W183" s="875">
        <f t="shared" si="33"/>
        <v>0</v>
      </c>
      <c r="X183" s="875">
        <f t="shared" si="33"/>
        <v>7200</v>
      </c>
      <c r="Y183" s="883"/>
      <c r="Z183" s="875">
        <f t="shared" si="36"/>
        <v>0</v>
      </c>
      <c r="AA183" s="875">
        <f t="shared" si="36"/>
        <v>0</v>
      </c>
      <c r="AB183" s="875">
        <f t="shared" si="36"/>
        <v>0</v>
      </c>
      <c r="AC183" s="878"/>
    </row>
    <row r="184" spans="1:29" ht="36" customHeight="1" x14ac:dyDescent="0.2">
      <c r="A184" s="618" t="s">
        <v>1185</v>
      </c>
      <c r="B184" s="619" t="s">
        <v>729</v>
      </c>
      <c r="C184" s="620">
        <v>244</v>
      </c>
      <c r="D184" s="620">
        <v>226</v>
      </c>
      <c r="E184" s="596">
        <f t="shared" si="35"/>
        <v>0</v>
      </c>
      <c r="F184" s="595">
        <f>'Прилож 4 24 (8)'!V172</f>
        <v>0</v>
      </c>
      <c r="G184" s="595">
        <f>'Прилож 4 24 (8)'!W172</f>
        <v>0</v>
      </c>
      <c r="H184" s="595">
        <f>'Прилож 4 24 (8)'!X172</f>
        <v>0</v>
      </c>
      <c r="I184" s="621"/>
      <c r="J184" s="595">
        <f>'Прилож 4 24 (8)'!Z172</f>
        <v>0</v>
      </c>
      <c r="K184" s="595">
        <f>'Прилож 4 24 (8)'!AA172</f>
        <v>0</v>
      </c>
      <c r="L184" s="595">
        <f>'Прилож 4 24 (8)'!AB172</f>
        <v>0</v>
      </c>
      <c r="M184" s="876">
        <f t="shared" si="37"/>
        <v>0</v>
      </c>
      <c r="N184" s="875"/>
      <c r="O184" s="875"/>
      <c r="P184" s="875"/>
      <c r="Q184" s="877"/>
      <c r="R184" s="875"/>
      <c r="S184" s="875"/>
      <c r="T184" s="875"/>
      <c r="U184" s="876">
        <f t="shared" si="26"/>
        <v>0</v>
      </c>
      <c r="V184" s="875">
        <f t="shared" si="26"/>
        <v>0</v>
      </c>
      <c r="W184" s="875">
        <f t="shared" si="33"/>
        <v>0</v>
      </c>
      <c r="X184" s="875">
        <f t="shared" si="33"/>
        <v>0</v>
      </c>
      <c r="Y184" s="877"/>
      <c r="Z184" s="875">
        <f t="shared" si="36"/>
        <v>0</v>
      </c>
      <c r="AA184" s="875">
        <f t="shared" si="36"/>
        <v>0</v>
      </c>
      <c r="AB184" s="875">
        <f t="shared" si="36"/>
        <v>0</v>
      </c>
      <c r="AC184" s="878"/>
    </row>
    <row r="185" spans="1:29" ht="27" customHeight="1" x14ac:dyDescent="0.2">
      <c r="A185" s="618" t="s">
        <v>1194</v>
      </c>
      <c r="B185" s="619" t="s">
        <v>729</v>
      </c>
      <c r="C185" s="620">
        <v>244</v>
      </c>
      <c r="D185" s="620">
        <v>226</v>
      </c>
      <c r="E185" s="596">
        <f t="shared" si="35"/>
        <v>13500</v>
      </c>
      <c r="F185" s="595">
        <f>'Прилож 4 24 (8)'!V173</f>
        <v>0</v>
      </c>
      <c r="G185" s="595">
        <f>'Прилож 4 24 (8)'!W173</f>
        <v>0</v>
      </c>
      <c r="H185" s="595">
        <f>'Прилож 4 24 (8)'!X173</f>
        <v>13500</v>
      </c>
      <c r="I185" s="621"/>
      <c r="J185" s="595">
        <f>'Прилож 4 24 (8)'!Z173</f>
        <v>0</v>
      </c>
      <c r="K185" s="595">
        <f>'Прилож 4 24 (8)'!AA173</f>
        <v>0</v>
      </c>
      <c r="L185" s="595">
        <f>'Прилож 4 24 (8)'!AB173</f>
        <v>0</v>
      </c>
      <c r="M185" s="876">
        <f t="shared" si="37"/>
        <v>0</v>
      </c>
      <c r="N185" s="875"/>
      <c r="O185" s="875"/>
      <c r="P185" s="875"/>
      <c r="Q185" s="877"/>
      <c r="R185" s="875"/>
      <c r="S185" s="875"/>
      <c r="T185" s="875"/>
      <c r="U185" s="876">
        <f t="shared" si="26"/>
        <v>13500</v>
      </c>
      <c r="V185" s="875">
        <f t="shared" si="26"/>
        <v>0</v>
      </c>
      <c r="W185" s="875">
        <f t="shared" si="33"/>
        <v>0</v>
      </c>
      <c r="X185" s="875">
        <f t="shared" si="33"/>
        <v>13500</v>
      </c>
      <c r="Y185" s="877"/>
      <c r="Z185" s="875">
        <f t="shared" si="36"/>
        <v>0</v>
      </c>
      <c r="AA185" s="875">
        <f t="shared" si="36"/>
        <v>0</v>
      </c>
      <c r="AB185" s="875">
        <f t="shared" si="36"/>
        <v>0</v>
      </c>
      <c r="AC185" s="878"/>
    </row>
    <row r="186" spans="1:29" ht="54.75" customHeight="1" x14ac:dyDescent="0.2">
      <c r="A186" s="618" t="s">
        <v>1223</v>
      </c>
      <c r="B186" s="619" t="s">
        <v>729</v>
      </c>
      <c r="C186" s="620">
        <v>244</v>
      </c>
      <c r="D186" s="620">
        <v>226</v>
      </c>
      <c r="E186" s="596">
        <f t="shared" si="35"/>
        <v>14900</v>
      </c>
      <c r="F186" s="595">
        <f>'Прилож 4 24 (8)'!V174</f>
        <v>0</v>
      </c>
      <c r="G186" s="595">
        <f>'Прилож 4 24 (8)'!W174</f>
        <v>0</v>
      </c>
      <c r="H186" s="595">
        <f>'Прилож 4 24 (8)'!X174</f>
        <v>14900</v>
      </c>
      <c r="I186" s="628"/>
      <c r="J186" s="595">
        <f>'Прилож 4 24 (8)'!Z174</f>
        <v>0</v>
      </c>
      <c r="K186" s="595">
        <f>'Прилож 4 24 (8)'!AA174</f>
        <v>0</v>
      </c>
      <c r="L186" s="595">
        <f>'Прилож 4 24 (8)'!AB174</f>
        <v>0</v>
      </c>
      <c r="M186" s="876">
        <f t="shared" si="37"/>
        <v>0</v>
      </c>
      <c r="N186" s="875"/>
      <c r="O186" s="875"/>
      <c r="P186" s="875"/>
      <c r="Q186" s="877"/>
      <c r="R186" s="875"/>
      <c r="S186" s="875"/>
      <c r="T186" s="875"/>
      <c r="U186" s="876">
        <f t="shared" si="26"/>
        <v>14900</v>
      </c>
      <c r="V186" s="875">
        <f t="shared" si="26"/>
        <v>0</v>
      </c>
      <c r="W186" s="875">
        <f t="shared" si="33"/>
        <v>0</v>
      </c>
      <c r="X186" s="875">
        <f t="shared" si="33"/>
        <v>14900</v>
      </c>
      <c r="Y186" s="883"/>
      <c r="Z186" s="875">
        <f t="shared" si="36"/>
        <v>0</v>
      </c>
      <c r="AA186" s="875">
        <f t="shared" si="36"/>
        <v>0</v>
      </c>
      <c r="AB186" s="875">
        <f t="shared" si="36"/>
        <v>0</v>
      </c>
      <c r="AC186" s="878"/>
    </row>
    <row r="187" spans="1:29" ht="47.25" x14ac:dyDescent="0.2">
      <c r="A187" s="618" t="s">
        <v>1289</v>
      </c>
      <c r="B187" s="619" t="s">
        <v>729</v>
      </c>
      <c r="C187" s="620">
        <v>244</v>
      </c>
      <c r="D187" s="620">
        <v>226</v>
      </c>
      <c r="E187" s="596">
        <f t="shared" si="35"/>
        <v>11320</v>
      </c>
      <c r="F187" s="595">
        <f>'Прилож 4 24 (8)'!V175</f>
        <v>0</v>
      </c>
      <c r="G187" s="595">
        <f>'Прилож 4 24 (8)'!W175</f>
        <v>0</v>
      </c>
      <c r="H187" s="595">
        <f>'Прилож 4 24 (8)'!X175</f>
        <v>11320</v>
      </c>
      <c r="I187" s="628"/>
      <c r="J187" s="595">
        <f>'Прилож 4 24 (8)'!Z175</f>
        <v>0</v>
      </c>
      <c r="K187" s="595">
        <f>'Прилож 4 24 (8)'!AA175</f>
        <v>0</v>
      </c>
      <c r="L187" s="595">
        <f>'Прилож 4 24 (8)'!AB175</f>
        <v>0</v>
      </c>
      <c r="M187" s="876">
        <f t="shared" si="37"/>
        <v>0</v>
      </c>
      <c r="N187" s="875"/>
      <c r="O187" s="875"/>
      <c r="P187" s="875"/>
      <c r="Q187" s="877"/>
      <c r="R187" s="875"/>
      <c r="S187" s="875"/>
      <c r="T187" s="875"/>
      <c r="U187" s="876">
        <f t="shared" si="26"/>
        <v>11320</v>
      </c>
      <c r="V187" s="875">
        <f t="shared" si="26"/>
        <v>0</v>
      </c>
      <c r="W187" s="875">
        <f t="shared" si="33"/>
        <v>0</v>
      </c>
      <c r="X187" s="875">
        <f t="shared" si="33"/>
        <v>11320</v>
      </c>
      <c r="Y187" s="883"/>
      <c r="Z187" s="875">
        <f t="shared" si="36"/>
        <v>0</v>
      </c>
      <c r="AA187" s="875">
        <f t="shared" si="36"/>
        <v>0</v>
      </c>
      <c r="AB187" s="875">
        <f t="shared" si="36"/>
        <v>0</v>
      </c>
      <c r="AC187" s="878"/>
    </row>
    <row r="188" spans="1:29" ht="24.75" customHeight="1" x14ac:dyDescent="0.2">
      <c r="A188" s="618" t="s">
        <v>1313</v>
      </c>
      <c r="B188" s="619" t="s">
        <v>729</v>
      </c>
      <c r="C188" s="620">
        <v>244</v>
      </c>
      <c r="D188" s="620">
        <v>226</v>
      </c>
      <c r="E188" s="596">
        <f t="shared" si="35"/>
        <v>163101.6</v>
      </c>
      <c r="F188" s="595">
        <f>'Прилож 4 24 (8)'!V176</f>
        <v>0</v>
      </c>
      <c r="G188" s="595">
        <f>'Прилож 4 24 (8)'!W176</f>
        <v>0</v>
      </c>
      <c r="H188" s="595">
        <f>'Прилож 4 24 (8)'!X176</f>
        <v>0</v>
      </c>
      <c r="I188" s="582" t="s">
        <v>1314</v>
      </c>
      <c r="J188" s="595">
        <f>'Прилож 4 24 (8)'!Z176</f>
        <v>0</v>
      </c>
      <c r="K188" s="595">
        <f>'Прилож 4 24 (8)'!AA176</f>
        <v>163101.6</v>
      </c>
      <c r="L188" s="595">
        <f>'Прилож 4 24 (8)'!AB176</f>
        <v>0</v>
      </c>
      <c r="M188" s="876">
        <f t="shared" si="37"/>
        <v>0</v>
      </c>
      <c r="N188" s="875"/>
      <c r="O188" s="875"/>
      <c r="P188" s="875"/>
      <c r="Q188" s="873"/>
      <c r="R188" s="875"/>
      <c r="S188" s="875"/>
      <c r="T188" s="875"/>
      <c r="U188" s="876">
        <f t="shared" ref="U188:V251" si="38">E188+M188</f>
        <v>163101.6</v>
      </c>
      <c r="V188" s="875">
        <f t="shared" si="38"/>
        <v>0</v>
      </c>
      <c r="W188" s="875">
        <f t="shared" si="33"/>
        <v>0</v>
      </c>
      <c r="X188" s="875">
        <f t="shared" si="33"/>
        <v>0</v>
      </c>
      <c r="Y188" s="873" t="s">
        <v>1314</v>
      </c>
      <c r="Z188" s="875">
        <f t="shared" si="36"/>
        <v>0</v>
      </c>
      <c r="AA188" s="875">
        <f t="shared" si="36"/>
        <v>163101.6</v>
      </c>
      <c r="AB188" s="875">
        <f t="shared" si="36"/>
        <v>0</v>
      </c>
      <c r="AC188" s="878"/>
    </row>
    <row r="189" spans="1:29" ht="41.25" customHeight="1" x14ac:dyDescent="0.2">
      <c r="A189" s="618" t="s">
        <v>1318</v>
      </c>
      <c r="B189" s="619" t="s">
        <v>729</v>
      </c>
      <c r="C189" s="620">
        <v>244</v>
      </c>
      <c r="D189" s="620">
        <v>226</v>
      </c>
      <c r="E189" s="596">
        <f t="shared" si="35"/>
        <v>0</v>
      </c>
      <c r="F189" s="595">
        <f>'Прилож 4 24 (8)'!V177</f>
        <v>0</v>
      </c>
      <c r="G189" s="595">
        <f>'Прилож 4 24 (8)'!W177</f>
        <v>0</v>
      </c>
      <c r="H189" s="595">
        <f>'Прилож 4 24 (8)'!X177</f>
        <v>0</v>
      </c>
      <c r="I189" s="582" t="s">
        <v>1314</v>
      </c>
      <c r="J189" s="595">
        <f>'Прилож 4 24 (8)'!Z177</f>
        <v>0</v>
      </c>
      <c r="K189" s="595">
        <f>'Прилож 4 24 (8)'!AA177</f>
        <v>0</v>
      </c>
      <c r="L189" s="595">
        <f>'Прилож 4 24 (8)'!AB177</f>
        <v>0</v>
      </c>
      <c r="M189" s="876">
        <f t="shared" si="37"/>
        <v>0</v>
      </c>
      <c r="N189" s="875"/>
      <c r="O189" s="875"/>
      <c r="P189" s="875"/>
      <c r="Q189" s="990"/>
      <c r="R189" s="875"/>
      <c r="S189" s="875"/>
      <c r="T189" s="875"/>
      <c r="U189" s="876">
        <f t="shared" si="38"/>
        <v>0</v>
      </c>
      <c r="V189" s="875">
        <f t="shared" si="38"/>
        <v>0</v>
      </c>
      <c r="W189" s="875">
        <f t="shared" si="33"/>
        <v>0</v>
      </c>
      <c r="X189" s="875">
        <f t="shared" si="33"/>
        <v>0</v>
      </c>
      <c r="Y189" s="873" t="s">
        <v>1314</v>
      </c>
      <c r="Z189" s="875">
        <f t="shared" si="36"/>
        <v>0</v>
      </c>
      <c r="AA189" s="875">
        <f t="shared" si="36"/>
        <v>0</v>
      </c>
      <c r="AB189" s="875">
        <f t="shared" si="36"/>
        <v>0</v>
      </c>
      <c r="AC189" s="878"/>
    </row>
    <row r="190" spans="1:29" ht="47.25" customHeight="1" x14ac:dyDescent="0.2">
      <c r="A190" s="618" t="s">
        <v>1424</v>
      </c>
      <c r="B190" s="619" t="s">
        <v>729</v>
      </c>
      <c r="C190" s="620">
        <v>244</v>
      </c>
      <c r="D190" s="620">
        <v>226</v>
      </c>
      <c r="E190" s="596">
        <f t="shared" si="35"/>
        <v>43822.35</v>
      </c>
      <c r="F190" s="595">
        <f>'Прилож 4 24 (8)'!V178</f>
        <v>43822.35</v>
      </c>
      <c r="G190" s="595">
        <f>'Прилож 4 24 (8)'!W178</f>
        <v>0</v>
      </c>
      <c r="H190" s="595">
        <f>'Прилож 4 24 (8)'!X178</f>
        <v>0</v>
      </c>
      <c r="I190" s="582"/>
      <c r="J190" s="595">
        <f>'Прилож 4 24 (8)'!Z178</f>
        <v>0</v>
      </c>
      <c r="K190" s="595">
        <f>'Прилож 4 24 (8)'!AA178</f>
        <v>0</v>
      </c>
      <c r="L190" s="595">
        <f>'Прилож 4 24 (8)'!AB178</f>
        <v>0</v>
      </c>
      <c r="M190" s="876">
        <f t="shared" si="37"/>
        <v>0</v>
      </c>
      <c r="N190" s="875"/>
      <c r="O190" s="875"/>
      <c r="P190" s="875"/>
      <c r="Q190" s="873"/>
      <c r="R190" s="875"/>
      <c r="S190" s="875"/>
      <c r="T190" s="875"/>
      <c r="U190" s="876">
        <f t="shared" si="38"/>
        <v>43822.35</v>
      </c>
      <c r="V190" s="875">
        <f t="shared" si="38"/>
        <v>43822.35</v>
      </c>
      <c r="W190" s="875">
        <f t="shared" si="33"/>
        <v>0</v>
      </c>
      <c r="X190" s="875">
        <f t="shared" si="33"/>
        <v>0</v>
      </c>
      <c r="Y190" s="873"/>
      <c r="Z190" s="875">
        <f t="shared" si="36"/>
        <v>0</v>
      </c>
      <c r="AA190" s="875">
        <f t="shared" si="36"/>
        <v>0</v>
      </c>
      <c r="AB190" s="875">
        <f t="shared" si="36"/>
        <v>0</v>
      </c>
      <c r="AC190" s="878"/>
    </row>
    <row r="191" spans="1:29" ht="25.5" customHeight="1" x14ac:dyDescent="0.2">
      <c r="A191" s="618" t="s">
        <v>1393</v>
      </c>
      <c r="B191" s="619" t="s">
        <v>729</v>
      </c>
      <c r="C191" s="620">
        <v>244</v>
      </c>
      <c r="D191" s="620">
        <v>226</v>
      </c>
      <c r="E191" s="596">
        <f t="shared" si="35"/>
        <v>0</v>
      </c>
      <c r="F191" s="595">
        <f>'Прилож 4 24 (8)'!V179</f>
        <v>0</v>
      </c>
      <c r="G191" s="595">
        <f>'Прилож 4 24 (8)'!W179</f>
        <v>0</v>
      </c>
      <c r="H191" s="595">
        <f>'Прилож 4 24 (8)'!X179</f>
        <v>0</v>
      </c>
      <c r="I191" s="582"/>
      <c r="J191" s="595">
        <f>'Прилож 4 24 (8)'!Z179</f>
        <v>0</v>
      </c>
      <c r="K191" s="595">
        <f>'Прилож 4 24 (8)'!AA179</f>
        <v>0</v>
      </c>
      <c r="L191" s="595">
        <f>'Прилож 4 24 (8)'!AB179</f>
        <v>0</v>
      </c>
      <c r="M191" s="876">
        <f t="shared" si="37"/>
        <v>0</v>
      </c>
      <c r="N191" s="875"/>
      <c r="O191" s="875"/>
      <c r="P191" s="875"/>
      <c r="Q191" s="873"/>
      <c r="R191" s="875"/>
      <c r="S191" s="875"/>
      <c r="T191" s="875"/>
      <c r="U191" s="876">
        <f t="shared" si="38"/>
        <v>0</v>
      </c>
      <c r="V191" s="875">
        <f t="shared" si="38"/>
        <v>0</v>
      </c>
      <c r="W191" s="875">
        <f t="shared" si="33"/>
        <v>0</v>
      </c>
      <c r="X191" s="875">
        <f t="shared" si="33"/>
        <v>0</v>
      </c>
      <c r="Y191" s="873"/>
      <c r="Z191" s="875">
        <f t="shared" si="36"/>
        <v>0</v>
      </c>
      <c r="AA191" s="875">
        <f t="shared" si="36"/>
        <v>0</v>
      </c>
      <c r="AB191" s="875">
        <f t="shared" si="36"/>
        <v>0</v>
      </c>
      <c r="AC191" s="878"/>
    </row>
    <row r="192" spans="1:29" ht="48.75" customHeight="1" x14ac:dyDescent="0.2">
      <c r="A192" s="618" t="s">
        <v>1327</v>
      </c>
      <c r="B192" s="619" t="s">
        <v>729</v>
      </c>
      <c r="C192" s="620">
        <v>244</v>
      </c>
      <c r="D192" s="620">
        <v>226</v>
      </c>
      <c r="E192" s="596">
        <f t="shared" si="35"/>
        <v>4898492.1900000004</v>
      </c>
      <c r="F192" s="595">
        <f>'Прилож 4 24 (8)'!V180</f>
        <v>0</v>
      </c>
      <c r="G192" s="595">
        <f>'Прилож 4 24 (8)'!W180</f>
        <v>0</v>
      </c>
      <c r="H192" s="595">
        <f>'Прилож 4 24 (8)'!X180</f>
        <v>0</v>
      </c>
      <c r="I192" s="621" t="s">
        <v>1314</v>
      </c>
      <c r="J192" s="595">
        <f>'Прилож 4 24 (8)'!Z180</f>
        <v>0</v>
      </c>
      <c r="K192" s="595">
        <f>'Прилож 4 24 (8)'!AA180</f>
        <v>4898492.1900000004</v>
      </c>
      <c r="L192" s="595">
        <f>'Прилож 4 24 (8)'!AB180</f>
        <v>0</v>
      </c>
      <c r="M192" s="876">
        <f t="shared" si="37"/>
        <v>0</v>
      </c>
      <c r="N192" s="875"/>
      <c r="O192" s="875"/>
      <c r="P192" s="875"/>
      <c r="Q192" s="621"/>
      <c r="R192" s="875"/>
      <c r="S192" s="875"/>
      <c r="T192" s="875"/>
      <c r="U192" s="876">
        <f t="shared" si="38"/>
        <v>4898492.1900000004</v>
      </c>
      <c r="V192" s="875">
        <f t="shared" si="38"/>
        <v>0</v>
      </c>
      <c r="W192" s="875">
        <f t="shared" si="33"/>
        <v>0</v>
      </c>
      <c r="X192" s="875">
        <f t="shared" si="33"/>
        <v>0</v>
      </c>
      <c r="Y192" s="621" t="s">
        <v>1314</v>
      </c>
      <c r="Z192" s="875">
        <f t="shared" si="36"/>
        <v>0</v>
      </c>
      <c r="AA192" s="875">
        <f t="shared" si="36"/>
        <v>4898492.1900000004</v>
      </c>
      <c r="AB192" s="875">
        <f t="shared" si="36"/>
        <v>0</v>
      </c>
      <c r="AC192" s="878"/>
    </row>
    <row r="193" spans="1:30" s="637" customFormat="1" ht="30" customHeight="1" x14ac:dyDescent="0.2">
      <c r="A193" s="1046" t="s">
        <v>1143</v>
      </c>
      <c r="B193" s="1047" t="s">
        <v>729</v>
      </c>
      <c r="C193" s="1048">
        <v>244</v>
      </c>
      <c r="D193" s="1048">
        <v>226</v>
      </c>
      <c r="E193" s="596">
        <f t="shared" si="35"/>
        <v>5518087.0599999996</v>
      </c>
      <c r="F193" s="595">
        <f>'Прилож 4 24 (8)'!V181</f>
        <v>43822.35</v>
      </c>
      <c r="G193" s="595">
        <f>'Прилож 4 24 (8)'!W181</f>
        <v>0</v>
      </c>
      <c r="H193" s="595">
        <f>'Прилож 4 24 (8)'!X181</f>
        <v>412670.92</v>
      </c>
      <c r="I193" s="635"/>
      <c r="J193" s="595">
        <f>'Прилож 4 24 (8)'!Z181</f>
        <v>0</v>
      </c>
      <c r="K193" s="595">
        <f>'Прилож 4 24 (8)'!AA181</f>
        <v>5061593.79</v>
      </c>
      <c r="L193" s="595">
        <f>'Прилож 4 24 (8)'!AB181</f>
        <v>0</v>
      </c>
      <c r="M193" s="876">
        <f t="shared" si="37"/>
        <v>-9846.0400000000009</v>
      </c>
      <c r="N193" s="884">
        <f>SUM(N177:N191)</f>
        <v>0</v>
      </c>
      <c r="O193" s="884"/>
      <c r="P193" s="884">
        <f>SUM(P177:P191)</f>
        <v>-9846.0400000000009</v>
      </c>
      <c r="Q193" s="885"/>
      <c r="R193" s="884"/>
      <c r="S193" s="884">
        <f>SUM(S177:S192)</f>
        <v>0</v>
      </c>
      <c r="T193" s="884"/>
      <c r="U193" s="876">
        <f t="shared" si="38"/>
        <v>5508241.0199999996</v>
      </c>
      <c r="V193" s="876">
        <f t="shared" si="38"/>
        <v>43822.35</v>
      </c>
      <c r="W193" s="876">
        <f t="shared" si="33"/>
        <v>0</v>
      </c>
      <c r="X193" s="876">
        <f t="shared" si="33"/>
        <v>402824.88</v>
      </c>
      <c r="Y193" s="885"/>
      <c r="Z193" s="876">
        <f t="shared" si="36"/>
        <v>0</v>
      </c>
      <c r="AA193" s="876">
        <f t="shared" si="36"/>
        <v>5061593.79</v>
      </c>
      <c r="AB193" s="876">
        <f t="shared" si="36"/>
        <v>0</v>
      </c>
      <c r="AC193" s="1049"/>
      <c r="AD193" s="819"/>
    </row>
    <row r="194" spans="1:30" x14ac:dyDescent="0.2">
      <c r="A194" s="618" t="s">
        <v>753</v>
      </c>
      <c r="B194" s="619" t="s">
        <v>691</v>
      </c>
      <c r="C194" s="620">
        <v>244</v>
      </c>
      <c r="D194" s="620">
        <v>226</v>
      </c>
      <c r="E194" s="596">
        <f t="shared" si="35"/>
        <v>190259.99999999997</v>
      </c>
      <c r="F194" s="595">
        <f>'Прилож 4 24 (8)'!V182</f>
        <v>32288.77</v>
      </c>
      <c r="G194" s="595">
        <f>'Прилож 4 24 (8)'!W182</f>
        <v>0</v>
      </c>
      <c r="H194" s="595">
        <f>'Прилож 4 24 (8)'!X182</f>
        <v>109128.84</v>
      </c>
      <c r="I194" s="628"/>
      <c r="J194" s="595">
        <f>'Прилож 4 24 (8)'!Z182</f>
        <v>0</v>
      </c>
      <c r="K194" s="595">
        <f>'Прилож 4 24 (8)'!AA182</f>
        <v>0</v>
      </c>
      <c r="L194" s="595">
        <f>'Прилож 4 24 (8)'!AB182</f>
        <v>48842.39</v>
      </c>
      <c r="M194" s="876">
        <f t="shared" si="37"/>
        <v>0</v>
      </c>
      <c r="N194" s="875">
        <v>-0.01</v>
      </c>
      <c r="O194" s="875"/>
      <c r="P194" s="875">
        <v>0.01</v>
      </c>
      <c r="Q194" s="877"/>
      <c r="R194" s="875"/>
      <c r="S194" s="875"/>
      <c r="T194" s="875"/>
      <c r="U194" s="876">
        <f t="shared" si="38"/>
        <v>190259.99999999997</v>
      </c>
      <c r="V194" s="875">
        <f t="shared" si="38"/>
        <v>32288.760000000002</v>
      </c>
      <c r="W194" s="875">
        <f t="shared" si="33"/>
        <v>0</v>
      </c>
      <c r="X194" s="875">
        <f t="shared" si="33"/>
        <v>109128.84999999999</v>
      </c>
      <c r="Y194" s="883"/>
      <c r="Z194" s="875">
        <f t="shared" si="36"/>
        <v>0</v>
      </c>
      <c r="AA194" s="875">
        <f t="shared" si="36"/>
        <v>0</v>
      </c>
      <c r="AB194" s="875">
        <f t="shared" si="36"/>
        <v>48842.39</v>
      </c>
      <c r="AC194" s="878"/>
    </row>
    <row r="195" spans="1:30" x14ac:dyDescent="0.2">
      <c r="A195" s="618" t="s">
        <v>754</v>
      </c>
      <c r="B195" s="619" t="s">
        <v>691</v>
      </c>
      <c r="C195" s="620">
        <v>244</v>
      </c>
      <c r="D195" s="620">
        <v>226</v>
      </c>
      <c r="E195" s="596">
        <f t="shared" si="35"/>
        <v>74560.5</v>
      </c>
      <c r="F195" s="595">
        <f>'Прилож 4 24 (8)'!V183</f>
        <v>0</v>
      </c>
      <c r="G195" s="595">
        <f>'Прилож 4 24 (8)'!W183</f>
        <v>0</v>
      </c>
      <c r="H195" s="595">
        <f>'Прилож 4 24 (8)'!X183</f>
        <v>63301.25</v>
      </c>
      <c r="I195" s="628"/>
      <c r="J195" s="595">
        <f>'Прилож 4 24 (8)'!Z183</f>
        <v>0</v>
      </c>
      <c r="K195" s="595">
        <f>'Прилож 4 24 (8)'!AA183</f>
        <v>0</v>
      </c>
      <c r="L195" s="595">
        <f>'Прилож 4 24 (8)'!AB183</f>
        <v>11259.25</v>
      </c>
      <c r="M195" s="876">
        <f t="shared" si="37"/>
        <v>0</v>
      </c>
      <c r="N195" s="875"/>
      <c r="O195" s="875"/>
      <c r="P195" s="875"/>
      <c r="Q195" s="877"/>
      <c r="R195" s="875"/>
      <c r="S195" s="875"/>
      <c r="T195" s="875"/>
      <c r="U195" s="876">
        <f t="shared" si="38"/>
        <v>74560.5</v>
      </c>
      <c r="V195" s="875">
        <f t="shared" si="38"/>
        <v>0</v>
      </c>
      <c r="W195" s="875">
        <f t="shared" si="33"/>
        <v>0</v>
      </c>
      <c r="X195" s="875">
        <f t="shared" si="33"/>
        <v>63301.25</v>
      </c>
      <c r="Y195" s="883"/>
      <c r="Z195" s="875">
        <f t="shared" si="36"/>
        <v>0</v>
      </c>
      <c r="AA195" s="875">
        <f t="shared" si="36"/>
        <v>0</v>
      </c>
      <c r="AB195" s="875">
        <f t="shared" si="36"/>
        <v>11259.25</v>
      </c>
      <c r="AC195" s="878"/>
    </row>
    <row r="196" spans="1:30" ht="45" customHeight="1" x14ac:dyDescent="0.2">
      <c r="A196" s="618" t="s">
        <v>712</v>
      </c>
      <c r="B196" s="619" t="s">
        <v>691</v>
      </c>
      <c r="C196" s="620">
        <v>244</v>
      </c>
      <c r="D196" s="620">
        <v>226</v>
      </c>
      <c r="E196" s="596">
        <f t="shared" si="35"/>
        <v>28538.999999999996</v>
      </c>
      <c r="F196" s="595">
        <f>'Прилож 4 24 (8)'!V184</f>
        <v>0</v>
      </c>
      <c r="G196" s="595">
        <f>'Прилож 4 24 (8)'!W184</f>
        <v>0</v>
      </c>
      <c r="H196" s="595">
        <f>'Прилож 4 24 (8)'!X184</f>
        <v>27112.049999999996</v>
      </c>
      <c r="I196" s="628"/>
      <c r="J196" s="595">
        <f>'Прилож 4 24 (8)'!Z184</f>
        <v>0</v>
      </c>
      <c r="K196" s="595">
        <f>'Прилож 4 24 (8)'!AA184</f>
        <v>0</v>
      </c>
      <c r="L196" s="595">
        <f>'Прилож 4 24 (8)'!AB184</f>
        <v>1426.95</v>
      </c>
      <c r="M196" s="876">
        <f t="shared" si="37"/>
        <v>0</v>
      </c>
      <c r="N196" s="875"/>
      <c r="O196" s="875"/>
      <c r="P196" s="875"/>
      <c r="Q196" s="877"/>
      <c r="R196" s="875"/>
      <c r="S196" s="875"/>
      <c r="T196" s="875"/>
      <c r="U196" s="876">
        <f t="shared" si="38"/>
        <v>28538.999999999996</v>
      </c>
      <c r="V196" s="875">
        <f t="shared" si="38"/>
        <v>0</v>
      </c>
      <c r="W196" s="875">
        <f t="shared" si="33"/>
        <v>0</v>
      </c>
      <c r="X196" s="875">
        <f t="shared" si="33"/>
        <v>27112.049999999996</v>
      </c>
      <c r="Y196" s="883"/>
      <c r="Z196" s="875">
        <f t="shared" si="36"/>
        <v>0</v>
      </c>
      <c r="AA196" s="875">
        <f t="shared" si="36"/>
        <v>0</v>
      </c>
      <c r="AB196" s="875">
        <f t="shared" si="36"/>
        <v>1426.95</v>
      </c>
      <c r="AC196" s="878"/>
    </row>
    <row r="197" spans="1:30" x14ac:dyDescent="0.2">
      <c r="A197" s="618" t="s">
        <v>755</v>
      </c>
      <c r="B197" s="619" t="s">
        <v>691</v>
      </c>
      <c r="C197" s="620">
        <v>244</v>
      </c>
      <c r="D197" s="620">
        <v>226</v>
      </c>
      <c r="E197" s="596">
        <f t="shared" si="35"/>
        <v>0</v>
      </c>
      <c r="F197" s="595">
        <f>'Прилож 4 24 (8)'!V185</f>
        <v>0</v>
      </c>
      <c r="G197" s="595">
        <f>'Прилож 4 24 (8)'!W185</f>
        <v>0</v>
      </c>
      <c r="H197" s="595">
        <f>'Прилож 4 24 (8)'!X185</f>
        <v>0</v>
      </c>
      <c r="I197" s="628"/>
      <c r="J197" s="595">
        <f>'Прилож 4 24 (8)'!Z185</f>
        <v>0</v>
      </c>
      <c r="K197" s="595">
        <f>'Прилож 4 24 (8)'!AA185</f>
        <v>0</v>
      </c>
      <c r="L197" s="595">
        <f>'Прилож 4 24 (8)'!AB185</f>
        <v>0</v>
      </c>
      <c r="M197" s="876">
        <f t="shared" si="37"/>
        <v>0</v>
      </c>
      <c r="N197" s="875"/>
      <c r="O197" s="875"/>
      <c r="P197" s="875"/>
      <c r="Q197" s="877"/>
      <c r="R197" s="875"/>
      <c r="S197" s="875"/>
      <c r="T197" s="875"/>
      <c r="U197" s="876">
        <f t="shared" si="38"/>
        <v>0</v>
      </c>
      <c r="V197" s="875">
        <f t="shared" si="38"/>
        <v>0</v>
      </c>
      <c r="W197" s="875">
        <f t="shared" si="33"/>
        <v>0</v>
      </c>
      <c r="X197" s="875">
        <f t="shared" si="33"/>
        <v>0</v>
      </c>
      <c r="Y197" s="883"/>
      <c r="Z197" s="875">
        <f t="shared" si="36"/>
        <v>0</v>
      </c>
      <c r="AA197" s="875">
        <f t="shared" si="36"/>
        <v>0</v>
      </c>
      <c r="AB197" s="875">
        <f t="shared" si="36"/>
        <v>0</v>
      </c>
      <c r="AC197" s="878"/>
    </row>
    <row r="198" spans="1:30" ht="30" customHeight="1" x14ac:dyDescent="0.2">
      <c r="A198" s="618" t="s">
        <v>756</v>
      </c>
      <c r="B198" s="619" t="s">
        <v>691</v>
      </c>
      <c r="C198" s="620">
        <v>244</v>
      </c>
      <c r="D198" s="620">
        <v>226</v>
      </c>
      <c r="E198" s="596">
        <f t="shared" si="35"/>
        <v>29384.92</v>
      </c>
      <c r="F198" s="595">
        <f>'Прилож 4 24 (8)'!V186</f>
        <v>0</v>
      </c>
      <c r="G198" s="595">
        <f>'Прилож 4 24 (8)'!W186</f>
        <v>0</v>
      </c>
      <c r="H198" s="595">
        <f>'Прилож 4 24 (8)'!X186</f>
        <v>25135.27</v>
      </c>
      <c r="I198" s="628"/>
      <c r="J198" s="595">
        <f>'Прилож 4 24 (8)'!Z186</f>
        <v>0</v>
      </c>
      <c r="K198" s="595">
        <f>'Прилож 4 24 (8)'!AA186</f>
        <v>0</v>
      </c>
      <c r="L198" s="595">
        <f>'Прилож 4 24 (8)'!AB186</f>
        <v>4249.6499999999996</v>
      </c>
      <c r="M198" s="876">
        <f t="shared" si="37"/>
        <v>0</v>
      </c>
      <c r="N198" s="875"/>
      <c r="O198" s="875"/>
      <c r="P198" s="875"/>
      <c r="Q198" s="877"/>
      <c r="R198" s="875"/>
      <c r="S198" s="875"/>
      <c r="T198" s="875"/>
      <c r="U198" s="876">
        <f t="shared" si="38"/>
        <v>29384.92</v>
      </c>
      <c r="V198" s="875">
        <f t="shared" si="38"/>
        <v>0</v>
      </c>
      <c r="W198" s="875">
        <f t="shared" si="33"/>
        <v>0</v>
      </c>
      <c r="X198" s="875">
        <f t="shared" si="33"/>
        <v>25135.27</v>
      </c>
      <c r="Y198" s="883"/>
      <c r="Z198" s="875">
        <f t="shared" si="36"/>
        <v>0</v>
      </c>
      <c r="AA198" s="875">
        <f t="shared" si="36"/>
        <v>0</v>
      </c>
      <c r="AB198" s="875">
        <f t="shared" si="36"/>
        <v>4249.6499999999996</v>
      </c>
      <c r="AC198" s="878"/>
    </row>
    <row r="199" spans="1:30" x14ac:dyDescent="0.2">
      <c r="A199" s="618" t="s">
        <v>706</v>
      </c>
      <c r="B199" s="619" t="s">
        <v>691</v>
      </c>
      <c r="C199" s="620">
        <v>244</v>
      </c>
      <c r="D199" s="620">
        <v>226</v>
      </c>
      <c r="E199" s="596">
        <f t="shared" si="35"/>
        <v>0</v>
      </c>
      <c r="F199" s="595">
        <f>'Прилож 4 24 (8)'!V187</f>
        <v>0</v>
      </c>
      <c r="G199" s="595">
        <f>'Прилож 4 24 (8)'!W187</f>
        <v>0</v>
      </c>
      <c r="H199" s="595">
        <f>'Прилож 4 24 (8)'!X187</f>
        <v>0</v>
      </c>
      <c r="I199" s="628"/>
      <c r="J199" s="595">
        <f>'Прилож 4 24 (8)'!Z187</f>
        <v>0</v>
      </c>
      <c r="K199" s="595">
        <f>'Прилож 4 24 (8)'!AA187</f>
        <v>0</v>
      </c>
      <c r="L199" s="595">
        <f>'Прилож 4 24 (8)'!AB187</f>
        <v>0</v>
      </c>
      <c r="M199" s="876">
        <f t="shared" si="37"/>
        <v>0</v>
      </c>
      <c r="N199" s="875"/>
      <c r="O199" s="875"/>
      <c r="P199" s="875"/>
      <c r="Q199" s="877"/>
      <c r="R199" s="875"/>
      <c r="S199" s="875"/>
      <c r="T199" s="875"/>
      <c r="U199" s="876">
        <f t="shared" si="38"/>
        <v>0</v>
      </c>
      <c r="V199" s="875">
        <f t="shared" si="38"/>
        <v>0</v>
      </c>
      <c r="W199" s="875">
        <f t="shared" si="33"/>
        <v>0</v>
      </c>
      <c r="X199" s="875">
        <f t="shared" si="33"/>
        <v>0</v>
      </c>
      <c r="Y199" s="883"/>
      <c r="Z199" s="875">
        <f t="shared" si="36"/>
        <v>0</v>
      </c>
      <c r="AA199" s="875">
        <f t="shared" si="36"/>
        <v>0</v>
      </c>
      <c r="AB199" s="875">
        <f t="shared" si="36"/>
        <v>0</v>
      </c>
      <c r="AC199" s="878"/>
    </row>
    <row r="200" spans="1:30" ht="37.5" customHeight="1" x14ac:dyDescent="0.2">
      <c r="A200" s="994" t="s">
        <v>1445</v>
      </c>
      <c r="B200" s="619" t="s">
        <v>691</v>
      </c>
      <c r="C200" s="620">
        <v>244</v>
      </c>
      <c r="D200" s="620">
        <v>226</v>
      </c>
      <c r="E200" s="596">
        <f t="shared" si="35"/>
        <v>21411</v>
      </c>
      <c r="F200" s="595">
        <f>'Прилож 4 24 (8)'!V188</f>
        <v>0</v>
      </c>
      <c r="G200" s="595">
        <f>'Прилож 4 24 (8)'!W188</f>
        <v>0</v>
      </c>
      <c r="H200" s="595">
        <f>'Прилож 4 24 (8)'!X188</f>
        <v>0</v>
      </c>
      <c r="I200" s="877" t="s">
        <v>1440</v>
      </c>
      <c r="J200" s="595">
        <f>'Прилож 4 24 (8)'!Z188</f>
        <v>0</v>
      </c>
      <c r="K200" s="595">
        <f>'Прилож 4 24 (8)'!AA188</f>
        <v>21411</v>
      </c>
      <c r="L200" s="595">
        <f>'Прилож 4 24 (8)'!AB188</f>
        <v>0</v>
      </c>
      <c r="M200" s="876">
        <f t="shared" si="37"/>
        <v>0</v>
      </c>
      <c r="N200" s="875"/>
      <c r="O200" s="875"/>
      <c r="P200" s="875"/>
      <c r="Q200" s="877"/>
      <c r="R200" s="875"/>
      <c r="S200" s="875"/>
      <c r="T200" s="875"/>
      <c r="U200" s="876">
        <f t="shared" si="38"/>
        <v>21411</v>
      </c>
      <c r="V200" s="875">
        <f t="shared" si="38"/>
        <v>0</v>
      </c>
      <c r="W200" s="875">
        <f t="shared" ref="W200:X211" si="39">O200+G200</f>
        <v>0</v>
      </c>
      <c r="X200" s="875"/>
      <c r="Y200" s="877" t="s">
        <v>1440</v>
      </c>
      <c r="Z200" s="875"/>
      <c r="AA200" s="875">
        <f t="shared" ref="AA200:AB211" si="40">S200+K200</f>
        <v>21411</v>
      </c>
      <c r="AB200" s="875">
        <f t="shared" si="40"/>
        <v>0</v>
      </c>
      <c r="AC200" s="878"/>
    </row>
    <row r="201" spans="1:30" s="637" customFormat="1" x14ac:dyDescent="0.2">
      <c r="A201" s="632" t="s">
        <v>1143</v>
      </c>
      <c r="B201" s="633" t="s">
        <v>691</v>
      </c>
      <c r="C201" s="634">
        <v>244</v>
      </c>
      <c r="D201" s="634">
        <v>226</v>
      </c>
      <c r="E201" s="596">
        <f t="shared" si="35"/>
        <v>344155.42</v>
      </c>
      <c r="F201" s="595">
        <f>'Прилож 4 24 (8)'!V189</f>
        <v>32288.77</v>
      </c>
      <c r="G201" s="595">
        <f>'Прилож 4 24 (8)'!W189</f>
        <v>0</v>
      </c>
      <c r="H201" s="595">
        <f>'Прилож 4 24 (8)'!X189</f>
        <v>224677.40999999997</v>
      </c>
      <c r="I201" s="635"/>
      <c r="J201" s="595">
        <f>'Прилож 4 24 (8)'!Z189</f>
        <v>0</v>
      </c>
      <c r="K201" s="595">
        <f>'Прилож 4 24 (8)'!AA189</f>
        <v>21411</v>
      </c>
      <c r="L201" s="595">
        <f>'Прилож 4 24 (8)'!AB189</f>
        <v>65778.240000000005</v>
      </c>
      <c r="M201" s="876">
        <f t="shared" si="37"/>
        <v>0</v>
      </c>
      <c r="N201" s="884">
        <f>SUM(N194:N200)</f>
        <v>-0.01</v>
      </c>
      <c r="O201" s="884"/>
      <c r="P201" s="884">
        <f>SUM(P194:P199)</f>
        <v>0.01</v>
      </c>
      <c r="Q201" s="885"/>
      <c r="R201" s="884"/>
      <c r="S201" s="884">
        <f>SUM(S194:S200)</f>
        <v>0</v>
      </c>
      <c r="T201" s="884">
        <f>SUM(T194:T199)</f>
        <v>0</v>
      </c>
      <c r="U201" s="876">
        <f t="shared" si="38"/>
        <v>344155.42</v>
      </c>
      <c r="V201" s="875">
        <f t="shared" si="38"/>
        <v>32288.760000000002</v>
      </c>
      <c r="W201" s="875">
        <f t="shared" si="39"/>
        <v>0</v>
      </c>
      <c r="X201" s="875">
        <f t="shared" si="39"/>
        <v>224677.41999999998</v>
      </c>
      <c r="Y201" s="885"/>
      <c r="Z201" s="875">
        <f t="shared" ref="Z201:Z211" si="41">R201+J201</f>
        <v>0</v>
      </c>
      <c r="AA201" s="875">
        <f t="shared" si="40"/>
        <v>21411</v>
      </c>
      <c r="AB201" s="875">
        <f t="shared" si="40"/>
        <v>65778.240000000005</v>
      </c>
      <c r="AC201" s="886"/>
      <c r="AD201" s="819"/>
    </row>
    <row r="202" spans="1:30" s="614" customFormat="1" x14ac:dyDescent="0.2">
      <c r="A202" s="630" t="s">
        <v>739</v>
      </c>
      <c r="B202" s="631"/>
      <c r="C202" s="624"/>
      <c r="D202" s="624"/>
      <c r="E202" s="596">
        <f t="shared" si="35"/>
        <v>6140318.4000000004</v>
      </c>
      <c r="F202" s="595">
        <f>'Прилож 4 24 (8)'!V190</f>
        <v>76111.12</v>
      </c>
      <c r="G202" s="595">
        <f>'Прилож 4 24 (8)'!W190</f>
        <v>0</v>
      </c>
      <c r="H202" s="595">
        <f>'Прилож 4 24 (8)'!X190</f>
        <v>915424.24999999988</v>
      </c>
      <c r="I202" s="626"/>
      <c r="J202" s="595">
        <f>'Прилож 4 24 (8)'!Z190</f>
        <v>0</v>
      </c>
      <c r="K202" s="595">
        <f>'Прилож 4 24 (8)'!AA190</f>
        <v>5083004.79</v>
      </c>
      <c r="L202" s="595">
        <f>'Прилож 4 24 (8)'!AB190</f>
        <v>65778.240000000005</v>
      </c>
      <c r="M202" s="876">
        <f t="shared" si="37"/>
        <v>14492.16</v>
      </c>
      <c r="N202" s="876">
        <f>N201+N193+N176</f>
        <v>-0.01</v>
      </c>
      <c r="O202" s="876"/>
      <c r="P202" s="876">
        <f>P201+P193+P176</f>
        <v>3816.01</v>
      </c>
      <c r="Q202" s="881"/>
      <c r="R202" s="876">
        <f>R201+R193+R176</f>
        <v>0</v>
      </c>
      <c r="S202" s="876">
        <f>S201+S193+S176</f>
        <v>0</v>
      </c>
      <c r="T202" s="876">
        <f>T201+T193+T176</f>
        <v>10676.16</v>
      </c>
      <c r="U202" s="876">
        <f t="shared" si="38"/>
        <v>6154810.5600000005</v>
      </c>
      <c r="V202" s="875">
        <f t="shared" si="38"/>
        <v>76111.11</v>
      </c>
      <c r="W202" s="875">
        <f t="shared" si="39"/>
        <v>0</v>
      </c>
      <c r="X202" s="875">
        <f t="shared" si="39"/>
        <v>919240.25999999989</v>
      </c>
      <c r="Y202" s="881"/>
      <c r="Z202" s="875">
        <f t="shared" si="41"/>
        <v>0</v>
      </c>
      <c r="AA202" s="875">
        <f t="shared" si="40"/>
        <v>5083004.79</v>
      </c>
      <c r="AB202" s="875">
        <f t="shared" si="40"/>
        <v>76454.400000000009</v>
      </c>
      <c r="AC202" s="879"/>
      <c r="AD202" s="819"/>
    </row>
    <row r="203" spans="1:30" ht="28.5" customHeight="1" x14ac:dyDescent="0.2">
      <c r="A203" s="618" t="s">
        <v>637</v>
      </c>
      <c r="B203" s="619" t="s">
        <v>729</v>
      </c>
      <c r="C203" s="620">
        <v>244</v>
      </c>
      <c r="D203" s="620">
        <v>227</v>
      </c>
      <c r="E203" s="596">
        <f t="shared" si="35"/>
        <v>10000</v>
      </c>
      <c r="F203" s="595">
        <f>'Прилож 4 24 (8)'!V191</f>
        <v>0</v>
      </c>
      <c r="G203" s="595">
        <f>'Прилож 4 24 (8)'!W191</f>
        <v>0</v>
      </c>
      <c r="H203" s="595">
        <f>'Прилож 4 24 (8)'!X191</f>
        <v>10000</v>
      </c>
      <c r="I203" s="628"/>
      <c r="J203" s="595">
        <f>'Прилож 4 24 (8)'!Z191</f>
        <v>0</v>
      </c>
      <c r="K203" s="595">
        <f>'Прилож 4 24 (8)'!AA191</f>
        <v>0</v>
      </c>
      <c r="L203" s="595">
        <f>'Прилож 4 24 (8)'!AB191</f>
        <v>0</v>
      </c>
      <c r="M203" s="876">
        <f t="shared" si="37"/>
        <v>0</v>
      </c>
      <c r="N203" s="875"/>
      <c r="O203" s="875"/>
      <c r="P203" s="875"/>
      <c r="Q203" s="877"/>
      <c r="R203" s="875"/>
      <c r="S203" s="875"/>
      <c r="T203" s="875"/>
      <c r="U203" s="876">
        <f t="shared" si="38"/>
        <v>10000</v>
      </c>
      <c r="V203" s="875">
        <f t="shared" si="38"/>
        <v>0</v>
      </c>
      <c r="W203" s="875">
        <f t="shared" si="39"/>
        <v>0</v>
      </c>
      <c r="X203" s="875">
        <f t="shared" si="39"/>
        <v>10000</v>
      </c>
      <c r="Y203" s="883"/>
      <c r="Z203" s="875">
        <f t="shared" si="41"/>
        <v>0</v>
      </c>
      <c r="AA203" s="875">
        <f t="shared" si="40"/>
        <v>0</v>
      </c>
      <c r="AB203" s="875">
        <f t="shared" si="40"/>
        <v>0</v>
      </c>
      <c r="AC203" s="878"/>
    </row>
    <row r="204" spans="1:30" ht="25.5" customHeight="1" x14ac:dyDescent="0.2">
      <c r="A204" s="618" t="s">
        <v>678</v>
      </c>
      <c r="B204" s="619" t="s">
        <v>691</v>
      </c>
      <c r="C204" s="620">
        <v>244</v>
      </c>
      <c r="D204" s="620">
        <v>227</v>
      </c>
      <c r="E204" s="596">
        <f t="shared" si="35"/>
        <v>1827</v>
      </c>
      <c r="F204" s="595">
        <f>'Прилож 4 24 (8)'!V192</f>
        <v>0</v>
      </c>
      <c r="G204" s="595">
        <f>'Прилож 4 24 (8)'!W192</f>
        <v>0</v>
      </c>
      <c r="H204" s="595">
        <f>'Прилож 4 24 (8)'!X192</f>
        <v>1551.11</v>
      </c>
      <c r="I204" s="628"/>
      <c r="J204" s="595">
        <f>'Прилож 4 24 (8)'!Z192</f>
        <v>0</v>
      </c>
      <c r="K204" s="595">
        <f>'Прилож 4 24 (8)'!AA192</f>
        <v>0</v>
      </c>
      <c r="L204" s="595">
        <f>'Прилож 4 24 (8)'!AB192</f>
        <v>275.89</v>
      </c>
      <c r="M204" s="876">
        <f t="shared" si="37"/>
        <v>0</v>
      </c>
      <c r="N204" s="875"/>
      <c r="O204" s="875"/>
      <c r="P204" s="875"/>
      <c r="Q204" s="877"/>
      <c r="R204" s="875"/>
      <c r="S204" s="875"/>
      <c r="T204" s="875"/>
      <c r="U204" s="876">
        <f t="shared" si="38"/>
        <v>1827</v>
      </c>
      <c r="V204" s="875">
        <f t="shared" si="38"/>
        <v>0</v>
      </c>
      <c r="W204" s="875">
        <f t="shared" si="39"/>
        <v>0</v>
      </c>
      <c r="X204" s="875">
        <f t="shared" si="39"/>
        <v>1551.11</v>
      </c>
      <c r="Y204" s="883"/>
      <c r="Z204" s="875">
        <f t="shared" si="41"/>
        <v>0</v>
      </c>
      <c r="AA204" s="875">
        <f t="shared" si="40"/>
        <v>0</v>
      </c>
      <c r="AB204" s="875">
        <f t="shared" si="40"/>
        <v>275.89</v>
      </c>
      <c r="AC204" s="878"/>
    </row>
    <row r="205" spans="1:30" s="614" customFormat="1" x14ac:dyDescent="0.2">
      <c r="A205" s="630" t="s">
        <v>740</v>
      </c>
      <c r="B205" s="631"/>
      <c r="C205" s="624"/>
      <c r="D205" s="624"/>
      <c r="E205" s="596">
        <f t="shared" si="35"/>
        <v>11827</v>
      </c>
      <c r="F205" s="595">
        <f>'Прилож 4 24 (8)'!V193</f>
        <v>0</v>
      </c>
      <c r="G205" s="595">
        <f>'Прилож 4 24 (8)'!W193</f>
        <v>0</v>
      </c>
      <c r="H205" s="595">
        <f>'Прилож 4 24 (8)'!X193</f>
        <v>11551.11</v>
      </c>
      <c r="I205" s="626"/>
      <c r="J205" s="595">
        <f>'Прилож 4 24 (8)'!Z193</f>
        <v>0</v>
      </c>
      <c r="K205" s="595">
        <f>'Прилож 4 24 (8)'!AA193</f>
        <v>0</v>
      </c>
      <c r="L205" s="595">
        <f>'Прилож 4 24 (8)'!AB193</f>
        <v>275.89</v>
      </c>
      <c r="M205" s="876">
        <f t="shared" si="37"/>
        <v>0</v>
      </c>
      <c r="N205" s="876"/>
      <c r="O205" s="876"/>
      <c r="P205" s="876"/>
      <c r="Q205" s="881"/>
      <c r="R205" s="876"/>
      <c r="S205" s="876"/>
      <c r="T205" s="876"/>
      <c r="U205" s="876">
        <f t="shared" si="38"/>
        <v>11827</v>
      </c>
      <c r="V205" s="875">
        <f t="shared" si="38"/>
        <v>0</v>
      </c>
      <c r="W205" s="875">
        <f t="shared" si="39"/>
        <v>0</v>
      </c>
      <c r="X205" s="875">
        <f t="shared" si="39"/>
        <v>11551.11</v>
      </c>
      <c r="Y205" s="881"/>
      <c r="Z205" s="875">
        <f t="shared" si="41"/>
        <v>0</v>
      </c>
      <c r="AA205" s="875">
        <f t="shared" si="40"/>
        <v>0</v>
      </c>
      <c r="AB205" s="875">
        <f t="shared" si="40"/>
        <v>275.89</v>
      </c>
      <c r="AC205" s="879"/>
    </row>
    <row r="206" spans="1:30" x14ac:dyDescent="0.2">
      <c r="A206" s="618" t="s">
        <v>1227</v>
      </c>
      <c r="B206" s="619" t="s">
        <v>747</v>
      </c>
      <c r="C206" s="620">
        <v>244</v>
      </c>
      <c r="D206" s="620">
        <v>310</v>
      </c>
      <c r="E206" s="596">
        <f t="shared" si="35"/>
        <v>0</v>
      </c>
      <c r="F206" s="595">
        <f>'Прилож 4 24 (8)'!V194</f>
        <v>0</v>
      </c>
      <c r="G206" s="595">
        <f>'Прилож 4 24 (8)'!W194</f>
        <v>0</v>
      </c>
      <c r="H206" s="595">
        <f>'Прилож 4 24 (8)'!X194</f>
        <v>0</v>
      </c>
      <c r="I206" s="621"/>
      <c r="J206" s="595">
        <f>'Прилож 4 24 (8)'!Z194</f>
        <v>0</v>
      </c>
      <c r="K206" s="595">
        <f>'Прилож 4 24 (8)'!AA194</f>
        <v>0</v>
      </c>
      <c r="L206" s="595">
        <f>'Прилож 4 24 (8)'!AB194</f>
        <v>0</v>
      </c>
      <c r="M206" s="876">
        <f t="shared" si="37"/>
        <v>0</v>
      </c>
      <c r="N206" s="875"/>
      <c r="O206" s="875"/>
      <c r="P206" s="875"/>
      <c r="Q206" s="877"/>
      <c r="R206" s="875"/>
      <c r="S206" s="875"/>
      <c r="T206" s="875"/>
      <c r="U206" s="876">
        <f t="shared" si="38"/>
        <v>0</v>
      </c>
      <c r="V206" s="875">
        <f t="shared" si="38"/>
        <v>0</v>
      </c>
      <c r="W206" s="875">
        <f t="shared" si="39"/>
        <v>0</v>
      </c>
      <c r="X206" s="875">
        <f t="shared" si="39"/>
        <v>0</v>
      </c>
      <c r="Y206" s="877"/>
      <c r="Z206" s="875">
        <f t="shared" si="41"/>
        <v>0</v>
      </c>
      <c r="AA206" s="875">
        <f t="shared" si="40"/>
        <v>0</v>
      </c>
      <c r="AB206" s="875">
        <f t="shared" si="40"/>
        <v>0</v>
      </c>
      <c r="AC206" s="878"/>
    </row>
    <row r="207" spans="1:30" ht="31.5" x14ac:dyDescent="0.2">
      <c r="A207" s="618" t="s">
        <v>1228</v>
      </c>
      <c r="B207" s="619" t="s">
        <v>747</v>
      </c>
      <c r="C207" s="620">
        <v>244</v>
      </c>
      <c r="D207" s="620">
        <v>310</v>
      </c>
      <c r="E207" s="596">
        <f t="shared" si="35"/>
        <v>0</v>
      </c>
      <c r="F207" s="595">
        <f>'Прилож 4 24 (8)'!V195</f>
        <v>0</v>
      </c>
      <c r="G207" s="595">
        <f>'Прилож 4 24 (8)'!W195</f>
        <v>0</v>
      </c>
      <c r="H207" s="595">
        <f>'Прилож 4 24 (8)'!X195</f>
        <v>0</v>
      </c>
      <c r="I207" s="621"/>
      <c r="J207" s="595">
        <f>'Прилож 4 24 (8)'!Z195</f>
        <v>0</v>
      </c>
      <c r="K207" s="595">
        <f>'Прилож 4 24 (8)'!AA195</f>
        <v>0</v>
      </c>
      <c r="L207" s="595">
        <f>'Прилож 4 24 (8)'!AB195</f>
        <v>0</v>
      </c>
      <c r="M207" s="876">
        <f t="shared" si="37"/>
        <v>0</v>
      </c>
      <c r="N207" s="875"/>
      <c r="O207" s="875"/>
      <c r="P207" s="875"/>
      <c r="Q207" s="877"/>
      <c r="R207" s="875"/>
      <c r="S207" s="875"/>
      <c r="T207" s="875"/>
      <c r="U207" s="876">
        <f t="shared" si="38"/>
        <v>0</v>
      </c>
      <c r="V207" s="875">
        <f t="shared" si="38"/>
        <v>0</v>
      </c>
      <c r="W207" s="875">
        <f t="shared" si="39"/>
        <v>0</v>
      </c>
      <c r="X207" s="875">
        <f t="shared" si="39"/>
        <v>0</v>
      </c>
      <c r="Y207" s="877"/>
      <c r="Z207" s="875">
        <f t="shared" si="41"/>
        <v>0</v>
      </c>
      <c r="AA207" s="875">
        <f t="shared" si="40"/>
        <v>0</v>
      </c>
      <c r="AB207" s="875">
        <f t="shared" si="40"/>
        <v>0</v>
      </c>
      <c r="AC207" s="878"/>
    </row>
    <row r="208" spans="1:30" ht="31.5" x14ac:dyDescent="0.2">
      <c r="A208" s="618" t="s">
        <v>1229</v>
      </c>
      <c r="B208" s="619" t="s">
        <v>747</v>
      </c>
      <c r="C208" s="620">
        <v>244</v>
      </c>
      <c r="D208" s="620">
        <v>310</v>
      </c>
      <c r="E208" s="596">
        <f t="shared" si="35"/>
        <v>0</v>
      </c>
      <c r="F208" s="595">
        <f>'Прилож 4 24 (8)'!V196</f>
        <v>0</v>
      </c>
      <c r="G208" s="595">
        <f>'Прилож 4 24 (8)'!W196</f>
        <v>0</v>
      </c>
      <c r="H208" s="595">
        <f>'Прилож 4 24 (8)'!X196</f>
        <v>0</v>
      </c>
      <c r="I208" s="621"/>
      <c r="J208" s="595">
        <f>'Прилож 4 24 (8)'!Z196</f>
        <v>0</v>
      </c>
      <c r="K208" s="595">
        <f>'Прилож 4 24 (8)'!AA196</f>
        <v>0</v>
      </c>
      <c r="L208" s="595">
        <f>'Прилож 4 24 (8)'!AB196</f>
        <v>0</v>
      </c>
      <c r="M208" s="876">
        <f t="shared" si="37"/>
        <v>0</v>
      </c>
      <c r="N208" s="875"/>
      <c r="O208" s="875"/>
      <c r="P208" s="875"/>
      <c r="Q208" s="877"/>
      <c r="R208" s="875"/>
      <c r="S208" s="875"/>
      <c r="T208" s="875"/>
      <c r="U208" s="876">
        <f t="shared" si="38"/>
        <v>0</v>
      </c>
      <c r="V208" s="875">
        <f t="shared" si="38"/>
        <v>0</v>
      </c>
      <c r="W208" s="875">
        <f t="shared" si="39"/>
        <v>0</v>
      </c>
      <c r="X208" s="875">
        <f t="shared" si="39"/>
        <v>0</v>
      </c>
      <c r="Y208" s="877"/>
      <c r="Z208" s="875">
        <f t="shared" si="41"/>
        <v>0</v>
      </c>
      <c r="AA208" s="875">
        <f t="shared" si="40"/>
        <v>0</v>
      </c>
      <c r="AB208" s="875">
        <f t="shared" si="40"/>
        <v>0</v>
      </c>
      <c r="AC208" s="878"/>
    </row>
    <row r="209" spans="1:30" x14ac:dyDescent="0.2">
      <c r="A209" s="618" t="s">
        <v>1284</v>
      </c>
      <c r="B209" s="619" t="s">
        <v>747</v>
      </c>
      <c r="C209" s="620">
        <v>244</v>
      </c>
      <c r="D209" s="620">
        <v>310</v>
      </c>
      <c r="E209" s="596">
        <f t="shared" si="35"/>
        <v>18000</v>
      </c>
      <c r="F209" s="595">
        <f>'Прилож 4 24 (8)'!V197</f>
        <v>18000</v>
      </c>
      <c r="G209" s="595">
        <f>'Прилож 4 24 (8)'!W197</f>
        <v>0</v>
      </c>
      <c r="H209" s="595">
        <f>'Прилож 4 24 (8)'!X197</f>
        <v>0</v>
      </c>
      <c r="I209" s="621"/>
      <c r="J209" s="595">
        <f>'Прилож 4 24 (8)'!Z197</f>
        <v>0</v>
      </c>
      <c r="K209" s="595">
        <f>'Прилож 4 24 (8)'!AA197</f>
        <v>0</v>
      </c>
      <c r="L209" s="595">
        <f>'Прилож 4 24 (8)'!AB197</f>
        <v>0</v>
      </c>
      <c r="M209" s="876">
        <f t="shared" si="37"/>
        <v>0</v>
      </c>
      <c r="N209" s="875"/>
      <c r="O209" s="875"/>
      <c r="P209" s="875"/>
      <c r="Q209" s="877"/>
      <c r="R209" s="875"/>
      <c r="S209" s="875"/>
      <c r="T209" s="875"/>
      <c r="U209" s="876">
        <f t="shared" si="38"/>
        <v>18000</v>
      </c>
      <c r="V209" s="875">
        <f t="shared" si="38"/>
        <v>18000</v>
      </c>
      <c r="W209" s="875">
        <f t="shared" si="39"/>
        <v>0</v>
      </c>
      <c r="X209" s="875">
        <f t="shared" si="39"/>
        <v>0</v>
      </c>
      <c r="Y209" s="877"/>
      <c r="Z209" s="875">
        <f t="shared" si="41"/>
        <v>0</v>
      </c>
      <c r="AA209" s="875">
        <f t="shared" si="40"/>
        <v>0</v>
      </c>
      <c r="AB209" s="875">
        <f t="shared" si="40"/>
        <v>0</v>
      </c>
      <c r="AC209" s="878"/>
    </row>
    <row r="210" spans="1:30" ht="21" customHeight="1" x14ac:dyDescent="0.2">
      <c r="A210" s="618" t="s">
        <v>1344</v>
      </c>
      <c r="B210" s="619" t="s">
        <v>747</v>
      </c>
      <c r="C210" s="620">
        <v>244</v>
      </c>
      <c r="D210" s="620">
        <v>310</v>
      </c>
      <c r="E210" s="596">
        <f t="shared" si="35"/>
        <v>219950</v>
      </c>
      <c r="F210" s="595">
        <f>'Прилож 4 24 (8)'!V198</f>
        <v>219950</v>
      </c>
      <c r="G210" s="595">
        <f>'Прилож 4 24 (8)'!W198</f>
        <v>0</v>
      </c>
      <c r="H210" s="595">
        <f>'Прилож 4 24 (8)'!X198</f>
        <v>0</v>
      </c>
      <c r="I210" s="621"/>
      <c r="J210" s="595">
        <f>'Прилож 4 24 (8)'!Z198</f>
        <v>0</v>
      </c>
      <c r="K210" s="595">
        <f>'Прилож 4 24 (8)'!AA198</f>
        <v>0</v>
      </c>
      <c r="L210" s="595">
        <f>'Прилож 4 24 (8)'!AB198</f>
        <v>0</v>
      </c>
      <c r="M210" s="876">
        <f t="shared" si="37"/>
        <v>0</v>
      </c>
      <c r="N210" s="875"/>
      <c r="O210" s="875"/>
      <c r="P210" s="875"/>
      <c r="Q210" s="877"/>
      <c r="R210" s="875"/>
      <c r="S210" s="875"/>
      <c r="T210" s="875"/>
      <c r="U210" s="876">
        <f t="shared" si="38"/>
        <v>219950</v>
      </c>
      <c r="V210" s="875">
        <f t="shared" si="38"/>
        <v>219950</v>
      </c>
      <c r="W210" s="875">
        <f t="shared" si="39"/>
        <v>0</v>
      </c>
      <c r="X210" s="875">
        <f t="shared" si="39"/>
        <v>0</v>
      </c>
      <c r="Y210" s="877"/>
      <c r="Z210" s="875">
        <f t="shared" si="41"/>
        <v>0</v>
      </c>
      <c r="AA210" s="875">
        <f t="shared" si="40"/>
        <v>0</v>
      </c>
      <c r="AB210" s="875">
        <f t="shared" si="40"/>
        <v>0</v>
      </c>
      <c r="AC210" s="878"/>
    </row>
    <row r="211" spans="1:30" ht="27.75" customHeight="1" x14ac:dyDescent="0.2">
      <c r="A211" s="618" t="s">
        <v>1345</v>
      </c>
      <c r="B211" s="619" t="s">
        <v>747</v>
      </c>
      <c r="C211" s="620">
        <v>244</v>
      </c>
      <c r="D211" s="620">
        <v>310</v>
      </c>
      <c r="E211" s="596">
        <f t="shared" si="35"/>
        <v>45990</v>
      </c>
      <c r="F211" s="595">
        <f>'Прилож 4 24 (8)'!V199</f>
        <v>45990</v>
      </c>
      <c r="G211" s="595">
        <f>'Прилож 4 24 (8)'!W199</f>
        <v>0</v>
      </c>
      <c r="H211" s="595">
        <f>'Прилож 4 24 (8)'!X199</f>
        <v>0</v>
      </c>
      <c r="I211" s="621"/>
      <c r="J211" s="595">
        <f>'Прилож 4 24 (8)'!Z199</f>
        <v>0</v>
      </c>
      <c r="K211" s="595">
        <f>'Прилож 4 24 (8)'!AA199</f>
        <v>0</v>
      </c>
      <c r="L211" s="595">
        <f>'Прилож 4 24 (8)'!AB199</f>
        <v>0</v>
      </c>
      <c r="M211" s="876">
        <f t="shared" si="37"/>
        <v>0</v>
      </c>
      <c r="N211" s="875"/>
      <c r="O211" s="875"/>
      <c r="P211" s="875"/>
      <c r="Q211" s="877"/>
      <c r="R211" s="875"/>
      <c r="S211" s="875"/>
      <c r="T211" s="875"/>
      <c r="U211" s="876">
        <f t="shared" si="38"/>
        <v>45990</v>
      </c>
      <c r="V211" s="875">
        <f t="shared" si="38"/>
        <v>45990</v>
      </c>
      <c r="W211" s="875">
        <f t="shared" si="39"/>
        <v>0</v>
      </c>
      <c r="X211" s="875">
        <f t="shared" si="39"/>
        <v>0</v>
      </c>
      <c r="Y211" s="877"/>
      <c r="Z211" s="875">
        <f t="shared" si="41"/>
        <v>0</v>
      </c>
      <c r="AA211" s="875">
        <f t="shared" si="40"/>
        <v>0</v>
      </c>
      <c r="AB211" s="875">
        <f t="shared" si="40"/>
        <v>0</v>
      </c>
      <c r="AC211" s="878"/>
    </row>
    <row r="212" spans="1:30" ht="27.75" customHeight="1" x14ac:dyDescent="0.2">
      <c r="A212" s="618" t="s">
        <v>1519</v>
      </c>
      <c r="B212" s="619" t="s">
        <v>747</v>
      </c>
      <c r="C212" s="620">
        <v>244</v>
      </c>
      <c r="D212" s="620">
        <v>310</v>
      </c>
      <c r="E212" s="596">
        <f t="shared" si="35"/>
        <v>0</v>
      </c>
      <c r="F212" s="595"/>
      <c r="G212" s="595"/>
      <c r="H212" s="595"/>
      <c r="I212" s="621"/>
      <c r="J212" s="595"/>
      <c r="K212" s="595"/>
      <c r="L212" s="595"/>
      <c r="M212" s="876">
        <f t="shared" si="37"/>
        <v>19790</v>
      </c>
      <c r="N212" s="875">
        <v>19790</v>
      </c>
      <c r="O212" s="875"/>
      <c r="P212" s="875"/>
      <c r="Q212" s="877"/>
      <c r="R212" s="875"/>
      <c r="S212" s="875"/>
      <c r="T212" s="875"/>
      <c r="U212" s="876">
        <f t="shared" si="38"/>
        <v>19790</v>
      </c>
      <c r="V212" s="875">
        <f t="shared" si="38"/>
        <v>19790</v>
      </c>
      <c r="W212" s="875"/>
      <c r="X212" s="875"/>
      <c r="Y212" s="877"/>
      <c r="Z212" s="875"/>
      <c r="AA212" s="875"/>
      <c r="AB212" s="875"/>
      <c r="AC212" s="878" t="s">
        <v>1542</v>
      </c>
    </row>
    <row r="213" spans="1:30" ht="27.75" customHeight="1" x14ac:dyDescent="0.2">
      <c r="A213" s="618" t="s">
        <v>1520</v>
      </c>
      <c r="B213" s="619" t="s">
        <v>747</v>
      </c>
      <c r="C213" s="620">
        <v>244</v>
      </c>
      <c r="D213" s="620">
        <v>310</v>
      </c>
      <c r="E213" s="596">
        <f t="shared" si="35"/>
        <v>0</v>
      </c>
      <c r="F213" s="595"/>
      <c r="G213" s="595"/>
      <c r="H213" s="595"/>
      <c r="I213" s="621"/>
      <c r="J213" s="595"/>
      <c r="K213" s="595"/>
      <c r="L213" s="595"/>
      <c r="M213" s="876">
        <f t="shared" si="37"/>
        <v>43990</v>
      </c>
      <c r="N213" s="875">
        <v>43990</v>
      </c>
      <c r="O213" s="875"/>
      <c r="P213" s="875"/>
      <c r="Q213" s="877"/>
      <c r="R213" s="875"/>
      <c r="S213" s="875"/>
      <c r="T213" s="875"/>
      <c r="U213" s="876">
        <f t="shared" si="38"/>
        <v>43990</v>
      </c>
      <c r="V213" s="875">
        <f t="shared" si="38"/>
        <v>43990</v>
      </c>
      <c r="W213" s="875"/>
      <c r="X213" s="875"/>
      <c r="Y213" s="877"/>
      <c r="Z213" s="875"/>
      <c r="AA213" s="875"/>
      <c r="AB213" s="875"/>
      <c r="AC213" s="878" t="s">
        <v>1542</v>
      </c>
    </row>
    <row r="214" spans="1:30" s="637" customFormat="1" ht="22.5" customHeight="1" x14ac:dyDescent="0.2">
      <c r="A214" s="632" t="s">
        <v>783</v>
      </c>
      <c r="B214" s="619" t="s">
        <v>747</v>
      </c>
      <c r="C214" s="620">
        <v>244</v>
      </c>
      <c r="D214" s="620">
        <v>310</v>
      </c>
      <c r="E214" s="596">
        <f t="shared" ref="E214:E224" si="42">L214+K214+J214+H214+G214+F214</f>
        <v>283940</v>
      </c>
      <c r="F214" s="595">
        <f>'Прилож 4 24 (8)'!V200</f>
        <v>283940</v>
      </c>
      <c r="G214" s="595">
        <f>'Прилож 4 24 (8)'!W200</f>
        <v>0</v>
      </c>
      <c r="H214" s="595">
        <f>'Прилож 4 24 (8)'!X200</f>
        <v>0</v>
      </c>
      <c r="I214" s="597">
        <f>SUM(I206:I209)</f>
        <v>0</v>
      </c>
      <c r="J214" s="595">
        <f>'Прилож 4 24 (8)'!Z200</f>
        <v>0</v>
      </c>
      <c r="K214" s="595">
        <f>'Прилож 4 24 (8)'!AA200</f>
        <v>0</v>
      </c>
      <c r="L214" s="595">
        <f>'Прилож 4 24 (8)'!AB200</f>
        <v>0</v>
      </c>
      <c r="M214" s="876">
        <f t="shared" si="37"/>
        <v>63780</v>
      </c>
      <c r="N214" s="884">
        <f>SUM(N206:N213)</f>
        <v>63780</v>
      </c>
      <c r="O214" s="884"/>
      <c r="P214" s="884"/>
      <c r="Q214" s="884"/>
      <c r="R214" s="884"/>
      <c r="S214" s="884"/>
      <c r="T214" s="884"/>
      <c r="U214" s="876">
        <f t="shared" si="38"/>
        <v>347720</v>
      </c>
      <c r="V214" s="875">
        <f t="shared" si="38"/>
        <v>347720</v>
      </c>
      <c r="W214" s="875">
        <f t="shared" ref="W214:X223" si="43">O214+G214</f>
        <v>0</v>
      </c>
      <c r="X214" s="875">
        <f t="shared" si="43"/>
        <v>0</v>
      </c>
      <c r="Y214" s="884">
        <f>SUM(Y206:Y209)</f>
        <v>0</v>
      </c>
      <c r="Z214" s="875">
        <f t="shared" ref="Z214:AB229" si="44">R214+J214</f>
        <v>0</v>
      </c>
      <c r="AA214" s="875">
        <f t="shared" si="44"/>
        <v>0</v>
      </c>
      <c r="AB214" s="875">
        <f t="shared" si="44"/>
        <v>0</v>
      </c>
      <c r="AC214" s="886"/>
    </row>
    <row r="215" spans="1:30" ht="31.5" x14ac:dyDescent="0.2">
      <c r="A215" s="618" t="s">
        <v>1281</v>
      </c>
      <c r="B215" s="619" t="s">
        <v>729</v>
      </c>
      <c r="C215" s="620">
        <v>244</v>
      </c>
      <c r="D215" s="620">
        <v>310</v>
      </c>
      <c r="E215" s="596">
        <f t="shared" si="42"/>
        <v>50000</v>
      </c>
      <c r="F215" s="595">
        <f>'Прилож 4 24 (8)'!V201</f>
        <v>50000</v>
      </c>
      <c r="G215" s="595">
        <f>'Прилож 4 24 (8)'!W201</f>
        <v>0</v>
      </c>
      <c r="H215" s="595">
        <f>'Прилож 4 24 (8)'!X201</f>
        <v>0</v>
      </c>
      <c r="I215" s="621"/>
      <c r="J215" s="595">
        <f>'Прилож 4 24 (8)'!Z201</f>
        <v>0</v>
      </c>
      <c r="K215" s="595">
        <f>'Прилож 4 24 (8)'!AA201</f>
        <v>0</v>
      </c>
      <c r="L215" s="595">
        <f>'Прилож 4 24 (8)'!AB201</f>
        <v>0</v>
      </c>
      <c r="M215" s="876">
        <f t="shared" si="37"/>
        <v>0</v>
      </c>
      <c r="N215" s="875"/>
      <c r="O215" s="875"/>
      <c r="P215" s="875"/>
      <c r="Q215" s="877"/>
      <c r="R215" s="875"/>
      <c r="S215" s="875"/>
      <c r="T215" s="875"/>
      <c r="U215" s="876">
        <f t="shared" si="38"/>
        <v>50000</v>
      </c>
      <c r="V215" s="875">
        <f t="shared" si="38"/>
        <v>50000</v>
      </c>
      <c r="W215" s="875">
        <f t="shared" si="43"/>
        <v>0</v>
      </c>
      <c r="X215" s="875">
        <f t="shared" si="43"/>
        <v>0</v>
      </c>
      <c r="Y215" s="877"/>
      <c r="Z215" s="875">
        <f t="shared" si="44"/>
        <v>0</v>
      </c>
      <c r="AA215" s="875">
        <f t="shared" si="44"/>
        <v>0</v>
      </c>
      <c r="AB215" s="875">
        <f t="shared" si="44"/>
        <v>0</v>
      </c>
      <c r="AC215" s="878"/>
    </row>
    <row r="216" spans="1:30" ht="33" customHeight="1" x14ac:dyDescent="0.2">
      <c r="A216" s="618" t="s">
        <v>1282</v>
      </c>
      <c r="B216" s="619" t="s">
        <v>729</v>
      </c>
      <c r="C216" s="620">
        <v>244</v>
      </c>
      <c r="D216" s="620">
        <v>310</v>
      </c>
      <c r="E216" s="596">
        <f t="shared" si="42"/>
        <v>545676.31000000006</v>
      </c>
      <c r="F216" s="595">
        <f>'Прилож 4 24 (8)'!V202</f>
        <v>545676.31000000006</v>
      </c>
      <c r="G216" s="595">
        <f>'Прилож 4 24 (8)'!W202</f>
        <v>0</v>
      </c>
      <c r="H216" s="595">
        <f>'Прилож 4 24 (8)'!X202</f>
        <v>0</v>
      </c>
      <c r="I216" s="621"/>
      <c r="J216" s="595">
        <f>'Прилож 4 24 (8)'!Z202</f>
        <v>0</v>
      </c>
      <c r="K216" s="595">
        <f>'Прилож 4 24 (8)'!AA202</f>
        <v>0</v>
      </c>
      <c r="L216" s="595">
        <f>'Прилож 4 24 (8)'!AB202</f>
        <v>0</v>
      </c>
      <c r="M216" s="876">
        <f t="shared" si="37"/>
        <v>-11200</v>
      </c>
      <c r="N216" s="875">
        <v>-11200</v>
      </c>
      <c r="O216" s="875"/>
      <c r="P216" s="875"/>
      <c r="Q216" s="877"/>
      <c r="R216" s="875"/>
      <c r="S216" s="875"/>
      <c r="T216" s="875"/>
      <c r="U216" s="876">
        <f t="shared" si="38"/>
        <v>534476.31000000006</v>
      </c>
      <c r="V216" s="875">
        <f t="shared" si="38"/>
        <v>534476.31000000006</v>
      </c>
      <c r="W216" s="875">
        <f t="shared" si="43"/>
        <v>0</v>
      </c>
      <c r="X216" s="875">
        <f t="shared" si="43"/>
        <v>0</v>
      </c>
      <c r="Y216" s="877"/>
      <c r="Z216" s="875">
        <f t="shared" si="44"/>
        <v>0</v>
      </c>
      <c r="AA216" s="875">
        <f t="shared" si="44"/>
        <v>0</v>
      </c>
      <c r="AB216" s="875">
        <f t="shared" si="44"/>
        <v>0</v>
      </c>
      <c r="AC216" s="878" t="s">
        <v>1543</v>
      </c>
    </row>
    <row r="217" spans="1:30" ht="24.75" customHeight="1" x14ac:dyDescent="0.2">
      <c r="A217" s="618" t="s">
        <v>1284</v>
      </c>
      <c r="B217" s="619" t="s">
        <v>729</v>
      </c>
      <c r="C217" s="620">
        <v>244</v>
      </c>
      <c r="D217" s="620">
        <v>310</v>
      </c>
      <c r="E217" s="596">
        <f t="shared" si="42"/>
        <v>27000</v>
      </c>
      <c r="F217" s="595">
        <f>'Прилож 4 24 (8)'!V203</f>
        <v>27000</v>
      </c>
      <c r="G217" s="595">
        <f>'Прилож 4 24 (8)'!W203</f>
        <v>0</v>
      </c>
      <c r="H217" s="595">
        <f>'Прилож 4 24 (8)'!X203</f>
        <v>0</v>
      </c>
      <c r="I217" s="621"/>
      <c r="J217" s="595">
        <f>'Прилож 4 24 (8)'!Z203</f>
        <v>0</v>
      </c>
      <c r="K217" s="595">
        <f>'Прилож 4 24 (8)'!AA203</f>
        <v>0</v>
      </c>
      <c r="L217" s="595">
        <f>'Прилож 4 24 (8)'!AB203</f>
        <v>0</v>
      </c>
      <c r="M217" s="876">
        <f t="shared" si="37"/>
        <v>0</v>
      </c>
      <c r="N217" s="875"/>
      <c r="O217" s="875"/>
      <c r="P217" s="875"/>
      <c r="Q217" s="877"/>
      <c r="R217" s="875"/>
      <c r="S217" s="875"/>
      <c r="T217" s="875"/>
      <c r="U217" s="876">
        <f t="shared" si="38"/>
        <v>27000</v>
      </c>
      <c r="V217" s="875">
        <f t="shared" si="38"/>
        <v>27000</v>
      </c>
      <c r="W217" s="875">
        <f t="shared" si="43"/>
        <v>0</v>
      </c>
      <c r="X217" s="875">
        <f t="shared" si="43"/>
        <v>0</v>
      </c>
      <c r="Y217" s="877"/>
      <c r="Z217" s="875">
        <f t="shared" si="44"/>
        <v>0</v>
      </c>
      <c r="AA217" s="875">
        <f t="shared" si="44"/>
        <v>0</v>
      </c>
      <c r="AB217" s="875">
        <f t="shared" si="44"/>
        <v>0</v>
      </c>
      <c r="AC217" s="878"/>
    </row>
    <row r="218" spans="1:30" ht="25.5" customHeight="1" x14ac:dyDescent="0.2">
      <c r="A218" s="618" t="s">
        <v>1227</v>
      </c>
      <c r="B218" s="619" t="s">
        <v>729</v>
      </c>
      <c r="C218" s="620">
        <v>244</v>
      </c>
      <c r="D218" s="620">
        <v>310</v>
      </c>
      <c r="E218" s="596">
        <f t="shared" si="42"/>
        <v>4025</v>
      </c>
      <c r="F218" s="595">
        <f>'Прилож 4 24 (8)'!V204</f>
        <v>0</v>
      </c>
      <c r="G218" s="595">
        <f>'Прилож 4 24 (8)'!W204</f>
        <v>0</v>
      </c>
      <c r="H218" s="595">
        <f>'Прилож 4 24 (8)'!X204</f>
        <v>0</v>
      </c>
      <c r="I218" s="621" t="s">
        <v>1226</v>
      </c>
      <c r="J218" s="595">
        <f>'Прилож 4 24 (8)'!Z204</f>
        <v>0</v>
      </c>
      <c r="K218" s="595">
        <f>'Прилож 4 24 (8)'!AA204</f>
        <v>4025</v>
      </c>
      <c r="L218" s="595">
        <f>'Прилож 4 24 (8)'!AB204</f>
        <v>0</v>
      </c>
      <c r="M218" s="876">
        <f t="shared" si="37"/>
        <v>0</v>
      </c>
      <c r="N218" s="875"/>
      <c r="O218" s="875"/>
      <c r="P218" s="875"/>
      <c r="Q218" s="877"/>
      <c r="R218" s="875"/>
      <c r="S218" s="875"/>
      <c r="T218" s="875"/>
      <c r="U218" s="876">
        <f t="shared" si="38"/>
        <v>4025</v>
      </c>
      <c r="V218" s="875">
        <f t="shared" si="38"/>
        <v>0</v>
      </c>
      <c r="W218" s="875">
        <f t="shared" si="43"/>
        <v>0</v>
      </c>
      <c r="X218" s="875">
        <f t="shared" si="43"/>
        <v>0</v>
      </c>
      <c r="Y218" s="877" t="s">
        <v>1226</v>
      </c>
      <c r="Z218" s="875">
        <f t="shared" si="44"/>
        <v>0</v>
      </c>
      <c r="AA218" s="875">
        <f t="shared" si="44"/>
        <v>4025</v>
      </c>
      <c r="AB218" s="875">
        <f t="shared" si="44"/>
        <v>0</v>
      </c>
      <c r="AC218" s="878"/>
    </row>
    <row r="219" spans="1:30" ht="31.5" x14ac:dyDescent="0.2">
      <c r="A219" s="618" t="s">
        <v>1228</v>
      </c>
      <c r="B219" s="619" t="s">
        <v>729</v>
      </c>
      <c r="C219" s="620">
        <v>244</v>
      </c>
      <c r="D219" s="620">
        <v>310</v>
      </c>
      <c r="E219" s="596">
        <f t="shared" si="42"/>
        <v>4638</v>
      </c>
      <c r="F219" s="595">
        <f>'Прилож 4 24 (8)'!V205</f>
        <v>0</v>
      </c>
      <c r="G219" s="595">
        <f>'Прилож 4 24 (8)'!W205</f>
        <v>0</v>
      </c>
      <c r="H219" s="595">
        <f>'Прилож 4 24 (8)'!X205</f>
        <v>0</v>
      </c>
      <c r="I219" s="621" t="s">
        <v>1226</v>
      </c>
      <c r="J219" s="595">
        <f>'Прилож 4 24 (8)'!Z205</f>
        <v>0</v>
      </c>
      <c r="K219" s="595">
        <f>'Прилож 4 24 (8)'!AA205</f>
        <v>4638</v>
      </c>
      <c r="L219" s="595">
        <f>'Прилож 4 24 (8)'!AB205</f>
        <v>0</v>
      </c>
      <c r="M219" s="876">
        <f t="shared" si="37"/>
        <v>0</v>
      </c>
      <c r="N219" s="875"/>
      <c r="O219" s="875"/>
      <c r="P219" s="875"/>
      <c r="Q219" s="877"/>
      <c r="R219" s="875"/>
      <c r="S219" s="875"/>
      <c r="T219" s="875"/>
      <c r="U219" s="876">
        <f t="shared" si="38"/>
        <v>4638</v>
      </c>
      <c r="V219" s="875">
        <f t="shared" si="38"/>
        <v>0</v>
      </c>
      <c r="W219" s="875">
        <f t="shared" si="43"/>
        <v>0</v>
      </c>
      <c r="X219" s="875">
        <f t="shared" si="43"/>
        <v>0</v>
      </c>
      <c r="Y219" s="877" t="s">
        <v>1226</v>
      </c>
      <c r="Z219" s="875">
        <f t="shared" si="44"/>
        <v>0</v>
      </c>
      <c r="AA219" s="875">
        <f t="shared" si="44"/>
        <v>4638</v>
      </c>
      <c r="AB219" s="875">
        <f t="shared" si="44"/>
        <v>0</v>
      </c>
      <c r="AC219" s="878"/>
      <c r="AD219" s="820"/>
    </row>
    <row r="220" spans="1:30" ht="31.5" x14ac:dyDescent="0.2">
      <c r="A220" s="618" t="s">
        <v>1229</v>
      </c>
      <c r="B220" s="619" t="s">
        <v>729</v>
      </c>
      <c r="C220" s="620">
        <v>244</v>
      </c>
      <c r="D220" s="620">
        <v>310</v>
      </c>
      <c r="E220" s="596">
        <f t="shared" si="42"/>
        <v>93768</v>
      </c>
      <c r="F220" s="595">
        <f>'Прилож 4 24 (8)'!V206</f>
        <v>0</v>
      </c>
      <c r="G220" s="595">
        <f>'Прилож 4 24 (8)'!W206</f>
        <v>0</v>
      </c>
      <c r="H220" s="595">
        <f>'Прилож 4 24 (8)'!X206</f>
        <v>0</v>
      </c>
      <c r="I220" s="621" t="s">
        <v>1226</v>
      </c>
      <c r="J220" s="595">
        <f>'Прилож 4 24 (8)'!Z206</f>
        <v>0</v>
      </c>
      <c r="K220" s="595">
        <f>'Прилож 4 24 (8)'!AA206</f>
        <v>93768</v>
      </c>
      <c r="L220" s="595">
        <f>'Прилож 4 24 (8)'!AB206</f>
        <v>0</v>
      </c>
      <c r="M220" s="876">
        <f t="shared" si="37"/>
        <v>0</v>
      </c>
      <c r="N220" s="875"/>
      <c r="O220" s="875"/>
      <c r="P220" s="875"/>
      <c r="Q220" s="877"/>
      <c r="R220" s="875"/>
      <c r="S220" s="875"/>
      <c r="T220" s="875"/>
      <c r="U220" s="876">
        <f t="shared" si="38"/>
        <v>93768</v>
      </c>
      <c r="V220" s="875">
        <f t="shared" si="38"/>
        <v>0</v>
      </c>
      <c r="W220" s="875">
        <f t="shared" si="43"/>
        <v>0</v>
      </c>
      <c r="X220" s="875">
        <f t="shared" si="43"/>
        <v>0</v>
      </c>
      <c r="Y220" s="877" t="s">
        <v>1226</v>
      </c>
      <c r="Z220" s="875">
        <f t="shared" si="44"/>
        <v>0</v>
      </c>
      <c r="AA220" s="875">
        <f t="shared" si="44"/>
        <v>93768</v>
      </c>
      <c r="AB220" s="875">
        <f t="shared" si="44"/>
        <v>0</v>
      </c>
      <c r="AC220" s="878"/>
    </row>
    <row r="221" spans="1:30" ht="33" customHeight="1" x14ac:dyDescent="0.2">
      <c r="A221" s="618" t="s">
        <v>1360</v>
      </c>
      <c r="B221" s="619" t="s">
        <v>729</v>
      </c>
      <c r="C221" s="620">
        <v>244</v>
      </c>
      <c r="D221" s="620">
        <v>310</v>
      </c>
      <c r="E221" s="596">
        <f t="shared" si="42"/>
        <v>100000</v>
      </c>
      <c r="F221" s="595">
        <f>'Прилож 4 24 (8)'!V207</f>
        <v>0</v>
      </c>
      <c r="G221" s="595">
        <f>'Прилож 4 24 (8)'!W207</f>
        <v>0</v>
      </c>
      <c r="H221" s="595">
        <f>'Прилож 4 24 (8)'!X207</f>
        <v>0</v>
      </c>
      <c r="I221" s="1020" t="s">
        <v>1226</v>
      </c>
      <c r="J221" s="595">
        <f>'Прилож 4 24 (8)'!Z207</f>
        <v>0</v>
      </c>
      <c r="K221" s="595">
        <f>'Прилож 4 24 (8)'!AA207</f>
        <v>100000</v>
      </c>
      <c r="L221" s="595">
        <f>'Прилож 4 24 (8)'!AB207</f>
        <v>0</v>
      </c>
      <c r="M221" s="876">
        <f t="shared" si="37"/>
        <v>0</v>
      </c>
      <c r="N221" s="875"/>
      <c r="O221" s="875"/>
      <c r="P221" s="875"/>
      <c r="Q221" s="877"/>
      <c r="R221" s="875"/>
      <c r="S221" s="875"/>
      <c r="T221" s="875"/>
      <c r="U221" s="876">
        <f t="shared" si="38"/>
        <v>100000</v>
      </c>
      <c r="V221" s="875">
        <f t="shared" si="38"/>
        <v>0</v>
      </c>
      <c r="W221" s="875">
        <f t="shared" si="43"/>
        <v>0</v>
      </c>
      <c r="X221" s="875">
        <f t="shared" si="43"/>
        <v>0</v>
      </c>
      <c r="Y221" s="877" t="s">
        <v>1226</v>
      </c>
      <c r="Z221" s="875">
        <f t="shared" si="44"/>
        <v>0</v>
      </c>
      <c r="AA221" s="875">
        <f t="shared" si="44"/>
        <v>100000</v>
      </c>
      <c r="AB221" s="875">
        <f t="shared" si="44"/>
        <v>0</v>
      </c>
      <c r="AC221" s="878"/>
    </row>
    <row r="222" spans="1:30" ht="34.5" customHeight="1" x14ac:dyDescent="0.2">
      <c r="A222" s="618" t="s">
        <v>1358</v>
      </c>
      <c r="B222" s="619" t="s">
        <v>729</v>
      </c>
      <c r="C222" s="620">
        <v>244</v>
      </c>
      <c r="D222" s="620">
        <v>310</v>
      </c>
      <c r="E222" s="596">
        <f t="shared" si="42"/>
        <v>107260</v>
      </c>
      <c r="F222" s="595">
        <f>'Прилож 4 24 (8)'!V208</f>
        <v>107260</v>
      </c>
      <c r="G222" s="595">
        <f>'Прилож 4 24 (8)'!W208</f>
        <v>0</v>
      </c>
      <c r="H222" s="595">
        <f>'Прилож 4 24 (8)'!X208</f>
        <v>0</v>
      </c>
      <c r="I222" s="621"/>
      <c r="J222" s="595">
        <f>'Прилож 4 24 (8)'!Z208</f>
        <v>0</v>
      </c>
      <c r="K222" s="595">
        <f>'Прилож 4 24 (8)'!AA208</f>
        <v>0</v>
      </c>
      <c r="L222" s="595">
        <f>'Прилож 4 24 (8)'!AB208</f>
        <v>0</v>
      </c>
      <c r="M222" s="876">
        <f t="shared" si="37"/>
        <v>0</v>
      </c>
      <c r="N222" s="875"/>
      <c r="O222" s="875"/>
      <c r="P222" s="875"/>
      <c r="Q222" s="877"/>
      <c r="R222" s="875"/>
      <c r="S222" s="875"/>
      <c r="T222" s="875"/>
      <c r="U222" s="876">
        <f t="shared" si="38"/>
        <v>107260</v>
      </c>
      <c r="V222" s="875">
        <f t="shared" si="38"/>
        <v>107260</v>
      </c>
      <c r="W222" s="875">
        <f t="shared" si="43"/>
        <v>0</v>
      </c>
      <c r="X222" s="875">
        <f t="shared" si="43"/>
        <v>0</v>
      </c>
      <c r="Y222" s="877"/>
      <c r="Z222" s="875">
        <f t="shared" si="44"/>
        <v>0</v>
      </c>
      <c r="AA222" s="875">
        <f t="shared" si="44"/>
        <v>0</v>
      </c>
      <c r="AB222" s="875">
        <f t="shared" si="44"/>
        <v>0</v>
      </c>
      <c r="AC222" s="878"/>
    </row>
    <row r="223" spans="1:30" ht="30.75" customHeight="1" x14ac:dyDescent="0.2">
      <c r="A223" s="618" t="s">
        <v>1359</v>
      </c>
      <c r="B223" s="619" t="s">
        <v>729</v>
      </c>
      <c r="C223" s="620">
        <v>244</v>
      </c>
      <c r="D223" s="620">
        <v>310</v>
      </c>
      <c r="E223" s="596">
        <f t="shared" si="42"/>
        <v>76990</v>
      </c>
      <c r="F223" s="595">
        <f>'Прилож 4 24 (8)'!V209</f>
        <v>76990</v>
      </c>
      <c r="G223" s="595">
        <f>'Прилож 4 24 (8)'!W209</f>
        <v>0</v>
      </c>
      <c r="H223" s="595">
        <f>'Прилож 4 24 (8)'!X209</f>
        <v>0</v>
      </c>
      <c r="I223" s="621"/>
      <c r="J223" s="595">
        <f>'Прилож 4 24 (8)'!Z209</f>
        <v>0</v>
      </c>
      <c r="K223" s="595">
        <f>'Прилож 4 24 (8)'!AA209</f>
        <v>0</v>
      </c>
      <c r="L223" s="595">
        <f>'Прилож 4 24 (8)'!AB209</f>
        <v>0</v>
      </c>
      <c r="M223" s="876">
        <f t="shared" si="37"/>
        <v>0</v>
      </c>
      <c r="N223" s="875"/>
      <c r="O223" s="875"/>
      <c r="P223" s="875"/>
      <c r="Q223" s="877"/>
      <c r="R223" s="875"/>
      <c r="S223" s="875"/>
      <c r="T223" s="875"/>
      <c r="U223" s="876">
        <f t="shared" si="38"/>
        <v>76990</v>
      </c>
      <c r="V223" s="875">
        <f t="shared" si="38"/>
        <v>76990</v>
      </c>
      <c r="W223" s="875">
        <f t="shared" si="43"/>
        <v>0</v>
      </c>
      <c r="X223" s="875">
        <f t="shared" si="43"/>
        <v>0</v>
      </c>
      <c r="Y223" s="877"/>
      <c r="Z223" s="875">
        <f t="shared" si="44"/>
        <v>0</v>
      </c>
      <c r="AA223" s="875">
        <f t="shared" si="44"/>
        <v>0</v>
      </c>
      <c r="AB223" s="875">
        <f t="shared" si="44"/>
        <v>0</v>
      </c>
      <c r="AC223" s="878"/>
    </row>
    <row r="224" spans="1:30" ht="46.9" customHeight="1" x14ac:dyDescent="0.2">
      <c r="A224" s="994" t="s">
        <v>1516</v>
      </c>
      <c r="B224" s="619" t="s">
        <v>729</v>
      </c>
      <c r="C224" s="620">
        <v>244</v>
      </c>
      <c r="D224" s="620">
        <v>310</v>
      </c>
      <c r="E224" s="596">
        <f t="shared" si="42"/>
        <v>0</v>
      </c>
      <c r="F224" s="595"/>
      <c r="G224" s="595"/>
      <c r="H224" s="595"/>
      <c r="I224" s="621"/>
      <c r="J224" s="595"/>
      <c r="K224" s="595"/>
      <c r="L224" s="595"/>
      <c r="M224" s="876">
        <f t="shared" si="37"/>
        <v>11200</v>
      </c>
      <c r="N224" s="875">
        <v>11200</v>
      </c>
      <c r="O224" s="875"/>
      <c r="P224" s="875"/>
      <c r="Q224" s="884"/>
      <c r="R224" s="875"/>
      <c r="S224" s="875"/>
      <c r="T224" s="875"/>
      <c r="U224" s="876">
        <f t="shared" si="38"/>
        <v>11200</v>
      </c>
      <c r="V224" s="875">
        <f t="shared" si="38"/>
        <v>11200</v>
      </c>
      <c r="W224" s="875"/>
      <c r="X224" s="875"/>
      <c r="Y224" s="877"/>
      <c r="Z224" s="875"/>
      <c r="AA224" s="875">
        <f t="shared" si="44"/>
        <v>0</v>
      </c>
      <c r="AB224" s="875"/>
      <c r="AC224" s="618" t="s">
        <v>1544</v>
      </c>
    </row>
    <row r="225" spans="1:30" ht="22.5" customHeight="1" x14ac:dyDescent="0.2">
      <c r="A225" s="618" t="s">
        <v>1287</v>
      </c>
      <c r="B225" s="619" t="s">
        <v>729</v>
      </c>
      <c r="C225" s="620">
        <v>244</v>
      </c>
      <c r="D225" s="620">
        <v>310</v>
      </c>
      <c r="E225" s="596">
        <f t="shared" ref="E225:E266" si="45">L225+K225+J225+H225+G225+F225</f>
        <v>1009357.31</v>
      </c>
      <c r="F225" s="595">
        <f>'Прилож 4 24 (8)'!V210</f>
        <v>806926.31</v>
      </c>
      <c r="G225" s="595">
        <f>'Прилож 4 24 (8)'!W210</f>
        <v>0</v>
      </c>
      <c r="H225" s="595">
        <f>'Прилож 4 24 (8)'!X210</f>
        <v>0</v>
      </c>
      <c r="I225" s="596">
        <f>SUM(I215:I217)</f>
        <v>0</v>
      </c>
      <c r="J225" s="595">
        <f>'Прилож 4 24 (8)'!Z210</f>
        <v>0</v>
      </c>
      <c r="K225" s="595">
        <f>'Прилож 4 24 (8)'!AA210</f>
        <v>202431</v>
      </c>
      <c r="L225" s="595">
        <f>'Прилож 4 24 (8)'!AB210</f>
        <v>0</v>
      </c>
      <c r="M225" s="876">
        <f t="shared" si="37"/>
        <v>0</v>
      </c>
      <c r="N225" s="876">
        <f>SUM(N215:N224)</f>
        <v>0</v>
      </c>
      <c r="O225" s="876"/>
      <c r="P225" s="876">
        <f>SUM(P215:P223)</f>
        <v>0</v>
      </c>
      <c r="Q225" s="876">
        <f>Q215+Q216+Q217+Q218+Q219+Q220+Q221+Q222+Q223+Q224</f>
        <v>0</v>
      </c>
      <c r="R225" s="876"/>
      <c r="S225" s="876">
        <f>SUM(S215:S221)</f>
        <v>0</v>
      </c>
      <c r="T225" s="876">
        <f>SUM(T215:T221)</f>
        <v>0</v>
      </c>
      <c r="U225" s="876">
        <f t="shared" si="38"/>
        <v>1009357.31</v>
      </c>
      <c r="V225" s="875">
        <f t="shared" si="38"/>
        <v>806926.31</v>
      </c>
      <c r="W225" s="875">
        <f t="shared" ref="W225:X250" si="46">O225+G225</f>
        <v>0</v>
      </c>
      <c r="X225" s="875">
        <f t="shared" si="46"/>
        <v>0</v>
      </c>
      <c r="Y225" s="876">
        <f>SUM(Y215:Y217)</f>
        <v>0</v>
      </c>
      <c r="Z225" s="875">
        <f t="shared" ref="Z225:AB250" si="47">R225+J225</f>
        <v>0</v>
      </c>
      <c r="AA225" s="875">
        <f t="shared" si="44"/>
        <v>202431</v>
      </c>
      <c r="AB225" s="875">
        <f t="shared" si="44"/>
        <v>0</v>
      </c>
      <c r="AC225" s="876"/>
      <c r="AD225" s="820"/>
    </row>
    <row r="226" spans="1:30" s="614" customFormat="1" ht="29.25" customHeight="1" x14ac:dyDescent="0.2">
      <c r="A226" s="630" t="s">
        <v>741</v>
      </c>
      <c r="B226" s="631"/>
      <c r="C226" s="624"/>
      <c r="D226" s="624"/>
      <c r="E226" s="596">
        <f t="shared" si="45"/>
        <v>1293297.31</v>
      </c>
      <c r="F226" s="595">
        <f>'Прилож 4 24 (8)'!V211</f>
        <v>1090866.31</v>
      </c>
      <c r="G226" s="595">
        <f>'Прилож 4 24 (8)'!W211</f>
        <v>0</v>
      </c>
      <c r="H226" s="595">
        <f>'Прилож 4 24 (8)'!X211</f>
        <v>0</v>
      </c>
      <c r="I226" s="596">
        <f>I225+I214</f>
        <v>0</v>
      </c>
      <c r="J226" s="595">
        <f>'Прилож 4 24 (8)'!Z211</f>
        <v>0</v>
      </c>
      <c r="K226" s="595">
        <f>'Прилож 4 24 (8)'!AA211</f>
        <v>202431</v>
      </c>
      <c r="L226" s="595">
        <f>'Прилож 4 24 (8)'!AB211</f>
        <v>0</v>
      </c>
      <c r="M226" s="876">
        <f t="shared" si="37"/>
        <v>63780</v>
      </c>
      <c r="N226" s="876">
        <f>N214+N225</f>
        <v>63780</v>
      </c>
      <c r="O226" s="876"/>
      <c r="P226" s="876">
        <f>P225+P214</f>
        <v>0</v>
      </c>
      <c r="Q226" s="876"/>
      <c r="R226" s="876"/>
      <c r="S226" s="876">
        <f>S214+S225</f>
        <v>0</v>
      </c>
      <c r="T226" s="876">
        <f>T214+T225</f>
        <v>0</v>
      </c>
      <c r="U226" s="876">
        <f t="shared" si="38"/>
        <v>1357077.31</v>
      </c>
      <c r="V226" s="875">
        <f t="shared" si="38"/>
        <v>1154646.31</v>
      </c>
      <c r="W226" s="875">
        <f t="shared" si="46"/>
        <v>0</v>
      </c>
      <c r="X226" s="875">
        <f t="shared" si="46"/>
        <v>0</v>
      </c>
      <c r="Y226" s="876">
        <f>Y225+Y214</f>
        <v>0</v>
      </c>
      <c r="Z226" s="875">
        <f t="shared" si="47"/>
        <v>0</v>
      </c>
      <c r="AA226" s="875">
        <f t="shared" si="44"/>
        <v>202431</v>
      </c>
      <c r="AB226" s="875">
        <f t="shared" si="44"/>
        <v>0</v>
      </c>
      <c r="AC226" s="876"/>
    </row>
    <row r="227" spans="1:30" ht="22.5" customHeight="1" x14ac:dyDescent="0.2">
      <c r="A227" s="618" t="s">
        <v>588</v>
      </c>
      <c r="B227" s="619" t="s">
        <v>747</v>
      </c>
      <c r="C227" s="620">
        <v>244</v>
      </c>
      <c r="D227" s="620">
        <v>341</v>
      </c>
      <c r="E227" s="596">
        <f t="shared" si="45"/>
        <v>0</v>
      </c>
      <c r="F227" s="595">
        <f>'Прилож 4 24 (8)'!V212</f>
        <v>0</v>
      </c>
      <c r="G227" s="595">
        <f>'Прилож 4 24 (8)'!W212</f>
        <v>0</v>
      </c>
      <c r="H227" s="595">
        <f>'Прилож 4 24 (8)'!X212</f>
        <v>0</v>
      </c>
      <c r="I227" s="621"/>
      <c r="J227" s="595">
        <f>'Прилож 4 24 (8)'!Z212</f>
        <v>0</v>
      </c>
      <c r="K227" s="595">
        <f>'Прилож 4 24 (8)'!AA212</f>
        <v>0</v>
      </c>
      <c r="L227" s="595">
        <f>'Прилож 4 24 (8)'!AB212</f>
        <v>0</v>
      </c>
      <c r="M227" s="876">
        <f t="shared" si="37"/>
        <v>0</v>
      </c>
      <c r="N227" s="875"/>
      <c r="O227" s="875"/>
      <c r="P227" s="875"/>
      <c r="Q227" s="894"/>
      <c r="R227" s="875"/>
      <c r="S227" s="875"/>
      <c r="T227" s="875"/>
      <c r="U227" s="876">
        <f t="shared" si="38"/>
        <v>0</v>
      </c>
      <c r="V227" s="875">
        <f t="shared" si="38"/>
        <v>0</v>
      </c>
      <c r="W227" s="875">
        <f t="shared" si="46"/>
        <v>0</v>
      </c>
      <c r="X227" s="875">
        <f t="shared" si="46"/>
        <v>0</v>
      </c>
      <c r="Y227" s="877"/>
      <c r="Z227" s="875">
        <f t="shared" si="47"/>
        <v>0</v>
      </c>
      <c r="AA227" s="875">
        <f t="shared" si="44"/>
        <v>0</v>
      </c>
      <c r="AB227" s="875">
        <f t="shared" si="44"/>
        <v>0</v>
      </c>
      <c r="AC227" s="878"/>
    </row>
    <row r="228" spans="1:30" ht="19.5" customHeight="1" x14ac:dyDescent="0.2">
      <c r="A228" s="618" t="s">
        <v>588</v>
      </c>
      <c r="B228" s="619" t="s">
        <v>729</v>
      </c>
      <c r="C228" s="620">
        <v>244</v>
      </c>
      <c r="D228" s="620">
        <v>341</v>
      </c>
      <c r="E228" s="596">
        <f t="shared" si="45"/>
        <v>27315</v>
      </c>
      <c r="F228" s="595">
        <f>'Прилож 4 24 (8)'!V213</f>
        <v>0</v>
      </c>
      <c r="G228" s="595">
        <f>'Прилож 4 24 (8)'!W213</f>
        <v>0</v>
      </c>
      <c r="H228" s="595">
        <f>'Прилож 4 24 (8)'!X213</f>
        <v>13280</v>
      </c>
      <c r="I228" s="621" t="s">
        <v>1226</v>
      </c>
      <c r="J228" s="595">
        <f>'Прилож 4 24 (8)'!Z213</f>
        <v>0</v>
      </c>
      <c r="K228" s="595">
        <f>'Прилож 4 24 (8)'!AA213</f>
        <v>14035</v>
      </c>
      <c r="L228" s="595">
        <f>'Прилож 4 24 (8)'!AB213</f>
        <v>0</v>
      </c>
      <c r="M228" s="876">
        <f t="shared" si="37"/>
        <v>0</v>
      </c>
      <c r="N228" s="875"/>
      <c r="O228" s="875"/>
      <c r="P228" s="875"/>
      <c r="Q228" s="894"/>
      <c r="R228" s="875"/>
      <c r="S228" s="875"/>
      <c r="T228" s="875"/>
      <c r="U228" s="876">
        <f t="shared" si="38"/>
        <v>27315</v>
      </c>
      <c r="V228" s="875">
        <f t="shared" si="38"/>
        <v>0</v>
      </c>
      <c r="W228" s="875">
        <f t="shared" si="46"/>
        <v>0</v>
      </c>
      <c r="X228" s="875">
        <f t="shared" si="46"/>
        <v>13280</v>
      </c>
      <c r="Y228" s="877" t="s">
        <v>1226</v>
      </c>
      <c r="Z228" s="875">
        <f t="shared" si="47"/>
        <v>0</v>
      </c>
      <c r="AA228" s="875">
        <f t="shared" si="44"/>
        <v>14035</v>
      </c>
      <c r="AB228" s="875">
        <f t="shared" si="44"/>
        <v>0</v>
      </c>
      <c r="AC228" s="878"/>
    </row>
    <row r="229" spans="1:30" s="614" customFormat="1" ht="26.25" customHeight="1" x14ac:dyDescent="0.2">
      <c r="A229" s="630" t="s">
        <v>742</v>
      </c>
      <c r="B229" s="631"/>
      <c r="C229" s="624"/>
      <c r="D229" s="624"/>
      <c r="E229" s="596">
        <f t="shared" si="45"/>
        <v>27315</v>
      </c>
      <c r="F229" s="595">
        <f>'Прилож 4 24 (8)'!V214</f>
        <v>0</v>
      </c>
      <c r="G229" s="595">
        <f>'Прилож 4 24 (8)'!W214</f>
        <v>0</v>
      </c>
      <c r="H229" s="595">
        <f>'Прилож 4 24 (8)'!X214</f>
        <v>13280</v>
      </c>
      <c r="I229" s="626"/>
      <c r="J229" s="595">
        <f>'Прилож 4 24 (8)'!Z214</f>
        <v>0</v>
      </c>
      <c r="K229" s="595">
        <f>'Прилож 4 24 (8)'!AA214</f>
        <v>14035</v>
      </c>
      <c r="L229" s="595">
        <f>'Прилож 4 24 (8)'!AB214</f>
        <v>0</v>
      </c>
      <c r="M229" s="876">
        <f t="shared" si="37"/>
        <v>0</v>
      </c>
      <c r="N229" s="876"/>
      <c r="O229" s="876"/>
      <c r="P229" s="876">
        <f>P227+P228</f>
        <v>0</v>
      </c>
      <c r="Q229" s="881"/>
      <c r="R229" s="876"/>
      <c r="S229" s="876"/>
      <c r="T229" s="876"/>
      <c r="U229" s="876">
        <f t="shared" si="38"/>
        <v>27315</v>
      </c>
      <c r="V229" s="875">
        <f t="shared" si="38"/>
        <v>0</v>
      </c>
      <c r="W229" s="875">
        <f t="shared" si="46"/>
        <v>0</v>
      </c>
      <c r="X229" s="875">
        <f t="shared" si="46"/>
        <v>13280</v>
      </c>
      <c r="Y229" s="881"/>
      <c r="Z229" s="875">
        <f t="shared" si="47"/>
        <v>0</v>
      </c>
      <c r="AA229" s="875">
        <f t="shared" si="44"/>
        <v>14035</v>
      </c>
      <c r="AB229" s="875">
        <f t="shared" si="44"/>
        <v>0</v>
      </c>
      <c r="AC229" s="879"/>
    </row>
    <row r="230" spans="1:30" ht="26.25" customHeight="1" x14ac:dyDescent="0.2">
      <c r="A230" s="618" t="s">
        <v>788</v>
      </c>
      <c r="B230" s="619" t="s">
        <v>747</v>
      </c>
      <c r="C230" s="620">
        <v>244</v>
      </c>
      <c r="D230" s="620">
        <v>342</v>
      </c>
      <c r="E230" s="596">
        <f t="shared" si="45"/>
        <v>2008650</v>
      </c>
      <c r="F230" s="595">
        <f>'Прилож 4 24 (8)'!V215</f>
        <v>0</v>
      </c>
      <c r="G230" s="595">
        <f>'Прилож 4 24 (8)'!W215</f>
        <v>0</v>
      </c>
      <c r="H230" s="595">
        <f>'Прилож 4 24 (8)'!X215</f>
        <v>851020</v>
      </c>
      <c r="I230" s="628"/>
      <c r="J230" s="595">
        <f>'Прилож 4 24 (8)'!Z215</f>
        <v>0</v>
      </c>
      <c r="K230" s="595">
        <f>'Прилож 4 24 (8)'!AA215</f>
        <v>0</v>
      </c>
      <c r="L230" s="595">
        <f>'Прилож 4 24 (8)'!AB215</f>
        <v>1157630</v>
      </c>
      <c r="M230" s="876">
        <f t="shared" si="37"/>
        <v>0</v>
      </c>
      <c r="N230" s="875"/>
      <c r="O230" s="875"/>
      <c r="P230" s="875"/>
      <c r="Q230" s="877"/>
      <c r="R230" s="875"/>
      <c r="S230" s="875"/>
      <c r="T230" s="875"/>
      <c r="U230" s="876">
        <f t="shared" si="38"/>
        <v>2008650</v>
      </c>
      <c r="V230" s="875">
        <f t="shared" si="38"/>
        <v>0</v>
      </c>
      <c r="W230" s="875">
        <f t="shared" si="46"/>
        <v>0</v>
      </c>
      <c r="X230" s="875">
        <f t="shared" si="46"/>
        <v>851020</v>
      </c>
      <c r="Y230" s="883"/>
      <c r="Z230" s="875">
        <f t="shared" si="47"/>
        <v>0</v>
      </c>
      <c r="AA230" s="875">
        <f t="shared" si="47"/>
        <v>0</v>
      </c>
      <c r="AB230" s="875">
        <f t="shared" si="47"/>
        <v>1157630</v>
      </c>
      <c r="AC230" s="878"/>
    </row>
    <row r="231" spans="1:30" s="614" customFormat="1" ht="26.25" customHeight="1" x14ac:dyDescent="0.2">
      <c r="A231" s="630" t="s">
        <v>786</v>
      </c>
      <c r="B231" s="631"/>
      <c r="C231" s="624"/>
      <c r="D231" s="624"/>
      <c r="E231" s="596">
        <f t="shared" si="45"/>
        <v>2008650</v>
      </c>
      <c r="F231" s="595">
        <f>'Прилож 4 24 (8)'!V216</f>
        <v>0</v>
      </c>
      <c r="G231" s="595">
        <f>'Прилож 4 24 (8)'!W216</f>
        <v>0</v>
      </c>
      <c r="H231" s="595">
        <f>'Прилож 4 24 (8)'!X216</f>
        <v>851020</v>
      </c>
      <c r="I231" s="626"/>
      <c r="J231" s="595">
        <f>'Прилож 4 24 (8)'!Z216</f>
        <v>0</v>
      </c>
      <c r="K231" s="595">
        <f>'Прилож 4 24 (8)'!AA216</f>
        <v>0</v>
      </c>
      <c r="L231" s="595">
        <f>'Прилож 4 24 (8)'!AB216</f>
        <v>1157630</v>
      </c>
      <c r="M231" s="876">
        <f t="shared" si="37"/>
        <v>0</v>
      </c>
      <c r="N231" s="876"/>
      <c r="O231" s="876"/>
      <c r="P231" s="876"/>
      <c r="Q231" s="881"/>
      <c r="R231" s="876"/>
      <c r="S231" s="876"/>
      <c r="T231" s="876"/>
      <c r="U231" s="876">
        <f t="shared" si="38"/>
        <v>2008650</v>
      </c>
      <c r="V231" s="875">
        <f t="shared" si="38"/>
        <v>0</v>
      </c>
      <c r="W231" s="875">
        <f t="shared" si="46"/>
        <v>0</v>
      </c>
      <c r="X231" s="875">
        <f t="shared" si="46"/>
        <v>851020</v>
      </c>
      <c r="Y231" s="881"/>
      <c r="Z231" s="875">
        <f t="shared" si="47"/>
        <v>0</v>
      </c>
      <c r="AA231" s="875">
        <f t="shared" si="47"/>
        <v>0</v>
      </c>
      <c r="AB231" s="875">
        <f t="shared" si="47"/>
        <v>1157630</v>
      </c>
      <c r="AC231" s="879"/>
      <c r="AD231" s="818"/>
    </row>
    <row r="232" spans="1:30" ht="47.25" x14ac:dyDescent="0.2">
      <c r="A232" s="618" t="s">
        <v>793</v>
      </c>
      <c r="B232" s="619" t="s">
        <v>791</v>
      </c>
      <c r="C232" s="620">
        <v>244</v>
      </c>
      <c r="D232" s="620">
        <v>342</v>
      </c>
      <c r="E232" s="596">
        <f t="shared" si="45"/>
        <v>600000</v>
      </c>
      <c r="F232" s="595">
        <f>'Прилож 4 24 (8)'!V217</f>
        <v>600000</v>
      </c>
      <c r="G232" s="595">
        <f>'Прилож 4 24 (8)'!W217</f>
        <v>0</v>
      </c>
      <c r="H232" s="595">
        <f>'Прилож 4 24 (8)'!X217</f>
        <v>0</v>
      </c>
      <c r="I232" s="628"/>
      <c r="J232" s="595">
        <f>'Прилож 4 24 (8)'!Z217</f>
        <v>0</v>
      </c>
      <c r="K232" s="595">
        <f>'Прилож 4 24 (8)'!AA217</f>
        <v>0</v>
      </c>
      <c r="L232" s="595">
        <f>'Прилож 4 24 (8)'!AB217</f>
        <v>0</v>
      </c>
      <c r="M232" s="876">
        <f t="shared" si="37"/>
        <v>0</v>
      </c>
      <c r="N232" s="875"/>
      <c r="O232" s="875"/>
      <c r="P232" s="875"/>
      <c r="Q232" s="877"/>
      <c r="R232" s="875"/>
      <c r="S232" s="875"/>
      <c r="T232" s="875"/>
      <c r="U232" s="876">
        <f t="shared" si="38"/>
        <v>600000</v>
      </c>
      <c r="V232" s="875">
        <f t="shared" si="38"/>
        <v>600000</v>
      </c>
      <c r="W232" s="875">
        <f t="shared" si="46"/>
        <v>0</v>
      </c>
      <c r="X232" s="875">
        <f t="shared" si="46"/>
        <v>0</v>
      </c>
      <c r="Y232" s="883"/>
      <c r="Z232" s="875">
        <f t="shared" si="47"/>
        <v>0</v>
      </c>
      <c r="AA232" s="875">
        <f t="shared" si="47"/>
        <v>0</v>
      </c>
      <c r="AB232" s="875">
        <f t="shared" si="47"/>
        <v>0</v>
      </c>
      <c r="AC232" s="878"/>
    </row>
    <row r="233" spans="1:30" s="614" customFormat="1" ht="21" customHeight="1" x14ac:dyDescent="0.2">
      <c r="A233" s="630" t="s">
        <v>786</v>
      </c>
      <c r="B233" s="631"/>
      <c r="C233" s="624"/>
      <c r="D233" s="624"/>
      <c r="E233" s="596">
        <f t="shared" si="45"/>
        <v>600000</v>
      </c>
      <c r="F233" s="595">
        <f>'Прилож 4 24 (8)'!V218</f>
        <v>600000</v>
      </c>
      <c r="G233" s="595">
        <f>'Прилож 4 24 (8)'!W218</f>
        <v>0</v>
      </c>
      <c r="H233" s="595">
        <f>'Прилож 4 24 (8)'!X218</f>
        <v>0</v>
      </c>
      <c r="I233" s="626"/>
      <c r="J233" s="595">
        <f>'Прилож 4 24 (8)'!Z218</f>
        <v>0</v>
      </c>
      <c r="K233" s="595">
        <f>'Прилож 4 24 (8)'!AA218</f>
        <v>0</v>
      </c>
      <c r="L233" s="595">
        <f>'Прилож 4 24 (8)'!AB218</f>
        <v>0</v>
      </c>
      <c r="M233" s="876">
        <f t="shared" si="37"/>
        <v>0</v>
      </c>
      <c r="N233" s="876"/>
      <c r="O233" s="876"/>
      <c r="P233" s="876"/>
      <c r="Q233" s="881"/>
      <c r="R233" s="876"/>
      <c r="S233" s="876"/>
      <c r="T233" s="876"/>
      <c r="U233" s="876">
        <f t="shared" si="38"/>
        <v>600000</v>
      </c>
      <c r="V233" s="875">
        <f t="shared" si="38"/>
        <v>600000</v>
      </c>
      <c r="W233" s="875">
        <f t="shared" si="46"/>
        <v>0</v>
      </c>
      <c r="X233" s="875">
        <f t="shared" si="46"/>
        <v>0</v>
      </c>
      <c r="Y233" s="881"/>
      <c r="Z233" s="875">
        <f t="shared" si="47"/>
        <v>0</v>
      </c>
      <c r="AA233" s="875">
        <f t="shared" si="47"/>
        <v>0</v>
      </c>
      <c r="AB233" s="875">
        <f t="shared" si="47"/>
        <v>0</v>
      </c>
      <c r="AC233" s="624"/>
    </row>
    <row r="234" spans="1:30" ht="19.5" customHeight="1" x14ac:dyDescent="0.2">
      <c r="A234" s="618" t="s">
        <v>621</v>
      </c>
      <c r="B234" s="619" t="s">
        <v>747</v>
      </c>
      <c r="C234" s="620">
        <v>244</v>
      </c>
      <c r="D234" s="620">
        <v>343</v>
      </c>
      <c r="E234" s="596">
        <f t="shared" si="45"/>
        <v>256</v>
      </c>
      <c r="F234" s="595">
        <f>'Прилож 4 24 (8)'!V219</f>
        <v>0</v>
      </c>
      <c r="G234" s="595">
        <f>'Прилож 4 24 (8)'!W219</f>
        <v>0</v>
      </c>
      <c r="H234" s="595">
        <f>'Прилож 4 24 (8)'!X219</f>
        <v>256</v>
      </c>
      <c r="I234" s="628"/>
      <c r="J234" s="595">
        <f>'Прилож 4 24 (8)'!Z219</f>
        <v>0</v>
      </c>
      <c r="K234" s="595">
        <f>'Прилож 4 24 (8)'!AA219</f>
        <v>0</v>
      </c>
      <c r="L234" s="595">
        <f>'Прилож 4 24 (8)'!AB219</f>
        <v>0</v>
      </c>
      <c r="M234" s="876">
        <f t="shared" si="37"/>
        <v>0</v>
      </c>
      <c r="N234" s="875"/>
      <c r="O234" s="875"/>
      <c r="P234" s="875"/>
      <c r="Q234" s="877"/>
      <c r="R234" s="875"/>
      <c r="S234" s="875"/>
      <c r="T234" s="875"/>
      <c r="U234" s="876">
        <f t="shared" si="38"/>
        <v>256</v>
      </c>
      <c r="V234" s="875">
        <f t="shared" si="38"/>
        <v>0</v>
      </c>
      <c r="W234" s="875">
        <f t="shared" si="46"/>
        <v>0</v>
      </c>
      <c r="X234" s="875">
        <f t="shared" si="46"/>
        <v>256</v>
      </c>
      <c r="Y234" s="883"/>
      <c r="Z234" s="875">
        <f t="shared" si="47"/>
        <v>0</v>
      </c>
      <c r="AA234" s="875">
        <f t="shared" si="47"/>
        <v>0</v>
      </c>
      <c r="AB234" s="875">
        <f t="shared" si="47"/>
        <v>0</v>
      </c>
      <c r="AC234" s="879"/>
    </row>
    <row r="235" spans="1:30" ht="22.5" customHeight="1" x14ac:dyDescent="0.2">
      <c r="A235" s="618" t="s">
        <v>1145</v>
      </c>
      <c r="B235" s="619" t="s">
        <v>729</v>
      </c>
      <c r="C235" s="620">
        <v>244</v>
      </c>
      <c r="D235" s="620">
        <v>343</v>
      </c>
      <c r="E235" s="596">
        <f t="shared" si="45"/>
        <v>200512</v>
      </c>
      <c r="F235" s="595">
        <f>'Прилож 4 24 (8)'!V220</f>
        <v>200000</v>
      </c>
      <c r="G235" s="595">
        <f>'Прилож 4 24 (8)'!W220</f>
        <v>0</v>
      </c>
      <c r="H235" s="595">
        <f>'Прилож 4 24 (8)'!X220</f>
        <v>512</v>
      </c>
      <c r="I235" s="628"/>
      <c r="J235" s="595">
        <f>'Прилож 4 24 (8)'!Z220</f>
        <v>0</v>
      </c>
      <c r="K235" s="595">
        <f>'Прилож 4 24 (8)'!AA220</f>
        <v>0</v>
      </c>
      <c r="L235" s="595">
        <f>'Прилож 4 24 (8)'!AB220</f>
        <v>0</v>
      </c>
      <c r="M235" s="876">
        <f t="shared" si="37"/>
        <v>0</v>
      </c>
      <c r="N235" s="875"/>
      <c r="O235" s="875"/>
      <c r="P235" s="875"/>
      <c r="Q235" s="877"/>
      <c r="R235" s="875"/>
      <c r="S235" s="875"/>
      <c r="T235" s="875"/>
      <c r="U235" s="876">
        <f t="shared" si="38"/>
        <v>200512</v>
      </c>
      <c r="V235" s="875">
        <f t="shared" si="38"/>
        <v>200000</v>
      </c>
      <c r="W235" s="875">
        <f t="shared" si="46"/>
        <v>0</v>
      </c>
      <c r="X235" s="875">
        <f t="shared" si="46"/>
        <v>512</v>
      </c>
      <c r="Y235" s="883"/>
      <c r="Z235" s="875">
        <f t="shared" si="47"/>
        <v>0</v>
      </c>
      <c r="AA235" s="875">
        <f t="shared" si="47"/>
        <v>0</v>
      </c>
      <c r="AB235" s="875">
        <f t="shared" si="47"/>
        <v>0</v>
      </c>
      <c r="AC235" s="879"/>
    </row>
    <row r="236" spans="1:30" s="614" customFormat="1" ht="22.5" customHeight="1" x14ac:dyDescent="0.2">
      <c r="A236" s="630" t="s">
        <v>879</v>
      </c>
      <c r="B236" s="631"/>
      <c r="C236" s="624"/>
      <c r="D236" s="624"/>
      <c r="E236" s="596">
        <f t="shared" si="45"/>
        <v>200768</v>
      </c>
      <c r="F236" s="595">
        <f>'Прилож 4 24 (8)'!V221</f>
        <v>200000</v>
      </c>
      <c r="G236" s="595">
        <f>'Прилож 4 24 (8)'!W221</f>
        <v>0</v>
      </c>
      <c r="H236" s="595">
        <f>'Прилож 4 24 (8)'!X221</f>
        <v>768</v>
      </c>
      <c r="I236" s="626"/>
      <c r="J236" s="595">
        <f>'Прилож 4 24 (8)'!Z221</f>
        <v>0</v>
      </c>
      <c r="K236" s="595">
        <f>'Прилож 4 24 (8)'!AA221</f>
        <v>0</v>
      </c>
      <c r="L236" s="595">
        <f>'Прилож 4 24 (8)'!AB221</f>
        <v>0</v>
      </c>
      <c r="M236" s="876">
        <f t="shared" si="37"/>
        <v>0</v>
      </c>
      <c r="N236" s="876">
        <f>SUM(N234:N235)</f>
        <v>0</v>
      </c>
      <c r="O236" s="876"/>
      <c r="P236" s="876">
        <f>SUM(P234:P235)</f>
        <v>0</v>
      </c>
      <c r="Q236" s="881"/>
      <c r="R236" s="876"/>
      <c r="S236" s="876"/>
      <c r="T236" s="876"/>
      <c r="U236" s="876">
        <f t="shared" si="38"/>
        <v>200768</v>
      </c>
      <c r="V236" s="875">
        <f t="shared" si="38"/>
        <v>200000</v>
      </c>
      <c r="W236" s="875">
        <f t="shared" si="46"/>
        <v>0</v>
      </c>
      <c r="X236" s="875">
        <f t="shared" si="46"/>
        <v>768</v>
      </c>
      <c r="Y236" s="881"/>
      <c r="Z236" s="875">
        <f t="shared" si="47"/>
        <v>0</v>
      </c>
      <c r="AA236" s="875">
        <f t="shared" si="47"/>
        <v>0</v>
      </c>
      <c r="AB236" s="875">
        <f t="shared" si="47"/>
        <v>0</v>
      </c>
      <c r="AC236" s="879"/>
    </row>
    <row r="237" spans="1:30" s="614" customFormat="1" ht="22.5" customHeight="1" x14ac:dyDescent="0.2">
      <c r="A237" s="618" t="s">
        <v>941</v>
      </c>
      <c r="B237" s="619" t="s">
        <v>729</v>
      </c>
      <c r="C237" s="620">
        <v>244</v>
      </c>
      <c r="D237" s="620">
        <v>344</v>
      </c>
      <c r="E237" s="596">
        <f t="shared" si="45"/>
        <v>0</v>
      </c>
      <c r="F237" s="595">
        <f>'Прилож 4 24 (8)'!V222</f>
        <v>0</v>
      </c>
      <c r="G237" s="595">
        <f>'Прилож 4 24 (8)'!W222</f>
        <v>0</v>
      </c>
      <c r="H237" s="595">
        <f>'Прилож 4 24 (8)'!X222</f>
        <v>0</v>
      </c>
      <c r="I237" s="628"/>
      <c r="J237" s="595">
        <f>'Прилож 4 24 (8)'!Z222</f>
        <v>0</v>
      </c>
      <c r="K237" s="595">
        <f>'Прилож 4 24 (8)'!AA222</f>
        <v>0</v>
      </c>
      <c r="L237" s="595">
        <f>'Прилож 4 24 (8)'!AB222</f>
        <v>0</v>
      </c>
      <c r="M237" s="876">
        <f t="shared" si="37"/>
        <v>0</v>
      </c>
      <c r="N237" s="876"/>
      <c r="O237" s="876"/>
      <c r="P237" s="875"/>
      <c r="Q237" s="883"/>
      <c r="R237" s="876"/>
      <c r="S237" s="876"/>
      <c r="T237" s="875"/>
      <c r="U237" s="876">
        <f t="shared" si="38"/>
        <v>0</v>
      </c>
      <c r="V237" s="875">
        <f t="shared" si="38"/>
        <v>0</v>
      </c>
      <c r="W237" s="875">
        <f t="shared" si="46"/>
        <v>0</v>
      </c>
      <c r="X237" s="875">
        <f t="shared" si="46"/>
        <v>0</v>
      </c>
      <c r="Y237" s="883"/>
      <c r="Z237" s="875">
        <f t="shared" si="47"/>
        <v>0</v>
      </c>
      <c r="AA237" s="875">
        <f t="shared" si="47"/>
        <v>0</v>
      </c>
      <c r="AB237" s="875">
        <f t="shared" si="47"/>
        <v>0</v>
      </c>
      <c r="AC237" s="878"/>
    </row>
    <row r="238" spans="1:30" s="614" customFormat="1" ht="22.5" customHeight="1" x14ac:dyDescent="0.2">
      <c r="A238" s="630" t="s">
        <v>942</v>
      </c>
      <c r="B238" s="631"/>
      <c r="C238" s="624"/>
      <c r="D238" s="624"/>
      <c r="E238" s="596">
        <f t="shared" si="45"/>
        <v>0</v>
      </c>
      <c r="F238" s="595">
        <f>'Прилож 4 24 (8)'!V223</f>
        <v>0</v>
      </c>
      <c r="G238" s="595">
        <f>'Прилож 4 24 (8)'!W223</f>
        <v>0</v>
      </c>
      <c r="H238" s="595">
        <f>'Прилож 4 24 (8)'!X223</f>
        <v>0</v>
      </c>
      <c r="I238" s="626"/>
      <c r="J238" s="595">
        <f>'Прилож 4 24 (8)'!Z223</f>
        <v>0</v>
      </c>
      <c r="K238" s="595">
        <f>'Прилож 4 24 (8)'!AA223</f>
        <v>0</v>
      </c>
      <c r="L238" s="595">
        <f>'Прилож 4 24 (8)'!AB223</f>
        <v>0</v>
      </c>
      <c r="M238" s="876">
        <f t="shared" si="37"/>
        <v>0</v>
      </c>
      <c r="N238" s="876"/>
      <c r="O238" s="876"/>
      <c r="P238" s="876"/>
      <c r="Q238" s="881"/>
      <c r="R238" s="876"/>
      <c r="S238" s="876"/>
      <c r="T238" s="876"/>
      <c r="U238" s="876">
        <f t="shared" si="38"/>
        <v>0</v>
      </c>
      <c r="V238" s="875">
        <f t="shared" si="38"/>
        <v>0</v>
      </c>
      <c r="W238" s="875">
        <f t="shared" si="46"/>
        <v>0</v>
      </c>
      <c r="X238" s="875">
        <f t="shared" si="46"/>
        <v>0</v>
      </c>
      <c r="Y238" s="881"/>
      <c r="Z238" s="875">
        <f t="shared" si="47"/>
        <v>0</v>
      </c>
      <c r="AA238" s="875">
        <f t="shared" si="47"/>
        <v>0</v>
      </c>
      <c r="AB238" s="875">
        <f t="shared" si="47"/>
        <v>0</v>
      </c>
      <c r="AC238" s="1084"/>
    </row>
    <row r="239" spans="1:30" ht="29.25" customHeight="1" x14ac:dyDescent="0.2">
      <c r="A239" s="618" t="s">
        <v>169</v>
      </c>
      <c r="B239" s="619" t="s">
        <v>747</v>
      </c>
      <c r="C239" s="620">
        <v>244</v>
      </c>
      <c r="D239" s="620">
        <v>345</v>
      </c>
      <c r="E239" s="596">
        <f t="shared" si="45"/>
        <v>18430</v>
      </c>
      <c r="F239" s="595">
        <f>'Прилож 4 24 (8)'!V224</f>
        <v>0</v>
      </c>
      <c r="G239" s="595">
        <f>'Прилож 4 24 (8)'!W224</f>
        <v>0</v>
      </c>
      <c r="H239" s="595">
        <f>'Прилож 4 24 (8)'!X224</f>
        <v>0</v>
      </c>
      <c r="I239" s="628"/>
      <c r="J239" s="595">
        <f>'Прилож 4 24 (8)'!Z224</f>
        <v>0</v>
      </c>
      <c r="K239" s="595">
        <f>'Прилож 4 24 (8)'!AA224</f>
        <v>0</v>
      </c>
      <c r="L239" s="595">
        <f>'Прилож 4 24 (8)'!AB224</f>
        <v>18430</v>
      </c>
      <c r="M239" s="876">
        <f t="shared" si="37"/>
        <v>0</v>
      </c>
      <c r="N239" s="875"/>
      <c r="O239" s="875"/>
      <c r="P239" s="875"/>
      <c r="Q239" s="877"/>
      <c r="R239" s="875"/>
      <c r="S239" s="875"/>
      <c r="T239" s="875"/>
      <c r="U239" s="876">
        <f t="shared" si="38"/>
        <v>18430</v>
      </c>
      <c r="V239" s="875">
        <f t="shared" si="38"/>
        <v>0</v>
      </c>
      <c r="W239" s="875">
        <f t="shared" si="46"/>
        <v>0</v>
      </c>
      <c r="X239" s="875">
        <f t="shared" si="46"/>
        <v>0</v>
      </c>
      <c r="Y239" s="883"/>
      <c r="Z239" s="875">
        <f t="shared" si="47"/>
        <v>0</v>
      </c>
      <c r="AA239" s="875">
        <f t="shared" si="47"/>
        <v>0</v>
      </c>
      <c r="AB239" s="875">
        <f t="shared" si="47"/>
        <v>18430</v>
      </c>
      <c r="AC239" s="878"/>
    </row>
    <row r="240" spans="1:30" s="614" customFormat="1" ht="30" customHeight="1" x14ac:dyDescent="0.2">
      <c r="A240" s="630" t="s">
        <v>743</v>
      </c>
      <c r="B240" s="631"/>
      <c r="C240" s="624"/>
      <c r="D240" s="624"/>
      <c r="E240" s="596">
        <f t="shared" si="45"/>
        <v>18430</v>
      </c>
      <c r="F240" s="595">
        <f>'Прилож 4 24 (8)'!V225</f>
        <v>0</v>
      </c>
      <c r="G240" s="595">
        <f>'Прилож 4 24 (8)'!W225</f>
        <v>0</v>
      </c>
      <c r="H240" s="595">
        <f>'Прилож 4 24 (8)'!X225</f>
        <v>0</v>
      </c>
      <c r="I240" s="626"/>
      <c r="J240" s="595">
        <f>'Прилож 4 24 (8)'!Z225</f>
        <v>0</v>
      </c>
      <c r="K240" s="595">
        <f>'Прилож 4 24 (8)'!AA225</f>
        <v>0</v>
      </c>
      <c r="L240" s="595">
        <f>'Прилож 4 24 (8)'!AB225</f>
        <v>18430</v>
      </c>
      <c r="M240" s="876">
        <f t="shared" ref="M240:M262" si="48">N240+P240+R240+S240+T240+O240</f>
        <v>0</v>
      </c>
      <c r="N240" s="876"/>
      <c r="O240" s="876"/>
      <c r="P240" s="876"/>
      <c r="Q240" s="881"/>
      <c r="R240" s="876"/>
      <c r="S240" s="876"/>
      <c r="T240" s="876">
        <f>T239</f>
        <v>0</v>
      </c>
      <c r="U240" s="876">
        <f t="shared" si="38"/>
        <v>18430</v>
      </c>
      <c r="V240" s="875">
        <f t="shared" si="38"/>
        <v>0</v>
      </c>
      <c r="W240" s="875">
        <f t="shared" si="46"/>
        <v>0</v>
      </c>
      <c r="X240" s="875">
        <f t="shared" si="46"/>
        <v>0</v>
      </c>
      <c r="Y240" s="881"/>
      <c r="Z240" s="875">
        <f t="shared" si="47"/>
        <v>0</v>
      </c>
      <c r="AA240" s="875">
        <f t="shared" si="47"/>
        <v>0</v>
      </c>
      <c r="AB240" s="875">
        <f t="shared" si="47"/>
        <v>18430</v>
      </c>
      <c r="AC240" s="879"/>
    </row>
    <row r="241" spans="1:31" ht="50.25" customHeight="1" x14ac:dyDescent="0.2">
      <c r="A241" s="618" t="s">
        <v>1301</v>
      </c>
      <c r="B241" s="619" t="s">
        <v>747</v>
      </c>
      <c r="C241" s="620">
        <v>244</v>
      </c>
      <c r="D241" s="620">
        <v>346</v>
      </c>
      <c r="E241" s="596">
        <f t="shared" si="45"/>
        <v>193082.76</v>
      </c>
      <c r="F241" s="595">
        <f>'Прилож 4 24 (8)'!V226</f>
        <v>80000</v>
      </c>
      <c r="G241" s="595">
        <f>'Прилож 4 24 (8)'!W226</f>
        <v>0</v>
      </c>
      <c r="H241" s="595">
        <f>'Прилож 4 24 (8)'!X226</f>
        <v>66365.05</v>
      </c>
      <c r="I241" s="621"/>
      <c r="J241" s="595">
        <f>'Прилож 4 24 (8)'!Z226</f>
        <v>0</v>
      </c>
      <c r="K241" s="595">
        <f>'Прилож 4 24 (8)'!AA226</f>
        <v>0</v>
      </c>
      <c r="L241" s="595">
        <f>'Прилож 4 24 (8)'!AB226</f>
        <v>46717.71</v>
      </c>
      <c r="M241" s="876">
        <f t="shared" si="48"/>
        <v>0</v>
      </c>
      <c r="N241" s="875"/>
      <c r="O241" s="875"/>
      <c r="P241" s="875"/>
      <c r="Q241" s="877"/>
      <c r="R241" s="875"/>
      <c r="S241" s="875"/>
      <c r="T241" s="875"/>
      <c r="U241" s="876">
        <f t="shared" si="38"/>
        <v>193082.76</v>
      </c>
      <c r="V241" s="875">
        <f t="shared" si="38"/>
        <v>80000</v>
      </c>
      <c r="W241" s="875">
        <f t="shared" si="46"/>
        <v>0</v>
      </c>
      <c r="X241" s="875">
        <f t="shared" si="46"/>
        <v>66365.05</v>
      </c>
      <c r="Y241" s="877"/>
      <c r="Z241" s="875">
        <f t="shared" si="47"/>
        <v>0</v>
      </c>
      <c r="AA241" s="875">
        <f t="shared" si="47"/>
        <v>0</v>
      </c>
      <c r="AB241" s="875">
        <f t="shared" si="47"/>
        <v>46717.71</v>
      </c>
      <c r="AC241" s="878"/>
    </row>
    <row r="242" spans="1:31" ht="90" customHeight="1" x14ac:dyDescent="0.2">
      <c r="A242" s="618" t="s">
        <v>1311</v>
      </c>
      <c r="B242" s="619" t="s">
        <v>747</v>
      </c>
      <c r="C242" s="620">
        <v>244</v>
      </c>
      <c r="D242" s="620">
        <v>346</v>
      </c>
      <c r="E242" s="596">
        <f t="shared" si="45"/>
        <v>1088872.2</v>
      </c>
      <c r="F242" s="595">
        <f>'Прилож 4 24 (8)'!V227</f>
        <v>1088872.2</v>
      </c>
      <c r="G242" s="595">
        <f>'Прилож 4 24 (8)'!W227</f>
        <v>0</v>
      </c>
      <c r="H242" s="595">
        <f>'Прилож 4 24 (8)'!X227</f>
        <v>0</v>
      </c>
      <c r="I242" s="621"/>
      <c r="J242" s="595">
        <f>'Прилож 4 24 (8)'!Z227</f>
        <v>0</v>
      </c>
      <c r="K242" s="595">
        <f>'Прилож 4 24 (8)'!AA227</f>
        <v>0</v>
      </c>
      <c r="L242" s="595">
        <f>'Прилож 4 24 (8)'!AB227</f>
        <v>0</v>
      </c>
      <c r="M242" s="876">
        <f t="shared" si="48"/>
        <v>-63780</v>
      </c>
      <c r="N242" s="875">
        <v>-63780</v>
      </c>
      <c r="O242" s="875"/>
      <c r="P242" s="875"/>
      <c r="Q242" s="877"/>
      <c r="R242" s="875"/>
      <c r="S242" s="875"/>
      <c r="T242" s="875"/>
      <c r="U242" s="876">
        <f t="shared" si="38"/>
        <v>1025092.2</v>
      </c>
      <c r="V242" s="875">
        <f t="shared" si="38"/>
        <v>1025092.2</v>
      </c>
      <c r="W242" s="875">
        <f t="shared" si="46"/>
        <v>0</v>
      </c>
      <c r="X242" s="875">
        <f t="shared" si="46"/>
        <v>0</v>
      </c>
      <c r="Y242" s="877"/>
      <c r="Z242" s="875">
        <f t="shared" si="47"/>
        <v>0</v>
      </c>
      <c r="AA242" s="875">
        <f t="shared" si="47"/>
        <v>0</v>
      </c>
      <c r="AB242" s="875">
        <f t="shared" si="47"/>
        <v>0</v>
      </c>
      <c r="AC242" s="878" t="s">
        <v>1545</v>
      </c>
      <c r="AD242" s="820"/>
    </row>
    <row r="243" spans="1:31" ht="32.25" customHeight="1" x14ac:dyDescent="0.2">
      <c r="A243" s="618" t="s">
        <v>1419</v>
      </c>
      <c r="B243" s="619" t="s">
        <v>747</v>
      </c>
      <c r="C243" s="620">
        <v>244</v>
      </c>
      <c r="D243" s="620">
        <v>346</v>
      </c>
      <c r="E243" s="596">
        <f t="shared" si="45"/>
        <v>30000</v>
      </c>
      <c r="F243" s="595">
        <f>'Прилож 4 24 (8)'!V228</f>
        <v>30000</v>
      </c>
      <c r="G243" s="595">
        <f>'Прилож 4 24 (8)'!W228</f>
        <v>0</v>
      </c>
      <c r="H243" s="595">
        <f>'Прилож 4 24 (8)'!X228</f>
        <v>0</v>
      </c>
      <c r="I243" s="621"/>
      <c r="J243" s="595">
        <f>'Прилож 4 24 (8)'!Z228</f>
        <v>0</v>
      </c>
      <c r="K243" s="595">
        <f>'Прилож 4 24 (8)'!AA228</f>
        <v>0</v>
      </c>
      <c r="L243" s="595">
        <f>'Прилож 4 24 (8)'!AB228</f>
        <v>0</v>
      </c>
      <c r="M243" s="876">
        <f t="shared" si="48"/>
        <v>0</v>
      </c>
      <c r="N243" s="875"/>
      <c r="O243" s="875"/>
      <c r="P243" s="875"/>
      <c r="Q243" s="877"/>
      <c r="R243" s="875"/>
      <c r="S243" s="875"/>
      <c r="T243" s="875"/>
      <c r="U243" s="876">
        <f t="shared" si="38"/>
        <v>30000</v>
      </c>
      <c r="V243" s="875">
        <f t="shared" si="38"/>
        <v>30000</v>
      </c>
      <c r="W243" s="875">
        <f t="shared" si="46"/>
        <v>0</v>
      </c>
      <c r="X243" s="875">
        <f t="shared" si="46"/>
        <v>0</v>
      </c>
      <c r="Y243" s="877"/>
      <c r="Z243" s="875">
        <f t="shared" si="47"/>
        <v>0</v>
      </c>
      <c r="AA243" s="875">
        <f t="shared" si="47"/>
        <v>0</v>
      </c>
      <c r="AB243" s="875">
        <f t="shared" si="47"/>
        <v>0</v>
      </c>
      <c r="AC243" s="878"/>
      <c r="AD243" s="820"/>
    </row>
    <row r="244" spans="1:31" ht="33" customHeight="1" x14ac:dyDescent="0.2">
      <c r="A244" s="618" t="s">
        <v>1293</v>
      </c>
      <c r="B244" s="619" t="s">
        <v>747</v>
      </c>
      <c r="C244" s="620">
        <v>244</v>
      </c>
      <c r="D244" s="620">
        <v>346</v>
      </c>
      <c r="E244" s="596">
        <f t="shared" si="45"/>
        <v>12000</v>
      </c>
      <c r="F244" s="595">
        <f>'Прилож 4 24 (8)'!V229</f>
        <v>0</v>
      </c>
      <c r="G244" s="595">
        <f>'Прилож 4 24 (8)'!W229</f>
        <v>0</v>
      </c>
      <c r="H244" s="595">
        <f>'Прилож 4 24 (8)'!X229</f>
        <v>0</v>
      </c>
      <c r="I244" s="621"/>
      <c r="J244" s="595">
        <f>'Прилож 4 24 (8)'!Z229</f>
        <v>0</v>
      </c>
      <c r="K244" s="595">
        <f>'Прилож 4 24 (8)'!AA229</f>
        <v>0</v>
      </c>
      <c r="L244" s="595">
        <f>'Прилож 4 24 (8)'!AB229</f>
        <v>12000</v>
      </c>
      <c r="M244" s="876">
        <f t="shared" si="48"/>
        <v>0</v>
      </c>
      <c r="N244" s="875"/>
      <c r="O244" s="875"/>
      <c r="P244" s="875"/>
      <c r="Q244" s="877"/>
      <c r="R244" s="875"/>
      <c r="S244" s="875"/>
      <c r="T244" s="875"/>
      <c r="U244" s="876">
        <f t="shared" si="38"/>
        <v>12000</v>
      </c>
      <c r="V244" s="875">
        <f t="shared" si="38"/>
        <v>0</v>
      </c>
      <c r="W244" s="875">
        <f t="shared" si="46"/>
        <v>0</v>
      </c>
      <c r="X244" s="875">
        <f t="shared" si="46"/>
        <v>0</v>
      </c>
      <c r="Y244" s="877"/>
      <c r="Z244" s="875">
        <f t="shared" si="47"/>
        <v>0</v>
      </c>
      <c r="AA244" s="875">
        <f t="shared" si="47"/>
        <v>0</v>
      </c>
      <c r="AB244" s="875">
        <f t="shared" si="47"/>
        <v>12000</v>
      </c>
      <c r="AC244" s="878"/>
      <c r="AD244" s="820"/>
    </row>
    <row r="245" spans="1:31" s="637" customFormat="1" ht="19.5" customHeight="1" x14ac:dyDescent="0.2">
      <c r="A245" s="632" t="s">
        <v>1143</v>
      </c>
      <c r="B245" s="633" t="s">
        <v>747</v>
      </c>
      <c r="C245" s="634">
        <v>244</v>
      </c>
      <c r="D245" s="634">
        <v>346</v>
      </c>
      <c r="E245" s="596">
        <f t="shared" si="45"/>
        <v>1323954.96</v>
      </c>
      <c r="F245" s="595">
        <f>'Прилож 4 24 (8)'!V230</f>
        <v>1198872.2</v>
      </c>
      <c r="G245" s="595">
        <f>'Прилож 4 24 (8)'!W230</f>
        <v>0</v>
      </c>
      <c r="H245" s="595">
        <f>'Прилож 4 24 (8)'!X230</f>
        <v>66365.05</v>
      </c>
      <c r="I245" s="597">
        <f>SUM(I241:I244)</f>
        <v>0</v>
      </c>
      <c r="J245" s="595">
        <f>'Прилож 4 24 (8)'!Z230</f>
        <v>0</v>
      </c>
      <c r="K245" s="595">
        <f>'Прилож 4 24 (8)'!AA230</f>
        <v>0</v>
      </c>
      <c r="L245" s="595">
        <f>'Прилож 4 24 (8)'!AB230</f>
        <v>58717.71</v>
      </c>
      <c r="M245" s="876">
        <f t="shared" si="48"/>
        <v>-63780</v>
      </c>
      <c r="N245" s="876">
        <f>SUM(N241:N244)</f>
        <v>-63780</v>
      </c>
      <c r="O245" s="876"/>
      <c r="P245" s="876">
        <f>SUM(P241:P244)</f>
        <v>0</v>
      </c>
      <c r="Q245" s="876"/>
      <c r="R245" s="876"/>
      <c r="S245" s="876"/>
      <c r="T245" s="876">
        <f>SUM(T241:T244)</f>
        <v>0</v>
      </c>
      <c r="U245" s="876">
        <f t="shared" si="38"/>
        <v>1260174.96</v>
      </c>
      <c r="V245" s="875">
        <f t="shared" si="38"/>
        <v>1135092.2</v>
      </c>
      <c r="W245" s="875">
        <f t="shared" si="46"/>
        <v>0</v>
      </c>
      <c r="X245" s="875">
        <f t="shared" si="46"/>
        <v>66365.05</v>
      </c>
      <c r="Y245" s="884">
        <f>SUM(Y241:Y244)</f>
        <v>0</v>
      </c>
      <c r="Z245" s="875">
        <f t="shared" si="47"/>
        <v>0</v>
      </c>
      <c r="AA245" s="875">
        <f t="shared" si="47"/>
        <v>0</v>
      </c>
      <c r="AB245" s="875">
        <f t="shared" si="47"/>
        <v>58717.71</v>
      </c>
      <c r="AC245" s="886"/>
      <c r="AD245" s="819"/>
      <c r="AE245" s="819"/>
    </row>
    <row r="246" spans="1:31" ht="56.25" customHeight="1" x14ac:dyDescent="0.2">
      <c r="A246" s="618" t="s">
        <v>1423</v>
      </c>
      <c r="B246" s="619" t="s">
        <v>729</v>
      </c>
      <c r="C246" s="620">
        <v>244</v>
      </c>
      <c r="D246" s="620">
        <v>346</v>
      </c>
      <c r="E246" s="596">
        <f t="shared" si="45"/>
        <v>107315.97</v>
      </c>
      <c r="F246" s="595">
        <f>'Прилож 4 24 (8)'!V231</f>
        <v>0</v>
      </c>
      <c r="G246" s="595">
        <f>'Прилож 4 24 (8)'!W231</f>
        <v>0</v>
      </c>
      <c r="H246" s="595">
        <f>'Прилож 4 24 (8)'!X231</f>
        <v>92805.900000000009</v>
      </c>
      <c r="I246" s="621"/>
      <c r="J246" s="595">
        <f>'Прилож 4 24 (8)'!Z231</f>
        <v>0</v>
      </c>
      <c r="K246" s="595">
        <f>'Прилож 4 24 (8)'!AA231</f>
        <v>0</v>
      </c>
      <c r="L246" s="595">
        <f>'Прилож 4 24 (8)'!AB231</f>
        <v>14510.07</v>
      </c>
      <c r="M246" s="876">
        <f t="shared" si="48"/>
        <v>-3682.97</v>
      </c>
      <c r="N246" s="875"/>
      <c r="O246" s="875"/>
      <c r="P246" s="875">
        <v>-1906.23</v>
      </c>
      <c r="Q246" s="877"/>
      <c r="R246" s="875"/>
      <c r="S246" s="875"/>
      <c r="T246" s="875">
        <f>-14510.07+12733.33</f>
        <v>-1776.7399999999998</v>
      </c>
      <c r="U246" s="876">
        <f t="shared" si="38"/>
        <v>103633</v>
      </c>
      <c r="V246" s="875">
        <f t="shared" si="38"/>
        <v>0</v>
      </c>
      <c r="W246" s="875">
        <f t="shared" si="46"/>
        <v>0</v>
      </c>
      <c r="X246" s="875">
        <f t="shared" si="46"/>
        <v>90899.670000000013</v>
      </c>
      <c r="Y246" s="877"/>
      <c r="Z246" s="875">
        <f t="shared" si="47"/>
        <v>0</v>
      </c>
      <c r="AA246" s="875">
        <f t="shared" si="47"/>
        <v>0</v>
      </c>
      <c r="AB246" s="875">
        <f t="shared" si="47"/>
        <v>12733.33</v>
      </c>
      <c r="AC246" s="1085" t="s">
        <v>1546</v>
      </c>
    </row>
    <row r="247" spans="1:31" ht="33" customHeight="1" x14ac:dyDescent="0.2">
      <c r="A247" s="618" t="s">
        <v>617</v>
      </c>
      <c r="B247" s="619" t="s">
        <v>729</v>
      </c>
      <c r="C247" s="620">
        <v>244</v>
      </c>
      <c r="D247" s="620">
        <v>346</v>
      </c>
      <c r="E247" s="596">
        <f t="shared" si="45"/>
        <v>43015</v>
      </c>
      <c r="F247" s="595">
        <f>'Прилож 4 24 (8)'!V232</f>
        <v>0</v>
      </c>
      <c r="G247" s="595">
        <f>'Прилож 4 24 (8)'!W232</f>
        <v>0</v>
      </c>
      <c r="H247" s="595">
        <f>'Прилож 4 24 (8)'!X232</f>
        <v>43015</v>
      </c>
      <c r="I247" s="621"/>
      <c r="J247" s="595">
        <f>'Прилож 4 24 (8)'!Z232</f>
        <v>0</v>
      </c>
      <c r="K247" s="595">
        <f>'Прилож 4 24 (8)'!AA232</f>
        <v>0</v>
      </c>
      <c r="L247" s="595">
        <f>'Прилож 4 24 (8)'!AB232</f>
        <v>0</v>
      </c>
      <c r="M247" s="876">
        <f t="shared" si="48"/>
        <v>148900</v>
      </c>
      <c r="N247" s="875"/>
      <c r="O247" s="875"/>
      <c r="P247" s="875">
        <v>148900</v>
      </c>
      <c r="Q247" s="877"/>
      <c r="R247" s="875"/>
      <c r="S247" s="875"/>
      <c r="T247" s="875"/>
      <c r="U247" s="876">
        <f t="shared" si="38"/>
        <v>191915</v>
      </c>
      <c r="V247" s="875">
        <f t="shared" si="38"/>
        <v>0</v>
      </c>
      <c r="W247" s="875">
        <f t="shared" si="46"/>
        <v>0</v>
      </c>
      <c r="X247" s="875">
        <f t="shared" si="46"/>
        <v>191915</v>
      </c>
      <c r="Y247" s="877"/>
      <c r="Z247" s="875">
        <f t="shared" si="47"/>
        <v>0</v>
      </c>
      <c r="AA247" s="875">
        <f t="shared" si="47"/>
        <v>0</v>
      </c>
      <c r="AB247" s="875">
        <f t="shared" si="47"/>
        <v>0</v>
      </c>
      <c r="AC247" s="878" t="s">
        <v>1547</v>
      </c>
    </row>
    <row r="248" spans="1:31" ht="34.5" customHeight="1" x14ac:dyDescent="0.2">
      <c r="A248" s="618" t="s">
        <v>1427</v>
      </c>
      <c r="B248" s="619" t="s">
        <v>729</v>
      </c>
      <c r="C248" s="620">
        <v>244</v>
      </c>
      <c r="D248" s="620">
        <v>346</v>
      </c>
      <c r="E248" s="596">
        <f t="shared" si="45"/>
        <v>10000</v>
      </c>
      <c r="F248" s="595">
        <f>'Прилож 4 24 (8)'!V233</f>
        <v>10000</v>
      </c>
      <c r="G248" s="595">
        <f>'Прилож 4 24 (8)'!W233</f>
        <v>0</v>
      </c>
      <c r="H248" s="595">
        <f>'Прилож 4 24 (8)'!X233</f>
        <v>0</v>
      </c>
      <c r="I248" s="621"/>
      <c r="J248" s="595">
        <f>'Прилож 4 24 (8)'!Z233</f>
        <v>0</v>
      </c>
      <c r="K248" s="595">
        <f>'Прилож 4 24 (8)'!AA233</f>
        <v>0</v>
      </c>
      <c r="L248" s="595">
        <f>'Прилож 4 24 (8)'!AB233</f>
        <v>0</v>
      </c>
      <c r="M248" s="876">
        <f t="shared" si="48"/>
        <v>-38</v>
      </c>
      <c r="N248" s="875">
        <v>-38</v>
      </c>
      <c r="O248" s="875"/>
      <c r="P248" s="875"/>
      <c r="Q248" s="877"/>
      <c r="R248" s="875"/>
      <c r="S248" s="875"/>
      <c r="T248" s="875"/>
      <c r="U248" s="876">
        <f t="shared" si="38"/>
        <v>9962</v>
      </c>
      <c r="V248" s="875">
        <f t="shared" si="38"/>
        <v>9962</v>
      </c>
      <c r="W248" s="875">
        <f t="shared" si="46"/>
        <v>0</v>
      </c>
      <c r="X248" s="875">
        <f t="shared" si="46"/>
        <v>0</v>
      </c>
      <c r="Y248" s="877"/>
      <c r="Z248" s="875">
        <f t="shared" si="47"/>
        <v>0</v>
      </c>
      <c r="AA248" s="875">
        <f t="shared" si="47"/>
        <v>0</v>
      </c>
      <c r="AB248" s="875">
        <f t="shared" si="47"/>
        <v>0</v>
      </c>
      <c r="AC248" s="878" t="s">
        <v>1548</v>
      </c>
    </row>
    <row r="249" spans="1:31" ht="27.75" customHeight="1" x14ac:dyDescent="0.2">
      <c r="A249" s="618" t="s">
        <v>1285</v>
      </c>
      <c r="B249" s="619" t="s">
        <v>729</v>
      </c>
      <c r="C249" s="620">
        <v>244</v>
      </c>
      <c r="D249" s="620">
        <v>346</v>
      </c>
      <c r="E249" s="596">
        <f t="shared" si="45"/>
        <v>50000</v>
      </c>
      <c r="F249" s="595">
        <f>'Прилож 4 24 (8)'!V234</f>
        <v>50000</v>
      </c>
      <c r="G249" s="595">
        <f>'Прилож 4 24 (8)'!W234</f>
        <v>0</v>
      </c>
      <c r="H249" s="595">
        <f>'Прилож 4 24 (8)'!X234</f>
        <v>0</v>
      </c>
      <c r="I249" s="621"/>
      <c r="J249" s="595">
        <f>'Прилож 4 24 (8)'!Z234</f>
        <v>0</v>
      </c>
      <c r="K249" s="595">
        <f>'Прилож 4 24 (8)'!AA234</f>
        <v>0</v>
      </c>
      <c r="L249" s="595">
        <f>'Прилож 4 24 (8)'!AB234</f>
        <v>0</v>
      </c>
      <c r="M249" s="876">
        <f t="shared" si="48"/>
        <v>0</v>
      </c>
      <c r="N249" s="875"/>
      <c r="O249" s="875"/>
      <c r="P249" s="875"/>
      <c r="Q249" s="877"/>
      <c r="R249" s="875"/>
      <c r="S249" s="875"/>
      <c r="T249" s="875"/>
      <c r="U249" s="876">
        <f t="shared" si="38"/>
        <v>50000</v>
      </c>
      <c r="V249" s="875">
        <f t="shared" si="38"/>
        <v>50000</v>
      </c>
      <c r="W249" s="875">
        <f t="shared" si="46"/>
        <v>0</v>
      </c>
      <c r="X249" s="875">
        <f t="shared" si="46"/>
        <v>0</v>
      </c>
      <c r="Y249" s="877"/>
      <c r="Z249" s="875">
        <f t="shared" si="47"/>
        <v>0</v>
      </c>
      <c r="AA249" s="875">
        <f t="shared" si="47"/>
        <v>0</v>
      </c>
      <c r="AB249" s="875">
        <f t="shared" si="47"/>
        <v>0</v>
      </c>
      <c r="AC249" s="878"/>
    </row>
    <row r="250" spans="1:31" ht="37.5" customHeight="1" x14ac:dyDescent="0.2">
      <c r="A250" s="618" t="s">
        <v>1286</v>
      </c>
      <c r="B250" s="619" t="s">
        <v>729</v>
      </c>
      <c r="C250" s="620">
        <v>244</v>
      </c>
      <c r="D250" s="620">
        <v>346</v>
      </c>
      <c r="E250" s="596">
        <f t="shared" si="45"/>
        <v>90181.760000000009</v>
      </c>
      <c r="F250" s="595">
        <f>'Прилож 4 24 (8)'!V235</f>
        <v>90181.760000000009</v>
      </c>
      <c r="G250" s="595">
        <f>'Прилож 4 24 (8)'!W235</f>
        <v>0</v>
      </c>
      <c r="H250" s="595">
        <f>'Прилож 4 24 (8)'!X235</f>
        <v>0</v>
      </c>
      <c r="I250" s="621"/>
      <c r="J250" s="595">
        <f>'Прилож 4 24 (8)'!Z235</f>
        <v>0</v>
      </c>
      <c r="K250" s="595">
        <f>'Прилож 4 24 (8)'!AA235</f>
        <v>0</v>
      </c>
      <c r="L250" s="595">
        <f>'Прилож 4 24 (8)'!AB235</f>
        <v>0</v>
      </c>
      <c r="M250" s="876">
        <f t="shared" si="48"/>
        <v>38</v>
      </c>
      <c r="N250" s="875">
        <v>38</v>
      </c>
      <c r="O250" s="875"/>
      <c r="P250" s="875"/>
      <c r="Q250" s="877"/>
      <c r="R250" s="875"/>
      <c r="S250" s="875"/>
      <c r="T250" s="875"/>
      <c r="U250" s="876">
        <f t="shared" si="38"/>
        <v>90219.760000000009</v>
      </c>
      <c r="V250" s="875">
        <f t="shared" si="38"/>
        <v>90219.760000000009</v>
      </c>
      <c r="W250" s="875">
        <f t="shared" si="46"/>
        <v>0</v>
      </c>
      <c r="X250" s="875">
        <f t="shared" si="46"/>
        <v>0</v>
      </c>
      <c r="Y250" s="877"/>
      <c r="Z250" s="875">
        <f t="shared" si="47"/>
        <v>0</v>
      </c>
      <c r="AA250" s="875">
        <f t="shared" si="47"/>
        <v>0</v>
      </c>
      <c r="AB250" s="875">
        <f t="shared" si="47"/>
        <v>0</v>
      </c>
      <c r="AC250" s="878" t="s">
        <v>1549</v>
      </c>
    </row>
    <row r="251" spans="1:31" ht="34.5" customHeight="1" x14ac:dyDescent="0.2">
      <c r="A251" s="618" t="s">
        <v>1421</v>
      </c>
      <c r="B251" s="619" t="s">
        <v>729</v>
      </c>
      <c r="C251" s="620">
        <v>244</v>
      </c>
      <c r="D251" s="620">
        <v>346</v>
      </c>
      <c r="E251" s="596">
        <f t="shared" si="45"/>
        <v>9550</v>
      </c>
      <c r="F251" s="595">
        <f>'Прилож 4 24 (8)'!V236</f>
        <v>9550</v>
      </c>
      <c r="G251" s="595">
        <f>'Прилож 4 24 (8)'!W236</f>
        <v>0</v>
      </c>
      <c r="H251" s="595">
        <f>'Прилож 4 24 (8)'!X236</f>
        <v>0</v>
      </c>
      <c r="I251" s="621"/>
      <c r="J251" s="595">
        <f>'Прилож 4 24 (8)'!Z236</f>
        <v>0</v>
      </c>
      <c r="K251" s="595">
        <f>'Прилож 4 24 (8)'!AA236</f>
        <v>0</v>
      </c>
      <c r="L251" s="595">
        <f>'Прилож 4 24 (8)'!AB236</f>
        <v>0</v>
      </c>
      <c r="M251" s="876">
        <f t="shared" si="48"/>
        <v>0</v>
      </c>
      <c r="N251" s="875"/>
      <c r="O251" s="875"/>
      <c r="P251" s="875"/>
      <c r="Q251" s="877"/>
      <c r="R251" s="875"/>
      <c r="S251" s="875"/>
      <c r="T251" s="875"/>
      <c r="U251" s="876">
        <f t="shared" si="38"/>
        <v>9550</v>
      </c>
      <c r="V251" s="875">
        <f t="shared" si="38"/>
        <v>9550</v>
      </c>
      <c r="W251" s="875"/>
      <c r="X251" s="875"/>
      <c r="Y251" s="877"/>
      <c r="Z251" s="875"/>
      <c r="AA251" s="875"/>
      <c r="AB251" s="875"/>
      <c r="AC251" s="878"/>
    </row>
    <row r="252" spans="1:31" ht="30" customHeight="1" x14ac:dyDescent="0.2">
      <c r="A252" s="618" t="s">
        <v>1422</v>
      </c>
      <c r="B252" s="619" t="s">
        <v>729</v>
      </c>
      <c r="C252" s="620">
        <v>244</v>
      </c>
      <c r="D252" s="620">
        <v>346</v>
      </c>
      <c r="E252" s="596">
        <f t="shared" si="45"/>
        <v>27035</v>
      </c>
      <c r="F252" s="595">
        <f>'Прилож 4 24 (8)'!V237</f>
        <v>27035</v>
      </c>
      <c r="G252" s="595">
        <f>'Прилож 4 24 (8)'!W237</f>
        <v>0</v>
      </c>
      <c r="H252" s="595">
        <f>'Прилож 4 24 (8)'!X237</f>
        <v>0</v>
      </c>
      <c r="I252" s="621"/>
      <c r="J252" s="595">
        <f>'Прилож 4 24 (8)'!Z237</f>
        <v>0</v>
      </c>
      <c r="K252" s="595">
        <f>'Прилож 4 24 (8)'!AA237</f>
        <v>0</v>
      </c>
      <c r="L252" s="595">
        <f>'Прилож 4 24 (8)'!AB237</f>
        <v>0</v>
      </c>
      <c r="M252" s="876">
        <f t="shared" si="48"/>
        <v>0</v>
      </c>
      <c r="N252" s="875"/>
      <c r="O252" s="875"/>
      <c r="P252" s="875"/>
      <c r="Q252" s="877"/>
      <c r="R252" s="875"/>
      <c r="S252" s="875"/>
      <c r="T252" s="875"/>
      <c r="U252" s="876">
        <f t="shared" ref="U252:V267" si="49">E252+M252</f>
        <v>27035</v>
      </c>
      <c r="V252" s="875">
        <f t="shared" si="49"/>
        <v>27035</v>
      </c>
      <c r="W252" s="875">
        <f>O252+G252</f>
        <v>0</v>
      </c>
      <c r="X252" s="875">
        <f>P252+H252</f>
        <v>0</v>
      </c>
      <c r="Y252" s="877"/>
      <c r="Z252" s="875">
        <f>R252+J252</f>
        <v>0</v>
      </c>
      <c r="AA252" s="875">
        <f>S252+K252</f>
        <v>0</v>
      </c>
      <c r="AB252" s="875">
        <f>T252+L252</f>
        <v>0</v>
      </c>
      <c r="AC252" s="878"/>
    </row>
    <row r="253" spans="1:31" ht="39.75" customHeight="1" x14ac:dyDescent="0.2">
      <c r="A253" s="618" t="s">
        <v>1346</v>
      </c>
      <c r="B253" s="619" t="s">
        <v>729</v>
      </c>
      <c r="C253" s="620">
        <v>244</v>
      </c>
      <c r="D253" s="620">
        <v>346</v>
      </c>
      <c r="E253" s="596">
        <f t="shared" si="45"/>
        <v>31356</v>
      </c>
      <c r="F253" s="595">
        <f>'Прилож 4 24 (8)'!V238</f>
        <v>31356</v>
      </c>
      <c r="G253" s="595">
        <f>'Прилож 4 24 (8)'!W238</f>
        <v>0</v>
      </c>
      <c r="H253" s="595">
        <f>'Прилож 4 24 (8)'!X238</f>
        <v>0</v>
      </c>
      <c r="I253" s="621"/>
      <c r="J253" s="595">
        <f>'Прилож 4 24 (8)'!Z238</f>
        <v>0</v>
      </c>
      <c r="K253" s="595">
        <f>'Прилож 4 24 (8)'!AA238</f>
        <v>0</v>
      </c>
      <c r="L253" s="595">
        <f>'Прилож 4 24 (8)'!AB238</f>
        <v>0</v>
      </c>
      <c r="M253" s="876">
        <f t="shared" si="48"/>
        <v>0</v>
      </c>
      <c r="N253" s="875"/>
      <c r="O253" s="875"/>
      <c r="P253" s="875"/>
      <c r="Q253" s="877"/>
      <c r="R253" s="875"/>
      <c r="S253" s="875"/>
      <c r="T253" s="875"/>
      <c r="U253" s="876">
        <f t="shared" si="49"/>
        <v>31356</v>
      </c>
      <c r="V253" s="875">
        <f t="shared" si="49"/>
        <v>31356</v>
      </c>
      <c r="W253" s="875"/>
      <c r="X253" s="875">
        <f t="shared" ref="X253:X265" si="50">P253+H253</f>
        <v>0</v>
      </c>
      <c r="Y253" s="877"/>
      <c r="Z253" s="875">
        <f t="shared" ref="Z253:AA267" si="51">R253+J253</f>
        <v>0</v>
      </c>
      <c r="AA253" s="875"/>
      <c r="AB253" s="875">
        <f t="shared" ref="AB253:AB272" si="52">T253+L253</f>
        <v>0</v>
      </c>
      <c r="AC253" s="878"/>
    </row>
    <row r="254" spans="1:31" s="637" customFormat="1" ht="26.25" customHeight="1" x14ac:dyDescent="0.2">
      <c r="A254" s="632" t="s">
        <v>1143</v>
      </c>
      <c r="B254" s="619" t="s">
        <v>729</v>
      </c>
      <c r="C254" s="620">
        <v>244</v>
      </c>
      <c r="D254" s="620">
        <v>346</v>
      </c>
      <c r="E254" s="596">
        <f t="shared" si="45"/>
        <v>368453.73000000004</v>
      </c>
      <c r="F254" s="595">
        <f>'Прилож 4 24 (8)'!V239</f>
        <v>218122.76</v>
      </c>
      <c r="G254" s="595">
        <f>'Прилож 4 24 (8)'!W239</f>
        <v>0</v>
      </c>
      <c r="H254" s="595">
        <f>'Прилож 4 24 (8)'!X239</f>
        <v>135820.90000000002</v>
      </c>
      <c r="I254" s="597">
        <f>SUM(I246:I250)</f>
        <v>0</v>
      </c>
      <c r="J254" s="595">
        <f>'Прилож 4 24 (8)'!Z239</f>
        <v>0</v>
      </c>
      <c r="K254" s="595">
        <f>'Прилож 4 24 (8)'!AA239</f>
        <v>0</v>
      </c>
      <c r="L254" s="595">
        <f>'Прилож 4 24 (8)'!AB239</f>
        <v>14510.07</v>
      </c>
      <c r="M254" s="876">
        <f t="shared" si="48"/>
        <v>145217.03</v>
      </c>
      <c r="N254" s="876">
        <f>SUM(N246:N253)</f>
        <v>0</v>
      </c>
      <c r="O254" s="876"/>
      <c r="P254" s="876">
        <f>SUM(P246:P253)</f>
        <v>146993.76999999999</v>
      </c>
      <c r="Q254" s="876"/>
      <c r="R254" s="876"/>
      <c r="S254" s="876"/>
      <c r="T254" s="876">
        <f>SUM(T246:T252)</f>
        <v>-1776.7399999999998</v>
      </c>
      <c r="U254" s="876">
        <f t="shared" si="49"/>
        <v>513670.76</v>
      </c>
      <c r="V254" s="876">
        <f t="shared" si="49"/>
        <v>218122.76</v>
      </c>
      <c r="W254" s="876">
        <f t="shared" ref="W254:W266" si="53">O254+G254</f>
        <v>0</v>
      </c>
      <c r="X254" s="876">
        <f t="shared" si="50"/>
        <v>282814.67000000004</v>
      </c>
      <c r="Y254" s="884">
        <f>SUM(Y246:Y250)</f>
        <v>0</v>
      </c>
      <c r="Z254" s="876">
        <f t="shared" si="51"/>
        <v>0</v>
      </c>
      <c r="AA254" s="876">
        <f t="shared" si="51"/>
        <v>0</v>
      </c>
      <c r="AB254" s="876">
        <f t="shared" si="52"/>
        <v>12733.33</v>
      </c>
      <c r="AC254" s="886"/>
      <c r="AD254" s="819"/>
    </row>
    <row r="255" spans="1:31" ht="22.5" customHeight="1" x14ac:dyDescent="0.2">
      <c r="A255" s="618" t="s">
        <v>67</v>
      </c>
      <c r="B255" s="619" t="s">
        <v>64</v>
      </c>
      <c r="C255" s="620">
        <v>244</v>
      </c>
      <c r="D255" s="620">
        <v>346</v>
      </c>
      <c r="E255" s="596">
        <f t="shared" si="45"/>
        <v>3200</v>
      </c>
      <c r="F255" s="595">
        <f>'Прилож 4 24 (8)'!V240</f>
        <v>0</v>
      </c>
      <c r="G255" s="595">
        <f>'Прилож 4 24 (8)'!W240</f>
        <v>0</v>
      </c>
      <c r="H255" s="595">
        <f>'Прилож 4 24 (8)'!X240</f>
        <v>0</v>
      </c>
      <c r="I255" s="621" t="s">
        <v>1235</v>
      </c>
      <c r="J255" s="595">
        <f>'Прилож 4 24 (8)'!Z240</f>
        <v>0</v>
      </c>
      <c r="K255" s="595">
        <f>'Прилож 4 24 (8)'!AA240</f>
        <v>3200</v>
      </c>
      <c r="L255" s="595">
        <f>'Прилож 4 24 (8)'!AB240</f>
        <v>0</v>
      </c>
      <c r="M255" s="876">
        <f t="shared" si="48"/>
        <v>0</v>
      </c>
      <c r="N255" s="875"/>
      <c r="O255" s="875"/>
      <c r="P255" s="875"/>
      <c r="Q255" s="877"/>
      <c r="R255" s="875"/>
      <c r="S255" s="875"/>
      <c r="T255" s="875"/>
      <c r="U255" s="876">
        <f t="shared" si="49"/>
        <v>3200</v>
      </c>
      <c r="V255" s="875">
        <f t="shared" si="49"/>
        <v>0</v>
      </c>
      <c r="W255" s="875">
        <f t="shared" si="53"/>
        <v>0</v>
      </c>
      <c r="X255" s="875">
        <f t="shared" si="50"/>
        <v>0</v>
      </c>
      <c r="Y255" s="621" t="s">
        <v>1235</v>
      </c>
      <c r="Z255" s="875">
        <f t="shared" si="51"/>
        <v>0</v>
      </c>
      <c r="AA255" s="875">
        <f t="shared" si="51"/>
        <v>3200</v>
      </c>
      <c r="AB255" s="875">
        <f t="shared" si="52"/>
        <v>0</v>
      </c>
      <c r="AC255" s="878"/>
    </row>
    <row r="256" spans="1:31" s="637" customFormat="1" ht="22.5" customHeight="1" x14ac:dyDescent="0.2">
      <c r="A256" s="1046" t="s">
        <v>1143</v>
      </c>
      <c r="B256" s="619" t="s">
        <v>64</v>
      </c>
      <c r="C256" s="620">
        <v>244</v>
      </c>
      <c r="D256" s="620">
        <v>346</v>
      </c>
      <c r="E256" s="596">
        <f t="shared" si="45"/>
        <v>3200</v>
      </c>
      <c r="F256" s="595">
        <f>'Прилож 4 24 (8)'!V241</f>
        <v>0</v>
      </c>
      <c r="G256" s="595">
        <f>'Прилож 4 24 (8)'!W241</f>
        <v>0</v>
      </c>
      <c r="H256" s="595">
        <f>'Прилож 4 24 (8)'!X241</f>
        <v>0</v>
      </c>
      <c r="I256" s="597"/>
      <c r="J256" s="595">
        <f>'Прилож 4 24 (8)'!Z241</f>
        <v>0</v>
      </c>
      <c r="K256" s="595">
        <f>'Прилож 4 24 (8)'!AA241</f>
        <v>3200</v>
      </c>
      <c r="L256" s="595">
        <f>'Прилож 4 24 (8)'!AB241</f>
        <v>0</v>
      </c>
      <c r="M256" s="876">
        <f t="shared" si="48"/>
        <v>0</v>
      </c>
      <c r="N256" s="884"/>
      <c r="O256" s="884"/>
      <c r="P256" s="884"/>
      <c r="Q256" s="884"/>
      <c r="R256" s="884"/>
      <c r="S256" s="884"/>
      <c r="T256" s="884"/>
      <c r="U256" s="876">
        <f t="shared" si="49"/>
        <v>3200</v>
      </c>
      <c r="V256" s="876">
        <f t="shared" si="49"/>
        <v>0</v>
      </c>
      <c r="W256" s="876">
        <f t="shared" si="53"/>
        <v>0</v>
      </c>
      <c r="X256" s="876">
        <f t="shared" si="50"/>
        <v>0</v>
      </c>
      <c r="Y256" s="884"/>
      <c r="Z256" s="876">
        <f t="shared" si="51"/>
        <v>0</v>
      </c>
      <c r="AA256" s="876">
        <f t="shared" si="51"/>
        <v>3200</v>
      </c>
      <c r="AB256" s="875">
        <f t="shared" si="52"/>
        <v>0</v>
      </c>
      <c r="AC256" s="886"/>
    </row>
    <row r="257" spans="1:31" ht="33" customHeight="1" x14ac:dyDescent="0.2">
      <c r="A257" s="618" t="s">
        <v>710</v>
      </c>
      <c r="B257" s="619" t="s">
        <v>691</v>
      </c>
      <c r="C257" s="620">
        <v>244</v>
      </c>
      <c r="D257" s="620">
        <v>346</v>
      </c>
      <c r="E257" s="596">
        <f t="shared" si="45"/>
        <v>17057.180000000229</v>
      </c>
      <c r="F257" s="595">
        <f>'Прилож 4 24 (8)'!V242</f>
        <v>0</v>
      </c>
      <c r="G257" s="595">
        <f>'Прилож 4 24 (8)'!W242</f>
        <v>2.3283064365386963E-10</v>
      </c>
      <c r="H257" s="595">
        <f>'Прилож 4 24 (8)'!X242</f>
        <v>15649.169999999998</v>
      </c>
      <c r="I257" s="621"/>
      <c r="J257" s="595">
        <f>'Прилож 4 24 (8)'!Z242</f>
        <v>0</v>
      </c>
      <c r="K257" s="595">
        <f>'Прилож 4 24 (8)'!AA242</f>
        <v>0</v>
      </c>
      <c r="L257" s="595">
        <f>'Прилож 4 24 (8)'!AB242</f>
        <v>1408.01</v>
      </c>
      <c r="M257" s="876">
        <f t="shared" si="48"/>
        <v>0</v>
      </c>
      <c r="N257" s="875"/>
      <c r="O257" s="875"/>
      <c r="P257" s="875"/>
      <c r="Q257" s="877"/>
      <c r="R257" s="875"/>
      <c r="S257" s="875"/>
      <c r="T257" s="875"/>
      <c r="U257" s="876">
        <f t="shared" si="49"/>
        <v>17057.180000000229</v>
      </c>
      <c r="V257" s="875">
        <f t="shared" si="49"/>
        <v>0</v>
      </c>
      <c r="W257" s="875">
        <f t="shared" si="53"/>
        <v>2.3283064365386963E-10</v>
      </c>
      <c r="X257" s="875">
        <f t="shared" si="50"/>
        <v>15649.169999999998</v>
      </c>
      <c r="Y257" s="877"/>
      <c r="Z257" s="875">
        <f t="shared" si="51"/>
        <v>0</v>
      </c>
      <c r="AA257" s="875">
        <f t="shared" si="51"/>
        <v>0</v>
      </c>
      <c r="AB257" s="875">
        <f t="shared" si="52"/>
        <v>1408.01</v>
      </c>
      <c r="AC257" s="878"/>
    </row>
    <row r="258" spans="1:31" ht="39.75" customHeight="1" x14ac:dyDescent="0.2">
      <c r="A258" s="618" t="s">
        <v>709</v>
      </c>
      <c r="B258" s="619" t="s">
        <v>691</v>
      </c>
      <c r="C258" s="620">
        <v>244</v>
      </c>
      <c r="D258" s="620">
        <v>346</v>
      </c>
      <c r="E258" s="596">
        <f t="shared" si="45"/>
        <v>5836.95</v>
      </c>
      <c r="F258" s="595">
        <f>'Прилож 4 24 (8)'!V243</f>
        <v>0</v>
      </c>
      <c r="G258" s="595">
        <f>'Прилож 4 24 (8)'!W243</f>
        <v>0</v>
      </c>
      <c r="H258" s="595">
        <f>'Прилож 4 24 (8)'!X243</f>
        <v>5171</v>
      </c>
      <c r="I258" s="621"/>
      <c r="J258" s="595">
        <f>'Прилож 4 24 (8)'!Z243</f>
        <v>0</v>
      </c>
      <c r="K258" s="595">
        <f>'Прилож 4 24 (8)'!AA243</f>
        <v>0</v>
      </c>
      <c r="L258" s="595">
        <f>'Прилож 4 24 (8)'!AB243</f>
        <v>665.95</v>
      </c>
      <c r="M258" s="876">
        <f t="shared" si="48"/>
        <v>0</v>
      </c>
      <c r="N258" s="875"/>
      <c r="O258" s="875"/>
      <c r="P258" s="875"/>
      <c r="Q258" s="877"/>
      <c r="R258" s="875"/>
      <c r="S258" s="875"/>
      <c r="T258" s="875"/>
      <c r="U258" s="876">
        <f t="shared" si="49"/>
        <v>5836.95</v>
      </c>
      <c r="V258" s="875">
        <f t="shared" si="49"/>
        <v>0</v>
      </c>
      <c r="W258" s="875">
        <f t="shared" si="53"/>
        <v>0</v>
      </c>
      <c r="X258" s="875">
        <f t="shared" si="50"/>
        <v>5171</v>
      </c>
      <c r="Y258" s="877"/>
      <c r="Z258" s="875">
        <f t="shared" si="51"/>
        <v>0</v>
      </c>
      <c r="AA258" s="875">
        <f t="shared" si="51"/>
        <v>0</v>
      </c>
      <c r="AB258" s="875">
        <f t="shared" si="52"/>
        <v>665.95</v>
      </c>
      <c r="AC258" s="878"/>
    </row>
    <row r="259" spans="1:31" s="637" customFormat="1" ht="25.5" customHeight="1" x14ac:dyDescent="0.2">
      <c r="A259" s="1046" t="s">
        <v>1143</v>
      </c>
      <c r="B259" s="1047" t="s">
        <v>691</v>
      </c>
      <c r="C259" s="1048">
        <v>244</v>
      </c>
      <c r="D259" s="1048">
        <v>346</v>
      </c>
      <c r="E259" s="596">
        <f t="shared" si="45"/>
        <v>22894.13</v>
      </c>
      <c r="F259" s="595">
        <f>'Прилож 4 24 (8)'!V244</f>
        <v>0</v>
      </c>
      <c r="G259" s="595">
        <f>'Прилож 4 24 (8)'!W244</f>
        <v>0</v>
      </c>
      <c r="H259" s="595">
        <f>'Прилож 4 24 (8)'!X244</f>
        <v>20820.170000000002</v>
      </c>
      <c r="I259" s="635"/>
      <c r="J259" s="595">
        <f>'Прилож 4 24 (8)'!Z244</f>
        <v>0</v>
      </c>
      <c r="K259" s="595">
        <f>'Прилож 4 24 (8)'!AA244</f>
        <v>0</v>
      </c>
      <c r="L259" s="595">
        <f>'Прилож 4 24 (8)'!AB244</f>
        <v>2073.96</v>
      </c>
      <c r="M259" s="876">
        <f t="shared" si="48"/>
        <v>0</v>
      </c>
      <c r="N259" s="884"/>
      <c r="O259" s="884"/>
      <c r="P259" s="884">
        <f>SUM(P257:P258)</f>
        <v>0</v>
      </c>
      <c r="Q259" s="885"/>
      <c r="R259" s="884"/>
      <c r="S259" s="884"/>
      <c r="T259" s="884">
        <f>SUM(T257:T258)</f>
        <v>0</v>
      </c>
      <c r="U259" s="876">
        <f t="shared" si="49"/>
        <v>22894.13</v>
      </c>
      <c r="V259" s="876">
        <f t="shared" si="49"/>
        <v>0</v>
      </c>
      <c r="W259" s="876">
        <f t="shared" si="53"/>
        <v>0</v>
      </c>
      <c r="X259" s="876">
        <f t="shared" si="50"/>
        <v>20820.170000000002</v>
      </c>
      <c r="Y259" s="885"/>
      <c r="Z259" s="876">
        <f t="shared" si="51"/>
        <v>0</v>
      </c>
      <c r="AA259" s="876">
        <f t="shared" si="51"/>
        <v>0</v>
      </c>
      <c r="AB259" s="876">
        <f t="shared" si="52"/>
        <v>2073.96</v>
      </c>
      <c r="AC259" s="1086"/>
    </row>
    <row r="260" spans="1:31" s="614" customFormat="1" ht="27.75" customHeight="1" x14ac:dyDescent="0.2">
      <c r="A260" s="630" t="s">
        <v>744</v>
      </c>
      <c r="B260" s="631"/>
      <c r="C260" s="624"/>
      <c r="D260" s="624"/>
      <c r="E260" s="596">
        <f t="shared" si="45"/>
        <v>1718502.8199999998</v>
      </c>
      <c r="F260" s="595">
        <f>'Прилож 4 24 (8)'!V245</f>
        <v>1416994.96</v>
      </c>
      <c r="G260" s="595">
        <f>'Прилож 4 24 (8)'!W245</f>
        <v>0</v>
      </c>
      <c r="H260" s="595">
        <f>'Прилож 4 24 (8)'!X245</f>
        <v>223006.12</v>
      </c>
      <c r="I260" s="596"/>
      <c r="J260" s="595">
        <f>'Прилож 4 24 (8)'!Z245</f>
        <v>0</v>
      </c>
      <c r="K260" s="595">
        <f>'Прилож 4 24 (8)'!AA245</f>
        <v>3200</v>
      </c>
      <c r="L260" s="595">
        <f>'Прилож 4 24 (8)'!AB245</f>
        <v>75301.739999999991</v>
      </c>
      <c r="M260" s="876">
        <f t="shared" si="48"/>
        <v>81437.029999999984</v>
      </c>
      <c r="N260" s="876">
        <f>N259+N256+N254+N245</f>
        <v>-63780</v>
      </c>
      <c r="O260" s="876"/>
      <c r="P260" s="876">
        <f>P245+P254+P259</f>
        <v>146993.76999999999</v>
      </c>
      <c r="Q260" s="876"/>
      <c r="R260" s="876"/>
      <c r="S260" s="876"/>
      <c r="T260" s="876">
        <f>T245+T254+T259</f>
        <v>-1776.7399999999998</v>
      </c>
      <c r="U260" s="876">
        <f t="shared" si="49"/>
        <v>1799939.8499999999</v>
      </c>
      <c r="V260" s="875">
        <f t="shared" si="49"/>
        <v>1353214.96</v>
      </c>
      <c r="W260" s="875">
        <f t="shared" si="53"/>
        <v>0</v>
      </c>
      <c r="X260" s="875">
        <f t="shared" si="50"/>
        <v>369999.89</v>
      </c>
      <c r="Y260" s="876"/>
      <c r="Z260" s="875">
        <f t="shared" si="51"/>
        <v>0</v>
      </c>
      <c r="AA260" s="875">
        <f t="shared" si="51"/>
        <v>3200</v>
      </c>
      <c r="AB260" s="875">
        <f t="shared" si="52"/>
        <v>73524.999999999985</v>
      </c>
      <c r="AC260" s="879"/>
      <c r="AD260" s="818"/>
    </row>
    <row r="261" spans="1:31" ht="39.75" customHeight="1" x14ac:dyDescent="0.2">
      <c r="A261" s="618" t="s">
        <v>948</v>
      </c>
      <c r="B261" s="619" t="s">
        <v>729</v>
      </c>
      <c r="C261" s="620">
        <v>244</v>
      </c>
      <c r="D261" s="620">
        <v>349</v>
      </c>
      <c r="E261" s="596">
        <f t="shared" si="45"/>
        <v>4644</v>
      </c>
      <c r="F261" s="595">
        <f>'Прилож 4 24 (8)'!V246</f>
        <v>4644</v>
      </c>
      <c r="G261" s="595">
        <f>'Прилож 4 24 (8)'!W246</f>
        <v>0</v>
      </c>
      <c r="H261" s="595">
        <f>'Прилож 4 24 (8)'!X246</f>
        <v>0</v>
      </c>
      <c r="I261" s="626"/>
      <c r="J261" s="595">
        <f>'Прилож 4 24 (8)'!Z246</f>
        <v>0</v>
      </c>
      <c r="K261" s="595">
        <f>'Прилож 4 24 (8)'!AA246</f>
        <v>0</v>
      </c>
      <c r="L261" s="595">
        <f>'Прилож 4 24 (8)'!AB246</f>
        <v>0</v>
      </c>
      <c r="M261" s="876">
        <f t="shared" si="48"/>
        <v>0</v>
      </c>
      <c r="N261" s="875"/>
      <c r="O261" s="876"/>
      <c r="P261" s="876"/>
      <c r="Q261" s="881"/>
      <c r="R261" s="876"/>
      <c r="S261" s="876"/>
      <c r="T261" s="875"/>
      <c r="U261" s="876">
        <f t="shared" si="49"/>
        <v>4644</v>
      </c>
      <c r="V261" s="875">
        <f t="shared" si="49"/>
        <v>4644</v>
      </c>
      <c r="W261" s="875">
        <f t="shared" si="53"/>
        <v>0</v>
      </c>
      <c r="X261" s="875">
        <f t="shared" si="50"/>
        <v>0</v>
      </c>
      <c r="Y261" s="881"/>
      <c r="Z261" s="875">
        <f t="shared" si="51"/>
        <v>0</v>
      </c>
      <c r="AA261" s="875">
        <f t="shared" si="51"/>
        <v>0</v>
      </c>
      <c r="AB261" s="875">
        <f t="shared" si="52"/>
        <v>0</v>
      </c>
      <c r="AC261" s="878"/>
    </row>
    <row r="262" spans="1:31" s="614" customFormat="1" ht="27.75" customHeight="1" x14ac:dyDescent="0.2">
      <c r="A262" s="630" t="s">
        <v>949</v>
      </c>
      <c r="B262" s="631"/>
      <c r="C262" s="624"/>
      <c r="D262" s="624"/>
      <c r="E262" s="596">
        <f t="shared" si="45"/>
        <v>4644</v>
      </c>
      <c r="F262" s="595">
        <f>'Прилож 4 24 (8)'!V247</f>
        <v>4644</v>
      </c>
      <c r="G262" s="595">
        <f>'Прилож 4 24 (8)'!W247</f>
        <v>0</v>
      </c>
      <c r="H262" s="595">
        <f>'Прилож 4 24 (8)'!X247</f>
        <v>0</v>
      </c>
      <c r="I262" s="626"/>
      <c r="J262" s="595">
        <f>'Прилож 4 24 (8)'!Z247</f>
        <v>0</v>
      </c>
      <c r="K262" s="595">
        <f>'Прилож 4 24 (8)'!AA247</f>
        <v>0</v>
      </c>
      <c r="L262" s="595">
        <f>'Прилож 4 24 (8)'!AB247</f>
        <v>0</v>
      </c>
      <c r="M262" s="876">
        <f t="shared" si="48"/>
        <v>0</v>
      </c>
      <c r="N262" s="875"/>
      <c r="O262" s="876">
        <f>O254+O256+O259</f>
        <v>0</v>
      </c>
      <c r="P262" s="876"/>
      <c r="Q262" s="881"/>
      <c r="R262" s="876">
        <f>R254+R256+R259</f>
        <v>0</v>
      </c>
      <c r="S262" s="876">
        <f>S254+S256+S259</f>
        <v>0</v>
      </c>
      <c r="T262" s="876"/>
      <c r="U262" s="876">
        <f t="shared" si="49"/>
        <v>4644</v>
      </c>
      <c r="V262" s="875">
        <f t="shared" si="49"/>
        <v>4644</v>
      </c>
      <c r="W262" s="875">
        <f t="shared" si="53"/>
        <v>0</v>
      </c>
      <c r="X262" s="875">
        <f t="shared" si="50"/>
        <v>0</v>
      </c>
      <c r="Y262" s="881"/>
      <c r="Z262" s="875">
        <f t="shared" si="51"/>
        <v>0</v>
      </c>
      <c r="AA262" s="875">
        <f t="shared" si="51"/>
        <v>0</v>
      </c>
      <c r="AB262" s="875">
        <f t="shared" si="52"/>
        <v>0</v>
      </c>
      <c r="AC262" s="879"/>
    </row>
    <row r="263" spans="1:31" s="614" customFormat="1" x14ac:dyDescent="0.2">
      <c r="A263" s="624" t="s">
        <v>745</v>
      </c>
      <c r="B263" s="631"/>
      <c r="C263" s="624"/>
      <c r="D263" s="624"/>
      <c r="E263" s="596">
        <f t="shared" si="45"/>
        <v>65940308.519999996</v>
      </c>
      <c r="F263" s="595">
        <f>'Прилож 4 24 (8)'!V248</f>
        <v>42188221.810000002</v>
      </c>
      <c r="G263" s="595">
        <f>'Прилож 4 24 (8)'!W248</f>
        <v>2289688.09</v>
      </c>
      <c r="H263" s="595">
        <f>'Прилож 4 24 (8)'!X248</f>
        <v>11317923.020000001</v>
      </c>
      <c r="I263" s="626"/>
      <c r="J263" s="595">
        <f>'Прилож 4 24 (8)'!Z248</f>
        <v>0</v>
      </c>
      <c r="K263" s="595">
        <f>'Прилож 4 24 (8)'!AA248</f>
        <v>7599112.6099999994</v>
      </c>
      <c r="L263" s="595">
        <f>'Прилож 4 24 (8)'!AB248</f>
        <v>2545362.9899999993</v>
      </c>
      <c r="M263" s="876">
        <f>M262+M260+M240+M238+M236+M233+M231+M226++M205+M202+M167+M109+M107+M90+M69+M60+M49+M47+M42+M229+M44+M51</f>
        <v>3389790.9199999995</v>
      </c>
      <c r="N263" s="876">
        <f>N260+N240+N238+N236+N233+N231+N229+N226+N205+N202+N167+N109+N107+N90+N69+N60+N49+N47+N44+N42+N262</f>
        <v>-0.01</v>
      </c>
      <c r="O263" s="876">
        <f>O260+O240+O238+O236+O233+O231+O229+O226+O205+O202+O167+O109+O107+O90+O69+O60+O49+O47+O44+O42</f>
        <v>26038.46</v>
      </c>
      <c r="P263" s="876">
        <f>P260+P240+P238+P236+P233+P231+P229+P226+P205+P202+P167+P109+P107+P90+P69+P60+P49+P47+P44+P42</f>
        <v>182400.01</v>
      </c>
      <c r="Q263" s="876"/>
      <c r="R263" s="876">
        <f>R260+R240+R238+R236+R233+R231+R229+R226+R205+R202+R167+R109+R107+R90+R69+R60+R49+R47+R44+R42</f>
        <v>0</v>
      </c>
      <c r="S263" s="876">
        <f>S260+S240+S238+S236+S233+S231+S229+S226+S205+S202+S167+S109+S107+S90+S69+S60+S49+S47+S44+S42+S51</f>
        <v>3150885.26</v>
      </c>
      <c r="T263" s="876">
        <f>T260+T240+T238+T236+T233+T231+T229+T226+T205+T202+T167+T109+T107+T90+T69+T60+T49+T47+T44+T42</f>
        <v>30467.199999999997</v>
      </c>
      <c r="U263" s="876">
        <f>U262+U260+U240+U238+U236+U233+U231+U226++U205+U202+U167+U109+U107+U90+U69+U60+U49+U47+U42+U229+U44+U50</f>
        <v>69330099.439999998</v>
      </c>
      <c r="V263" s="875">
        <f t="shared" si="49"/>
        <v>42188221.800000004</v>
      </c>
      <c r="W263" s="875">
        <f t="shared" si="53"/>
        <v>2315726.5499999998</v>
      </c>
      <c r="X263" s="875">
        <f t="shared" si="50"/>
        <v>11500323.030000001</v>
      </c>
      <c r="Y263" s="876">
        <f>Y262+Y260+Y240+Y238+Y236+Y233+Y231+Y226++Y205+Y202+Y167+Y109+Y107+Y90+Y69+Y60+Y49+Y47+Y42+Y229</f>
        <v>0</v>
      </c>
      <c r="Z263" s="875">
        <f t="shared" si="51"/>
        <v>0</v>
      </c>
      <c r="AA263" s="875">
        <f t="shared" si="51"/>
        <v>10749997.869999999</v>
      </c>
      <c r="AB263" s="875">
        <f t="shared" si="52"/>
        <v>2575830.1899999995</v>
      </c>
      <c r="AC263" s="879"/>
      <c r="AD263" s="818"/>
      <c r="AE263" s="818">
        <f>V263+W263+X263</f>
        <v>56004271.380000003</v>
      </c>
    </row>
    <row r="264" spans="1:31" ht="25.5" customHeight="1" x14ac:dyDescent="0.2">
      <c r="A264" s="618" t="s">
        <v>946</v>
      </c>
      <c r="B264" s="619"/>
      <c r="C264" s="620"/>
      <c r="D264" s="620">
        <v>189</v>
      </c>
      <c r="E264" s="596">
        <f t="shared" si="45"/>
        <v>-12500</v>
      </c>
      <c r="F264" s="595">
        <f>'Прилож 4 24 (2)'!V208</f>
        <v>0</v>
      </c>
      <c r="G264" s="595">
        <f>'Прилож 4 24 (2)'!W218</f>
        <v>0</v>
      </c>
      <c r="H264" s="595">
        <f>'Прилож 4 24 (2)'!X208</f>
        <v>0</v>
      </c>
      <c r="I264" s="621"/>
      <c r="J264" s="595">
        <f>'Прилож 4 24 (2)'!Z208</f>
        <v>0</v>
      </c>
      <c r="K264" s="595">
        <f>'Прилож 4 24 (2)'!AA208</f>
        <v>0</v>
      </c>
      <c r="L264" s="875">
        <f>'Прилож 4 24 (2)'!AB208</f>
        <v>-12500</v>
      </c>
      <c r="M264" s="876">
        <f>N264+P264+R264+S264+T264+O264</f>
        <v>0</v>
      </c>
      <c r="N264" s="875"/>
      <c r="O264" s="875"/>
      <c r="P264" s="875"/>
      <c r="Q264" s="877"/>
      <c r="R264" s="875"/>
      <c r="S264" s="875"/>
      <c r="T264" s="875"/>
      <c r="U264" s="876">
        <f>V264+X264+Z264+AA264+AB264+W264</f>
        <v>-12500</v>
      </c>
      <c r="V264" s="875">
        <f t="shared" si="49"/>
        <v>0</v>
      </c>
      <c r="W264" s="875">
        <f t="shared" si="53"/>
        <v>0</v>
      </c>
      <c r="X264" s="875">
        <f t="shared" si="50"/>
        <v>0</v>
      </c>
      <c r="Y264" s="877"/>
      <c r="Z264" s="875">
        <f t="shared" si="51"/>
        <v>0</v>
      </c>
      <c r="AA264" s="875">
        <f t="shared" si="51"/>
        <v>0</v>
      </c>
      <c r="AB264" s="875">
        <f t="shared" si="52"/>
        <v>-12500</v>
      </c>
      <c r="AC264" s="878"/>
    </row>
    <row r="265" spans="1:31" s="614" customFormat="1" ht="31.5" x14ac:dyDescent="0.2">
      <c r="A265" s="630" t="s">
        <v>746</v>
      </c>
      <c r="B265" s="624"/>
      <c r="C265" s="624"/>
      <c r="D265" s="624"/>
      <c r="E265" s="596">
        <f t="shared" si="45"/>
        <v>-12500</v>
      </c>
      <c r="F265" s="595">
        <f>'Прилож 4 24 (2)'!V209</f>
        <v>0</v>
      </c>
      <c r="G265" s="595">
        <f>'Прилож 4 24 (2)'!W219</f>
        <v>0</v>
      </c>
      <c r="H265" s="595">
        <f>'Прилож 4 24 (2)'!X209</f>
        <v>0</v>
      </c>
      <c r="I265" s="626"/>
      <c r="J265" s="595">
        <f>'Прилож 4 24 (2)'!Z209</f>
        <v>0</v>
      </c>
      <c r="K265" s="595">
        <f>'Прилож 4 24 (2)'!AA209</f>
        <v>0</v>
      </c>
      <c r="L265" s="875">
        <f>'Прилож 4 24 (2)'!AB209</f>
        <v>-12500</v>
      </c>
      <c r="M265" s="876">
        <f>N265+P265+R265+S265+T265+O265</f>
        <v>0</v>
      </c>
      <c r="N265" s="876">
        <f>N264</f>
        <v>0</v>
      </c>
      <c r="O265" s="876">
        <f>O264</f>
        <v>0</v>
      </c>
      <c r="P265" s="876">
        <f>P264</f>
        <v>0</v>
      </c>
      <c r="Q265" s="881"/>
      <c r="R265" s="876">
        <f>R264</f>
        <v>0</v>
      </c>
      <c r="S265" s="876"/>
      <c r="T265" s="876">
        <f>T264</f>
        <v>0</v>
      </c>
      <c r="U265" s="876">
        <f>V265+X265+Z265+AA265+AB265+W265</f>
        <v>-12500</v>
      </c>
      <c r="V265" s="875">
        <f t="shared" si="49"/>
        <v>0</v>
      </c>
      <c r="W265" s="875">
        <f t="shared" si="53"/>
        <v>0</v>
      </c>
      <c r="X265" s="875">
        <f t="shared" si="50"/>
        <v>0</v>
      </c>
      <c r="Y265" s="881">
        <f>Y264</f>
        <v>0</v>
      </c>
      <c r="Z265" s="875">
        <f t="shared" si="51"/>
        <v>0</v>
      </c>
      <c r="AA265" s="875">
        <f t="shared" si="51"/>
        <v>0</v>
      </c>
      <c r="AB265" s="875">
        <f t="shared" si="52"/>
        <v>-12500</v>
      </c>
      <c r="AC265" s="878"/>
    </row>
    <row r="266" spans="1:31" s="614" customFormat="1" x14ac:dyDescent="0.2">
      <c r="A266" s="630" t="s">
        <v>950</v>
      </c>
      <c r="B266" s="631" t="s">
        <v>747</v>
      </c>
      <c r="C266" s="624"/>
      <c r="D266" s="624">
        <v>610</v>
      </c>
      <c r="E266" s="596">
        <f t="shared" si="45"/>
        <v>142385.88</v>
      </c>
      <c r="F266" s="595">
        <f>'Прилож 4 24 (2)'!V210</f>
        <v>0</v>
      </c>
      <c r="G266" s="595">
        <f>'Прилож 4 24 (2)'!W220</f>
        <v>0</v>
      </c>
      <c r="H266" s="595">
        <f>'Прилож 4 24 (2)'!X210</f>
        <v>142385.88</v>
      </c>
      <c r="I266" s="626"/>
      <c r="J266" s="595">
        <f>'Прилож 4 24 (2)'!Z210</f>
        <v>0</v>
      </c>
      <c r="K266" s="595">
        <f>'Прилож 4 24 (2)'!AA210</f>
        <v>0</v>
      </c>
      <c r="L266" s="875">
        <f>'Прилож 4 24 (2)'!AB210</f>
        <v>0</v>
      </c>
      <c r="M266" s="876">
        <f>N266+P266+R266+S266+T266+O266</f>
        <v>0</v>
      </c>
      <c r="N266" s="876">
        <f>N265</f>
        <v>0</v>
      </c>
      <c r="O266" s="876">
        <f>O265</f>
        <v>0</v>
      </c>
      <c r="P266" s="876"/>
      <c r="Q266" s="881"/>
      <c r="R266" s="876">
        <f>R265</f>
        <v>0</v>
      </c>
      <c r="S266" s="876">
        <f>S265</f>
        <v>0</v>
      </c>
      <c r="T266" s="876"/>
      <c r="U266" s="876">
        <f>V266+X266+Z266+AA266+AB266+W266</f>
        <v>142385.88</v>
      </c>
      <c r="V266" s="875">
        <f t="shared" si="49"/>
        <v>0</v>
      </c>
      <c r="W266" s="875">
        <f t="shared" si="53"/>
        <v>0</v>
      </c>
      <c r="X266" s="875">
        <v>142385.88</v>
      </c>
      <c r="Y266" s="881">
        <f>Y265</f>
        <v>0</v>
      </c>
      <c r="Z266" s="875">
        <f t="shared" si="51"/>
        <v>0</v>
      </c>
      <c r="AA266" s="875">
        <f t="shared" si="51"/>
        <v>0</v>
      </c>
      <c r="AB266" s="875">
        <f t="shared" si="52"/>
        <v>0</v>
      </c>
      <c r="AC266" s="878"/>
    </row>
    <row r="267" spans="1:31" ht="33" customHeight="1" x14ac:dyDescent="0.2">
      <c r="A267" s="822" t="s">
        <v>1330</v>
      </c>
      <c r="E267" s="644">
        <f t="shared" ref="E267:Q267" si="54">E11+E34-E263+E265-E266</f>
        <v>2.6775524020195007E-9</v>
      </c>
      <c r="F267" s="644">
        <f t="shared" si="54"/>
        <v>0</v>
      </c>
      <c r="G267" s="644">
        <f t="shared" si="54"/>
        <v>0</v>
      </c>
      <c r="H267" s="644">
        <f t="shared" si="54"/>
        <v>-1.0477378964424133E-9</v>
      </c>
      <c r="I267" s="641">
        <f t="shared" si="54"/>
        <v>0</v>
      </c>
      <c r="J267" s="644">
        <f t="shared" si="54"/>
        <v>0</v>
      </c>
      <c r="K267" s="644">
        <f t="shared" si="54"/>
        <v>0</v>
      </c>
      <c r="L267" s="644">
        <f t="shared" si="54"/>
        <v>9.3132257461547852E-10</v>
      </c>
      <c r="M267" s="644">
        <f t="shared" si="54"/>
        <v>4.6566128730773926E-10</v>
      </c>
      <c r="N267" s="644">
        <f t="shared" si="54"/>
        <v>0</v>
      </c>
      <c r="O267" s="644">
        <f t="shared" si="54"/>
        <v>0</v>
      </c>
      <c r="P267" s="644">
        <f t="shared" si="54"/>
        <v>0</v>
      </c>
      <c r="Q267" s="644">
        <f t="shared" si="54"/>
        <v>0</v>
      </c>
      <c r="R267" s="644"/>
      <c r="S267" s="644">
        <f>S11+S34-S263+S265-S266</f>
        <v>0</v>
      </c>
      <c r="T267" s="644">
        <f>T11+T34-T263+T265-T266</f>
        <v>3.637978807091713E-12</v>
      </c>
      <c r="U267" s="644">
        <f>U11+U34-U263+U265-U266</f>
        <v>1.0128132998943329E-8</v>
      </c>
      <c r="V267" s="595">
        <f t="shared" si="49"/>
        <v>0</v>
      </c>
      <c r="W267" s="644">
        <f>W11+W34-W263+W265-W266</f>
        <v>0</v>
      </c>
      <c r="X267" s="644">
        <f>X11+X34-X263+X265-X266</f>
        <v>-1.0477378964424133E-9</v>
      </c>
      <c r="Y267" s="644">
        <f>Y11+Y34-Y263+Y265-Y266</f>
        <v>0</v>
      </c>
      <c r="Z267" s="595">
        <f t="shared" si="51"/>
        <v>0</v>
      </c>
      <c r="AA267" s="644">
        <f>AA11+AA34-AA263+AA265-AA266</f>
        <v>0</v>
      </c>
      <c r="AB267" s="595">
        <f t="shared" si="52"/>
        <v>9.3496055342257023E-10</v>
      </c>
      <c r="AC267" s="1005"/>
    </row>
    <row r="268" spans="1:31" x14ac:dyDescent="0.2">
      <c r="A268" s="624" t="s">
        <v>1266</v>
      </c>
      <c r="B268" s="620"/>
      <c r="C268" s="620"/>
      <c r="D268" s="620"/>
      <c r="E268" s="596"/>
      <c r="F268" s="595"/>
      <c r="G268" s="595"/>
      <c r="H268" s="595"/>
      <c r="W268" s="645">
        <f>SUM(W215:W225)</f>
        <v>0</v>
      </c>
      <c r="AB268" s="595">
        <f t="shared" si="52"/>
        <v>0</v>
      </c>
      <c r="AC268" s="1002"/>
    </row>
    <row r="269" spans="1:31" x14ac:dyDescent="0.2">
      <c r="A269" s="624" t="s">
        <v>1268</v>
      </c>
      <c r="B269" s="620"/>
      <c r="C269" s="620"/>
      <c r="D269" s="620"/>
      <c r="E269" s="596"/>
      <c r="F269" s="595"/>
      <c r="G269" s="595"/>
      <c r="H269" s="595"/>
      <c r="AB269" s="595">
        <f t="shared" si="52"/>
        <v>0</v>
      </c>
      <c r="AC269" s="1002"/>
    </row>
    <row r="270" spans="1:31" x14ac:dyDescent="0.2">
      <c r="A270" s="620" t="s">
        <v>1265</v>
      </c>
      <c r="B270" s="619" t="s">
        <v>747</v>
      </c>
      <c r="C270" s="620">
        <v>247</v>
      </c>
      <c r="D270" s="620">
        <v>223</v>
      </c>
      <c r="E270" s="596"/>
      <c r="F270" s="595"/>
      <c r="G270" s="595"/>
      <c r="H270" s="595">
        <v>97172.91</v>
      </c>
      <c r="AB270" s="595">
        <f t="shared" si="52"/>
        <v>0</v>
      </c>
      <c r="AC270" s="1002"/>
    </row>
    <row r="271" spans="1:31" x14ac:dyDescent="0.2">
      <c r="A271" s="620" t="s">
        <v>1265</v>
      </c>
      <c r="B271" s="619" t="s">
        <v>729</v>
      </c>
      <c r="C271" s="620">
        <v>247</v>
      </c>
      <c r="D271" s="620">
        <v>223</v>
      </c>
      <c r="E271" s="596"/>
      <c r="F271" s="595"/>
      <c r="G271" s="595"/>
      <c r="H271" s="595">
        <v>149284.57</v>
      </c>
      <c r="AB271" s="595">
        <f t="shared" si="52"/>
        <v>0</v>
      </c>
      <c r="AC271" s="1002"/>
    </row>
    <row r="272" spans="1:31" x14ac:dyDescent="0.2">
      <c r="A272" s="620"/>
      <c r="B272" s="620"/>
      <c r="C272" s="620"/>
      <c r="D272" s="620"/>
      <c r="E272" s="596"/>
      <c r="F272" s="595"/>
      <c r="G272" s="595"/>
      <c r="H272" s="595">
        <f>SUM(H270:H271)</f>
        <v>246457.48</v>
      </c>
      <c r="AB272" s="595">
        <f t="shared" si="52"/>
        <v>0</v>
      </c>
    </row>
    <row r="273" spans="1:8" x14ac:dyDescent="0.2">
      <c r="A273" s="624" t="s">
        <v>1269</v>
      </c>
      <c r="B273" s="620"/>
      <c r="C273" s="620"/>
      <c r="D273" s="620"/>
      <c r="E273" s="596"/>
      <c r="F273" s="595"/>
      <c r="G273" s="595"/>
      <c r="H273" s="595"/>
    </row>
    <row r="274" spans="1:8" x14ac:dyDescent="0.2">
      <c r="A274" s="620" t="s">
        <v>735</v>
      </c>
      <c r="B274" s="619" t="s">
        <v>747</v>
      </c>
      <c r="C274" s="620">
        <v>244</v>
      </c>
      <c r="D274" s="620">
        <v>223</v>
      </c>
      <c r="E274" s="596"/>
      <c r="F274" s="595"/>
      <c r="G274" s="595"/>
      <c r="H274" s="595">
        <v>28336.69</v>
      </c>
    </row>
    <row r="275" spans="1:8" x14ac:dyDescent="0.2">
      <c r="A275" s="620" t="s">
        <v>1267</v>
      </c>
      <c r="B275" s="619" t="s">
        <v>747</v>
      </c>
      <c r="C275" s="620">
        <v>247</v>
      </c>
      <c r="D275" s="620">
        <v>223</v>
      </c>
      <c r="E275" s="596"/>
      <c r="F275" s="595"/>
      <c r="G275" s="595"/>
      <c r="H275" s="595">
        <v>19716.62</v>
      </c>
    </row>
    <row r="276" spans="1:8" x14ac:dyDescent="0.2">
      <c r="A276" s="620" t="s">
        <v>1267</v>
      </c>
      <c r="B276" s="619" t="s">
        <v>729</v>
      </c>
      <c r="C276" s="620">
        <v>247</v>
      </c>
      <c r="D276" s="620">
        <v>223</v>
      </c>
      <c r="E276" s="596"/>
      <c r="F276" s="595"/>
      <c r="G276" s="595"/>
      <c r="H276" s="595">
        <v>105588.85</v>
      </c>
    </row>
    <row r="277" spans="1:8" x14ac:dyDescent="0.2">
      <c r="A277" s="620"/>
      <c r="B277" s="620"/>
      <c r="C277" s="620"/>
      <c r="D277" s="620"/>
      <c r="E277" s="596"/>
      <c r="F277" s="595"/>
      <c r="G277" s="595"/>
      <c r="H277" s="595">
        <f>SUM(H274:H276)</f>
        <v>153642.16</v>
      </c>
    </row>
  </sheetData>
  <mergeCells count="28">
    <mergeCell ref="AC7:AC10"/>
    <mergeCell ref="V8:AB8"/>
    <mergeCell ref="Y9:AA9"/>
    <mergeCell ref="AB9:AB10"/>
    <mergeCell ref="M8:M10"/>
    <mergeCell ref="N8:T8"/>
    <mergeCell ref="U8:U10"/>
    <mergeCell ref="T9:T10"/>
    <mergeCell ref="N9:P9"/>
    <mergeCell ref="Q9:S9"/>
    <mergeCell ref="V9:X9"/>
    <mergeCell ref="M7:T7"/>
    <mergeCell ref="U7:AB7"/>
    <mergeCell ref="Z1:AB1"/>
    <mergeCell ref="Z2:AB2"/>
    <mergeCell ref="A3:X3"/>
    <mergeCell ref="A4:X4"/>
    <mergeCell ref="D5:P5"/>
    <mergeCell ref="A7:A10"/>
    <mergeCell ref="B7:B10"/>
    <mergeCell ref="C7:C10"/>
    <mergeCell ref="D7:D10"/>
    <mergeCell ref="E7:L7"/>
    <mergeCell ref="E8:E10"/>
    <mergeCell ref="F8:L8"/>
    <mergeCell ref="F9:H9"/>
    <mergeCell ref="I9:K9"/>
    <mergeCell ref="L9:L10"/>
  </mergeCells>
  <pageMargins left="0.25" right="0.25" top="0.75" bottom="0.75" header="0.3" footer="0.3"/>
  <pageSetup paperSize="9" scale="25" fitToHeight="0" orientation="landscape" r:id="rId1"/>
  <rowBreaks count="4" manualBreakCount="4">
    <brk id="34" max="16383" man="1"/>
    <brk id="98" max="16383" man="1"/>
    <brk id="159" max="16383" man="1"/>
    <brk id="214"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AF281"/>
  <sheetViews>
    <sheetView view="pageBreakPreview" zoomScale="43" zoomScaleNormal="56" zoomScaleSheetLayoutView="43" workbookViewId="0">
      <pane xSplit="1" ySplit="10" topLeftCell="K98" activePane="bottomRight" state="frozen"/>
      <selection pane="topRight" activeCell="B1" sqref="B1"/>
      <selection pane="bottomLeft" activeCell="A11" sqref="A11"/>
      <selection pane="bottomRight" activeCell="U115" sqref="U115"/>
    </sheetView>
  </sheetViews>
  <sheetFormatPr defaultColWidth="9.140625" defaultRowHeight="15.75" x14ac:dyDescent="0.2"/>
  <cols>
    <col min="1" max="1" width="42" style="610" customWidth="1"/>
    <col min="2" max="2" width="11.5703125" style="610" customWidth="1"/>
    <col min="3" max="3" width="9.42578125" style="610" customWidth="1"/>
    <col min="4" max="4" width="11.7109375" style="610" customWidth="1"/>
    <col min="5" max="5" width="20.85546875" style="644" customWidth="1"/>
    <col min="6" max="6" width="19.7109375" style="645" customWidth="1"/>
    <col min="7" max="7" width="20.28515625" style="645" customWidth="1"/>
    <col min="8" max="8" width="21.42578125" style="645" customWidth="1"/>
    <col min="9" max="9" width="14.42578125" style="611" customWidth="1"/>
    <col min="10" max="10" width="14.7109375" style="645" customWidth="1"/>
    <col min="11" max="11" width="20.140625" style="645" customWidth="1"/>
    <col min="12" max="12" width="19.85546875" style="645" customWidth="1"/>
    <col min="13" max="13" width="22.85546875" style="644" customWidth="1"/>
    <col min="14" max="14" width="18.42578125" style="645" customWidth="1"/>
    <col min="15" max="15" width="19.42578125" style="645" customWidth="1"/>
    <col min="16" max="16" width="18.5703125" style="645" customWidth="1"/>
    <col min="17" max="17" width="16.28515625" style="611" customWidth="1"/>
    <col min="18" max="19" width="19" style="645" customWidth="1"/>
    <col min="20" max="20" width="20.140625" style="645" customWidth="1"/>
    <col min="21" max="21" width="22.140625" style="644" customWidth="1"/>
    <col min="22" max="22" width="20" style="645" customWidth="1"/>
    <col min="23" max="23" width="20.42578125" style="645" customWidth="1"/>
    <col min="24" max="24" width="22.7109375" style="645" customWidth="1"/>
    <col min="25" max="25" width="14.140625" style="611" customWidth="1"/>
    <col min="26" max="26" width="15.42578125" style="645" customWidth="1"/>
    <col min="27" max="27" width="20.85546875" style="645" customWidth="1"/>
    <col min="28" max="28" width="22.42578125" style="645" customWidth="1"/>
    <col min="29" max="29" width="30.42578125" style="612" customWidth="1"/>
    <col min="30" max="30" width="19.28515625" style="610" customWidth="1"/>
    <col min="31" max="31" width="18" style="610" customWidth="1"/>
    <col min="32" max="32" width="17.5703125" style="610" bestFit="1" customWidth="1"/>
    <col min="33" max="16384" width="9.140625" style="610"/>
  </cols>
  <sheetData>
    <row r="1" spans="1:29" ht="51.75" customHeight="1" x14ac:dyDescent="0.2">
      <c r="Z1" s="1572" t="s">
        <v>721</v>
      </c>
      <c r="AA1" s="1573"/>
      <c r="AB1" s="1573"/>
    </row>
    <row r="2" spans="1:29" ht="31.9" customHeight="1" x14ac:dyDescent="0.2">
      <c r="Z2" s="1573" t="s">
        <v>722</v>
      </c>
      <c r="AA2" s="1573"/>
      <c r="AB2" s="1573"/>
    </row>
    <row r="3" spans="1:29" s="614" customFormat="1" ht="24.75" customHeight="1" x14ac:dyDescent="0.2">
      <c r="A3" s="1574" t="s">
        <v>1249</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613"/>
      <c r="Z3" s="644"/>
      <c r="AA3" s="644"/>
      <c r="AB3" s="644"/>
      <c r="AC3" s="612"/>
    </row>
    <row r="4" spans="1:29" s="614" customFormat="1" ht="25.5" customHeight="1" x14ac:dyDescent="0.2">
      <c r="A4" s="1574" t="s">
        <v>1699</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613"/>
      <c r="Z4" s="644"/>
      <c r="AA4" s="644"/>
      <c r="AB4" s="644"/>
      <c r="AC4" s="612"/>
    </row>
    <row r="5" spans="1:29" x14ac:dyDescent="0.2">
      <c r="A5" s="610" t="s">
        <v>723</v>
      </c>
      <c r="D5" s="1575" t="s">
        <v>204</v>
      </c>
      <c r="E5" s="1576"/>
      <c r="F5" s="1576"/>
      <c r="G5" s="1576"/>
      <c r="H5" s="1576"/>
      <c r="I5" s="1576"/>
      <c r="J5" s="1576"/>
      <c r="K5" s="1576"/>
      <c r="L5" s="1576"/>
      <c r="M5" s="1576"/>
      <c r="N5" s="1576"/>
      <c r="O5" s="1576"/>
      <c r="P5" s="1576"/>
    </row>
    <row r="6" spans="1:29" x14ac:dyDescent="0.2">
      <c r="AC6" s="1002"/>
    </row>
    <row r="7" spans="1:29" s="614" customFormat="1" ht="37.5" customHeight="1" x14ac:dyDescent="0.2">
      <c r="A7" s="1565" t="s">
        <v>724</v>
      </c>
      <c r="B7" s="1566" t="s">
        <v>577</v>
      </c>
      <c r="C7" s="1566" t="s">
        <v>578</v>
      </c>
      <c r="D7" s="1566" t="s">
        <v>579</v>
      </c>
      <c r="E7" s="1567" t="s">
        <v>725</v>
      </c>
      <c r="F7" s="1567"/>
      <c r="G7" s="1567"/>
      <c r="H7" s="1567"/>
      <c r="I7" s="1567"/>
      <c r="J7" s="1567"/>
      <c r="K7" s="1567"/>
      <c r="L7" s="1567"/>
      <c r="M7" s="1567" t="s">
        <v>726</v>
      </c>
      <c r="N7" s="1567"/>
      <c r="O7" s="1567"/>
      <c r="P7" s="1567"/>
      <c r="Q7" s="1567"/>
      <c r="R7" s="1567"/>
      <c r="S7" s="1567"/>
      <c r="T7" s="1567"/>
      <c r="U7" s="1567" t="s">
        <v>727</v>
      </c>
      <c r="V7" s="1567"/>
      <c r="W7" s="1567"/>
      <c r="X7" s="1567"/>
      <c r="Y7" s="1567"/>
      <c r="Z7" s="1567"/>
      <c r="AA7" s="1567"/>
      <c r="AB7" s="1567"/>
      <c r="AC7" s="1577" t="s">
        <v>1178</v>
      </c>
    </row>
    <row r="8" spans="1:29" s="616" customFormat="1" ht="39.75" customHeight="1" x14ac:dyDescent="0.2">
      <c r="A8" s="1565"/>
      <c r="B8" s="1566"/>
      <c r="C8" s="1566"/>
      <c r="D8" s="1566"/>
      <c r="E8" s="1568" t="s">
        <v>6</v>
      </c>
      <c r="F8" s="1569" t="s">
        <v>52</v>
      </c>
      <c r="G8" s="1569"/>
      <c r="H8" s="1569"/>
      <c r="I8" s="1569"/>
      <c r="J8" s="1569"/>
      <c r="K8" s="1569"/>
      <c r="L8" s="1569"/>
      <c r="M8" s="1578" t="s">
        <v>6</v>
      </c>
      <c r="N8" s="1569" t="s">
        <v>52</v>
      </c>
      <c r="O8" s="1569"/>
      <c r="P8" s="1569"/>
      <c r="Q8" s="1569"/>
      <c r="R8" s="1569"/>
      <c r="S8" s="1569"/>
      <c r="T8" s="1569"/>
      <c r="U8" s="1578" t="s">
        <v>6</v>
      </c>
      <c r="V8" s="1569" t="s">
        <v>52</v>
      </c>
      <c r="W8" s="1569"/>
      <c r="X8" s="1569"/>
      <c r="Y8" s="1569"/>
      <c r="Z8" s="1569"/>
      <c r="AA8" s="1569"/>
      <c r="AB8" s="1569"/>
      <c r="AC8" s="1577"/>
    </row>
    <row r="9" spans="1:29" s="616" customFormat="1" ht="39.75" customHeight="1" x14ac:dyDescent="0.2">
      <c r="A9" s="1565"/>
      <c r="B9" s="1566"/>
      <c r="C9" s="1566"/>
      <c r="D9" s="1566"/>
      <c r="E9" s="1568"/>
      <c r="F9" s="1570" t="s">
        <v>35</v>
      </c>
      <c r="G9" s="1570"/>
      <c r="H9" s="1570"/>
      <c r="I9" s="1570" t="s">
        <v>45</v>
      </c>
      <c r="J9" s="1570"/>
      <c r="K9" s="1570"/>
      <c r="L9" s="1571" t="s">
        <v>46</v>
      </c>
      <c r="M9" s="1578"/>
      <c r="N9" s="1570" t="s">
        <v>35</v>
      </c>
      <c r="O9" s="1570"/>
      <c r="P9" s="1570"/>
      <c r="Q9" s="1570" t="s">
        <v>45</v>
      </c>
      <c r="R9" s="1570"/>
      <c r="S9" s="1570"/>
      <c r="T9" s="1571" t="s">
        <v>46</v>
      </c>
      <c r="U9" s="1578"/>
      <c r="V9" s="1570" t="s">
        <v>35</v>
      </c>
      <c r="W9" s="1570"/>
      <c r="X9" s="1570"/>
      <c r="Y9" s="1570" t="s">
        <v>45</v>
      </c>
      <c r="Z9" s="1570"/>
      <c r="AA9" s="1570"/>
      <c r="AB9" s="1571" t="s">
        <v>46</v>
      </c>
      <c r="AC9" s="1577"/>
    </row>
    <row r="10" spans="1:29" s="616" customFormat="1" ht="69" customHeight="1" x14ac:dyDescent="0.2">
      <c r="A10" s="1565"/>
      <c r="B10" s="1566"/>
      <c r="C10" s="1566"/>
      <c r="D10" s="1566"/>
      <c r="E10" s="1568"/>
      <c r="F10" s="642" t="s">
        <v>43</v>
      </c>
      <c r="G10" s="642" t="s">
        <v>592</v>
      </c>
      <c r="H10" s="642" t="s">
        <v>44</v>
      </c>
      <c r="I10" s="617" t="s">
        <v>55</v>
      </c>
      <c r="J10" s="642" t="s">
        <v>43</v>
      </c>
      <c r="K10" s="642" t="s">
        <v>44</v>
      </c>
      <c r="L10" s="1571"/>
      <c r="M10" s="1578"/>
      <c r="N10" s="642" t="s">
        <v>43</v>
      </c>
      <c r="O10" s="642" t="s">
        <v>592</v>
      </c>
      <c r="P10" s="642" t="s">
        <v>44</v>
      </c>
      <c r="Q10" s="617" t="s">
        <v>55</v>
      </c>
      <c r="R10" s="642" t="s">
        <v>43</v>
      </c>
      <c r="S10" s="642" t="s">
        <v>44</v>
      </c>
      <c r="T10" s="1571"/>
      <c r="U10" s="1578"/>
      <c r="V10" s="642" t="s">
        <v>43</v>
      </c>
      <c r="W10" s="642" t="s">
        <v>592</v>
      </c>
      <c r="X10" s="642" t="s">
        <v>44</v>
      </c>
      <c r="Y10" s="617" t="s">
        <v>55</v>
      </c>
      <c r="Z10" s="642" t="s">
        <v>43</v>
      </c>
      <c r="AA10" s="642" t="s">
        <v>44</v>
      </c>
      <c r="AB10" s="1571"/>
      <c r="AC10" s="1577"/>
    </row>
    <row r="11" spans="1:29" ht="31.5" x14ac:dyDescent="0.2">
      <c r="A11" s="618" t="s">
        <v>909</v>
      </c>
      <c r="B11" s="619" t="s">
        <v>747</v>
      </c>
      <c r="C11" s="620"/>
      <c r="D11" s="620">
        <v>510</v>
      </c>
      <c r="E11" s="596">
        <f>L11+K11+J11+H11+G11+F11</f>
        <v>332433.68</v>
      </c>
      <c r="F11" s="595">
        <f>'Прилож 4 24 (9)'!V11</f>
        <v>0</v>
      </c>
      <c r="G11" s="595">
        <f>'Прилож 4 24 (9)'!W11</f>
        <v>0</v>
      </c>
      <c r="H11" s="595">
        <f>'Прилож 4 24 (9)'!X11</f>
        <v>255285.97</v>
      </c>
      <c r="I11" s="595"/>
      <c r="J11" s="595">
        <f>'Прилож 4 24 (9)'!Z11</f>
        <v>0</v>
      </c>
      <c r="K11" s="595">
        <f>'Прилож 4 24 (9)'!AA11</f>
        <v>0</v>
      </c>
      <c r="L11" s="595">
        <f>'Прилож 4 24 (9)'!AB11</f>
        <v>77147.710000000006</v>
      </c>
      <c r="M11" s="596">
        <f t="shared" ref="M11:M27" si="0">N11+P11+R11+S11+T11+O11</f>
        <v>0</v>
      </c>
      <c r="N11" s="595"/>
      <c r="O11" s="595"/>
      <c r="P11" s="595"/>
      <c r="Q11" s="621"/>
      <c r="R11" s="595"/>
      <c r="S11" s="595"/>
      <c r="T11" s="595"/>
      <c r="U11" s="999">
        <f>X11+AB11</f>
        <v>332433.68</v>
      </c>
      <c r="V11" s="835">
        <f t="shared" ref="V11:V31" si="1">F11+N11</f>
        <v>0</v>
      </c>
      <c r="W11" s="835">
        <f t="shared" ref="W11:X31" si="2">O11+G11</f>
        <v>0</v>
      </c>
      <c r="X11" s="835">
        <f t="shared" si="2"/>
        <v>255285.97</v>
      </c>
      <c r="Y11" s="1000"/>
      <c r="Z11" s="835">
        <f t="shared" ref="Z11:AB27" si="3">R11+J11</f>
        <v>0</v>
      </c>
      <c r="AA11" s="835">
        <f t="shared" si="3"/>
        <v>0</v>
      </c>
      <c r="AB11" s="835">
        <f t="shared" si="3"/>
        <v>77147.710000000006</v>
      </c>
      <c r="AC11" s="1003"/>
    </row>
    <row r="12" spans="1:29" ht="98.25" customHeight="1" x14ac:dyDescent="0.2">
      <c r="A12" s="618" t="s">
        <v>728</v>
      </c>
      <c r="B12" s="619" t="s">
        <v>747</v>
      </c>
      <c r="C12" s="620">
        <v>130</v>
      </c>
      <c r="D12" s="620">
        <v>131</v>
      </c>
      <c r="E12" s="596">
        <f>L12+K12+J12+H12+G12+F12</f>
        <v>23228700</v>
      </c>
      <c r="F12" s="595">
        <f>'Прилож 4 24 (9)'!V12</f>
        <v>16891100</v>
      </c>
      <c r="G12" s="595">
        <f>'Прилож 4 24 (9)'!W12</f>
        <v>0</v>
      </c>
      <c r="H12" s="595">
        <f>'Прилож 4 24 (9)'!X12</f>
        <v>6337600</v>
      </c>
      <c r="I12" s="621"/>
      <c r="J12" s="595">
        <f>'Прилож 4 24 (9)'!Z12</f>
        <v>0</v>
      </c>
      <c r="K12" s="595">
        <f>'Прилож 4 24 (9)'!AA12</f>
        <v>0</v>
      </c>
      <c r="L12" s="595">
        <f>'Прилож 4 24 (9)'!AB12</f>
        <v>0</v>
      </c>
      <c r="M12" s="596">
        <f t="shared" si="0"/>
        <v>0</v>
      </c>
      <c r="N12" s="595"/>
      <c r="O12" s="595"/>
      <c r="P12" s="595"/>
      <c r="Q12" s="621"/>
      <c r="R12" s="595"/>
      <c r="S12" s="595"/>
      <c r="T12" s="595"/>
      <c r="U12" s="999">
        <f t="shared" ref="U12:U34" si="4">V12+X12+Z12+AA12+AB12+W12</f>
        <v>23228700</v>
      </c>
      <c r="V12" s="835">
        <f t="shared" si="1"/>
        <v>16891100</v>
      </c>
      <c r="W12" s="835">
        <f t="shared" si="2"/>
        <v>0</v>
      </c>
      <c r="X12" s="835">
        <f t="shared" si="2"/>
        <v>6337600</v>
      </c>
      <c r="Y12" s="1000"/>
      <c r="Z12" s="835">
        <f t="shared" si="3"/>
        <v>0</v>
      </c>
      <c r="AA12" s="835">
        <f t="shared" si="3"/>
        <v>0</v>
      </c>
      <c r="AB12" s="835">
        <f t="shared" si="3"/>
        <v>0</v>
      </c>
    </row>
    <row r="13" spans="1:29" ht="58.5" customHeight="1" x14ac:dyDescent="0.2">
      <c r="A13" s="618" t="s">
        <v>580</v>
      </c>
      <c r="B13" s="619" t="s">
        <v>729</v>
      </c>
      <c r="C13" s="620">
        <v>130</v>
      </c>
      <c r="D13" s="620">
        <v>131</v>
      </c>
      <c r="E13" s="596">
        <f>L13+K13+J13+H13+G13+F13</f>
        <v>926500</v>
      </c>
      <c r="F13" s="595">
        <f>'Прилож 4 24 (9)'!V13</f>
        <v>0</v>
      </c>
      <c r="G13" s="595">
        <f>'Прилож 4 24 (9)'!W13</f>
        <v>0</v>
      </c>
      <c r="H13" s="595">
        <f>'Прилож 4 24 (9)'!X13</f>
        <v>926500</v>
      </c>
      <c r="I13" s="621"/>
      <c r="J13" s="595">
        <f>'Прилож 4 24 (9)'!Z13</f>
        <v>0</v>
      </c>
      <c r="K13" s="595">
        <f>'Прилож 4 24 (9)'!AA13</f>
        <v>0</v>
      </c>
      <c r="L13" s="595">
        <f>'Прилож 4 24 (9)'!AB13</f>
        <v>0</v>
      </c>
      <c r="M13" s="596">
        <f t="shared" si="0"/>
        <v>0</v>
      </c>
      <c r="N13" s="595"/>
      <c r="O13" s="595"/>
      <c r="P13" s="595"/>
      <c r="Q13" s="621"/>
      <c r="R13" s="595"/>
      <c r="S13" s="595"/>
      <c r="T13" s="595"/>
      <c r="U13" s="999">
        <f t="shared" si="4"/>
        <v>926500</v>
      </c>
      <c r="V13" s="835">
        <f t="shared" si="1"/>
        <v>0</v>
      </c>
      <c r="W13" s="835">
        <f t="shared" si="2"/>
        <v>0</v>
      </c>
      <c r="X13" s="835">
        <f t="shared" si="2"/>
        <v>926500</v>
      </c>
      <c r="Y13" s="1000"/>
      <c r="Z13" s="835">
        <f t="shared" si="3"/>
        <v>0</v>
      </c>
      <c r="AA13" s="835">
        <f t="shared" si="3"/>
        <v>0</v>
      </c>
      <c r="AB13" s="835">
        <f t="shared" si="3"/>
        <v>0</v>
      </c>
      <c r="AC13" s="1003"/>
    </row>
    <row r="14" spans="1:29" ht="98.25" customHeight="1" x14ac:dyDescent="0.2">
      <c r="A14" s="618" t="s">
        <v>728</v>
      </c>
      <c r="B14" s="619" t="s">
        <v>729</v>
      </c>
      <c r="C14" s="620">
        <v>130</v>
      </c>
      <c r="D14" s="620">
        <v>131</v>
      </c>
      <c r="E14" s="596">
        <f>L14+K14+J14+H14+G14+F14</f>
        <v>28351196</v>
      </c>
      <c r="F14" s="595">
        <f>'Прилож 4 24 (9)'!V14</f>
        <v>24547930</v>
      </c>
      <c r="G14" s="595">
        <f>'Прилож 4 24 (9)'!W14</f>
        <v>0</v>
      </c>
      <c r="H14" s="595">
        <f>'Прилож 4 24 (9)'!X14</f>
        <v>3803266</v>
      </c>
      <c r="I14" s="621"/>
      <c r="J14" s="595">
        <f>'Прилож 4 24 (9)'!Z14</f>
        <v>0</v>
      </c>
      <c r="K14" s="595">
        <f>'Прилож 4 24 (9)'!AA14</f>
        <v>0</v>
      </c>
      <c r="L14" s="595">
        <f>'Прилож 4 24 (9)'!AB14</f>
        <v>0</v>
      </c>
      <c r="M14" s="596">
        <f t="shared" si="0"/>
        <v>273440</v>
      </c>
      <c r="N14" s="835">
        <v>273440</v>
      </c>
      <c r="O14" s="595"/>
      <c r="P14" s="595"/>
      <c r="Q14" s="621"/>
      <c r="R14" s="595"/>
      <c r="S14" s="595"/>
      <c r="T14" s="595"/>
      <c r="U14" s="999">
        <f t="shared" si="4"/>
        <v>28624636</v>
      </c>
      <c r="V14" s="835">
        <f t="shared" si="1"/>
        <v>24821370</v>
      </c>
      <c r="W14" s="835">
        <f t="shared" si="2"/>
        <v>0</v>
      </c>
      <c r="X14" s="835">
        <f t="shared" si="2"/>
        <v>3803266</v>
      </c>
      <c r="Y14" s="1000"/>
      <c r="Z14" s="835">
        <f t="shared" si="3"/>
        <v>0</v>
      </c>
      <c r="AA14" s="835">
        <f t="shared" si="3"/>
        <v>0</v>
      </c>
      <c r="AB14" s="835">
        <f t="shared" si="3"/>
        <v>0</v>
      </c>
      <c r="AC14" s="622" t="s">
        <v>1600</v>
      </c>
    </row>
    <row r="15" spans="1:29" ht="52.9" customHeight="1" x14ac:dyDescent="0.2">
      <c r="A15" s="1241" t="s">
        <v>1550</v>
      </c>
      <c r="B15" s="619" t="s">
        <v>729</v>
      </c>
      <c r="C15" s="620">
        <v>130</v>
      </c>
      <c r="D15" s="620">
        <v>131</v>
      </c>
      <c r="E15" s="596"/>
      <c r="F15" s="595">
        <f>'Прилож 4 24 (9)'!V15</f>
        <v>0</v>
      </c>
      <c r="G15" s="595">
        <f>'Прилож 4 24 (9)'!W15</f>
        <v>2052340</v>
      </c>
      <c r="H15" s="595">
        <f>'Прилож 4 24 (9)'!X15</f>
        <v>0</v>
      </c>
      <c r="I15" s="621"/>
      <c r="J15" s="595">
        <f>'Прилож 4 24 (9)'!Z15</f>
        <v>0</v>
      </c>
      <c r="K15" s="595">
        <f>'Прилож 4 24 (9)'!AA15</f>
        <v>0</v>
      </c>
      <c r="L15" s="595">
        <f>'Прилож 4 24 (9)'!AB15</f>
        <v>0</v>
      </c>
      <c r="M15" s="596">
        <f t="shared" si="0"/>
        <v>0</v>
      </c>
      <c r="N15" s="835"/>
      <c r="O15" s="595"/>
      <c r="P15" s="595"/>
      <c r="Q15" s="621"/>
      <c r="R15" s="595"/>
      <c r="S15" s="595"/>
      <c r="T15" s="595"/>
      <c r="U15" s="999">
        <f t="shared" si="4"/>
        <v>2052340</v>
      </c>
      <c r="V15" s="835">
        <f t="shared" si="1"/>
        <v>0</v>
      </c>
      <c r="W15" s="835">
        <f t="shared" si="2"/>
        <v>2052340</v>
      </c>
      <c r="X15" s="835">
        <f t="shared" si="2"/>
        <v>0</v>
      </c>
      <c r="Y15" s="1000"/>
      <c r="Z15" s="835">
        <f t="shared" si="3"/>
        <v>0</v>
      </c>
      <c r="AA15" s="835">
        <f t="shared" si="3"/>
        <v>0</v>
      </c>
      <c r="AB15" s="835">
        <f t="shared" si="3"/>
        <v>0</v>
      </c>
      <c r="AC15" s="622"/>
    </row>
    <row r="16" spans="1:29" ht="96" customHeight="1" x14ac:dyDescent="0.2">
      <c r="A16" s="618" t="s">
        <v>945</v>
      </c>
      <c r="B16" s="619" t="s">
        <v>729</v>
      </c>
      <c r="C16" s="620">
        <v>130</v>
      </c>
      <c r="D16" s="620">
        <v>131</v>
      </c>
      <c r="E16" s="596">
        <f>L16+K16+J16+H16+G16+F16</f>
        <v>354251.13</v>
      </c>
      <c r="F16" s="595">
        <f>'Прилож 4 24 (9)'!V16</f>
        <v>116903.03999999999</v>
      </c>
      <c r="G16" s="595">
        <f>'Прилож 4 24 (9)'!W16</f>
        <v>237348.09</v>
      </c>
      <c r="H16" s="595">
        <f>'Прилож 4 24 (9)'!X16</f>
        <v>0</v>
      </c>
      <c r="I16" s="621"/>
      <c r="J16" s="595">
        <f>'Прилож 4 24 (9)'!Z16</f>
        <v>0</v>
      </c>
      <c r="K16" s="595">
        <f>'Прилож 4 24 (9)'!AA16</f>
        <v>0</v>
      </c>
      <c r="L16" s="595">
        <f>'Прилож 4 24 (9)'!AB16</f>
        <v>0</v>
      </c>
      <c r="M16" s="596">
        <f t="shared" si="0"/>
        <v>0</v>
      </c>
      <c r="N16" s="595"/>
      <c r="O16" s="595"/>
      <c r="P16" s="595"/>
      <c r="Q16" s="621"/>
      <c r="R16" s="595"/>
      <c r="S16" s="595"/>
      <c r="T16" s="595"/>
      <c r="U16" s="999">
        <f t="shared" si="4"/>
        <v>354251.13</v>
      </c>
      <c r="V16" s="835">
        <f t="shared" si="1"/>
        <v>116903.03999999999</v>
      </c>
      <c r="W16" s="835">
        <f t="shared" si="2"/>
        <v>237348.09</v>
      </c>
      <c r="X16" s="835">
        <f t="shared" si="2"/>
        <v>0</v>
      </c>
      <c r="Y16" s="1000"/>
      <c r="Z16" s="835">
        <f t="shared" si="3"/>
        <v>0</v>
      </c>
      <c r="AA16" s="835">
        <f t="shared" si="3"/>
        <v>0</v>
      </c>
      <c r="AB16" s="835">
        <f t="shared" si="3"/>
        <v>0</v>
      </c>
      <c r="AC16" s="1003"/>
    </row>
    <row r="17" spans="1:29" ht="61.9" customHeight="1" x14ac:dyDescent="0.2">
      <c r="A17" s="618" t="s">
        <v>1551</v>
      </c>
      <c r="B17" s="619" t="s">
        <v>729</v>
      </c>
      <c r="C17" s="620">
        <v>130</v>
      </c>
      <c r="D17" s="620">
        <v>131</v>
      </c>
      <c r="E17" s="596"/>
      <c r="F17" s="595">
        <f>'Прилож 4 24 (9)'!V17</f>
        <v>0</v>
      </c>
      <c r="G17" s="595">
        <f>'Прилож 4 24 (9)'!W17</f>
        <v>26038.46</v>
      </c>
      <c r="H17" s="595">
        <f>'Прилож 4 24 (9)'!X17</f>
        <v>0</v>
      </c>
      <c r="I17" s="621"/>
      <c r="J17" s="595">
        <f>'Прилож 4 24 (9)'!Z17</f>
        <v>0</v>
      </c>
      <c r="K17" s="595">
        <f>'Прилож 4 24 (9)'!AA17</f>
        <v>0</v>
      </c>
      <c r="L17" s="595">
        <f>'Прилож 4 24 (9)'!AB17</f>
        <v>0</v>
      </c>
      <c r="M17" s="596">
        <f t="shared" si="0"/>
        <v>0</v>
      </c>
      <c r="N17" s="595"/>
      <c r="O17" s="595"/>
      <c r="P17" s="595"/>
      <c r="Q17" s="621"/>
      <c r="R17" s="595"/>
      <c r="S17" s="595"/>
      <c r="T17" s="595"/>
      <c r="U17" s="999">
        <f t="shared" si="4"/>
        <v>26038.46</v>
      </c>
      <c r="V17" s="835">
        <f t="shared" si="1"/>
        <v>0</v>
      </c>
      <c r="W17" s="835">
        <f t="shared" si="2"/>
        <v>26038.46</v>
      </c>
      <c r="X17" s="835">
        <f t="shared" si="2"/>
        <v>0</v>
      </c>
      <c r="Y17" s="1000"/>
      <c r="Z17" s="835">
        <f t="shared" si="3"/>
        <v>0</v>
      </c>
      <c r="AA17" s="835">
        <f t="shared" si="3"/>
        <v>0</v>
      </c>
      <c r="AB17" s="835">
        <f t="shared" si="3"/>
        <v>0</v>
      </c>
      <c r="AC17" s="1003"/>
    </row>
    <row r="18" spans="1:29" ht="45.75" customHeight="1" x14ac:dyDescent="0.2">
      <c r="A18" s="994" t="s">
        <v>582</v>
      </c>
      <c r="B18" s="995" t="s">
        <v>691</v>
      </c>
      <c r="C18" s="996">
        <v>130</v>
      </c>
      <c r="D18" s="996">
        <v>131</v>
      </c>
      <c r="E18" s="596">
        <f>L18+K18+J18+H18+G18+F18</f>
        <v>352345.7</v>
      </c>
      <c r="F18" s="595">
        <f>'Прилож 4 24 (9)'!V18</f>
        <v>32288.760000000002</v>
      </c>
      <c r="G18" s="595">
        <f>'Прилож 4 24 (9)'!W18</f>
        <v>0</v>
      </c>
      <c r="H18" s="595">
        <f>'Прилож 4 24 (9)'!X18</f>
        <v>320056.94</v>
      </c>
      <c r="I18" s="993"/>
      <c r="J18" s="595">
        <f>'Прилож 4 24 (9)'!Z18</f>
        <v>0</v>
      </c>
      <c r="K18" s="595">
        <f>'Прилож 4 24 (9)'!AA18</f>
        <v>0</v>
      </c>
      <c r="L18" s="595">
        <f>'Прилож 4 24 (9)'!AB18</f>
        <v>0</v>
      </c>
      <c r="M18" s="997">
        <f t="shared" si="0"/>
        <v>0</v>
      </c>
      <c r="N18" s="998"/>
      <c r="O18" s="998"/>
      <c r="P18" s="998">
        <v>0</v>
      </c>
      <c r="Q18" s="619"/>
      <c r="R18" s="992"/>
      <c r="S18" s="992"/>
      <c r="T18" s="595"/>
      <c r="U18" s="999">
        <f t="shared" si="4"/>
        <v>352345.7</v>
      </c>
      <c r="V18" s="835">
        <f t="shared" si="1"/>
        <v>32288.760000000002</v>
      </c>
      <c r="W18" s="835">
        <f t="shared" si="2"/>
        <v>0</v>
      </c>
      <c r="X18" s="835">
        <f t="shared" si="2"/>
        <v>320056.94</v>
      </c>
      <c r="Y18" s="1000"/>
      <c r="Z18" s="835">
        <f t="shared" si="3"/>
        <v>0</v>
      </c>
      <c r="AA18" s="835">
        <f t="shared" si="3"/>
        <v>0</v>
      </c>
      <c r="AB18" s="835">
        <f t="shared" si="3"/>
        <v>0</v>
      </c>
      <c r="AC18" s="1003"/>
    </row>
    <row r="19" spans="1:29" ht="46.5" customHeight="1" x14ac:dyDescent="0.2">
      <c r="A19" s="618" t="s">
        <v>283</v>
      </c>
      <c r="B19" s="995" t="s">
        <v>691</v>
      </c>
      <c r="C19" s="620">
        <v>130</v>
      </c>
      <c r="D19" s="620">
        <v>131</v>
      </c>
      <c r="E19" s="596">
        <f>L19+K19+J19+H19+G19+F19</f>
        <v>80080</v>
      </c>
      <c r="F19" s="595">
        <f>'Прилож 4 24 (9)'!V19</f>
        <v>0</v>
      </c>
      <c r="G19" s="595">
        <f>'Прилож 4 24 (9)'!W19</f>
        <v>0</v>
      </c>
      <c r="H19" s="595">
        <f>'Прилож 4 24 (9)'!X19</f>
        <v>0</v>
      </c>
      <c r="I19" s="621"/>
      <c r="J19" s="595">
        <f>'Прилож 4 24 (9)'!Z19</f>
        <v>0</v>
      </c>
      <c r="K19" s="595">
        <f>'Прилож 4 24 (9)'!AA19</f>
        <v>0</v>
      </c>
      <c r="L19" s="595">
        <f>'Прилож 4 24 (9)'!AB19</f>
        <v>80080</v>
      </c>
      <c r="M19" s="596">
        <f t="shared" si="0"/>
        <v>0</v>
      </c>
      <c r="N19" s="595"/>
      <c r="O19" s="595"/>
      <c r="P19" s="595"/>
      <c r="Q19" s="621"/>
      <c r="R19" s="595"/>
      <c r="S19" s="595"/>
      <c r="T19" s="595"/>
      <c r="U19" s="999">
        <f t="shared" si="4"/>
        <v>80080</v>
      </c>
      <c r="V19" s="835">
        <f t="shared" si="1"/>
        <v>0</v>
      </c>
      <c r="W19" s="835">
        <f t="shared" si="2"/>
        <v>0</v>
      </c>
      <c r="X19" s="835">
        <f t="shared" si="2"/>
        <v>0</v>
      </c>
      <c r="Y19" s="1000"/>
      <c r="Z19" s="835">
        <f t="shared" si="3"/>
        <v>0</v>
      </c>
      <c r="AA19" s="835">
        <f t="shared" si="3"/>
        <v>0</v>
      </c>
      <c r="AB19" s="835">
        <f t="shared" si="3"/>
        <v>80080</v>
      </c>
      <c r="AC19" s="1003"/>
    </row>
    <row r="20" spans="1:29" ht="48" customHeight="1" x14ac:dyDescent="0.2">
      <c r="A20" s="618" t="s">
        <v>282</v>
      </c>
      <c r="B20" s="619" t="s">
        <v>729</v>
      </c>
      <c r="C20" s="620">
        <v>130</v>
      </c>
      <c r="D20" s="620">
        <v>134</v>
      </c>
      <c r="E20" s="596">
        <f>L20+K20+J20+H20+G20+F20</f>
        <v>1221625.97</v>
      </c>
      <c r="F20" s="595">
        <f>'Прилож 4 24 (9)'!V20</f>
        <v>0</v>
      </c>
      <c r="G20" s="595">
        <f>'Прилож 4 24 (9)'!W20</f>
        <v>0</v>
      </c>
      <c r="H20" s="595">
        <f>'Прилож 4 24 (9)'!X20</f>
        <v>0</v>
      </c>
      <c r="I20" s="621"/>
      <c r="J20" s="595">
        <f>'Прилож 4 24 (9)'!Z20</f>
        <v>0</v>
      </c>
      <c r="K20" s="595">
        <f>'Прилож 4 24 (9)'!AA20</f>
        <v>0</v>
      </c>
      <c r="L20" s="595">
        <f>'Прилож 4 24 (9)'!AB20</f>
        <v>1221625.97</v>
      </c>
      <c r="M20" s="596">
        <f t="shared" si="0"/>
        <v>0</v>
      </c>
      <c r="N20" s="595"/>
      <c r="O20" s="595"/>
      <c r="P20" s="595"/>
      <c r="Q20" s="621"/>
      <c r="R20" s="595"/>
      <c r="S20" s="595"/>
      <c r="T20" s="595"/>
      <c r="U20" s="999">
        <f t="shared" si="4"/>
        <v>1221625.97</v>
      </c>
      <c r="V20" s="835">
        <f t="shared" si="1"/>
        <v>0</v>
      </c>
      <c r="W20" s="835">
        <f t="shared" si="2"/>
        <v>0</v>
      </c>
      <c r="X20" s="835">
        <f t="shared" si="2"/>
        <v>0</v>
      </c>
      <c r="Y20" s="1000"/>
      <c r="Z20" s="835">
        <f t="shared" si="3"/>
        <v>0</v>
      </c>
      <c r="AA20" s="835">
        <f t="shared" si="3"/>
        <v>0</v>
      </c>
      <c r="AB20" s="835">
        <f t="shared" si="3"/>
        <v>1221625.97</v>
      </c>
      <c r="AC20" s="1003"/>
    </row>
    <row r="21" spans="1:29" ht="45.75" customHeight="1" x14ac:dyDescent="0.2">
      <c r="A21" s="1026" t="s">
        <v>273</v>
      </c>
      <c r="B21" s="1027" t="s">
        <v>729</v>
      </c>
      <c r="C21" s="1028">
        <v>130</v>
      </c>
      <c r="D21" s="620">
        <v>121</v>
      </c>
      <c r="E21" s="596">
        <f>L21+K21+J21+H21+G21+F21</f>
        <v>27243.4</v>
      </c>
      <c r="F21" s="595">
        <f>'Прилож 4 24 (9)'!V21</f>
        <v>0</v>
      </c>
      <c r="G21" s="595">
        <f>'Прилож 4 24 (9)'!W21</f>
        <v>0</v>
      </c>
      <c r="H21" s="595">
        <f>'Прилож 4 24 (9)'!X21</f>
        <v>0</v>
      </c>
      <c r="I21" s="621"/>
      <c r="J21" s="595">
        <f>'Прилож 4 24 (9)'!Z21</f>
        <v>0</v>
      </c>
      <c r="K21" s="595">
        <f>'Прилож 4 24 (9)'!AA21</f>
        <v>0</v>
      </c>
      <c r="L21" s="595">
        <f>'Прилож 4 24 (9)'!AB21</f>
        <v>27243.4</v>
      </c>
      <c r="M21" s="596">
        <f t="shared" si="0"/>
        <v>0</v>
      </c>
      <c r="N21" s="595"/>
      <c r="O21" s="595"/>
      <c r="P21" s="595"/>
      <c r="Q21" s="621"/>
      <c r="R21" s="595"/>
      <c r="S21" s="595"/>
      <c r="T21" s="595"/>
      <c r="U21" s="999">
        <f t="shared" si="4"/>
        <v>27243.4</v>
      </c>
      <c r="V21" s="835">
        <f t="shared" si="1"/>
        <v>0</v>
      </c>
      <c r="W21" s="835">
        <f t="shared" si="2"/>
        <v>0</v>
      </c>
      <c r="X21" s="835">
        <f t="shared" si="2"/>
        <v>0</v>
      </c>
      <c r="Y21" s="1000"/>
      <c r="Z21" s="835">
        <f t="shared" si="3"/>
        <v>0</v>
      </c>
      <c r="AA21" s="835">
        <f t="shared" si="3"/>
        <v>0</v>
      </c>
      <c r="AB21" s="835">
        <f t="shared" si="3"/>
        <v>27243.4</v>
      </c>
      <c r="AC21" s="1003"/>
    </row>
    <row r="22" spans="1:29" ht="31.5" x14ac:dyDescent="0.2">
      <c r="A22" s="618" t="s">
        <v>789</v>
      </c>
      <c r="B22" s="619" t="s">
        <v>747</v>
      </c>
      <c r="C22" s="620">
        <v>130</v>
      </c>
      <c r="D22" s="620">
        <v>131</v>
      </c>
      <c r="E22" s="596">
        <f>L22+K22+J22+H22+G22+F22</f>
        <v>1170130</v>
      </c>
      <c r="F22" s="595">
        <f>'Прилож 4 24 (9)'!V22</f>
        <v>0</v>
      </c>
      <c r="G22" s="595">
        <f>'Прилож 4 24 (9)'!W22</f>
        <v>0</v>
      </c>
      <c r="H22" s="595">
        <f>'Прилож 4 24 (9)'!X22</f>
        <v>0</v>
      </c>
      <c r="I22" s="621"/>
      <c r="J22" s="595">
        <f>'Прилож 4 24 (9)'!Z22</f>
        <v>0</v>
      </c>
      <c r="K22" s="595">
        <f>'Прилож 4 24 (9)'!AA22</f>
        <v>0</v>
      </c>
      <c r="L22" s="595">
        <f>'Прилож 4 24 (9)'!AB22</f>
        <v>1170130</v>
      </c>
      <c r="M22" s="596">
        <f t="shared" si="0"/>
        <v>-205173</v>
      </c>
      <c r="N22" s="595"/>
      <c r="O22" s="595"/>
      <c r="P22" s="595"/>
      <c r="Q22" s="621"/>
      <c r="R22" s="595"/>
      <c r="S22" s="595"/>
      <c r="T22" s="595">
        <v>-205173</v>
      </c>
      <c r="U22" s="999">
        <f t="shared" si="4"/>
        <v>964957</v>
      </c>
      <c r="V22" s="835">
        <f t="shared" si="1"/>
        <v>0</v>
      </c>
      <c r="W22" s="835">
        <f t="shared" si="2"/>
        <v>0</v>
      </c>
      <c r="X22" s="835">
        <f t="shared" si="2"/>
        <v>0</v>
      </c>
      <c r="Y22" s="1000"/>
      <c r="Z22" s="835">
        <f t="shared" si="3"/>
        <v>0</v>
      </c>
      <c r="AA22" s="835">
        <f t="shared" si="3"/>
        <v>0</v>
      </c>
      <c r="AB22" s="835">
        <f t="shared" si="3"/>
        <v>964957</v>
      </c>
      <c r="AC22" s="1003" t="s">
        <v>1658</v>
      </c>
    </row>
    <row r="23" spans="1:29" ht="31.5" x14ac:dyDescent="0.2">
      <c r="A23" s="618" t="s">
        <v>285</v>
      </c>
      <c r="B23" s="619" t="s">
        <v>747</v>
      </c>
      <c r="C23" s="620">
        <v>140</v>
      </c>
      <c r="D23" s="620">
        <v>141</v>
      </c>
      <c r="E23" s="596"/>
      <c r="F23" s="595">
        <f>'Прилож 4 24 (9)'!V23</f>
        <v>0</v>
      </c>
      <c r="G23" s="595">
        <f>'Прилож 4 24 (9)'!W23</f>
        <v>0</v>
      </c>
      <c r="H23" s="595">
        <f>'Прилож 4 24 (9)'!X23</f>
        <v>0</v>
      </c>
      <c r="I23" s="621"/>
      <c r="J23" s="595">
        <f>'Прилож 4 24 (9)'!Z23</f>
        <v>0</v>
      </c>
      <c r="K23" s="595">
        <f>'Прилож 4 24 (9)'!AA23</f>
        <v>0</v>
      </c>
      <c r="L23" s="595">
        <f>'Прилож 4 24 (9)'!AB23</f>
        <v>10676.16</v>
      </c>
      <c r="M23" s="596">
        <f t="shared" si="0"/>
        <v>0</v>
      </c>
      <c r="N23" s="595"/>
      <c r="O23" s="595"/>
      <c r="P23" s="595"/>
      <c r="Q23" s="621"/>
      <c r="R23" s="595"/>
      <c r="S23" s="595"/>
      <c r="T23" s="595"/>
      <c r="U23" s="999">
        <f t="shared" si="4"/>
        <v>10676.16</v>
      </c>
      <c r="V23" s="835">
        <f t="shared" si="1"/>
        <v>0</v>
      </c>
      <c r="W23" s="835">
        <f t="shared" si="2"/>
        <v>0</v>
      </c>
      <c r="X23" s="835">
        <f t="shared" si="2"/>
        <v>0</v>
      </c>
      <c r="Y23" s="1000"/>
      <c r="Z23" s="835">
        <f t="shared" si="3"/>
        <v>0</v>
      </c>
      <c r="AA23" s="835">
        <f t="shared" si="3"/>
        <v>0</v>
      </c>
      <c r="AB23" s="835">
        <f t="shared" si="3"/>
        <v>10676.16</v>
      </c>
      <c r="AC23" s="1003"/>
    </row>
    <row r="24" spans="1:29" ht="111.75" customHeight="1" x14ac:dyDescent="0.2">
      <c r="A24" s="618" t="s">
        <v>1237</v>
      </c>
      <c r="B24" s="619" t="s">
        <v>747</v>
      </c>
      <c r="C24" s="620">
        <v>150</v>
      </c>
      <c r="D24" s="620">
        <v>152</v>
      </c>
      <c r="E24" s="596">
        <f>L24+K24+J24+H24+G24+F24</f>
        <v>0</v>
      </c>
      <c r="F24" s="595">
        <f>'Прилож 4 24 (9)'!V24</f>
        <v>0</v>
      </c>
      <c r="G24" s="595">
        <f>'Прилож 4 24 (9)'!W24</f>
        <v>0</v>
      </c>
      <c r="H24" s="595">
        <f>'Прилож 4 24 (9)'!X24</f>
        <v>0</v>
      </c>
      <c r="I24" s="621"/>
      <c r="J24" s="595">
        <f>'Прилож 4 24 (9)'!Z24</f>
        <v>0</v>
      </c>
      <c r="K24" s="595">
        <f>'Прилож 4 24 (9)'!AA24</f>
        <v>0</v>
      </c>
      <c r="L24" s="595">
        <f>'Прилож 4 24 (9)'!AB24</f>
        <v>0</v>
      </c>
      <c r="M24" s="596">
        <f t="shared" si="0"/>
        <v>0</v>
      </c>
      <c r="N24" s="595"/>
      <c r="O24" s="595"/>
      <c r="P24" s="595"/>
      <c r="Q24" s="621"/>
      <c r="R24" s="595"/>
      <c r="S24" s="595"/>
      <c r="T24" s="595"/>
      <c r="U24" s="999">
        <f t="shared" si="4"/>
        <v>0</v>
      </c>
      <c r="V24" s="835">
        <f t="shared" si="1"/>
        <v>0</v>
      </c>
      <c r="W24" s="835">
        <f t="shared" si="2"/>
        <v>0</v>
      </c>
      <c r="X24" s="835">
        <f t="shared" si="2"/>
        <v>0</v>
      </c>
      <c r="Y24" s="1000"/>
      <c r="Z24" s="835">
        <f t="shared" si="3"/>
        <v>0</v>
      </c>
      <c r="AA24" s="835">
        <f t="shared" si="3"/>
        <v>0</v>
      </c>
      <c r="AB24" s="835">
        <f t="shared" si="3"/>
        <v>0</v>
      </c>
      <c r="AC24" s="1003"/>
    </row>
    <row r="25" spans="1:29" ht="111.75" customHeight="1" x14ac:dyDescent="0.2">
      <c r="A25" s="618" t="s">
        <v>1321</v>
      </c>
      <c r="B25" s="619" t="s">
        <v>729</v>
      </c>
      <c r="C25" s="620">
        <v>150</v>
      </c>
      <c r="D25" s="620">
        <v>152</v>
      </c>
      <c r="E25" s="596">
        <f>L25+K25+J25+H25+G25+F25</f>
        <v>216466</v>
      </c>
      <c r="F25" s="595">
        <f>'Прилож 4 24 (9)'!V25</f>
        <v>0</v>
      </c>
      <c r="G25" s="595">
        <f>'Прилож 4 24 (9)'!W25</f>
        <v>0</v>
      </c>
      <c r="H25" s="595">
        <f>'Прилож 4 24 (9)'!X25</f>
        <v>0</v>
      </c>
      <c r="I25" s="621" t="s">
        <v>1226</v>
      </c>
      <c r="J25" s="595">
        <f>'Прилож 4 24 (9)'!Z25</f>
        <v>0</v>
      </c>
      <c r="K25" s="595">
        <f>'Прилож 4 24 (9)'!AA25</f>
        <v>216466</v>
      </c>
      <c r="L25" s="595">
        <f>'Прилож 4 24 (9)'!AB25</f>
        <v>0</v>
      </c>
      <c r="M25" s="596">
        <f t="shared" si="0"/>
        <v>0</v>
      </c>
      <c r="N25" s="595"/>
      <c r="O25" s="595"/>
      <c r="P25" s="595"/>
      <c r="Q25" s="621"/>
      <c r="R25" s="595"/>
      <c r="S25" s="595"/>
      <c r="T25" s="595"/>
      <c r="U25" s="999">
        <f t="shared" si="4"/>
        <v>216466</v>
      </c>
      <c r="V25" s="835">
        <f t="shared" si="1"/>
        <v>0</v>
      </c>
      <c r="W25" s="835">
        <f t="shared" si="2"/>
        <v>0</v>
      </c>
      <c r="X25" s="835">
        <f t="shared" si="2"/>
        <v>0</v>
      </c>
      <c r="Y25" s="1000" t="s">
        <v>1226</v>
      </c>
      <c r="Z25" s="835">
        <f t="shared" si="3"/>
        <v>0</v>
      </c>
      <c r="AA25" s="835">
        <f t="shared" si="3"/>
        <v>216466</v>
      </c>
      <c r="AB25" s="835">
        <f t="shared" si="3"/>
        <v>0</v>
      </c>
      <c r="AC25" s="1003"/>
    </row>
    <row r="26" spans="1:29" ht="99" customHeight="1" x14ac:dyDescent="0.2">
      <c r="A26" s="618" t="s">
        <v>297</v>
      </c>
      <c r="B26" s="619" t="s">
        <v>729</v>
      </c>
      <c r="C26" s="620">
        <v>150</v>
      </c>
      <c r="D26" s="620">
        <v>152</v>
      </c>
      <c r="E26" s="596">
        <f>L26+K26+J26+H26+G26+F26</f>
        <v>6254280.2499999991</v>
      </c>
      <c r="F26" s="595">
        <f>'Прилож 4 24 (9)'!V26</f>
        <v>0</v>
      </c>
      <c r="G26" s="595">
        <f>'Прилож 4 24 (9)'!W26</f>
        <v>0</v>
      </c>
      <c r="H26" s="595">
        <f>'Прилож 4 24 (9)'!X26</f>
        <v>0</v>
      </c>
      <c r="I26" s="621" t="s">
        <v>1314</v>
      </c>
      <c r="J26" s="595">
        <f>'Прилож 4 24 (9)'!Z26</f>
        <v>0</v>
      </c>
      <c r="K26" s="595">
        <f>'Прилож 4 24 (9)'!AA26</f>
        <v>6254280.2499999991</v>
      </c>
      <c r="L26" s="595">
        <f>'Прилож 4 24 (9)'!AB26</f>
        <v>0</v>
      </c>
      <c r="M26" s="596">
        <f t="shared" si="0"/>
        <v>0</v>
      </c>
      <c r="N26" s="595"/>
      <c r="O26" s="595"/>
      <c r="P26" s="595"/>
      <c r="Q26" s="621"/>
      <c r="R26" s="595"/>
      <c r="S26" s="595"/>
      <c r="T26" s="595"/>
      <c r="U26" s="999">
        <f t="shared" si="4"/>
        <v>6254280.2499999991</v>
      </c>
      <c r="V26" s="835">
        <f t="shared" si="1"/>
        <v>0</v>
      </c>
      <c r="W26" s="835">
        <f t="shared" si="2"/>
        <v>0</v>
      </c>
      <c r="X26" s="835">
        <f t="shared" si="2"/>
        <v>0</v>
      </c>
      <c r="Y26" s="1000" t="s">
        <v>1314</v>
      </c>
      <c r="Z26" s="835">
        <f t="shared" si="3"/>
        <v>0</v>
      </c>
      <c r="AA26" s="835">
        <f t="shared" si="3"/>
        <v>6254280.2499999991</v>
      </c>
      <c r="AB26" s="835">
        <f t="shared" si="3"/>
        <v>0</v>
      </c>
      <c r="AC26" s="1003"/>
    </row>
    <row r="27" spans="1:29" ht="89.45" customHeight="1" x14ac:dyDescent="0.2">
      <c r="A27" s="994" t="s">
        <v>1510</v>
      </c>
      <c r="B27" s="995" t="s">
        <v>729</v>
      </c>
      <c r="C27" s="996">
        <v>150</v>
      </c>
      <c r="D27" s="996">
        <v>152</v>
      </c>
      <c r="E27" s="997"/>
      <c r="F27" s="595">
        <f>'Прилож 4 24 (9)'!V27</f>
        <v>0</v>
      </c>
      <c r="G27" s="595">
        <f>'Прилож 4 24 (9)'!W27</f>
        <v>0</v>
      </c>
      <c r="H27" s="595">
        <f>'Прилож 4 24 (9)'!X27</f>
        <v>0</v>
      </c>
      <c r="I27" s="1020" t="s">
        <v>1526</v>
      </c>
      <c r="J27" s="595">
        <f>'Прилож 4 24 (9)'!Z27</f>
        <v>0</v>
      </c>
      <c r="K27" s="595">
        <f>'Прилож 4 24 (9)'!AA27</f>
        <v>30000</v>
      </c>
      <c r="L27" s="595">
        <f>'Прилож 4 24 (9)'!AB27</f>
        <v>0</v>
      </c>
      <c r="M27" s="997">
        <f t="shared" si="0"/>
        <v>0</v>
      </c>
      <c r="N27" s="998"/>
      <c r="O27" s="998"/>
      <c r="P27" s="998"/>
      <c r="Q27" s="1020"/>
      <c r="R27" s="998"/>
      <c r="S27" s="998"/>
      <c r="T27" s="998"/>
      <c r="U27" s="876">
        <f t="shared" si="4"/>
        <v>30000</v>
      </c>
      <c r="V27" s="875">
        <f t="shared" si="1"/>
        <v>0</v>
      </c>
      <c r="W27" s="875">
        <f t="shared" si="2"/>
        <v>0</v>
      </c>
      <c r="X27" s="875">
        <f t="shared" si="2"/>
        <v>0</v>
      </c>
      <c r="Y27" s="877" t="s">
        <v>1526</v>
      </c>
      <c r="Z27" s="875">
        <f t="shared" si="3"/>
        <v>0</v>
      </c>
      <c r="AA27" s="875">
        <f t="shared" si="3"/>
        <v>30000</v>
      </c>
      <c r="AB27" s="875">
        <f t="shared" si="3"/>
        <v>0</v>
      </c>
      <c r="AC27" s="1003"/>
    </row>
    <row r="28" spans="1:29" ht="111.75" customHeight="1" x14ac:dyDescent="0.2">
      <c r="A28" s="618" t="s">
        <v>1253</v>
      </c>
      <c r="B28" s="619" t="s">
        <v>747</v>
      </c>
      <c r="C28" s="620">
        <v>150</v>
      </c>
      <c r="D28" s="620">
        <v>152</v>
      </c>
      <c r="E28" s="596">
        <f t="shared" ref="E28:E59" si="5">L28+K28+J28+H28+G28+F28</f>
        <v>4130603.32</v>
      </c>
      <c r="F28" s="595">
        <f>'Прилож 4 24 (9)'!V28</f>
        <v>0</v>
      </c>
      <c r="G28" s="595">
        <f>'Прилож 4 24 (9)'!W28</f>
        <v>0</v>
      </c>
      <c r="H28" s="595">
        <f>'Прилож 4 24 (9)'!X28</f>
        <v>0</v>
      </c>
      <c r="I28" s="621" t="s">
        <v>1322</v>
      </c>
      <c r="J28" s="595">
        <f>'Прилож 4 24 (9)'!Z28</f>
        <v>0</v>
      </c>
      <c r="K28" s="595">
        <f>'Прилож 4 24 (9)'!AA28</f>
        <v>4130603.32</v>
      </c>
      <c r="L28" s="595">
        <f>'Прилож 4 24 (9)'!AB28</f>
        <v>0</v>
      </c>
      <c r="M28" s="596">
        <f>N28+P28+S28+T28+O28</f>
        <v>0</v>
      </c>
      <c r="N28" s="595"/>
      <c r="O28" s="595"/>
      <c r="P28" s="595"/>
      <c r="Q28" s="621"/>
      <c r="S28" s="595"/>
      <c r="T28" s="595"/>
      <c r="U28" s="999">
        <f t="shared" si="4"/>
        <v>4130603.32</v>
      </c>
      <c r="V28" s="835">
        <f t="shared" si="1"/>
        <v>0</v>
      </c>
      <c r="W28" s="835">
        <f t="shared" si="2"/>
        <v>0</v>
      </c>
      <c r="X28" s="835">
        <f t="shared" si="2"/>
        <v>0</v>
      </c>
      <c r="Y28" s="1000" t="s">
        <v>1322</v>
      </c>
      <c r="Z28" s="1045"/>
      <c r="AA28" s="835">
        <f t="shared" ref="AA28:AB31" si="6">S28+K28</f>
        <v>4130603.32</v>
      </c>
      <c r="AB28" s="835">
        <f t="shared" si="6"/>
        <v>0</v>
      </c>
      <c r="AC28" s="1003"/>
    </row>
    <row r="29" spans="1:29" ht="32.25" customHeight="1" x14ac:dyDescent="0.2">
      <c r="A29" s="618" t="s">
        <v>581</v>
      </c>
      <c r="B29" s="619" t="s">
        <v>64</v>
      </c>
      <c r="C29" s="620">
        <v>150</v>
      </c>
      <c r="D29" s="620">
        <v>152</v>
      </c>
      <c r="E29" s="596">
        <f t="shared" si="5"/>
        <v>87037.3</v>
      </c>
      <c r="F29" s="595">
        <f>'Прилож 4 24 (9)'!V29</f>
        <v>0</v>
      </c>
      <c r="G29" s="595">
        <f>'Прилож 4 24 (9)'!W29</f>
        <v>0</v>
      </c>
      <c r="H29" s="595">
        <f>'Прилож 4 24 (9)'!X29</f>
        <v>0</v>
      </c>
      <c r="I29" s="621" t="s">
        <v>1235</v>
      </c>
      <c r="J29" s="595">
        <f>'Прилож 4 24 (9)'!Z29</f>
        <v>0</v>
      </c>
      <c r="K29" s="595">
        <f>'Прилож 4 24 (9)'!AA29</f>
        <v>87037.3</v>
      </c>
      <c r="L29" s="595">
        <f>'Прилож 4 24 (9)'!AB29</f>
        <v>0</v>
      </c>
      <c r="M29" s="596">
        <f>N29+P29+R29+S29+T29+O29</f>
        <v>0</v>
      </c>
      <c r="N29" s="595"/>
      <c r="O29" s="595"/>
      <c r="P29" s="595"/>
      <c r="Q29" s="621"/>
      <c r="R29" s="595"/>
      <c r="S29" s="595"/>
      <c r="T29" s="595"/>
      <c r="U29" s="999">
        <f t="shared" si="4"/>
        <v>87037.3</v>
      </c>
      <c r="V29" s="835">
        <f t="shared" si="1"/>
        <v>0</v>
      </c>
      <c r="W29" s="835">
        <f t="shared" si="2"/>
        <v>0</v>
      </c>
      <c r="X29" s="835">
        <f t="shared" si="2"/>
        <v>0</v>
      </c>
      <c r="Y29" s="1000" t="s">
        <v>1235</v>
      </c>
      <c r="Z29" s="835">
        <f>R29+J29</f>
        <v>0</v>
      </c>
      <c r="AA29" s="835">
        <f t="shared" si="6"/>
        <v>87037.3</v>
      </c>
      <c r="AB29" s="835">
        <f t="shared" si="6"/>
        <v>0</v>
      </c>
      <c r="AC29" s="1003"/>
    </row>
    <row r="30" spans="1:29" ht="77.25" customHeight="1" x14ac:dyDescent="0.2">
      <c r="A30" s="618" t="s">
        <v>790</v>
      </c>
      <c r="B30" s="619" t="s">
        <v>791</v>
      </c>
      <c r="C30" s="620">
        <v>130</v>
      </c>
      <c r="D30" s="620">
        <v>131</v>
      </c>
      <c r="E30" s="596">
        <f t="shared" si="5"/>
        <v>600000</v>
      </c>
      <c r="F30" s="595">
        <f>'Прилож 4 24 (9)'!V30</f>
        <v>600000</v>
      </c>
      <c r="G30" s="595">
        <f>'Прилож 4 24 (9)'!W30</f>
        <v>0</v>
      </c>
      <c r="H30" s="595">
        <f>'Прилож 4 24 (9)'!X30</f>
        <v>0</v>
      </c>
      <c r="I30" s="621"/>
      <c r="J30" s="595">
        <f>'Прилож 4 24 (9)'!Z30</f>
        <v>0</v>
      </c>
      <c r="K30" s="595">
        <f>'Прилож 4 24 (9)'!AA30</f>
        <v>0</v>
      </c>
      <c r="L30" s="595">
        <f>'Прилож 4 24 (9)'!AB30</f>
        <v>0</v>
      </c>
      <c r="M30" s="596">
        <f>N30+P30+R30+S30+T30+O30</f>
        <v>-90000</v>
      </c>
      <c r="N30" s="595">
        <v>-90000</v>
      </c>
      <c r="O30" s="595"/>
      <c r="P30" s="595"/>
      <c r="Q30" s="621"/>
      <c r="R30" s="595"/>
      <c r="S30" s="595"/>
      <c r="T30" s="595"/>
      <c r="U30" s="999">
        <f t="shared" si="4"/>
        <v>510000</v>
      </c>
      <c r="V30" s="835">
        <f t="shared" si="1"/>
        <v>510000</v>
      </c>
      <c r="W30" s="835">
        <f t="shared" si="2"/>
        <v>0</v>
      </c>
      <c r="X30" s="835">
        <f t="shared" si="2"/>
        <v>0</v>
      </c>
      <c r="Y30" s="1000"/>
      <c r="Z30" s="835">
        <f>R30+J30</f>
        <v>0</v>
      </c>
      <c r="AA30" s="835">
        <f t="shared" si="6"/>
        <v>0</v>
      </c>
      <c r="AB30" s="835">
        <f t="shared" si="6"/>
        <v>0</v>
      </c>
      <c r="AC30" s="1003" t="s">
        <v>1644</v>
      </c>
    </row>
    <row r="31" spans="1:29" ht="62.25" customHeight="1" x14ac:dyDescent="0.2">
      <c r="A31" s="618" t="s">
        <v>1236</v>
      </c>
      <c r="B31" s="619" t="s">
        <v>729</v>
      </c>
      <c r="C31" s="620">
        <v>150</v>
      </c>
      <c r="D31" s="620">
        <v>152</v>
      </c>
      <c r="E31" s="596">
        <f t="shared" si="5"/>
        <v>0</v>
      </c>
      <c r="F31" s="595">
        <f>'Прилож 4 24 (9)'!V31</f>
        <v>0</v>
      </c>
      <c r="G31" s="595">
        <f>'Прилож 4 24 (9)'!W31</f>
        <v>0</v>
      </c>
      <c r="H31" s="595">
        <f>'Прилож 4 24 (9)'!X31</f>
        <v>0</v>
      </c>
      <c r="I31" s="621"/>
      <c r="J31" s="595">
        <f>'Прилож 4 24 (9)'!Z31</f>
        <v>0</v>
      </c>
      <c r="K31" s="595">
        <f>'Прилож 4 24 (9)'!AA31</f>
        <v>0</v>
      </c>
      <c r="L31" s="595">
        <f>'Прилож 4 24 (9)'!AB31</f>
        <v>0</v>
      </c>
      <c r="M31" s="596">
        <f>N31+P31+R31+S31+T31+O31</f>
        <v>0</v>
      </c>
      <c r="N31" s="595"/>
      <c r="O31" s="595"/>
      <c r="P31" s="595"/>
      <c r="Q31" s="623"/>
      <c r="R31" s="595"/>
      <c r="S31" s="595"/>
      <c r="T31" s="595"/>
      <c r="U31" s="999">
        <f t="shared" si="4"/>
        <v>0</v>
      </c>
      <c r="V31" s="835">
        <f t="shared" si="1"/>
        <v>0</v>
      </c>
      <c r="W31" s="835">
        <f t="shared" si="2"/>
        <v>0</v>
      </c>
      <c r="X31" s="835">
        <f t="shared" si="2"/>
        <v>0</v>
      </c>
      <c r="Y31" s="1000"/>
      <c r="Z31" s="835">
        <f>R31+J31</f>
        <v>0</v>
      </c>
      <c r="AA31" s="835">
        <f t="shared" si="6"/>
        <v>0</v>
      </c>
      <c r="AB31" s="835">
        <f t="shared" si="6"/>
        <v>0</v>
      </c>
      <c r="AC31" s="1003"/>
    </row>
    <row r="32" spans="1:29" ht="93" customHeight="1" x14ac:dyDescent="0.2">
      <c r="A32" s="618" t="s">
        <v>1437</v>
      </c>
      <c r="B32" s="619" t="s">
        <v>691</v>
      </c>
      <c r="C32" s="620">
        <v>150</v>
      </c>
      <c r="D32" s="620">
        <v>152</v>
      </c>
      <c r="E32" s="596">
        <f t="shared" si="5"/>
        <v>31611</v>
      </c>
      <c r="F32" s="595">
        <f>'Прилож 4 24 (9)'!V32</f>
        <v>0</v>
      </c>
      <c r="G32" s="595">
        <f>'Прилож 4 24 (9)'!W32</f>
        <v>0</v>
      </c>
      <c r="H32" s="595">
        <f>'Прилож 4 24 (9)'!X32</f>
        <v>0</v>
      </c>
      <c r="I32" s="1020" t="s">
        <v>1440</v>
      </c>
      <c r="J32" s="595">
        <f>'Прилож 4 24 (9)'!Z32</f>
        <v>0</v>
      </c>
      <c r="K32" s="595">
        <f>'Прилож 4 24 (9)'!AA32</f>
        <v>31611</v>
      </c>
      <c r="L32" s="595">
        <f>'Прилож 4 24 (9)'!AB32</f>
        <v>0</v>
      </c>
      <c r="M32" s="596">
        <f>N32+O32+P32+R32+S32+T32</f>
        <v>0</v>
      </c>
      <c r="N32" s="595"/>
      <c r="O32" s="595"/>
      <c r="P32" s="595"/>
      <c r="Q32" s="993"/>
      <c r="R32" s="595"/>
      <c r="S32" s="595"/>
      <c r="T32" s="595"/>
      <c r="U32" s="876">
        <f t="shared" si="4"/>
        <v>31611</v>
      </c>
      <c r="V32" s="835"/>
      <c r="W32" s="835"/>
      <c r="X32" s="835"/>
      <c r="Y32" s="877" t="s">
        <v>1440</v>
      </c>
      <c r="Z32" s="835"/>
      <c r="AA32" s="835">
        <v>31611</v>
      </c>
      <c r="AB32" s="835"/>
      <c r="AC32" s="1003"/>
    </row>
    <row r="33" spans="1:32" ht="49.9" customHeight="1" x14ac:dyDescent="0.2">
      <c r="A33" s="618" t="s">
        <v>285</v>
      </c>
      <c r="B33" s="619" t="s">
        <v>729</v>
      </c>
      <c r="C33" s="620">
        <v>130</v>
      </c>
      <c r="D33" s="620">
        <v>131</v>
      </c>
      <c r="E33" s="596">
        <f t="shared" si="5"/>
        <v>0</v>
      </c>
      <c r="F33" s="595"/>
      <c r="G33" s="595"/>
      <c r="H33" s="595"/>
      <c r="I33" s="1020"/>
      <c r="J33" s="595"/>
      <c r="K33" s="595"/>
      <c r="L33" s="595"/>
      <c r="M33" s="596">
        <f>N33+O33+P33+R33+S33+T33</f>
        <v>83764.22</v>
      </c>
      <c r="N33" s="595"/>
      <c r="O33" s="595"/>
      <c r="P33" s="595"/>
      <c r="Q33" s="993"/>
      <c r="R33" s="595"/>
      <c r="S33" s="595"/>
      <c r="T33" s="595">
        <v>83764.22</v>
      </c>
      <c r="U33" s="876">
        <f>M33+E33</f>
        <v>83764.22</v>
      </c>
      <c r="V33" s="835"/>
      <c r="W33" s="835"/>
      <c r="X33" s="835"/>
      <c r="Y33" s="877"/>
      <c r="Z33" s="835"/>
      <c r="AA33" s="835"/>
      <c r="AB33" s="835">
        <f>L33+T33</f>
        <v>83764.22</v>
      </c>
      <c r="AC33" s="1003" t="s">
        <v>1631</v>
      </c>
    </row>
    <row r="34" spans="1:32" ht="54" customHeight="1" x14ac:dyDescent="0.2">
      <c r="A34" s="618" t="s">
        <v>284</v>
      </c>
      <c r="B34" s="619" t="s">
        <v>691</v>
      </c>
      <c r="C34" s="620">
        <v>130</v>
      </c>
      <c r="D34" s="620">
        <v>134</v>
      </c>
      <c r="E34" s="596">
        <f t="shared" si="5"/>
        <v>1426.95</v>
      </c>
      <c r="F34" s="595">
        <f>'Прилож 4 24 (9)'!V33</f>
        <v>0</v>
      </c>
      <c r="G34" s="595">
        <f>'Прилож 4 24 (9)'!W33</f>
        <v>0</v>
      </c>
      <c r="H34" s="595">
        <f>'Прилож 4 24 (9)'!X33</f>
        <v>0</v>
      </c>
      <c r="I34" s="621"/>
      <c r="J34" s="595">
        <f>'Прилож 4 24 (9)'!Z33</f>
        <v>0</v>
      </c>
      <c r="K34" s="595">
        <f>'Прилож 4 24 (9)'!AA33</f>
        <v>0</v>
      </c>
      <c r="L34" s="595">
        <f>'Прилож 4 24 (9)'!AB33</f>
        <v>1426.95</v>
      </c>
      <c r="M34" s="876"/>
      <c r="N34" s="875"/>
      <c r="O34" s="875"/>
      <c r="P34" s="875"/>
      <c r="Q34" s="877"/>
      <c r="R34" s="875"/>
      <c r="S34" s="875"/>
      <c r="T34" s="875"/>
      <c r="U34" s="876">
        <f t="shared" si="4"/>
        <v>1426.95</v>
      </c>
      <c r="V34" s="875">
        <f t="shared" ref="V34:V51" si="7">F34+N34</f>
        <v>0</v>
      </c>
      <c r="W34" s="875">
        <f t="shared" ref="W34:X51" si="8">O34+G34</f>
        <v>0</v>
      </c>
      <c r="X34" s="875">
        <f t="shared" si="8"/>
        <v>0</v>
      </c>
      <c r="Y34" s="877"/>
      <c r="Z34" s="875">
        <f t="shared" ref="Z34:AB38" si="9">R34+J34</f>
        <v>0</v>
      </c>
      <c r="AA34" s="875">
        <f t="shared" si="9"/>
        <v>0</v>
      </c>
      <c r="AB34" s="875">
        <f t="shared" si="9"/>
        <v>1426.95</v>
      </c>
      <c r="AC34" s="878"/>
    </row>
    <row r="35" spans="1:32" s="614" customFormat="1" ht="38.25" customHeight="1" x14ac:dyDescent="0.2">
      <c r="A35" s="624" t="s">
        <v>730</v>
      </c>
      <c r="B35" s="596">
        <f>SUM(B12:B34)</f>
        <v>0</v>
      </c>
      <c r="C35" s="596"/>
      <c r="D35" s="596"/>
      <c r="E35" s="596">
        <f t="shared" si="5"/>
        <v>69152551.640000001</v>
      </c>
      <c r="F35" s="595">
        <f>'Прилож 4 24 (9)'!V34</f>
        <v>42188221.800000004</v>
      </c>
      <c r="G35" s="595">
        <f>'Прилож 4 24 (9)'!W34</f>
        <v>2315726.5499999998</v>
      </c>
      <c r="H35" s="595">
        <f>'Прилож 4 24 (9)'!X34</f>
        <v>11387422.939999999</v>
      </c>
      <c r="I35" s="596">
        <f>SUM(I12:I34)</f>
        <v>0</v>
      </c>
      <c r="J35" s="595">
        <f>'Прилож 4 24 (9)'!Z34</f>
        <v>0</v>
      </c>
      <c r="K35" s="595">
        <f>'Прилож 4 24 (9)'!AA34</f>
        <v>10749997.869999999</v>
      </c>
      <c r="L35" s="595">
        <f>'Прилож 4 24 (9)'!AB34</f>
        <v>2511182.4800000004</v>
      </c>
      <c r="M35" s="876">
        <f>SUM(M12:M34)</f>
        <v>62031.22</v>
      </c>
      <c r="N35" s="876">
        <f>SUM(N12:N34)</f>
        <v>183440</v>
      </c>
      <c r="O35" s="876">
        <f>SUM(O12:O34)</f>
        <v>0</v>
      </c>
      <c r="P35" s="876">
        <f>SUM(P12:P34)</f>
        <v>0</v>
      </c>
      <c r="Q35" s="876"/>
      <c r="R35" s="876">
        <f>SUM(R12:R34)</f>
        <v>0</v>
      </c>
      <c r="S35" s="876">
        <f>SUM(S12:S34)</f>
        <v>0</v>
      </c>
      <c r="T35" s="876">
        <f>SUM(T12:T34)</f>
        <v>-121408.78</v>
      </c>
      <c r="U35" s="876">
        <f t="shared" ref="U35:V59" si="10">E35+M35</f>
        <v>69214582.859999999</v>
      </c>
      <c r="V35" s="875">
        <f t="shared" si="7"/>
        <v>42371661.800000004</v>
      </c>
      <c r="W35" s="875">
        <f t="shared" si="8"/>
        <v>2315726.5499999998</v>
      </c>
      <c r="X35" s="875">
        <f t="shared" si="8"/>
        <v>11387422.939999999</v>
      </c>
      <c r="Y35" s="876">
        <f>SUM(Y12:Y34)</f>
        <v>0</v>
      </c>
      <c r="Z35" s="875">
        <f t="shared" si="9"/>
        <v>0</v>
      </c>
      <c r="AA35" s="875">
        <f t="shared" si="9"/>
        <v>10749997.869999999</v>
      </c>
      <c r="AB35" s="875">
        <f t="shared" si="9"/>
        <v>2389773.7000000007</v>
      </c>
      <c r="AC35" s="879"/>
      <c r="AD35" s="818">
        <f>V35+W35+X35</f>
        <v>56074811.289999999</v>
      </c>
    </row>
    <row r="36" spans="1:32" ht="35.450000000000003" customHeight="1" x14ac:dyDescent="0.2">
      <c r="A36" s="620" t="s">
        <v>731</v>
      </c>
      <c r="B36" s="619" t="s">
        <v>747</v>
      </c>
      <c r="C36" s="620">
        <v>111</v>
      </c>
      <c r="D36" s="620">
        <v>211</v>
      </c>
      <c r="E36" s="596">
        <f t="shared" si="5"/>
        <v>13934006.289999999</v>
      </c>
      <c r="F36" s="595">
        <f>'Прилож 4 24 (9)'!V35</f>
        <v>11689797.829999998</v>
      </c>
      <c r="G36" s="595">
        <f>'Прилож 4 24 (9)'!W35</f>
        <v>0</v>
      </c>
      <c r="H36" s="595">
        <f>'Прилож 4 24 (9)'!X35</f>
        <v>2244208.4600000004</v>
      </c>
      <c r="I36" s="621"/>
      <c r="J36" s="595">
        <f>'Прилож 4 24 (9)'!Z35</f>
        <v>0</v>
      </c>
      <c r="K36" s="595">
        <f>'Прилож 4 24 (9)'!AA35</f>
        <v>0</v>
      </c>
      <c r="L36" s="595">
        <f>'Прилож 4 24 (9)'!AB35</f>
        <v>0</v>
      </c>
      <c r="M36" s="876">
        <f t="shared" ref="M36:M48" si="11">N36+P36+R36+S36+T36+O36</f>
        <v>-30000</v>
      </c>
      <c r="N36" s="875">
        <v>-30000</v>
      </c>
      <c r="O36" s="875"/>
      <c r="P36" s="875"/>
      <c r="Q36" s="877"/>
      <c r="R36" s="875"/>
      <c r="S36" s="875"/>
      <c r="T36" s="875"/>
      <c r="U36" s="876">
        <f t="shared" si="10"/>
        <v>13904006.289999999</v>
      </c>
      <c r="V36" s="875">
        <f t="shared" si="7"/>
        <v>11659797.829999998</v>
      </c>
      <c r="W36" s="875">
        <f t="shared" si="8"/>
        <v>0</v>
      </c>
      <c r="X36" s="875">
        <f t="shared" si="8"/>
        <v>2244208.4600000004</v>
      </c>
      <c r="Y36" s="877"/>
      <c r="Z36" s="875">
        <f t="shared" si="9"/>
        <v>0</v>
      </c>
      <c r="AA36" s="875">
        <f t="shared" si="9"/>
        <v>0</v>
      </c>
      <c r="AB36" s="875">
        <f t="shared" si="9"/>
        <v>0</v>
      </c>
      <c r="AC36" s="878" t="s">
        <v>1727</v>
      </c>
      <c r="AD36" s="820"/>
      <c r="AF36" s="820">
        <f>X36+X37+X42</f>
        <v>3003367.0600000005</v>
      </c>
    </row>
    <row r="37" spans="1:32" ht="48" customHeight="1" x14ac:dyDescent="0.2">
      <c r="A37" s="620" t="s">
        <v>731</v>
      </c>
      <c r="B37" s="619" t="s">
        <v>729</v>
      </c>
      <c r="C37" s="620">
        <v>111</v>
      </c>
      <c r="D37" s="620">
        <v>211</v>
      </c>
      <c r="E37" s="596">
        <f t="shared" si="5"/>
        <v>18519621.800000001</v>
      </c>
      <c r="F37" s="595">
        <f>'Прилож 4 24 (9)'!V36</f>
        <v>17808021.800000001</v>
      </c>
      <c r="G37" s="595">
        <f>'Прилож 4 24 (9)'!W36</f>
        <v>0</v>
      </c>
      <c r="H37" s="595">
        <f>'Прилож 4 24 (9)'!X36</f>
        <v>711600</v>
      </c>
      <c r="I37" s="621"/>
      <c r="J37" s="595">
        <f>'Прилож 4 24 (9)'!Z36</f>
        <v>0</v>
      </c>
      <c r="K37" s="595">
        <f>'Прилож 4 24 (9)'!AA36</f>
        <v>0</v>
      </c>
      <c r="L37" s="595">
        <f>'Прилож 4 24 (9)'!AB36</f>
        <v>0</v>
      </c>
      <c r="M37" s="876">
        <f t="shared" si="11"/>
        <v>0</v>
      </c>
      <c r="N37" s="875"/>
      <c r="O37" s="875"/>
      <c r="P37" s="875"/>
      <c r="Q37" s="877"/>
      <c r="R37" s="875"/>
      <c r="S37" s="875"/>
      <c r="T37" s="875"/>
      <c r="U37" s="876">
        <f t="shared" si="10"/>
        <v>18519621.800000001</v>
      </c>
      <c r="V37" s="875">
        <f t="shared" si="7"/>
        <v>17808021.800000001</v>
      </c>
      <c r="W37" s="875">
        <f t="shared" si="8"/>
        <v>0</v>
      </c>
      <c r="X37" s="875">
        <f t="shared" si="8"/>
        <v>711600</v>
      </c>
      <c r="Y37" s="877"/>
      <c r="Z37" s="875">
        <f t="shared" si="9"/>
        <v>0</v>
      </c>
      <c r="AA37" s="875">
        <f t="shared" si="9"/>
        <v>0</v>
      </c>
      <c r="AB37" s="875">
        <f t="shared" si="9"/>
        <v>0</v>
      </c>
      <c r="AC37" s="620"/>
      <c r="AD37" s="820"/>
    </row>
    <row r="38" spans="1:32" ht="46.9" customHeight="1" x14ac:dyDescent="0.2">
      <c r="A38" s="620" t="s">
        <v>731</v>
      </c>
      <c r="B38" s="619" t="s">
        <v>729</v>
      </c>
      <c r="C38" s="620">
        <v>111</v>
      </c>
      <c r="D38" s="620">
        <v>211</v>
      </c>
      <c r="E38" s="596">
        <f t="shared" si="5"/>
        <v>1576298.01</v>
      </c>
      <c r="F38" s="595">
        <f>'Прилож 4 24 (9)'!V37</f>
        <v>0</v>
      </c>
      <c r="G38" s="595">
        <f>'Прилож 4 24 (9)'!W37</f>
        <v>1576298.01</v>
      </c>
      <c r="H38" s="595">
        <f>'Прилож 4 24 (9)'!X37</f>
        <v>0</v>
      </c>
      <c r="I38" s="621"/>
      <c r="J38" s="595">
        <f>'Прилож 4 24 (9)'!Z37</f>
        <v>0</v>
      </c>
      <c r="K38" s="595">
        <f>'Прилож 4 24 (9)'!AA37</f>
        <v>0</v>
      </c>
      <c r="L38" s="595">
        <f>'Прилож 4 24 (9)'!AB37</f>
        <v>0</v>
      </c>
      <c r="M38" s="876">
        <f t="shared" si="11"/>
        <v>0</v>
      </c>
      <c r="N38" s="875"/>
      <c r="O38" s="875"/>
      <c r="P38" s="875"/>
      <c r="Q38" s="877"/>
      <c r="R38" s="875"/>
      <c r="S38" s="875"/>
      <c r="T38" s="875"/>
      <c r="U38" s="876">
        <f t="shared" si="10"/>
        <v>1576298.01</v>
      </c>
      <c r="V38" s="875">
        <f t="shared" si="7"/>
        <v>0</v>
      </c>
      <c r="W38" s="875">
        <f t="shared" si="8"/>
        <v>1576298.01</v>
      </c>
      <c r="X38" s="875">
        <f t="shared" si="8"/>
        <v>0</v>
      </c>
      <c r="Y38" s="877"/>
      <c r="Z38" s="875">
        <f t="shared" si="9"/>
        <v>0</v>
      </c>
      <c r="AA38" s="875">
        <f t="shared" si="9"/>
        <v>0</v>
      </c>
      <c r="AB38" s="875">
        <f t="shared" si="9"/>
        <v>0</v>
      </c>
      <c r="AC38" s="620"/>
      <c r="AD38" s="820"/>
    </row>
    <row r="39" spans="1:32" ht="52.5" customHeight="1" x14ac:dyDescent="0.2">
      <c r="A39" s="620" t="s">
        <v>731</v>
      </c>
      <c r="B39" s="619" t="s">
        <v>729</v>
      </c>
      <c r="C39" s="620">
        <v>111</v>
      </c>
      <c r="D39" s="620">
        <v>211</v>
      </c>
      <c r="E39" s="596">
        <f t="shared" si="5"/>
        <v>20000</v>
      </c>
      <c r="F39" s="595">
        <f>'Прилож 4 24 (9)'!V38</f>
        <v>0</v>
      </c>
      <c r="G39" s="595">
        <f>'Прилож 4 24 (9)'!W38</f>
        <v>20000</v>
      </c>
      <c r="H39" s="595">
        <f>'Прилож 4 24 (9)'!X38</f>
        <v>0</v>
      </c>
      <c r="I39" s="621"/>
      <c r="J39" s="595">
        <f>'Прилож 4 24 (9)'!Z38</f>
        <v>0</v>
      </c>
      <c r="K39" s="595">
        <f>'Прилож 4 24 (9)'!AA38</f>
        <v>0</v>
      </c>
      <c r="L39" s="595">
        <f>'Прилож 4 24 (9)'!AB38</f>
        <v>0</v>
      </c>
      <c r="M39" s="876">
        <f t="shared" si="11"/>
        <v>0</v>
      </c>
      <c r="N39" s="875"/>
      <c r="O39" s="875"/>
      <c r="P39" s="875"/>
      <c r="Q39" s="877"/>
      <c r="R39" s="875"/>
      <c r="S39" s="875"/>
      <c r="T39" s="875"/>
      <c r="U39" s="876">
        <f t="shared" si="10"/>
        <v>20000</v>
      </c>
      <c r="V39" s="875">
        <f t="shared" si="7"/>
        <v>0</v>
      </c>
      <c r="W39" s="875">
        <f t="shared" si="8"/>
        <v>20000</v>
      </c>
      <c r="X39" s="875">
        <f t="shared" si="8"/>
        <v>0</v>
      </c>
      <c r="Y39" s="877"/>
      <c r="Z39" s="875"/>
      <c r="AA39" s="875"/>
      <c r="AB39" s="875"/>
      <c r="AC39" s="878"/>
      <c r="AD39" s="820"/>
    </row>
    <row r="40" spans="1:32" x14ac:dyDescent="0.2">
      <c r="A40" s="620" t="s">
        <v>943</v>
      </c>
      <c r="B40" s="619" t="s">
        <v>729</v>
      </c>
      <c r="C40" s="620">
        <v>111</v>
      </c>
      <c r="D40" s="620">
        <v>211</v>
      </c>
      <c r="E40" s="596">
        <f t="shared" si="5"/>
        <v>272082.28000000003</v>
      </c>
      <c r="F40" s="595">
        <f>'Прилож 4 24 (9)'!V39</f>
        <v>89787.28</v>
      </c>
      <c r="G40" s="595">
        <f>'Прилож 4 24 (9)'!W39</f>
        <v>182295</v>
      </c>
      <c r="H40" s="595">
        <f>'Прилож 4 24 (9)'!X39</f>
        <v>0</v>
      </c>
      <c r="I40" s="621"/>
      <c r="J40" s="595">
        <f>'Прилож 4 24 (9)'!Z39</f>
        <v>0</v>
      </c>
      <c r="K40" s="595">
        <f>'Прилож 4 24 (9)'!AA39</f>
        <v>0</v>
      </c>
      <c r="L40" s="595">
        <f>'Прилож 4 24 (9)'!AB39</f>
        <v>0</v>
      </c>
      <c r="M40" s="876">
        <f t="shared" si="11"/>
        <v>0</v>
      </c>
      <c r="N40" s="875"/>
      <c r="O40" s="875"/>
      <c r="P40" s="875"/>
      <c r="Q40" s="877"/>
      <c r="R40" s="875"/>
      <c r="S40" s="875"/>
      <c r="T40" s="875"/>
      <c r="U40" s="876">
        <f t="shared" si="10"/>
        <v>272082.28000000003</v>
      </c>
      <c r="V40" s="875">
        <f t="shared" si="7"/>
        <v>89787.28</v>
      </c>
      <c r="W40" s="875">
        <f t="shared" si="8"/>
        <v>182295</v>
      </c>
      <c r="X40" s="875">
        <f t="shared" si="8"/>
        <v>0</v>
      </c>
      <c r="Y40" s="877"/>
      <c r="Z40" s="875">
        <f t="shared" ref="Z40:AB51" si="12">R40+J40</f>
        <v>0</v>
      </c>
      <c r="AA40" s="875">
        <f t="shared" si="12"/>
        <v>0</v>
      </c>
      <c r="AB40" s="875">
        <f t="shared" si="12"/>
        <v>0</v>
      </c>
      <c r="AC40" s="622"/>
      <c r="AD40" s="820"/>
    </row>
    <row r="41" spans="1:32" x14ac:dyDescent="0.2">
      <c r="A41" s="620" t="s">
        <v>731</v>
      </c>
      <c r="B41" s="619" t="s">
        <v>64</v>
      </c>
      <c r="C41" s="620">
        <v>111</v>
      </c>
      <c r="D41" s="620">
        <v>211</v>
      </c>
      <c r="E41" s="596">
        <f t="shared" si="5"/>
        <v>64391.3</v>
      </c>
      <c r="F41" s="595">
        <f>'Прилож 4 24 (9)'!V40</f>
        <v>0</v>
      </c>
      <c r="G41" s="595">
        <f>'Прилож 4 24 (9)'!W40</f>
        <v>0</v>
      </c>
      <c r="H41" s="595">
        <f>'Прилож 4 24 (9)'!X40</f>
        <v>0</v>
      </c>
      <c r="I41" s="621" t="s">
        <v>1235</v>
      </c>
      <c r="J41" s="595">
        <f>'Прилож 4 24 (9)'!Z40</f>
        <v>0</v>
      </c>
      <c r="K41" s="595">
        <f>'Прилож 4 24 (9)'!AA40</f>
        <v>64391.3</v>
      </c>
      <c r="L41" s="595">
        <f>'Прилож 4 24 (9)'!AB40</f>
        <v>0</v>
      </c>
      <c r="M41" s="876">
        <f t="shared" si="11"/>
        <v>0</v>
      </c>
      <c r="N41" s="875"/>
      <c r="O41" s="875"/>
      <c r="P41" s="875"/>
      <c r="Q41" s="877"/>
      <c r="R41" s="875"/>
      <c r="S41" s="875"/>
      <c r="T41" s="875"/>
      <c r="U41" s="876">
        <f t="shared" si="10"/>
        <v>64391.3</v>
      </c>
      <c r="V41" s="875">
        <f t="shared" si="7"/>
        <v>0</v>
      </c>
      <c r="W41" s="875">
        <f t="shared" si="8"/>
        <v>0</v>
      </c>
      <c r="X41" s="875">
        <f t="shared" si="8"/>
        <v>0</v>
      </c>
      <c r="Y41" s="621" t="s">
        <v>1235</v>
      </c>
      <c r="Z41" s="875">
        <f t="shared" si="12"/>
        <v>0</v>
      </c>
      <c r="AA41" s="875">
        <f t="shared" si="12"/>
        <v>64391.3</v>
      </c>
      <c r="AB41" s="875">
        <f t="shared" si="12"/>
        <v>0</v>
      </c>
      <c r="AC41" s="878"/>
      <c r="AD41" s="820"/>
    </row>
    <row r="42" spans="1:32" x14ac:dyDescent="0.2">
      <c r="A42" s="620" t="s">
        <v>731</v>
      </c>
      <c r="B42" s="619" t="s">
        <v>691</v>
      </c>
      <c r="C42" s="620">
        <v>111</v>
      </c>
      <c r="D42" s="620">
        <v>211</v>
      </c>
      <c r="E42" s="596">
        <f t="shared" si="5"/>
        <v>56017.74</v>
      </c>
      <c r="F42" s="595">
        <f>'Прилож 4 24 (9)'!V41</f>
        <v>0</v>
      </c>
      <c r="G42" s="595">
        <f>'Прилож 4 24 (9)'!W41</f>
        <v>0</v>
      </c>
      <c r="H42" s="595">
        <f>'Прилож 4 24 (9)'!X41</f>
        <v>47558.6</v>
      </c>
      <c r="I42" s="621"/>
      <c r="J42" s="595">
        <f>'Прилож 4 24 (9)'!Z41</f>
        <v>0</v>
      </c>
      <c r="K42" s="595">
        <f>'Прилож 4 24 (9)'!AA41</f>
        <v>0</v>
      </c>
      <c r="L42" s="595">
        <f>'Прилож 4 24 (9)'!AB41</f>
        <v>8459.14</v>
      </c>
      <c r="M42" s="876">
        <f t="shared" si="11"/>
        <v>0</v>
      </c>
      <c r="N42" s="875"/>
      <c r="O42" s="875"/>
      <c r="P42" s="875"/>
      <c r="Q42" s="877"/>
      <c r="R42" s="875"/>
      <c r="S42" s="875"/>
      <c r="T42" s="875"/>
      <c r="U42" s="876">
        <f t="shared" si="10"/>
        <v>56017.74</v>
      </c>
      <c r="V42" s="875">
        <f t="shared" si="7"/>
        <v>0</v>
      </c>
      <c r="W42" s="875">
        <f t="shared" si="8"/>
        <v>0</v>
      </c>
      <c r="X42" s="875">
        <f t="shared" si="8"/>
        <v>47558.6</v>
      </c>
      <c r="Y42" s="877"/>
      <c r="Z42" s="875">
        <f t="shared" si="12"/>
        <v>0</v>
      </c>
      <c r="AA42" s="875">
        <f t="shared" si="12"/>
        <v>0</v>
      </c>
      <c r="AB42" s="875">
        <f t="shared" si="12"/>
        <v>8459.14</v>
      </c>
      <c r="AC42" s="878"/>
      <c r="AD42" s="820"/>
    </row>
    <row r="43" spans="1:32" s="614" customFormat="1" x14ac:dyDescent="0.2">
      <c r="A43" s="624" t="s">
        <v>732</v>
      </c>
      <c r="B43" s="624"/>
      <c r="C43" s="624"/>
      <c r="D43" s="624"/>
      <c r="E43" s="596">
        <f t="shared" si="5"/>
        <v>34442417.420000002</v>
      </c>
      <c r="F43" s="595">
        <f>'Прилож 4 24 (9)'!V42</f>
        <v>29587606.910000004</v>
      </c>
      <c r="G43" s="595">
        <f>'Прилож 4 24 (9)'!W42</f>
        <v>1778593.0100000002</v>
      </c>
      <c r="H43" s="595">
        <f>'Прилож 4 24 (9)'!X42</f>
        <v>3003367.0600000005</v>
      </c>
      <c r="I43" s="626"/>
      <c r="J43" s="595">
        <f>'Прилож 4 24 (9)'!Z42</f>
        <v>0</v>
      </c>
      <c r="K43" s="595">
        <f>'Прилож 4 24 (9)'!AA42</f>
        <v>64391.3</v>
      </c>
      <c r="L43" s="595">
        <f>'Прилож 4 24 (9)'!AB42</f>
        <v>8459.14</v>
      </c>
      <c r="M43" s="876">
        <f t="shared" si="11"/>
        <v>-30000</v>
      </c>
      <c r="N43" s="876">
        <f>SUM(N36:N42)</f>
        <v>-30000</v>
      </c>
      <c r="O43" s="876">
        <f>SUM(O36:O42)</f>
        <v>0</v>
      </c>
      <c r="P43" s="876">
        <f>SUM(P36:P42)</f>
        <v>0</v>
      </c>
      <c r="Q43" s="881"/>
      <c r="R43" s="876"/>
      <c r="S43" s="876"/>
      <c r="T43" s="876"/>
      <c r="U43" s="876">
        <f t="shared" si="10"/>
        <v>34412417.420000002</v>
      </c>
      <c r="V43" s="875">
        <f t="shared" si="7"/>
        <v>29557606.910000004</v>
      </c>
      <c r="W43" s="875">
        <f t="shared" si="8"/>
        <v>1778593.0100000002</v>
      </c>
      <c r="X43" s="875">
        <f t="shared" si="8"/>
        <v>3003367.0600000005</v>
      </c>
      <c r="Y43" s="881"/>
      <c r="Z43" s="875">
        <f t="shared" si="12"/>
        <v>0</v>
      </c>
      <c r="AA43" s="875">
        <f t="shared" si="12"/>
        <v>64391.3</v>
      </c>
      <c r="AB43" s="875">
        <f t="shared" si="12"/>
        <v>8459.14</v>
      </c>
      <c r="AC43" s="879"/>
      <c r="AD43" s="820"/>
    </row>
    <row r="44" spans="1:32" s="614" customFormat="1" ht="45" customHeight="1" x14ac:dyDescent="0.2">
      <c r="A44" s="618" t="s">
        <v>1339</v>
      </c>
      <c r="B44" s="620">
        <v>701</v>
      </c>
      <c r="C44" s="620">
        <v>321</v>
      </c>
      <c r="D44" s="620">
        <v>264</v>
      </c>
      <c r="E44" s="596">
        <f t="shared" si="5"/>
        <v>88171.02</v>
      </c>
      <c r="F44" s="595">
        <f>'Прилож 4 24 (9)'!V43</f>
        <v>88171.02</v>
      </c>
      <c r="G44" s="595">
        <f>'Прилож 4 24 (9)'!W43</f>
        <v>0</v>
      </c>
      <c r="H44" s="595">
        <f>'Прилож 4 24 (9)'!X43</f>
        <v>0</v>
      </c>
      <c r="I44" s="625"/>
      <c r="J44" s="595">
        <f>'Прилож 4 24 (9)'!Z43</f>
        <v>0</v>
      </c>
      <c r="K44" s="595">
        <f>'Прилож 4 24 (9)'!AA43</f>
        <v>0</v>
      </c>
      <c r="L44" s="595">
        <f>'Прилож 4 24 (9)'!AB43</f>
        <v>0</v>
      </c>
      <c r="M44" s="876">
        <f t="shared" si="11"/>
        <v>0</v>
      </c>
      <c r="N44" s="875"/>
      <c r="O44" s="875"/>
      <c r="P44" s="875"/>
      <c r="Q44" s="882"/>
      <c r="R44" s="875"/>
      <c r="S44" s="875"/>
      <c r="T44" s="875"/>
      <c r="U44" s="876">
        <f t="shared" si="10"/>
        <v>88171.02</v>
      </c>
      <c r="V44" s="875">
        <f t="shared" si="7"/>
        <v>88171.02</v>
      </c>
      <c r="W44" s="875">
        <f t="shared" si="8"/>
        <v>0</v>
      </c>
      <c r="X44" s="875">
        <f t="shared" si="8"/>
        <v>0</v>
      </c>
      <c r="Y44" s="882"/>
      <c r="Z44" s="875">
        <f t="shared" si="12"/>
        <v>0</v>
      </c>
      <c r="AA44" s="875">
        <f t="shared" si="12"/>
        <v>0</v>
      </c>
      <c r="AB44" s="875">
        <f t="shared" si="12"/>
        <v>0</v>
      </c>
      <c r="AC44" s="878"/>
      <c r="AD44" s="820"/>
    </row>
    <row r="45" spans="1:32" s="614" customFormat="1" x14ac:dyDescent="0.2">
      <c r="A45" s="624" t="s">
        <v>1342</v>
      </c>
      <c r="B45" s="624"/>
      <c r="C45" s="624"/>
      <c r="D45" s="624"/>
      <c r="E45" s="596">
        <f t="shared" si="5"/>
        <v>88171.02</v>
      </c>
      <c r="F45" s="595">
        <f>'Прилож 4 24 (9)'!V44</f>
        <v>88171.02</v>
      </c>
      <c r="G45" s="595">
        <f>'Прилож 4 24 (9)'!W44</f>
        <v>0</v>
      </c>
      <c r="H45" s="595">
        <f>'Прилож 4 24 (9)'!X44</f>
        <v>0</v>
      </c>
      <c r="I45" s="626"/>
      <c r="J45" s="595">
        <f>'Прилож 4 24 (9)'!Z44</f>
        <v>0</v>
      </c>
      <c r="K45" s="595">
        <f>'Прилож 4 24 (9)'!AA44</f>
        <v>0</v>
      </c>
      <c r="L45" s="595">
        <f>'Прилож 4 24 (9)'!AB44</f>
        <v>0</v>
      </c>
      <c r="M45" s="876">
        <f t="shared" si="11"/>
        <v>0</v>
      </c>
      <c r="N45" s="876"/>
      <c r="O45" s="876"/>
      <c r="P45" s="876"/>
      <c r="Q45" s="881"/>
      <c r="R45" s="876"/>
      <c r="S45" s="876"/>
      <c r="T45" s="876"/>
      <c r="U45" s="876">
        <f t="shared" si="10"/>
        <v>88171.02</v>
      </c>
      <c r="V45" s="875">
        <f t="shared" si="7"/>
        <v>88171.02</v>
      </c>
      <c r="W45" s="875">
        <f t="shared" si="8"/>
        <v>0</v>
      </c>
      <c r="X45" s="875">
        <f t="shared" si="8"/>
        <v>0</v>
      </c>
      <c r="Y45" s="881"/>
      <c r="Z45" s="875">
        <f t="shared" si="12"/>
        <v>0</v>
      </c>
      <c r="AA45" s="875">
        <f t="shared" si="12"/>
        <v>0</v>
      </c>
      <c r="AB45" s="875">
        <f t="shared" si="12"/>
        <v>0</v>
      </c>
      <c r="AC45" s="879"/>
      <c r="AD45" s="820"/>
    </row>
    <row r="46" spans="1:32" ht="58.5" customHeight="1" x14ac:dyDescent="0.2">
      <c r="A46" s="618" t="s">
        <v>845</v>
      </c>
      <c r="B46" s="619" t="s">
        <v>747</v>
      </c>
      <c r="C46" s="620">
        <v>111</v>
      </c>
      <c r="D46" s="620">
        <v>266</v>
      </c>
      <c r="E46" s="596">
        <f t="shared" si="5"/>
        <v>100000</v>
      </c>
      <c r="F46" s="595">
        <f>'Прилож 4 24 (9)'!V45</f>
        <v>100000</v>
      </c>
      <c r="G46" s="595">
        <f>'Прилож 4 24 (9)'!W45</f>
        <v>0</v>
      </c>
      <c r="H46" s="595">
        <f>'Прилож 4 24 (9)'!X45</f>
        <v>0</v>
      </c>
      <c r="I46" s="621"/>
      <c r="J46" s="595">
        <f>'Прилож 4 24 (9)'!Z45</f>
        <v>0</v>
      </c>
      <c r="K46" s="595">
        <f>'Прилож 4 24 (9)'!AA45</f>
        <v>0</v>
      </c>
      <c r="L46" s="595">
        <f>'Прилож 4 24 (9)'!AB45</f>
        <v>0</v>
      </c>
      <c r="M46" s="876">
        <f t="shared" si="11"/>
        <v>30000</v>
      </c>
      <c r="N46" s="875">
        <v>30000</v>
      </c>
      <c r="O46" s="875"/>
      <c r="P46" s="875"/>
      <c r="Q46" s="877"/>
      <c r="R46" s="875"/>
      <c r="S46" s="875"/>
      <c r="T46" s="875"/>
      <c r="U46" s="876">
        <f t="shared" si="10"/>
        <v>130000</v>
      </c>
      <c r="V46" s="875">
        <f t="shared" si="7"/>
        <v>130000</v>
      </c>
      <c r="W46" s="875">
        <f t="shared" si="8"/>
        <v>0</v>
      </c>
      <c r="X46" s="875">
        <f t="shared" si="8"/>
        <v>0</v>
      </c>
      <c r="Y46" s="877"/>
      <c r="Z46" s="875">
        <f t="shared" si="12"/>
        <v>0</v>
      </c>
      <c r="AA46" s="875">
        <f t="shared" si="12"/>
        <v>0</v>
      </c>
      <c r="AB46" s="875">
        <f t="shared" si="12"/>
        <v>0</v>
      </c>
      <c r="AC46" s="878" t="s">
        <v>1728</v>
      </c>
    </row>
    <row r="47" spans="1:32" ht="51.75" customHeight="1" x14ac:dyDescent="0.2">
      <c r="A47" s="618" t="s">
        <v>845</v>
      </c>
      <c r="B47" s="619" t="s">
        <v>729</v>
      </c>
      <c r="C47" s="620">
        <v>111</v>
      </c>
      <c r="D47" s="620">
        <v>266</v>
      </c>
      <c r="E47" s="596">
        <f t="shared" si="5"/>
        <v>80000</v>
      </c>
      <c r="F47" s="595">
        <f>'Прилож 4 24 (9)'!V46</f>
        <v>80000</v>
      </c>
      <c r="G47" s="595">
        <f>'Прилож 4 24 (9)'!W46</f>
        <v>0</v>
      </c>
      <c r="H47" s="595">
        <f>'Прилож 4 24 (9)'!X46</f>
        <v>0</v>
      </c>
      <c r="I47" s="621"/>
      <c r="J47" s="595">
        <f>'Прилож 4 24 (9)'!Z46</f>
        <v>0</v>
      </c>
      <c r="K47" s="595">
        <f>'Прилож 4 24 (9)'!AA46</f>
        <v>0</v>
      </c>
      <c r="L47" s="595">
        <f>'Прилож 4 24 (9)'!AB46</f>
        <v>0</v>
      </c>
      <c r="M47" s="876">
        <f t="shared" si="11"/>
        <v>0</v>
      </c>
      <c r="N47" s="875"/>
      <c r="O47" s="875"/>
      <c r="P47" s="875"/>
      <c r="Q47" s="877"/>
      <c r="R47" s="875"/>
      <c r="S47" s="875"/>
      <c r="T47" s="875"/>
      <c r="U47" s="876">
        <f t="shared" si="10"/>
        <v>80000</v>
      </c>
      <c r="V47" s="875">
        <f t="shared" si="7"/>
        <v>80000</v>
      </c>
      <c r="W47" s="875">
        <f t="shared" si="8"/>
        <v>0</v>
      </c>
      <c r="X47" s="875">
        <f t="shared" si="8"/>
        <v>0</v>
      </c>
      <c r="Y47" s="877"/>
      <c r="Z47" s="875">
        <f t="shared" si="12"/>
        <v>0</v>
      </c>
      <c r="AA47" s="875">
        <f t="shared" si="12"/>
        <v>0</v>
      </c>
      <c r="AB47" s="875">
        <f t="shared" si="12"/>
        <v>0</v>
      </c>
      <c r="AC47" s="878"/>
    </row>
    <row r="48" spans="1:32" s="614" customFormat="1" x14ac:dyDescent="0.2">
      <c r="A48" s="624" t="s">
        <v>847</v>
      </c>
      <c r="B48" s="624"/>
      <c r="C48" s="624"/>
      <c r="D48" s="624"/>
      <c r="E48" s="596">
        <f t="shared" si="5"/>
        <v>180000</v>
      </c>
      <c r="F48" s="595">
        <f>'Прилож 4 24 (9)'!V47</f>
        <v>180000</v>
      </c>
      <c r="G48" s="595">
        <f>'Прилож 4 24 (9)'!W47</f>
        <v>0</v>
      </c>
      <c r="H48" s="595">
        <f>'Прилож 4 24 (9)'!X47</f>
        <v>0</v>
      </c>
      <c r="I48" s="626"/>
      <c r="J48" s="595">
        <f>'Прилож 4 24 (9)'!Z47</f>
        <v>0</v>
      </c>
      <c r="K48" s="595">
        <f>'Прилож 4 24 (9)'!AA47</f>
        <v>0</v>
      </c>
      <c r="L48" s="595">
        <f>'Прилож 4 24 (9)'!AB47</f>
        <v>0</v>
      </c>
      <c r="M48" s="876">
        <f t="shared" si="11"/>
        <v>30000</v>
      </c>
      <c r="N48" s="876">
        <f>SUM(N46:N47)</f>
        <v>30000</v>
      </c>
      <c r="O48" s="876"/>
      <c r="P48" s="876"/>
      <c r="Q48" s="881"/>
      <c r="R48" s="876"/>
      <c r="S48" s="876"/>
      <c r="T48" s="876"/>
      <c r="U48" s="876">
        <f t="shared" si="10"/>
        <v>210000</v>
      </c>
      <c r="V48" s="875">
        <f t="shared" si="7"/>
        <v>210000</v>
      </c>
      <c r="W48" s="875">
        <f t="shared" si="8"/>
        <v>0</v>
      </c>
      <c r="X48" s="875">
        <f t="shared" si="8"/>
        <v>0</v>
      </c>
      <c r="Y48" s="881"/>
      <c r="Z48" s="875">
        <f t="shared" si="12"/>
        <v>0</v>
      </c>
      <c r="AA48" s="875">
        <f t="shared" si="12"/>
        <v>0</v>
      </c>
      <c r="AB48" s="875">
        <f t="shared" si="12"/>
        <v>0</v>
      </c>
      <c r="AC48" s="879"/>
    </row>
    <row r="49" spans="1:30" ht="58.5" customHeight="1" x14ac:dyDescent="0.2">
      <c r="A49" s="618" t="s">
        <v>1270</v>
      </c>
      <c r="B49" s="619" t="s">
        <v>691</v>
      </c>
      <c r="C49" s="620">
        <v>112</v>
      </c>
      <c r="D49" s="620">
        <v>222</v>
      </c>
      <c r="E49" s="596">
        <f t="shared" si="5"/>
        <v>0</v>
      </c>
      <c r="F49" s="595">
        <f>'Прилож 4 24 (9)'!V48</f>
        <v>0</v>
      </c>
      <c r="G49" s="595">
        <f>'Прилож 4 24 (9)'!W48</f>
        <v>0</v>
      </c>
      <c r="H49" s="595">
        <f>'Прилож 4 24 (9)'!X48</f>
        <v>0</v>
      </c>
      <c r="I49" s="621"/>
      <c r="J49" s="595">
        <f>'Прилож 4 24 (9)'!Z48</f>
        <v>0</v>
      </c>
      <c r="K49" s="595">
        <f>'Прилож 4 24 (9)'!AA48</f>
        <v>0</v>
      </c>
      <c r="L49" s="595">
        <f>'Прилож 4 24 (9)'!AB48</f>
        <v>0</v>
      </c>
      <c r="M49" s="876"/>
      <c r="N49" s="875"/>
      <c r="O49" s="875"/>
      <c r="P49" s="875"/>
      <c r="Q49" s="877"/>
      <c r="R49" s="875"/>
      <c r="S49" s="875"/>
      <c r="T49" s="875"/>
      <c r="U49" s="876">
        <f t="shared" si="10"/>
        <v>0</v>
      </c>
      <c r="V49" s="875">
        <f t="shared" si="7"/>
        <v>0</v>
      </c>
      <c r="W49" s="875">
        <f t="shared" si="8"/>
        <v>0</v>
      </c>
      <c r="X49" s="875">
        <f t="shared" si="8"/>
        <v>0</v>
      </c>
      <c r="Y49" s="877"/>
      <c r="Z49" s="875">
        <f t="shared" si="12"/>
        <v>0</v>
      </c>
      <c r="AA49" s="875">
        <f t="shared" si="12"/>
        <v>0</v>
      </c>
      <c r="AB49" s="875">
        <f t="shared" si="12"/>
        <v>0</v>
      </c>
      <c r="AC49" s="878"/>
    </row>
    <row r="50" spans="1:30" s="614" customFormat="1" x14ac:dyDescent="0.2">
      <c r="A50" s="624" t="s">
        <v>1264</v>
      </c>
      <c r="B50" s="624"/>
      <c r="C50" s="624"/>
      <c r="D50" s="624"/>
      <c r="E50" s="596">
        <f t="shared" si="5"/>
        <v>0</v>
      </c>
      <c r="F50" s="595">
        <f>'Прилож 4 24 (9)'!V49</f>
        <v>0</v>
      </c>
      <c r="G50" s="595">
        <f>'Прилож 4 24 (9)'!W49</f>
        <v>0</v>
      </c>
      <c r="H50" s="595">
        <f>'Прилож 4 24 (9)'!X49</f>
        <v>0</v>
      </c>
      <c r="I50" s="626"/>
      <c r="J50" s="595">
        <f>'Прилож 4 24 (9)'!Z49</f>
        <v>0</v>
      </c>
      <c r="K50" s="595">
        <f>'Прилож 4 24 (9)'!AA49</f>
        <v>0</v>
      </c>
      <c r="L50" s="595">
        <f>'Прилож 4 24 (9)'!AB49</f>
        <v>0</v>
      </c>
      <c r="M50" s="876">
        <f>N50+P50+R50+S50+T50+O50</f>
        <v>0</v>
      </c>
      <c r="N50" s="876"/>
      <c r="O50" s="876"/>
      <c r="P50" s="876">
        <f>SUM(P49)</f>
        <v>0</v>
      </c>
      <c r="Q50" s="881"/>
      <c r="R50" s="876"/>
      <c r="S50" s="876">
        <f>SUM(S49)</f>
        <v>0</v>
      </c>
      <c r="T50" s="876">
        <f>SUM(T49)</f>
        <v>0</v>
      </c>
      <c r="U50" s="876">
        <f t="shared" si="10"/>
        <v>0</v>
      </c>
      <c r="V50" s="875">
        <f t="shared" si="7"/>
        <v>0</v>
      </c>
      <c r="W50" s="875">
        <f t="shared" si="8"/>
        <v>0</v>
      </c>
      <c r="X50" s="875">
        <f t="shared" si="8"/>
        <v>0</v>
      </c>
      <c r="Y50" s="881"/>
      <c r="Z50" s="875">
        <f t="shared" si="12"/>
        <v>0</v>
      </c>
      <c r="AA50" s="875">
        <f t="shared" si="12"/>
        <v>0</v>
      </c>
      <c r="AB50" s="875">
        <f t="shared" si="12"/>
        <v>0</v>
      </c>
      <c r="AC50" s="879"/>
    </row>
    <row r="51" spans="1:30" s="614" customFormat="1" ht="69.75" customHeight="1" x14ac:dyDescent="0.2">
      <c r="A51" s="994" t="s">
        <v>1515</v>
      </c>
      <c r="B51" s="995" t="s">
        <v>729</v>
      </c>
      <c r="C51" s="996">
        <v>112</v>
      </c>
      <c r="D51" s="996">
        <v>214</v>
      </c>
      <c r="E51" s="596">
        <f t="shared" si="5"/>
        <v>30000</v>
      </c>
      <c r="F51" s="595">
        <f>'Прилож 4 24 (9)'!V50</f>
        <v>0</v>
      </c>
      <c r="G51" s="595">
        <f>'Прилож 4 24 (9)'!W50</f>
        <v>0</v>
      </c>
      <c r="H51" s="595">
        <f>'Прилож 4 24 (9)'!X50</f>
        <v>0</v>
      </c>
      <c r="I51" s="877" t="s">
        <v>1526</v>
      </c>
      <c r="J51" s="595">
        <f>'Прилож 4 24 (9)'!Z50</f>
        <v>0</v>
      </c>
      <c r="K51" s="595">
        <f>'Прилож 4 24 (9)'!AA50</f>
        <v>30000</v>
      </c>
      <c r="L51" s="595">
        <f>'Прилож 4 24 (9)'!AB50</f>
        <v>0</v>
      </c>
      <c r="M51" s="876">
        <f>N51+P51+R51+S51+T51+O51</f>
        <v>0</v>
      </c>
      <c r="N51" s="875"/>
      <c r="O51" s="875"/>
      <c r="P51" s="875"/>
      <c r="Q51" s="877"/>
      <c r="R51" s="875"/>
      <c r="S51" s="875"/>
      <c r="T51" s="875"/>
      <c r="U51" s="876">
        <f t="shared" si="10"/>
        <v>30000</v>
      </c>
      <c r="V51" s="875">
        <f t="shared" si="7"/>
        <v>0</v>
      </c>
      <c r="W51" s="875">
        <f t="shared" si="8"/>
        <v>0</v>
      </c>
      <c r="X51" s="875">
        <f t="shared" si="8"/>
        <v>0</v>
      </c>
      <c r="Y51" s="877" t="s">
        <v>1526</v>
      </c>
      <c r="Z51" s="875">
        <f t="shared" si="12"/>
        <v>0</v>
      </c>
      <c r="AA51" s="875">
        <f t="shared" si="12"/>
        <v>30000</v>
      </c>
      <c r="AB51" s="875">
        <f t="shared" si="12"/>
        <v>0</v>
      </c>
      <c r="AC51" s="878"/>
    </row>
    <row r="52" spans="1:30" s="614" customFormat="1" x14ac:dyDescent="0.2">
      <c r="A52" s="1082" t="s">
        <v>1530</v>
      </c>
      <c r="B52" s="995"/>
      <c r="C52" s="996"/>
      <c r="D52" s="996"/>
      <c r="E52" s="596">
        <f t="shared" si="5"/>
        <v>30000</v>
      </c>
      <c r="F52" s="595">
        <f>'Прилож 4 24 (9)'!V51</f>
        <v>0</v>
      </c>
      <c r="G52" s="595">
        <f>'Прилож 4 24 (9)'!W51</f>
        <v>0</v>
      </c>
      <c r="H52" s="595">
        <f>'Прилож 4 24 (9)'!X51</f>
        <v>0</v>
      </c>
      <c r="I52" s="1081"/>
      <c r="J52" s="595">
        <f>'Прилож 4 24 (9)'!Z51</f>
        <v>0</v>
      </c>
      <c r="K52" s="595">
        <f>'Прилож 4 24 (9)'!AA51</f>
        <v>30000</v>
      </c>
      <c r="L52" s="595">
        <f>'Прилож 4 24 (9)'!AB51</f>
        <v>0</v>
      </c>
      <c r="M52" s="876">
        <f>N52+O52+P52+R52+S52+T52</f>
        <v>0</v>
      </c>
      <c r="N52" s="875"/>
      <c r="O52" s="875"/>
      <c r="P52" s="875"/>
      <c r="Q52" s="877"/>
      <c r="R52" s="875"/>
      <c r="S52" s="875">
        <f>SUM(S51)</f>
        <v>0</v>
      </c>
      <c r="T52" s="875"/>
      <c r="U52" s="876">
        <f t="shared" si="10"/>
        <v>30000</v>
      </c>
      <c r="V52" s="875"/>
      <c r="W52" s="875"/>
      <c r="X52" s="875"/>
      <c r="Y52" s="883"/>
      <c r="Z52" s="875"/>
      <c r="AA52" s="875">
        <f>SUM(AA51)</f>
        <v>30000</v>
      </c>
      <c r="AB52" s="875"/>
      <c r="AC52" s="878"/>
    </row>
    <row r="53" spans="1:30" s="614" customFormat="1" ht="63" x14ac:dyDescent="0.2">
      <c r="A53" s="618" t="s">
        <v>748</v>
      </c>
      <c r="B53" s="619" t="s">
        <v>747</v>
      </c>
      <c r="C53" s="620">
        <v>119</v>
      </c>
      <c r="D53" s="620">
        <v>213</v>
      </c>
      <c r="E53" s="596">
        <f t="shared" si="5"/>
        <v>4208069.9000000004</v>
      </c>
      <c r="F53" s="595">
        <f>'Прилож 4 24 (9)'!V52</f>
        <v>3530318.95</v>
      </c>
      <c r="G53" s="595">
        <f>'Прилож 4 24 (9)'!W52</f>
        <v>0</v>
      </c>
      <c r="H53" s="595">
        <f>'Прилож 4 24 (9)'!X52</f>
        <v>677750.95</v>
      </c>
      <c r="I53" s="628"/>
      <c r="J53" s="595">
        <f>'Прилож 4 24 (9)'!Z52</f>
        <v>0</v>
      </c>
      <c r="K53" s="595">
        <f>'Прилож 4 24 (9)'!AA52</f>
        <v>0</v>
      </c>
      <c r="L53" s="595">
        <f>'Прилож 4 24 (9)'!AB52</f>
        <v>0</v>
      </c>
      <c r="M53" s="876">
        <f t="shared" ref="M53:M116" si="13">N53+P53+R53+S53+T53+O53</f>
        <v>-9060</v>
      </c>
      <c r="N53" s="875">
        <v>-9060</v>
      </c>
      <c r="O53" s="875"/>
      <c r="P53" s="875"/>
      <c r="Q53" s="883"/>
      <c r="R53" s="875"/>
      <c r="S53" s="875"/>
      <c r="T53" s="875"/>
      <c r="U53" s="876">
        <f t="shared" si="10"/>
        <v>4199009.9000000004</v>
      </c>
      <c r="V53" s="875">
        <f t="shared" si="10"/>
        <v>3521258.95</v>
      </c>
      <c r="W53" s="875">
        <f t="shared" ref="W53:X84" si="14">O53+G53</f>
        <v>0</v>
      </c>
      <c r="X53" s="875">
        <f t="shared" si="14"/>
        <v>677750.95</v>
      </c>
      <c r="Y53" s="883"/>
      <c r="Z53" s="875">
        <f t="shared" ref="Z53:AB84" si="15">R53+J53</f>
        <v>0</v>
      </c>
      <c r="AA53" s="875">
        <f t="shared" si="15"/>
        <v>0</v>
      </c>
      <c r="AB53" s="875">
        <f t="shared" si="15"/>
        <v>0</v>
      </c>
      <c r="AC53" s="878" t="s">
        <v>1605</v>
      </c>
    </row>
    <row r="54" spans="1:30" s="614" customFormat="1" ht="63" x14ac:dyDescent="0.2">
      <c r="A54" s="618" t="s">
        <v>748</v>
      </c>
      <c r="B54" s="619" t="s">
        <v>729</v>
      </c>
      <c r="C54" s="620">
        <v>119</v>
      </c>
      <c r="D54" s="620">
        <v>213</v>
      </c>
      <c r="E54" s="596">
        <f t="shared" si="5"/>
        <v>5592922.5800000001</v>
      </c>
      <c r="F54" s="595">
        <f>'Прилож 4 24 (9)'!V53</f>
        <v>5378022.5800000001</v>
      </c>
      <c r="G54" s="595">
        <f>'Прилож 4 24 (9)'!W53</f>
        <v>0</v>
      </c>
      <c r="H54" s="595">
        <f>'Прилож 4 24 (9)'!X53</f>
        <v>214900</v>
      </c>
      <c r="I54" s="628"/>
      <c r="J54" s="595">
        <f>'Прилож 4 24 (9)'!Z53</f>
        <v>0</v>
      </c>
      <c r="K54" s="595">
        <f>'Прилож 4 24 (9)'!AA53</f>
        <v>0</v>
      </c>
      <c r="L54" s="595">
        <f>'Прилож 4 24 (9)'!AB53</f>
        <v>0</v>
      </c>
      <c r="M54" s="876">
        <f t="shared" si="13"/>
        <v>0</v>
      </c>
      <c r="N54" s="875"/>
      <c r="O54" s="875"/>
      <c r="P54" s="875"/>
      <c r="Q54" s="883"/>
      <c r="R54" s="875"/>
      <c r="S54" s="875"/>
      <c r="T54" s="875"/>
      <c r="U54" s="876">
        <f t="shared" si="10"/>
        <v>5592922.5800000001</v>
      </c>
      <c r="V54" s="875">
        <f t="shared" si="10"/>
        <v>5378022.5800000001</v>
      </c>
      <c r="W54" s="875">
        <f t="shared" si="14"/>
        <v>0</v>
      </c>
      <c r="X54" s="875">
        <f t="shared" si="14"/>
        <v>214900</v>
      </c>
      <c r="Y54" s="883"/>
      <c r="Z54" s="875">
        <f t="shared" si="15"/>
        <v>0</v>
      </c>
      <c r="AA54" s="875">
        <f t="shared" si="15"/>
        <v>0</v>
      </c>
      <c r="AB54" s="875">
        <f t="shared" si="15"/>
        <v>0</v>
      </c>
      <c r="AC54" s="624"/>
    </row>
    <row r="55" spans="1:30" s="614" customFormat="1" ht="63" x14ac:dyDescent="0.2">
      <c r="A55" s="618" t="s">
        <v>748</v>
      </c>
      <c r="B55" s="619" t="s">
        <v>729</v>
      </c>
      <c r="C55" s="620">
        <v>119</v>
      </c>
      <c r="D55" s="620">
        <v>213</v>
      </c>
      <c r="E55" s="596">
        <f t="shared" si="5"/>
        <v>476041.99</v>
      </c>
      <c r="F55" s="595">
        <f>'Прилож 4 24 (9)'!V54</f>
        <v>0</v>
      </c>
      <c r="G55" s="595">
        <f>'Прилож 4 24 (9)'!W54</f>
        <v>476041.99</v>
      </c>
      <c r="H55" s="595">
        <f>'Прилож 4 24 (9)'!X54</f>
        <v>0</v>
      </c>
      <c r="I55" s="628"/>
      <c r="J55" s="595">
        <f>'Прилож 4 24 (9)'!Z54</f>
        <v>0</v>
      </c>
      <c r="K55" s="595">
        <f>'Прилож 4 24 (9)'!AA54</f>
        <v>0</v>
      </c>
      <c r="L55" s="595">
        <f>'Прилож 4 24 (9)'!AB54</f>
        <v>0</v>
      </c>
      <c r="M55" s="876">
        <f t="shared" si="13"/>
        <v>0</v>
      </c>
      <c r="N55" s="875"/>
      <c r="O55" s="875"/>
      <c r="P55" s="875"/>
      <c r="Q55" s="883"/>
      <c r="R55" s="875"/>
      <c r="S55" s="875"/>
      <c r="T55" s="875"/>
      <c r="U55" s="876">
        <f t="shared" si="10"/>
        <v>476041.99</v>
      </c>
      <c r="V55" s="875">
        <f t="shared" si="10"/>
        <v>0</v>
      </c>
      <c r="W55" s="875">
        <f t="shared" si="14"/>
        <v>476041.99</v>
      </c>
      <c r="X55" s="875">
        <f t="shared" si="14"/>
        <v>0</v>
      </c>
      <c r="Y55" s="883"/>
      <c r="Z55" s="875">
        <f t="shared" si="15"/>
        <v>0</v>
      </c>
      <c r="AA55" s="875">
        <f t="shared" si="15"/>
        <v>0</v>
      </c>
      <c r="AB55" s="875">
        <f t="shared" si="15"/>
        <v>0</v>
      </c>
      <c r="AC55" s="624"/>
    </row>
    <row r="56" spans="1:30" s="614" customFormat="1" ht="63" x14ac:dyDescent="0.2">
      <c r="A56" s="618" t="s">
        <v>944</v>
      </c>
      <c r="B56" s="619" t="s">
        <v>729</v>
      </c>
      <c r="C56" s="620">
        <v>119</v>
      </c>
      <c r="D56" s="620">
        <v>213</v>
      </c>
      <c r="E56" s="596">
        <f t="shared" si="5"/>
        <v>82168.849999999991</v>
      </c>
      <c r="F56" s="595">
        <f>'Прилож 4 24 (9)'!V55</f>
        <v>27115.759999999998</v>
      </c>
      <c r="G56" s="595">
        <f>'Прилож 4 24 (9)'!W55</f>
        <v>55053.09</v>
      </c>
      <c r="H56" s="595">
        <f>'Прилож 4 24 (9)'!X55</f>
        <v>0</v>
      </c>
      <c r="I56" s="628"/>
      <c r="J56" s="595">
        <f>'Прилож 4 24 (9)'!Z55</f>
        <v>0</v>
      </c>
      <c r="K56" s="595">
        <f>'Прилож 4 24 (9)'!AA55</f>
        <v>0</v>
      </c>
      <c r="L56" s="595">
        <f>'Прилож 4 24 (9)'!AB55</f>
        <v>0</v>
      </c>
      <c r="M56" s="876">
        <f t="shared" si="13"/>
        <v>0</v>
      </c>
      <c r="N56" s="875"/>
      <c r="O56" s="875"/>
      <c r="P56" s="875"/>
      <c r="Q56" s="883"/>
      <c r="R56" s="875"/>
      <c r="S56" s="875"/>
      <c r="T56" s="875"/>
      <c r="U56" s="876">
        <f t="shared" si="10"/>
        <v>82168.849999999991</v>
      </c>
      <c r="V56" s="875">
        <f t="shared" si="10"/>
        <v>27115.759999999998</v>
      </c>
      <c r="W56" s="875">
        <f t="shared" si="14"/>
        <v>55053.09</v>
      </c>
      <c r="X56" s="875">
        <f t="shared" si="14"/>
        <v>0</v>
      </c>
      <c r="Y56" s="883"/>
      <c r="Z56" s="875">
        <f t="shared" si="15"/>
        <v>0</v>
      </c>
      <c r="AA56" s="875">
        <f t="shared" si="15"/>
        <v>0</v>
      </c>
      <c r="AB56" s="875">
        <f t="shared" si="15"/>
        <v>0</v>
      </c>
      <c r="AC56" s="624"/>
    </row>
    <row r="57" spans="1:30" s="614" customFormat="1" ht="63" x14ac:dyDescent="0.2">
      <c r="A57" s="1083" t="s">
        <v>748</v>
      </c>
      <c r="B57" s="619" t="s">
        <v>729</v>
      </c>
      <c r="C57" s="620">
        <v>119</v>
      </c>
      <c r="D57" s="620">
        <v>213</v>
      </c>
      <c r="E57" s="596">
        <f t="shared" si="5"/>
        <v>6038.46</v>
      </c>
      <c r="F57" s="595">
        <f>'Прилож 4 24 (9)'!V56</f>
        <v>0</v>
      </c>
      <c r="G57" s="595">
        <f>'Прилож 4 24 (9)'!W56</f>
        <v>6038.46</v>
      </c>
      <c r="H57" s="595">
        <f>'Прилож 4 24 (9)'!X56</f>
        <v>0</v>
      </c>
      <c r="I57" s="628"/>
      <c r="J57" s="595">
        <f>'Прилож 4 24 (9)'!Z56</f>
        <v>0</v>
      </c>
      <c r="K57" s="595">
        <f>'Прилож 4 24 (9)'!AA56</f>
        <v>0</v>
      </c>
      <c r="L57" s="595">
        <f>'Прилож 4 24 (9)'!AB56</f>
        <v>0</v>
      </c>
      <c r="M57" s="876">
        <f t="shared" si="13"/>
        <v>0</v>
      </c>
      <c r="N57" s="875"/>
      <c r="O57" s="875"/>
      <c r="P57" s="875"/>
      <c r="Q57" s="883"/>
      <c r="R57" s="875"/>
      <c r="S57" s="875"/>
      <c r="T57" s="875"/>
      <c r="U57" s="876">
        <f t="shared" si="10"/>
        <v>6038.46</v>
      </c>
      <c r="V57" s="875">
        <f t="shared" si="10"/>
        <v>0</v>
      </c>
      <c r="W57" s="875">
        <f t="shared" si="14"/>
        <v>6038.46</v>
      </c>
      <c r="X57" s="875">
        <f t="shared" si="14"/>
        <v>0</v>
      </c>
      <c r="Y57" s="883"/>
      <c r="Z57" s="875">
        <f t="shared" si="15"/>
        <v>0</v>
      </c>
      <c r="AA57" s="875">
        <f t="shared" si="15"/>
        <v>0</v>
      </c>
      <c r="AB57" s="875">
        <f t="shared" si="15"/>
        <v>0</v>
      </c>
      <c r="AC57" s="878"/>
    </row>
    <row r="58" spans="1:30" s="614" customFormat="1" ht="63" x14ac:dyDescent="0.2">
      <c r="A58" s="618" t="s">
        <v>748</v>
      </c>
      <c r="B58" s="619" t="s">
        <v>64</v>
      </c>
      <c r="C58" s="620">
        <v>119</v>
      </c>
      <c r="D58" s="620">
        <v>213</v>
      </c>
      <c r="E58" s="596">
        <f t="shared" si="5"/>
        <v>19446</v>
      </c>
      <c r="F58" s="595">
        <f>'Прилож 4 24 (9)'!V57</f>
        <v>0</v>
      </c>
      <c r="G58" s="595">
        <f>'Прилож 4 24 (9)'!W57</f>
        <v>0</v>
      </c>
      <c r="H58" s="595">
        <f>'Прилож 4 24 (9)'!X57</f>
        <v>0</v>
      </c>
      <c r="I58" s="621" t="s">
        <v>1235</v>
      </c>
      <c r="J58" s="595">
        <f>'Прилож 4 24 (9)'!Z57</f>
        <v>0</v>
      </c>
      <c r="K58" s="595">
        <f>'Прилож 4 24 (9)'!AA57</f>
        <v>19446</v>
      </c>
      <c r="L58" s="595">
        <f>'Прилож 4 24 (9)'!AB57</f>
        <v>0</v>
      </c>
      <c r="M58" s="876">
        <f t="shared" si="13"/>
        <v>0</v>
      </c>
      <c r="N58" s="875"/>
      <c r="O58" s="875"/>
      <c r="P58" s="875"/>
      <c r="Q58" s="883"/>
      <c r="R58" s="875"/>
      <c r="S58" s="875"/>
      <c r="T58" s="875"/>
      <c r="U58" s="876">
        <f t="shared" si="10"/>
        <v>19446</v>
      </c>
      <c r="V58" s="875">
        <f t="shared" si="10"/>
        <v>0</v>
      </c>
      <c r="W58" s="875">
        <f t="shared" si="14"/>
        <v>0</v>
      </c>
      <c r="X58" s="875">
        <f t="shared" si="14"/>
        <v>0</v>
      </c>
      <c r="Y58" s="877" t="s">
        <v>1235</v>
      </c>
      <c r="Z58" s="875">
        <f t="shared" si="15"/>
        <v>0</v>
      </c>
      <c r="AA58" s="875">
        <f t="shared" si="15"/>
        <v>19446</v>
      </c>
      <c r="AB58" s="875">
        <f t="shared" si="15"/>
        <v>0</v>
      </c>
      <c r="AC58" s="878"/>
    </row>
    <row r="59" spans="1:30" s="614" customFormat="1" ht="63" x14ac:dyDescent="0.2">
      <c r="A59" s="618" t="s">
        <v>748</v>
      </c>
      <c r="B59" s="619" t="s">
        <v>691</v>
      </c>
      <c r="C59" s="620">
        <v>119</v>
      </c>
      <c r="D59" s="620">
        <v>213</v>
      </c>
      <c r="E59" s="596">
        <f t="shared" si="5"/>
        <v>16917.36</v>
      </c>
      <c r="F59" s="595">
        <f>'Прилож 4 24 (9)'!V58</f>
        <v>0</v>
      </c>
      <c r="G59" s="595">
        <f>'Прилож 4 24 (9)'!W58</f>
        <v>0</v>
      </c>
      <c r="H59" s="595">
        <f>'Прилож 4 24 (9)'!X58</f>
        <v>14362.7</v>
      </c>
      <c r="I59" s="628"/>
      <c r="J59" s="595">
        <f>'Прилож 4 24 (9)'!Z58</f>
        <v>0</v>
      </c>
      <c r="K59" s="595">
        <f>'Прилож 4 24 (9)'!AA58</f>
        <v>0</v>
      </c>
      <c r="L59" s="595">
        <f>'Прилож 4 24 (9)'!AB58</f>
        <v>2554.66</v>
      </c>
      <c r="M59" s="876">
        <f t="shared" si="13"/>
        <v>0</v>
      </c>
      <c r="N59" s="875"/>
      <c r="O59" s="875"/>
      <c r="P59" s="875"/>
      <c r="Q59" s="883"/>
      <c r="R59" s="875"/>
      <c r="S59" s="875"/>
      <c r="T59" s="875"/>
      <c r="U59" s="876">
        <f t="shared" si="10"/>
        <v>16917.36</v>
      </c>
      <c r="V59" s="875">
        <f t="shared" si="10"/>
        <v>0</v>
      </c>
      <c r="W59" s="875">
        <f t="shared" si="14"/>
        <v>0</v>
      </c>
      <c r="X59" s="875">
        <f t="shared" si="14"/>
        <v>14362.7</v>
      </c>
      <c r="Y59" s="883"/>
      <c r="Z59" s="875">
        <f t="shared" si="15"/>
        <v>0</v>
      </c>
      <c r="AA59" s="875">
        <f t="shared" si="15"/>
        <v>0</v>
      </c>
      <c r="AB59" s="875">
        <f t="shared" si="15"/>
        <v>2554.66</v>
      </c>
      <c r="AC59" s="878"/>
    </row>
    <row r="60" spans="1:30" s="614" customFormat="1" ht="110.25" x14ac:dyDescent="0.2">
      <c r="A60" s="618" t="s">
        <v>1468</v>
      </c>
      <c r="B60" s="619" t="s">
        <v>729</v>
      </c>
      <c r="C60" s="620">
        <v>119</v>
      </c>
      <c r="D60" s="620">
        <v>265</v>
      </c>
      <c r="E60" s="596">
        <v>8370.2000000000007</v>
      </c>
      <c r="F60" s="595">
        <f>'Прилож 4 24 (9)'!V59</f>
        <v>8370.2000000000007</v>
      </c>
      <c r="G60" s="595">
        <f>'Прилож 4 24 (9)'!W59</f>
        <v>0</v>
      </c>
      <c r="H60" s="595">
        <f>'Прилож 4 24 (9)'!X59</f>
        <v>0</v>
      </c>
      <c r="I60" s="628"/>
      <c r="J60" s="595">
        <f>'Прилож 4 24 (9)'!Z59</f>
        <v>0</v>
      </c>
      <c r="K60" s="595">
        <f>'Прилож 4 24 (9)'!AA59</f>
        <v>0</v>
      </c>
      <c r="L60" s="595">
        <f>'Прилож 4 24 (9)'!AB59</f>
        <v>0</v>
      </c>
      <c r="M60" s="876">
        <f t="shared" si="13"/>
        <v>0</v>
      </c>
      <c r="N60" s="875"/>
      <c r="O60" s="875"/>
      <c r="P60" s="875"/>
      <c r="Q60" s="883"/>
      <c r="R60" s="875"/>
      <c r="S60" s="875"/>
      <c r="T60" s="875"/>
      <c r="U60" s="876">
        <v>8370.2000000000007</v>
      </c>
      <c r="V60" s="875">
        <f t="shared" ref="V60:V123" si="16">F60+N60</f>
        <v>8370.2000000000007</v>
      </c>
      <c r="W60" s="875">
        <f t="shared" si="14"/>
        <v>0</v>
      </c>
      <c r="X60" s="875">
        <f t="shared" si="14"/>
        <v>0</v>
      </c>
      <c r="Y60" s="883"/>
      <c r="Z60" s="875">
        <f t="shared" si="15"/>
        <v>0</v>
      </c>
      <c r="AA60" s="875">
        <f t="shared" si="15"/>
        <v>0</v>
      </c>
      <c r="AB60" s="875">
        <f t="shared" si="15"/>
        <v>0</v>
      </c>
      <c r="AC60" s="878"/>
    </row>
    <row r="61" spans="1:30" s="614" customFormat="1" x14ac:dyDescent="0.2">
      <c r="A61" s="630" t="s">
        <v>733</v>
      </c>
      <c r="B61" s="631"/>
      <c r="C61" s="624"/>
      <c r="D61" s="624"/>
      <c r="E61" s="596">
        <f t="shared" ref="E61:E124" si="17">L61+K61+J61+H61+G61+F61</f>
        <v>10409975.339999998</v>
      </c>
      <c r="F61" s="595">
        <f>'Прилож 4 24 (9)'!V60</f>
        <v>8943827.4899999984</v>
      </c>
      <c r="G61" s="595">
        <f>'Прилож 4 24 (9)'!W60</f>
        <v>537133.53999999992</v>
      </c>
      <c r="H61" s="595">
        <f>'Прилож 4 24 (9)'!X60</f>
        <v>907013.64999999991</v>
      </c>
      <c r="I61" s="626"/>
      <c r="J61" s="595">
        <f>'Прилож 4 24 (9)'!Z60</f>
        <v>0</v>
      </c>
      <c r="K61" s="595">
        <f>'Прилож 4 24 (9)'!AA60</f>
        <v>19446</v>
      </c>
      <c r="L61" s="595">
        <f>'Прилож 4 24 (9)'!AB60</f>
        <v>2554.66</v>
      </c>
      <c r="M61" s="876">
        <f t="shared" si="13"/>
        <v>-9060</v>
      </c>
      <c r="N61" s="876">
        <f>SUM(N53:N60)</f>
        <v>-9060</v>
      </c>
      <c r="O61" s="876">
        <f>SUM(O53:O59)</f>
        <v>0</v>
      </c>
      <c r="P61" s="876">
        <f>SUM(P53:P59)</f>
        <v>0</v>
      </c>
      <c r="Q61" s="881"/>
      <c r="R61" s="876"/>
      <c r="S61" s="876">
        <f>SUM(S53:S60)</f>
        <v>0</v>
      </c>
      <c r="T61" s="876"/>
      <c r="U61" s="876">
        <f t="shared" ref="U61:V124" si="18">E61+M61</f>
        <v>10400915.339999998</v>
      </c>
      <c r="V61" s="875">
        <f t="shared" si="16"/>
        <v>8934767.4899999984</v>
      </c>
      <c r="W61" s="875">
        <f t="shared" si="14"/>
        <v>537133.53999999992</v>
      </c>
      <c r="X61" s="875">
        <f t="shared" si="14"/>
        <v>907013.64999999991</v>
      </c>
      <c r="Y61" s="881"/>
      <c r="Z61" s="875">
        <f t="shared" si="15"/>
        <v>0</v>
      </c>
      <c r="AA61" s="875">
        <f t="shared" si="15"/>
        <v>19446</v>
      </c>
      <c r="AB61" s="875">
        <f t="shared" si="15"/>
        <v>2554.66</v>
      </c>
      <c r="AC61" s="879"/>
      <c r="AD61" s="818"/>
    </row>
    <row r="62" spans="1:30" ht="31.5" x14ac:dyDescent="0.2">
      <c r="A62" s="618" t="s">
        <v>1183</v>
      </c>
      <c r="B62" s="619" t="s">
        <v>747</v>
      </c>
      <c r="C62" s="620">
        <v>244</v>
      </c>
      <c r="D62" s="620">
        <v>221</v>
      </c>
      <c r="E62" s="596">
        <f t="shared" si="17"/>
        <v>14452.3</v>
      </c>
      <c r="F62" s="595">
        <f>'Прилож 4 24 (9)'!V61</f>
        <v>0</v>
      </c>
      <c r="G62" s="595">
        <f>'Прилож 4 24 (9)'!W61</f>
        <v>0</v>
      </c>
      <c r="H62" s="595">
        <f>'Прилож 4 24 (9)'!X61</f>
        <v>14452.3</v>
      </c>
      <c r="I62" s="628"/>
      <c r="J62" s="595">
        <f>'Прилож 4 24 (9)'!Z61</f>
        <v>0</v>
      </c>
      <c r="K62" s="595">
        <f>'Прилож 4 24 (9)'!AA61</f>
        <v>0</v>
      </c>
      <c r="L62" s="595">
        <f>'Прилож 4 24 (9)'!AB61</f>
        <v>0</v>
      </c>
      <c r="M62" s="876">
        <f t="shared" si="13"/>
        <v>0</v>
      </c>
      <c r="N62" s="875"/>
      <c r="O62" s="875"/>
      <c r="P62" s="875"/>
      <c r="Q62" s="877"/>
      <c r="R62" s="875"/>
      <c r="S62" s="875"/>
      <c r="T62" s="875"/>
      <c r="U62" s="876">
        <f t="shared" si="18"/>
        <v>14452.3</v>
      </c>
      <c r="V62" s="875">
        <f t="shared" si="16"/>
        <v>0</v>
      </c>
      <c r="W62" s="875">
        <f t="shared" si="14"/>
        <v>0</v>
      </c>
      <c r="X62" s="875">
        <f t="shared" si="14"/>
        <v>14452.3</v>
      </c>
      <c r="Y62" s="883"/>
      <c r="Z62" s="875">
        <f t="shared" si="15"/>
        <v>0</v>
      </c>
      <c r="AA62" s="875">
        <f t="shared" si="15"/>
        <v>0</v>
      </c>
      <c r="AB62" s="875">
        <f t="shared" si="15"/>
        <v>0</v>
      </c>
      <c r="AC62" s="878"/>
    </row>
    <row r="63" spans="1:30" x14ac:dyDescent="0.2">
      <c r="A63" s="618" t="s">
        <v>1184</v>
      </c>
      <c r="B63" s="619" t="s">
        <v>747</v>
      </c>
      <c r="C63" s="620">
        <v>244</v>
      </c>
      <c r="D63" s="620">
        <v>221</v>
      </c>
      <c r="E63" s="596">
        <f t="shared" si="17"/>
        <v>36000</v>
      </c>
      <c r="F63" s="595">
        <f>'Прилож 4 24 (9)'!V62</f>
        <v>0</v>
      </c>
      <c r="G63" s="595">
        <f>'Прилож 4 24 (9)'!W62</f>
        <v>0</v>
      </c>
      <c r="H63" s="595">
        <f>'Прилож 4 24 (9)'!X62</f>
        <v>36000</v>
      </c>
      <c r="I63" s="628"/>
      <c r="J63" s="595">
        <f>'Прилож 4 24 (9)'!Z62</f>
        <v>0</v>
      </c>
      <c r="K63" s="595">
        <f>'Прилож 4 24 (9)'!AA62</f>
        <v>0</v>
      </c>
      <c r="L63" s="595">
        <f>'Прилож 4 24 (9)'!AB62</f>
        <v>0</v>
      </c>
      <c r="M63" s="876">
        <f t="shared" si="13"/>
        <v>0</v>
      </c>
      <c r="N63" s="875"/>
      <c r="O63" s="875"/>
      <c r="P63" s="875"/>
      <c r="Q63" s="877"/>
      <c r="R63" s="875"/>
      <c r="S63" s="875"/>
      <c r="T63" s="875"/>
      <c r="U63" s="876">
        <f t="shared" si="18"/>
        <v>36000</v>
      </c>
      <c r="V63" s="875">
        <f t="shared" si="16"/>
        <v>0</v>
      </c>
      <c r="W63" s="875">
        <f t="shared" si="14"/>
        <v>0</v>
      </c>
      <c r="X63" s="875">
        <f t="shared" si="14"/>
        <v>36000</v>
      </c>
      <c r="Y63" s="883"/>
      <c r="Z63" s="875">
        <f t="shared" si="15"/>
        <v>0</v>
      </c>
      <c r="AA63" s="875">
        <f t="shared" si="15"/>
        <v>0</v>
      </c>
      <c r="AB63" s="875">
        <f t="shared" si="15"/>
        <v>0</v>
      </c>
      <c r="AC63" s="878"/>
    </row>
    <row r="64" spans="1:30" x14ac:dyDescent="0.2">
      <c r="A64" s="618" t="s">
        <v>158</v>
      </c>
      <c r="B64" s="619" t="s">
        <v>747</v>
      </c>
      <c r="C64" s="620">
        <v>244</v>
      </c>
      <c r="D64" s="620">
        <v>221</v>
      </c>
      <c r="E64" s="596">
        <f t="shared" si="17"/>
        <v>6600</v>
      </c>
      <c r="F64" s="595">
        <f>'Прилож 4 24 (9)'!V63</f>
        <v>0</v>
      </c>
      <c r="G64" s="595">
        <f>'Прилож 4 24 (9)'!W63</f>
        <v>0</v>
      </c>
      <c r="H64" s="595">
        <f>'Прилож 4 24 (9)'!X63</f>
        <v>6600</v>
      </c>
      <c r="I64" s="628"/>
      <c r="J64" s="595">
        <f>'Прилож 4 24 (9)'!Z63</f>
        <v>0</v>
      </c>
      <c r="K64" s="595">
        <f>'Прилож 4 24 (9)'!AA63</f>
        <v>0</v>
      </c>
      <c r="L64" s="595">
        <f>'Прилож 4 24 (9)'!AB63</f>
        <v>0</v>
      </c>
      <c r="M64" s="876">
        <f t="shared" si="13"/>
        <v>0</v>
      </c>
      <c r="N64" s="875"/>
      <c r="O64" s="875"/>
      <c r="P64" s="875"/>
      <c r="Q64" s="877"/>
      <c r="R64" s="875"/>
      <c r="S64" s="875"/>
      <c r="T64" s="875"/>
      <c r="U64" s="876">
        <f t="shared" si="18"/>
        <v>6600</v>
      </c>
      <c r="V64" s="875">
        <f t="shared" si="16"/>
        <v>0</v>
      </c>
      <c r="W64" s="875">
        <f t="shared" si="14"/>
        <v>0</v>
      </c>
      <c r="X64" s="875">
        <f t="shared" si="14"/>
        <v>6600</v>
      </c>
      <c r="Y64" s="883"/>
      <c r="Z64" s="875">
        <f t="shared" si="15"/>
        <v>0</v>
      </c>
      <c r="AA64" s="875">
        <f t="shared" si="15"/>
        <v>0</v>
      </c>
      <c r="AB64" s="875">
        <f t="shared" si="15"/>
        <v>0</v>
      </c>
      <c r="AC64" s="878"/>
    </row>
    <row r="65" spans="1:29" s="637" customFormat="1" x14ac:dyDescent="0.2">
      <c r="A65" s="632" t="s">
        <v>1143</v>
      </c>
      <c r="B65" s="633" t="s">
        <v>747</v>
      </c>
      <c r="C65" s="634">
        <v>244</v>
      </c>
      <c r="D65" s="634">
        <v>221</v>
      </c>
      <c r="E65" s="596">
        <f t="shared" si="17"/>
        <v>57052.3</v>
      </c>
      <c r="F65" s="595">
        <f>'Прилож 4 24 (9)'!V64</f>
        <v>0</v>
      </c>
      <c r="G65" s="595">
        <f>'Прилож 4 24 (9)'!W64</f>
        <v>0</v>
      </c>
      <c r="H65" s="595">
        <f>'Прилож 4 24 (9)'!X64</f>
        <v>57052.3</v>
      </c>
      <c r="I65" s="635"/>
      <c r="J65" s="595">
        <f>'Прилож 4 24 (9)'!Z64</f>
        <v>0</v>
      </c>
      <c r="K65" s="595">
        <f>'Прилож 4 24 (9)'!AA64</f>
        <v>0</v>
      </c>
      <c r="L65" s="595">
        <f>'Прилож 4 24 (9)'!AB64</f>
        <v>0</v>
      </c>
      <c r="M65" s="876">
        <f t="shared" si="13"/>
        <v>0</v>
      </c>
      <c r="N65" s="884"/>
      <c r="O65" s="884"/>
      <c r="P65" s="884"/>
      <c r="Q65" s="885"/>
      <c r="R65" s="884"/>
      <c r="S65" s="884"/>
      <c r="T65" s="884"/>
      <c r="U65" s="876">
        <f t="shared" si="18"/>
        <v>57052.3</v>
      </c>
      <c r="V65" s="875">
        <f t="shared" si="16"/>
        <v>0</v>
      </c>
      <c r="W65" s="875">
        <f t="shared" si="14"/>
        <v>0</v>
      </c>
      <c r="X65" s="875">
        <f t="shared" si="14"/>
        <v>57052.3</v>
      </c>
      <c r="Y65" s="885"/>
      <c r="Z65" s="875">
        <f t="shared" si="15"/>
        <v>0</v>
      </c>
      <c r="AA65" s="875">
        <f t="shared" si="15"/>
        <v>0</v>
      </c>
      <c r="AB65" s="875">
        <f t="shared" si="15"/>
        <v>0</v>
      </c>
      <c r="AC65" s="886"/>
    </row>
    <row r="66" spans="1:29" ht="31.5" x14ac:dyDescent="0.2">
      <c r="A66" s="618" t="s">
        <v>1183</v>
      </c>
      <c r="B66" s="619" t="s">
        <v>729</v>
      </c>
      <c r="C66" s="620">
        <v>244</v>
      </c>
      <c r="D66" s="620">
        <v>221</v>
      </c>
      <c r="E66" s="596">
        <f t="shared" si="17"/>
        <v>44560.93</v>
      </c>
      <c r="F66" s="595">
        <f>'Прилож 4 24 (9)'!V65</f>
        <v>0</v>
      </c>
      <c r="G66" s="595">
        <f>'Прилож 4 24 (9)'!W65</f>
        <v>0</v>
      </c>
      <c r="H66" s="595">
        <f>'Прилож 4 24 (9)'!X65</f>
        <v>44560.93</v>
      </c>
      <c r="I66" s="628"/>
      <c r="J66" s="595">
        <f>'Прилож 4 24 (9)'!Z65</f>
        <v>0</v>
      </c>
      <c r="K66" s="595">
        <f>'Прилож 4 24 (9)'!AA65</f>
        <v>0</v>
      </c>
      <c r="L66" s="595">
        <f>'Прилож 4 24 (9)'!AB65</f>
        <v>0</v>
      </c>
      <c r="M66" s="876">
        <f t="shared" si="13"/>
        <v>0</v>
      </c>
      <c r="N66" s="875"/>
      <c r="O66" s="875"/>
      <c r="P66" s="875"/>
      <c r="Q66" s="877"/>
      <c r="R66" s="875"/>
      <c r="S66" s="875"/>
      <c r="T66" s="875"/>
      <c r="U66" s="876">
        <f t="shared" si="18"/>
        <v>44560.93</v>
      </c>
      <c r="V66" s="875">
        <f t="shared" si="16"/>
        <v>0</v>
      </c>
      <c r="W66" s="875">
        <f t="shared" si="14"/>
        <v>0</v>
      </c>
      <c r="X66" s="875">
        <f t="shared" si="14"/>
        <v>44560.93</v>
      </c>
      <c r="Y66" s="883"/>
      <c r="Z66" s="875">
        <f t="shared" si="15"/>
        <v>0</v>
      </c>
      <c r="AA66" s="875">
        <f t="shared" si="15"/>
        <v>0</v>
      </c>
      <c r="AB66" s="875">
        <f t="shared" si="15"/>
        <v>0</v>
      </c>
      <c r="AC66" s="878"/>
    </row>
    <row r="67" spans="1:29" ht="32.25" customHeight="1" x14ac:dyDescent="0.2">
      <c r="A67" s="618" t="s">
        <v>597</v>
      </c>
      <c r="B67" s="619" t="s">
        <v>729</v>
      </c>
      <c r="C67" s="620">
        <v>244</v>
      </c>
      <c r="D67" s="620">
        <v>221</v>
      </c>
      <c r="E67" s="596">
        <f t="shared" si="17"/>
        <v>11360</v>
      </c>
      <c r="F67" s="595">
        <f>'Прилож 4 24 (9)'!V66</f>
        <v>0</v>
      </c>
      <c r="G67" s="595">
        <f>'Прилож 4 24 (9)'!W66</f>
        <v>0</v>
      </c>
      <c r="H67" s="595">
        <f>'Прилож 4 24 (9)'!X66</f>
        <v>11360</v>
      </c>
      <c r="I67" s="628"/>
      <c r="J67" s="595">
        <f>'Прилож 4 24 (9)'!Z66</f>
        <v>0</v>
      </c>
      <c r="K67" s="595">
        <f>'Прилож 4 24 (9)'!AA66</f>
        <v>0</v>
      </c>
      <c r="L67" s="595">
        <f>'Прилож 4 24 (9)'!AB66</f>
        <v>0</v>
      </c>
      <c r="M67" s="876">
        <f t="shared" si="13"/>
        <v>0</v>
      </c>
      <c r="N67" s="875"/>
      <c r="O67" s="875"/>
      <c r="P67" s="875"/>
      <c r="Q67" s="877"/>
      <c r="R67" s="875"/>
      <c r="S67" s="875"/>
      <c r="T67" s="875"/>
      <c r="U67" s="876">
        <f t="shared" si="18"/>
        <v>11360</v>
      </c>
      <c r="V67" s="875">
        <f t="shared" si="16"/>
        <v>0</v>
      </c>
      <c r="W67" s="875">
        <f t="shared" si="14"/>
        <v>0</v>
      </c>
      <c r="X67" s="875">
        <f t="shared" si="14"/>
        <v>11360</v>
      </c>
      <c r="Y67" s="883"/>
      <c r="Z67" s="875">
        <f t="shared" si="15"/>
        <v>0</v>
      </c>
      <c r="AA67" s="875">
        <f t="shared" si="15"/>
        <v>0</v>
      </c>
      <c r="AB67" s="875">
        <f t="shared" si="15"/>
        <v>0</v>
      </c>
      <c r="AC67" s="878"/>
    </row>
    <row r="68" spans="1:29" x14ac:dyDescent="0.2">
      <c r="A68" s="618" t="s">
        <v>158</v>
      </c>
      <c r="B68" s="619" t="s">
        <v>729</v>
      </c>
      <c r="C68" s="620">
        <v>244</v>
      </c>
      <c r="D68" s="620">
        <v>221</v>
      </c>
      <c r="E68" s="596">
        <f t="shared" si="17"/>
        <v>6600</v>
      </c>
      <c r="F68" s="595">
        <f>'Прилож 4 24 (9)'!V67</f>
        <v>0</v>
      </c>
      <c r="G68" s="595">
        <f>'Прилож 4 24 (9)'!W67</f>
        <v>0</v>
      </c>
      <c r="H68" s="595">
        <f>'Прилож 4 24 (9)'!X67</f>
        <v>6600</v>
      </c>
      <c r="I68" s="628"/>
      <c r="J68" s="595">
        <f>'Прилож 4 24 (9)'!Z67</f>
        <v>0</v>
      </c>
      <c r="K68" s="595">
        <f>'Прилож 4 24 (9)'!AA67</f>
        <v>0</v>
      </c>
      <c r="L68" s="595">
        <f>'Прилож 4 24 (9)'!AB67</f>
        <v>0</v>
      </c>
      <c r="M68" s="876">
        <f t="shared" si="13"/>
        <v>0</v>
      </c>
      <c r="N68" s="875"/>
      <c r="O68" s="875"/>
      <c r="P68" s="875"/>
      <c r="Q68" s="877"/>
      <c r="R68" s="875"/>
      <c r="S68" s="875"/>
      <c r="T68" s="875"/>
      <c r="U68" s="876">
        <f t="shared" si="18"/>
        <v>6600</v>
      </c>
      <c r="V68" s="875">
        <f t="shared" si="16"/>
        <v>0</v>
      </c>
      <c r="W68" s="875">
        <f t="shared" si="14"/>
        <v>0</v>
      </c>
      <c r="X68" s="875">
        <f t="shared" si="14"/>
        <v>6600</v>
      </c>
      <c r="Y68" s="883"/>
      <c r="Z68" s="875">
        <f t="shared" si="15"/>
        <v>0</v>
      </c>
      <c r="AA68" s="875">
        <f t="shared" si="15"/>
        <v>0</v>
      </c>
      <c r="AB68" s="875">
        <f t="shared" si="15"/>
        <v>0</v>
      </c>
      <c r="AC68" s="878"/>
    </row>
    <row r="69" spans="1:29" s="637" customFormat="1" x14ac:dyDescent="0.2">
      <c r="A69" s="632" t="s">
        <v>1143</v>
      </c>
      <c r="B69" s="633" t="s">
        <v>729</v>
      </c>
      <c r="C69" s="634">
        <v>244</v>
      </c>
      <c r="D69" s="634">
        <v>221</v>
      </c>
      <c r="E69" s="596">
        <f t="shared" si="17"/>
        <v>62520.929999999993</v>
      </c>
      <c r="F69" s="595">
        <f>'Прилож 4 24 (9)'!V68</f>
        <v>0</v>
      </c>
      <c r="G69" s="595">
        <f>'Прилож 4 24 (9)'!W68</f>
        <v>0</v>
      </c>
      <c r="H69" s="595">
        <f>'Прилож 4 24 (9)'!X68</f>
        <v>62520.929999999993</v>
      </c>
      <c r="I69" s="635"/>
      <c r="J69" s="595">
        <f>'Прилож 4 24 (9)'!Z68</f>
        <v>0</v>
      </c>
      <c r="K69" s="595">
        <f>'Прилож 4 24 (9)'!AA68</f>
        <v>0</v>
      </c>
      <c r="L69" s="595">
        <f>'Прилож 4 24 (9)'!AB68</f>
        <v>0</v>
      </c>
      <c r="M69" s="876">
        <f t="shared" si="13"/>
        <v>0</v>
      </c>
      <c r="N69" s="884"/>
      <c r="O69" s="884"/>
      <c r="P69" s="884">
        <f>SUM(P66:P68)</f>
        <v>0</v>
      </c>
      <c r="Q69" s="885"/>
      <c r="R69" s="884"/>
      <c r="S69" s="884"/>
      <c r="T69" s="884"/>
      <c r="U69" s="876">
        <f t="shared" si="18"/>
        <v>62520.929999999993</v>
      </c>
      <c r="V69" s="875">
        <f t="shared" si="16"/>
        <v>0</v>
      </c>
      <c r="W69" s="875">
        <f t="shared" si="14"/>
        <v>0</v>
      </c>
      <c r="X69" s="875">
        <f t="shared" si="14"/>
        <v>62520.929999999993</v>
      </c>
      <c r="Y69" s="885"/>
      <c r="Z69" s="875">
        <f t="shared" si="15"/>
        <v>0</v>
      </c>
      <c r="AA69" s="875">
        <f t="shared" si="15"/>
        <v>0</v>
      </c>
      <c r="AB69" s="875">
        <f t="shared" si="15"/>
        <v>0</v>
      </c>
      <c r="AC69" s="886"/>
    </row>
    <row r="70" spans="1:29" s="614" customFormat="1" x14ac:dyDescent="0.2">
      <c r="A70" s="630" t="s">
        <v>734</v>
      </c>
      <c r="B70" s="631"/>
      <c r="C70" s="624"/>
      <c r="D70" s="624"/>
      <c r="E70" s="596">
        <f t="shared" si="17"/>
        <v>119573.22999999998</v>
      </c>
      <c r="F70" s="595">
        <f>'Прилож 4 24 (9)'!V69</f>
        <v>0</v>
      </c>
      <c r="G70" s="595">
        <f>'Прилож 4 24 (9)'!W69</f>
        <v>0</v>
      </c>
      <c r="H70" s="595">
        <f>'Прилож 4 24 (9)'!X69</f>
        <v>119573.22999999998</v>
      </c>
      <c r="I70" s="626"/>
      <c r="J70" s="595">
        <f>'Прилож 4 24 (9)'!Z69</f>
        <v>0</v>
      </c>
      <c r="K70" s="595">
        <f>'Прилож 4 24 (9)'!AA69</f>
        <v>0</v>
      </c>
      <c r="L70" s="595">
        <f>'Прилож 4 24 (9)'!AB69</f>
        <v>0</v>
      </c>
      <c r="M70" s="876">
        <f t="shared" si="13"/>
        <v>0</v>
      </c>
      <c r="N70" s="876"/>
      <c r="O70" s="876"/>
      <c r="P70" s="876">
        <f>P69+P65</f>
        <v>0</v>
      </c>
      <c r="Q70" s="881"/>
      <c r="R70" s="876"/>
      <c r="S70" s="876"/>
      <c r="T70" s="876"/>
      <c r="U70" s="876">
        <f t="shared" si="18"/>
        <v>119573.22999999998</v>
      </c>
      <c r="V70" s="875">
        <f t="shared" si="16"/>
        <v>0</v>
      </c>
      <c r="W70" s="875">
        <f t="shared" si="14"/>
        <v>0</v>
      </c>
      <c r="X70" s="875">
        <f t="shared" si="14"/>
        <v>119573.22999999998</v>
      </c>
      <c r="Y70" s="881"/>
      <c r="Z70" s="875">
        <f t="shared" si="15"/>
        <v>0</v>
      </c>
      <c r="AA70" s="875">
        <f t="shared" si="15"/>
        <v>0</v>
      </c>
      <c r="AB70" s="875">
        <f t="shared" si="15"/>
        <v>0</v>
      </c>
      <c r="AC70" s="879"/>
    </row>
    <row r="71" spans="1:29" x14ac:dyDescent="0.2">
      <c r="A71" s="618" t="s">
        <v>126</v>
      </c>
      <c r="B71" s="619" t="s">
        <v>747</v>
      </c>
      <c r="C71" s="620">
        <v>244</v>
      </c>
      <c r="D71" s="620">
        <v>223</v>
      </c>
      <c r="E71" s="596">
        <f t="shared" si="17"/>
        <v>30113.4</v>
      </c>
      <c r="F71" s="595">
        <f>'Прилож 4 24 (9)'!V70</f>
        <v>0</v>
      </c>
      <c r="G71" s="595">
        <f>'Прилож 4 24 (9)'!W70</f>
        <v>0</v>
      </c>
      <c r="H71" s="595">
        <f>'Прилож 4 24 (9)'!X70</f>
        <v>30113.4</v>
      </c>
      <c r="I71" s="628"/>
      <c r="J71" s="595">
        <f>'Прилож 4 24 (9)'!Z70</f>
        <v>0</v>
      </c>
      <c r="K71" s="595">
        <f>'Прилож 4 24 (9)'!AA70</f>
        <v>0</v>
      </c>
      <c r="L71" s="595">
        <f>'Прилож 4 24 (9)'!AB70</f>
        <v>0</v>
      </c>
      <c r="M71" s="876">
        <f t="shared" si="13"/>
        <v>-11656.8</v>
      </c>
      <c r="N71" s="875"/>
      <c r="O71" s="875"/>
      <c r="P71" s="875">
        <v>-11656.8</v>
      </c>
      <c r="Q71" s="877"/>
      <c r="R71" s="875"/>
      <c r="S71" s="875"/>
      <c r="T71" s="875"/>
      <c r="U71" s="876">
        <f t="shared" si="18"/>
        <v>18456.600000000002</v>
      </c>
      <c r="V71" s="875">
        <f t="shared" si="16"/>
        <v>0</v>
      </c>
      <c r="W71" s="875">
        <f t="shared" si="14"/>
        <v>0</v>
      </c>
      <c r="X71" s="875">
        <f t="shared" si="14"/>
        <v>18456.600000000002</v>
      </c>
      <c r="Y71" s="883"/>
      <c r="Z71" s="875">
        <f t="shared" si="15"/>
        <v>0</v>
      </c>
      <c r="AA71" s="875">
        <f t="shared" si="15"/>
        <v>0</v>
      </c>
      <c r="AB71" s="875">
        <f t="shared" si="15"/>
        <v>0</v>
      </c>
      <c r="AC71" s="878" t="s">
        <v>1602</v>
      </c>
    </row>
    <row r="72" spans="1:29" x14ac:dyDescent="0.2">
      <c r="A72" s="618" t="s">
        <v>127</v>
      </c>
      <c r="B72" s="619" t="s">
        <v>747</v>
      </c>
      <c r="C72" s="620">
        <v>244</v>
      </c>
      <c r="D72" s="620">
        <v>223</v>
      </c>
      <c r="E72" s="596">
        <f t="shared" si="17"/>
        <v>40636.9</v>
      </c>
      <c r="F72" s="595">
        <f>'Прилож 4 24 (9)'!V71</f>
        <v>0</v>
      </c>
      <c r="G72" s="595">
        <f>'Прилож 4 24 (9)'!W71</f>
        <v>0</v>
      </c>
      <c r="H72" s="595">
        <f>'Прилож 4 24 (9)'!X71</f>
        <v>40636.9</v>
      </c>
      <c r="I72" s="628"/>
      <c r="J72" s="595">
        <f>'Прилож 4 24 (9)'!Z71</f>
        <v>0</v>
      </c>
      <c r="K72" s="595">
        <f>'Прилож 4 24 (9)'!AA71</f>
        <v>0</v>
      </c>
      <c r="L72" s="595">
        <f>'Прилож 4 24 (9)'!AB71</f>
        <v>0</v>
      </c>
      <c r="M72" s="876">
        <f t="shared" si="13"/>
        <v>-24641.18</v>
      </c>
      <c r="N72" s="875"/>
      <c r="O72" s="875"/>
      <c r="P72" s="875">
        <v>-24641.18</v>
      </c>
      <c r="Q72" s="877"/>
      <c r="R72" s="875"/>
      <c r="S72" s="875"/>
      <c r="T72" s="875"/>
      <c r="U72" s="876">
        <f t="shared" si="18"/>
        <v>15995.720000000001</v>
      </c>
      <c r="V72" s="875">
        <f t="shared" si="16"/>
        <v>0</v>
      </c>
      <c r="W72" s="875">
        <f t="shared" si="14"/>
        <v>0</v>
      </c>
      <c r="X72" s="875">
        <f t="shared" si="14"/>
        <v>15995.720000000001</v>
      </c>
      <c r="Y72" s="883"/>
      <c r="Z72" s="875">
        <f t="shared" si="15"/>
        <v>0</v>
      </c>
      <c r="AA72" s="875">
        <f t="shared" si="15"/>
        <v>0</v>
      </c>
      <c r="AB72" s="875">
        <f t="shared" si="15"/>
        <v>0</v>
      </c>
      <c r="AC72" s="878" t="s">
        <v>1602</v>
      </c>
    </row>
    <row r="73" spans="1:29" x14ac:dyDescent="0.2">
      <c r="A73" s="618" t="s">
        <v>128</v>
      </c>
      <c r="B73" s="619" t="s">
        <v>747</v>
      </c>
      <c r="C73" s="620">
        <v>244</v>
      </c>
      <c r="D73" s="620">
        <v>223</v>
      </c>
      <c r="E73" s="596">
        <f t="shared" si="17"/>
        <v>75941.84</v>
      </c>
      <c r="F73" s="595">
        <f>'Прилож 4 24 (9)'!V72</f>
        <v>0</v>
      </c>
      <c r="G73" s="595">
        <f>'Прилож 4 24 (9)'!W72</f>
        <v>0</v>
      </c>
      <c r="H73" s="595">
        <f>'Прилож 4 24 (9)'!X72</f>
        <v>75941.84</v>
      </c>
      <c r="I73" s="628"/>
      <c r="J73" s="595">
        <f>'Прилож 4 24 (9)'!Z72</f>
        <v>0</v>
      </c>
      <c r="K73" s="595">
        <f>'Прилож 4 24 (9)'!AA72</f>
        <v>0</v>
      </c>
      <c r="L73" s="595">
        <f>'Прилож 4 24 (9)'!AB72</f>
        <v>0</v>
      </c>
      <c r="M73" s="876">
        <f t="shared" si="13"/>
        <v>-64677.74</v>
      </c>
      <c r="N73" s="875"/>
      <c r="O73" s="875"/>
      <c r="P73" s="875">
        <v>-64677.74</v>
      </c>
      <c r="Q73" s="877"/>
      <c r="R73" s="875"/>
      <c r="S73" s="875"/>
      <c r="T73" s="875"/>
      <c r="U73" s="876">
        <f t="shared" si="18"/>
        <v>11264.099999999999</v>
      </c>
      <c r="V73" s="875">
        <f t="shared" si="16"/>
        <v>0</v>
      </c>
      <c r="W73" s="875">
        <f t="shared" si="14"/>
        <v>0</v>
      </c>
      <c r="X73" s="875">
        <f t="shared" si="14"/>
        <v>11264.099999999999</v>
      </c>
      <c r="Y73" s="883"/>
      <c r="Z73" s="875">
        <f t="shared" si="15"/>
        <v>0</v>
      </c>
      <c r="AA73" s="875">
        <f t="shared" si="15"/>
        <v>0</v>
      </c>
      <c r="AB73" s="875">
        <f t="shared" si="15"/>
        <v>0</v>
      </c>
      <c r="AC73" s="878" t="s">
        <v>1603</v>
      </c>
    </row>
    <row r="74" spans="1:29" ht="47.25" x14ac:dyDescent="0.2">
      <c r="A74" s="618" t="s">
        <v>129</v>
      </c>
      <c r="B74" s="619" t="s">
        <v>747</v>
      </c>
      <c r="C74" s="620">
        <v>244</v>
      </c>
      <c r="D74" s="620">
        <v>223</v>
      </c>
      <c r="E74" s="596">
        <f t="shared" si="17"/>
        <v>78343.55</v>
      </c>
      <c r="F74" s="595">
        <f>'Прилож 4 24 (9)'!V73</f>
        <v>0</v>
      </c>
      <c r="G74" s="595">
        <f>'Прилож 4 24 (9)'!W73</f>
        <v>0</v>
      </c>
      <c r="H74" s="595">
        <f>'Прилож 4 24 (9)'!X73</f>
        <v>78343.55</v>
      </c>
      <c r="I74" s="628"/>
      <c r="J74" s="595">
        <f>'Прилож 4 24 (9)'!Z73</f>
        <v>0</v>
      </c>
      <c r="K74" s="595">
        <f>'Прилож 4 24 (9)'!AA73</f>
        <v>0</v>
      </c>
      <c r="L74" s="595">
        <f>'Прилож 4 24 (9)'!AB73</f>
        <v>0</v>
      </c>
      <c r="M74" s="876">
        <f t="shared" si="13"/>
        <v>-38241.08</v>
      </c>
      <c r="N74" s="875"/>
      <c r="O74" s="875"/>
      <c r="P74" s="875">
        <v>-38241.08</v>
      </c>
      <c r="Q74" s="877"/>
      <c r="R74" s="875"/>
      <c r="S74" s="875"/>
      <c r="T74" s="875"/>
      <c r="U74" s="876">
        <f t="shared" si="18"/>
        <v>40102.47</v>
      </c>
      <c r="V74" s="875">
        <f t="shared" si="16"/>
        <v>0</v>
      </c>
      <c r="W74" s="875">
        <f t="shared" si="14"/>
        <v>0</v>
      </c>
      <c r="X74" s="875">
        <f t="shared" si="14"/>
        <v>40102.47</v>
      </c>
      <c r="Y74" s="883"/>
      <c r="Z74" s="875">
        <f t="shared" si="15"/>
        <v>0</v>
      </c>
      <c r="AA74" s="875">
        <f t="shared" si="15"/>
        <v>0</v>
      </c>
      <c r="AB74" s="875">
        <f t="shared" si="15"/>
        <v>0</v>
      </c>
      <c r="AC74" s="878" t="s">
        <v>1604</v>
      </c>
    </row>
    <row r="75" spans="1:29" ht="31.5" x14ac:dyDescent="0.2">
      <c r="A75" s="618" t="s">
        <v>1238</v>
      </c>
      <c r="B75" s="619" t="s">
        <v>747</v>
      </c>
      <c r="C75" s="620">
        <v>244</v>
      </c>
      <c r="D75" s="620">
        <v>223</v>
      </c>
      <c r="E75" s="596">
        <f t="shared" si="17"/>
        <v>37970.92</v>
      </c>
      <c r="F75" s="595">
        <f>'Прилож 4 24 (9)'!V74</f>
        <v>0</v>
      </c>
      <c r="G75" s="595">
        <f>'Прилож 4 24 (9)'!W74</f>
        <v>0</v>
      </c>
      <c r="H75" s="595">
        <f>'Прилож 4 24 (9)'!X74</f>
        <v>37970.92</v>
      </c>
      <c r="I75" s="628"/>
      <c r="J75" s="595">
        <f>'Прилож 4 24 (9)'!Z74</f>
        <v>0</v>
      </c>
      <c r="K75" s="595">
        <f>'Прилож 4 24 (9)'!AA74</f>
        <v>0</v>
      </c>
      <c r="L75" s="595">
        <f>'Прилож 4 24 (9)'!AB74</f>
        <v>0</v>
      </c>
      <c r="M75" s="876">
        <f t="shared" si="13"/>
        <v>-18170.52</v>
      </c>
      <c r="N75" s="875"/>
      <c r="O75" s="875"/>
      <c r="P75" s="875">
        <v>-18170.52</v>
      </c>
      <c r="Q75" s="877"/>
      <c r="R75" s="875"/>
      <c r="S75" s="875"/>
      <c r="T75" s="875"/>
      <c r="U75" s="876">
        <f t="shared" si="18"/>
        <v>19800.399999999998</v>
      </c>
      <c r="V75" s="875">
        <f t="shared" si="16"/>
        <v>0</v>
      </c>
      <c r="W75" s="875">
        <f t="shared" si="14"/>
        <v>0</v>
      </c>
      <c r="X75" s="875">
        <f t="shared" si="14"/>
        <v>19800.399999999998</v>
      </c>
      <c r="Y75" s="883"/>
      <c r="Z75" s="875">
        <f t="shared" si="15"/>
        <v>0</v>
      </c>
      <c r="AA75" s="875">
        <f t="shared" si="15"/>
        <v>0</v>
      </c>
      <c r="AB75" s="875">
        <f t="shared" si="15"/>
        <v>0</v>
      </c>
      <c r="AC75" s="878" t="s">
        <v>1605</v>
      </c>
    </row>
    <row r="76" spans="1:29" ht="31.5" x14ac:dyDescent="0.2">
      <c r="A76" s="618" t="s">
        <v>1601</v>
      </c>
      <c r="B76" s="619" t="s">
        <v>747</v>
      </c>
      <c r="C76" s="620">
        <v>244</v>
      </c>
      <c r="D76" s="620">
        <v>223</v>
      </c>
      <c r="E76" s="596">
        <f t="shared" si="17"/>
        <v>39171.78</v>
      </c>
      <c r="F76" s="595">
        <f>'Прилож 4 24 (9)'!V75</f>
        <v>0</v>
      </c>
      <c r="G76" s="595">
        <f>'Прилож 4 24 (9)'!W75</f>
        <v>0</v>
      </c>
      <c r="H76" s="595">
        <f>'Прилож 4 24 (9)'!X75</f>
        <v>39171.78</v>
      </c>
      <c r="I76" s="628"/>
      <c r="J76" s="595">
        <f>'Прилож 4 24 (9)'!Z75</f>
        <v>0</v>
      </c>
      <c r="K76" s="595">
        <f>'Прилож 4 24 (9)'!AA75</f>
        <v>0</v>
      </c>
      <c r="L76" s="595">
        <f>'Прилож 4 24 (9)'!AB75</f>
        <v>0</v>
      </c>
      <c r="M76" s="876">
        <f t="shared" si="13"/>
        <v>-19120.55</v>
      </c>
      <c r="N76" s="875"/>
      <c r="O76" s="875"/>
      <c r="P76" s="875">
        <v>-19120.55</v>
      </c>
      <c r="Q76" s="877"/>
      <c r="R76" s="875"/>
      <c r="S76" s="875"/>
      <c r="T76" s="875"/>
      <c r="U76" s="876">
        <f t="shared" si="18"/>
        <v>20051.23</v>
      </c>
      <c r="V76" s="875">
        <f t="shared" si="16"/>
        <v>0</v>
      </c>
      <c r="W76" s="875">
        <f t="shared" si="14"/>
        <v>0</v>
      </c>
      <c r="X76" s="875">
        <f t="shared" si="14"/>
        <v>20051.23</v>
      </c>
      <c r="Y76" s="883"/>
      <c r="Z76" s="875">
        <f t="shared" si="15"/>
        <v>0</v>
      </c>
      <c r="AA76" s="875">
        <f t="shared" si="15"/>
        <v>0</v>
      </c>
      <c r="AB76" s="875">
        <f t="shared" si="15"/>
        <v>0</v>
      </c>
      <c r="AC76" s="878" t="s">
        <v>1606</v>
      </c>
    </row>
    <row r="77" spans="1:29" ht="31.5" x14ac:dyDescent="0.2">
      <c r="A77" s="618" t="s">
        <v>1140</v>
      </c>
      <c r="B77" s="619" t="s">
        <v>747</v>
      </c>
      <c r="C77" s="620">
        <v>244</v>
      </c>
      <c r="D77" s="620">
        <v>223</v>
      </c>
      <c r="E77" s="596">
        <f t="shared" si="17"/>
        <v>9612.2000000000007</v>
      </c>
      <c r="F77" s="595">
        <f>'Прилож 4 24 (9)'!V76</f>
        <v>0</v>
      </c>
      <c r="G77" s="595">
        <f>'Прилож 4 24 (9)'!W76</f>
        <v>0</v>
      </c>
      <c r="H77" s="595">
        <f>'Прилож 4 24 (9)'!X76</f>
        <v>9612.2000000000007</v>
      </c>
      <c r="I77" s="628"/>
      <c r="J77" s="595">
        <f>'Прилож 4 24 (9)'!Z76</f>
        <v>0</v>
      </c>
      <c r="K77" s="595">
        <f>'Прилож 4 24 (9)'!AA76</f>
        <v>0</v>
      </c>
      <c r="L77" s="595">
        <f>'Прилож 4 24 (9)'!AB76</f>
        <v>0</v>
      </c>
      <c r="M77" s="876">
        <f t="shared" si="13"/>
        <v>-603.16999999999996</v>
      </c>
      <c r="N77" s="875"/>
      <c r="O77" s="875"/>
      <c r="P77" s="875">
        <v>-603.16999999999996</v>
      </c>
      <c r="Q77" s="877"/>
      <c r="R77" s="875"/>
      <c r="S77" s="875"/>
      <c r="T77" s="875"/>
      <c r="U77" s="876">
        <f t="shared" si="18"/>
        <v>9009.0300000000007</v>
      </c>
      <c r="V77" s="875">
        <f t="shared" si="16"/>
        <v>0</v>
      </c>
      <c r="W77" s="875">
        <f t="shared" si="14"/>
        <v>0</v>
      </c>
      <c r="X77" s="875">
        <f t="shared" si="14"/>
        <v>9009.0300000000007</v>
      </c>
      <c r="Y77" s="883"/>
      <c r="Z77" s="875">
        <f t="shared" si="15"/>
        <v>0</v>
      </c>
      <c r="AA77" s="875">
        <f t="shared" si="15"/>
        <v>0</v>
      </c>
      <c r="AB77" s="875">
        <f t="shared" si="15"/>
        <v>0</v>
      </c>
      <c r="AC77" s="878" t="s">
        <v>1671</v>
      </c>
    </row>
    <row r="78" spans="1:29" ht="38.450000000000003" customHeight="1" x14ac:dyDescent="0.2">
      <c r="A78" s="618" t="s">
        <v>1141</v>
      </c>
      <c r="B78" s="619" t="s">
        <v>747</v>
      </c>
      <c r="C78" s="620">
        <v>244</v>
      </c>
      <c r="D78" s="620">
        <v>223</v>
      </c>
      <c r="E78" s="596">
        <f t="shared" si="17"/>
        <v>9008.24</v>
      </c>
      <c r="F78" s="595">
        <f>'Прилож 4 24 (9)'!V77</f>
        <v>0</v>
      </c>
      <c r="G78" s="595">
        <f>'Прилож 4 24 (9)'!W77</f>
        <v>0</v>
      </c>
      <c r="H78" s="595">
        <f>'Прилож 4 24 (9)'!X77</f>
        <v>9008.24</v>
      </c>
      <c r="I78" s="628"/>
      <c r="J78" s="595">
        <f>'Прилож 4 24 (9)'!Z77</f>
        <v>0</v>
      </c>
      <c r="K78" s="595">
        <f>'Прилож 4 24 (9)'!AA77</f>
        <v>0</v>
      </c>
      <c r="L78" s="595">
        <f>'Прилож 4 24 (9)'!AB77</f>
        <v>0</v>
      </c>
      <c r="M78" s="876">
        <f t="shared" si="13"/>
        <v>-2250.66</v>
      </c>
      <c r="N78" s="875"/>
      <c r="O78" s="875"/>
      <c r="P78" s="875">
        <v>-2250.66</v>
      </c>
      <c r="Q78" s="877"/>
      <c r="R78" s="875"/>
      <c r="S78" s="875"/>
      <c r="T78" s="875"/>
      <c r="U78" s="876">
        <f t="shared" si="18"/>
        <v>6757.58</v>
      </c>
      <c r="V78" s="875">
        <f t="shared" si="16"/>
        <v>0</v>
      </c>
      <c r="W78" s="875">
        <f t="shared" si="14"/>
        <v>0</v>
      </c>
      <c r="X78" s="875">
        <f t="shared" si="14"/>
        <v>6757.58</v>
      </c>
      <c r="Y78" s="883"/>
      <c r="Z78" s="875">
        <f t="shared" si="15"/>
        <v>0</v>
      </c>
      <c r="AA78" s="875">
        <f t="shared" si="15"/>
        <v>0</v>
      </c>
      <c r="AB78" s="875">
        <f t="shared" si="15"/>
        <v>0</v>
      </c>
      <c r="AC78" s="878" t="s">
        <v>1671</v>
      </c>
    </row>
    <row r="79" spans="1:29" ht="17.45" customHeight="1" x14ac:dyDescent="0.2">
      <c r="A79" s="618" t="s">
        <v>130</v>
      </c>
      <c r="B79" s="619" t="s">
        <v>747</v>
      </c>
      <c r="C79" s="620">
        <v>244</v>
      </c>
      <c r="D79" s="620">
        <v>223</v>
      </c>
      <c r="E79" s="596">
        <f t="shared" si="17"/>
        <v>50838.7</v>
      </c>
      <c r="F79" s="595">
        <f>'Прилож 4 24 (9)'!V78</f>
        <v>0</v>
      </c>
      <c r="G79" s="595">
        <f>'Прилож 4 24 (9)'!W78</f>
        <v>0</v>
      </c>
      <c r="H79" s="595">
        <f>'Прилож 4 24 (9)'!X78</f>
        <v>50838.7</v>
      </c>
      <c r="I79" s="628"/>
      <c r="J79" s="595">
        <f>'Прилож 4 24 (9)'!Z78</f>
        <v>0</v>
      </c>
      <c r="K79" s="595">
        <f>'Прилож 4 24 (9)'!AA78</f>
        <v>0</v>
      </c>
      <c r="L79" s="595">
        <f>'Прилож 4 24 (9)'!AB78</f>
        <v>0</v>
      </c>
      <c r="M79" s="876">
        <f t="shared" si="13"/>
        <v>0</v>
      </c>
      <c r="N79" s="875"/>
      <c r="O79" s="875"/>
      <c r="P79" s="875"/>
      <c r="Q79" s="877"/>
      <c r="R79" s="875"/>
      <c r="S79" s="875"/>
      <c r="T79" s="875"/>
      <c r="U79" s="876">
        <f t="shared" si="18"/>
        <v>50838.7</v>
      </c>
      <c r="V79" s="875">
        <f t="shared" si="16"/>
        <v>0</v>
      </c>
      <c r="W79" s="875">
        <f t="shared" si="14"/>
        <v>0</v>
      </c>
      <c r="X79" s="875">
        <f t="shared" si="14"/>
        <v>50838.7</v>
      </c>
      <c r="Y79" s="883"/>
      <c r="Z79" s="875">
        <f t="shared" si="15"/>
        <v>0</v>
      </c>
      <c r="AA79" s="875">
        <f t="shared" si="15"/>
        <v>0</v>
      </c>
      <c r="AB79" s="875">
        <f t="shared" si="15"/>
        <v>0</v>
      </c>
      <c r="AC79" s="878"/>
    </row>
    <row r="80" spans="1:29" s="637" customFormat="1" ht="16.5" customHeight="1" x14ac:dyDescent="0.2">
      <c r="A80" s="632" t="s">
        <v>1143</v>
      </c>
      <c r="B80" s="633" t="s">
        <v>747</v>
      </c>
      <c r="C80" s="634">
        <v>244</v>
      </c>
      <c r="D80" s="634">
        <v>223</v>
      </c>
      <c r="E80" s="596">
        <f t="shared" si="17"/>
        <v>371637.53</v>
      </c>
      <c r="F80" s="595">
        <f>'Прилож 4 24 (9)'!V79</f>
        <v>0</v>
      </c>
      <c r="G80" s="595">
        <f>'Прилож 4 24 (9)'!W79</f>
        <v>0</v>
      </c>
      <c r="H80" s="595">
        <f>'Прилож 4 24 (9)'!X79</f>
        <v>371637.53</v>
      </c>
      <c r="I80" s="639"/>
      <c r="J80" s="595">
        <f>'Прилож 4 24 (9)'!Z79</f>
        <v>0</v>
      </c>
      <c r="K80" s="595">
        <f>'Прилож 4 24 (9)'!AA79</f>
        <v>0</v>
      </c>
      <c r="L80" s="595">
        <f>'Прилож 4 24 (9)'!AB79</f>
        <v>0</v>
      </c>
      <c r="M80" s="876">
        <f t="shared" si="13"/>
        <v>-179361.69999999998</v>
      </c>
      <c r="N80" s="887"/>
      <c r="O80" s="887"/>
      <c r="P80" s="887">
        <f>SUM(P71:P79)</f>
        <v>-179361.69999999998</v>
      </c>
      <c r="Q80" s="888"/>
      <c r="R80" s="887"/>
      <c r="S80" s="887"/>
      <c r="T80" s="887"/>
      <c r="U80" s="876">
        <f t="shared" si="18"/>
        <v>192275.83000000005</v>
      </c>
      <c r="V80" s="875">
        <f t="shared" si="16"/>
        <v>0</v>
      </c>
      <c r="W80" s="875">
        <f t="shared" si="14"/>
        <v>0</v>
      </c>
      <c r="X80" s="875">
        <f t="shared" si="14"/>
        <v>192275.83000000005</v>
      </c>
      <c r="Y80" s="889"/>
      <c r="Z80" s="875">
        <f t="shared" si="15"/>
        <v>0</v>
      </c>
      <c r="AA80" s="875">
        <f t="shared" si="15"/>
        <v>0</v>
      </c>
      <c r="AB80" s="875">
        <f t="shared" si="15"/>
        <v>0</v>
      </c>
      <c r="AC80" s="886"/>
    </row>
    <row r="81" spans="1:29" ht="47.25" x14ac:dyDescent="0.2">
      <c r="A81" s="618" t="s">
        <v>1617</v>
      </c>
      <c r="B81" s="619" t="s">
        <v>729</v>
      </c>
      <c r="C81" s="620">
        <v>244</v>
      </c>
      <c r="D81" s="620">
        <v>223</v>
      </c>
      <c r="E81" s="596">
        <f t="shared" si="17"/>
        <v>28784.51</v>
      </c>
      <c r="F81" s="595">
        <f>'Прилож 4 24 (9)'!V80</f>
        <v>0</v>
      </c>
      <c r="G81" s="595">
        <f>'Прилож 4 24 (9)'!W80</f>
        <v>0</v>
      </c>
      <c r="H81" s="595">
        <f>'Прилож 4 24 (9)'!X80+'Прилож 4 24 (9)'!X81</f>
        <v>13703.21</v>
      </c>
      <c r="I81" s="628"/>
      <c r="J81" s="595">
        <f>'Прилож 4 24 (9)'!Z80</f>
        <v>0</v>
      </c>
      <c r="K81" s="595">
        <f>'Прилож 4 24 (9)'!AA80</f>
        <v>0</v>
      </c>
      <c r="L81" s="595">
        <f>'Прилож 4 24 (9)'!AB80+'Прилож 4 24 (9)'!AB81</f>
        <v>15081.3</v>
      </c>
      <c r="M81" s="876">
        <f t="shared" si="13"/>
        <v>-1534.71</v>
      </c>
      <c r="N81" s="875"/>
      <c r="O81" s="875"/>
      <c r="P81" s="875">
        <f>-1897.45+362.74</f>
        <v>-1534.71</v>
      </c>
      <c r="Q81" s="877"/>
      <c r="R81" s="875"/>
      <c r="S81" s="875"/>
      <c r="T81" s="875"/>
      <c r="U81" s="876">
        <f t="shared" si="18"/>
        <v>27249.8</v>
      </c>
      <c r="V81" s="875">
        <f t="shared" si="16"/>
        <v>0</v>
      </c>
      <c r="W81" s="875">
        <f t="shared" si="14"/>
        <v>0</v>
      </c>
      <c r="X81" s="875">
        <f t="shared" si="14"/>
        <v>12168.5</v>
      </c>
      <c r="Y81" s="883"/>
      <c r="Z81" s="875">
        <f t="shared" si="15"/>
        <v>0</v>
      </c>
      <c r="AA81" s="875">
        <f t="shared" si="15"/>
        <v>0</v>
      </c>
      <c r="AB81" s="875">
        <f t="shared" si="15"/>
        <v>15081.3</v>
      </c>
      <c r="AC81" s="1123" t="s">
        <v>1621</v>
      </c>
    </row>
    <row r="82" spans="1:29" ht="31.5" x14ac:dyDescent="0.2">
      <c r="A82" s="618" t="s">
        <v>1618</v>
      </c>
      <c r="B82" s="619" t="s">
        <v>729</v>
      </c>
      <c r="C82" s="620">
        <v>244</v>
      </c>
      <c r="D82" s="620">
        <v>223</v>
      </c>
      <c r="E82" s="596">
        <f t="shared" si="17"/>
        <v>63008</v>
      </c>
      <c r="F82" s="595">
        <f>'Прилож 4 24 (9)'!V82</f>
        <v>0</v>
      </c>
      <c r="G82" s="595">
        <f>'Прилож 4 24 (9)'!W82</f>
        <v>0</v>
      </c>
      <c r="H82" s="595">
        <f>'Прилож 4 24 (9)'!X82+'Прилож 4 24 (9)'!X83</f>
        <v>32097.279999999999</v>
      </c>
      <c r="I82" s="628"/>
      <c r="J82" s="595">
        <f>'Прилож 4 24 (9)'!Z82</f>
        <v>0</v>
      </c>
      <c r="K82" s="595">
        <f>'Прилож 4 24 (9)'!AA82</f>
        <v>0</v>
      </c>
      <c r="L82" s="595">
        <f>'Прилож 4 24 (9)'!AB82+'Прилож 4 24 (9)'!AB83</f>
        <v>30910.720000000001</v>
      </c>
      <c r="M82" s="876">
        <f t="shared" si="13"/>
        <v>-2102.56</v>
      </c>
      <c r="N82" s="875"/>
      <c r="O82" s="875"/>
      <c r="P82" s="875">
        <v>-2102.56</v>
      </c>
      <c r="Q82" s="877"/>
      <c r="R82" s="875"/>
      <c r="S82" s="875"/>
      <c r="T82" s="875"/>
      <c r="U82" s="876">
        <f t="shared" si="18"/>
        <v>60905.440000000002</v>
      </c>
      <c r="V82" s="875">
        <f t="shared" si="16"/>
        <v>0</v>
      </c>
      <c r="W82" s="875">
        <f t="shared" si="14"/>
        <v>0</v>
      </c>
      <c r="X82" s="875">
        <f t="shared" si="14"/>
        <v>29994.719999999998</v>
      </c>
      <c r="Y82" s="883"/>
      <c r="Z82" s="875">
        <f t="shared" si="15"/>
        <v>0</v>
      </c>
      <c r="AA82" s="875">
        <f t="shared" si="15"/>
        <v>0</v>
      </c>
      <c r="AB82" s="875">
        <f t="shared" si="15"/>
        <v>30910.720000000001</v>
      </c>
      <c r="AC82" s="878" t="s">
        <v>1622</v>
      </c>
    </row>
    <row r="83" spans="1:29" ht="36" customHeight="1" x14ac:dyDescent="0.2">
      <c r="A83" s="618" t="s">
        <v>1619</v>
      </c>
      <c r="B83" s="619" t="s">
        <v>729</v>
      </c>
      <c r="C83" s="620">
        <v>244</v>
      </c>
      <c r="D83" s="620">
        <v>223</v>
      </c>
      <c r="E83" s="596">
        <f t="shared" si="17"/>
        <v>31504</v>
      </c>
      <c r="F83" s="595">
        <f>'Прилож 4 24 (9)'!V84</f>
        <v>0</v>
      </c>
      <c r="G83" s="595">
        <f>'Прилож 4 24 (9)'!W84</f>
        <v>0</v>
      </c>
      <c r="H83" s="595">
        <f>'Прилож 4 24 (9)'!X84+'Прилож 4 24 (9)'!X85</f>
        <v>16048.64</v>
      </c>
      <c r="I83" s="628"/>
      <c r="J83" s="595">
        <f>'Прилож 4 24 (9)'!Z84</f>
        <v>0</v>
      </c>
      <c r="K83" s="595">
        <f>'Прилож 4 24 (9)'!AA84</f>
        <v>0</v>
      </c>
      <c r="L83" s="595">
        <f>'Прилож 4 24 (9)'!AB84+'Прилож 4 24 (9)'!AB85</f>
        <v>15455.36</v>
      </c>
      <c r="M83" s="876">
        <f t="shared" si="13"/>
        <v>-1051.28</v>
      </c>
      <c r="N83" s="875"/>
      <c r="O83" s="875"/>
      <c r="P83" s="875">
        <v>-1051.28</v>
      </c>
      <c r="Q83" s="877"/>
      <c r="R83" s="875"/>
      <c r="S83" s="875"/>
      <c r="T83" s="875"/>
      <c r="U83" s="876">
        <f t="shared" si="18"/>
        <v>30452.720000000001</v>
      </c>
      <c r="V83" s="875">
        <f t="shared" si="16"/>
        <v>0</v>
      </c>
      <c r="W83" s="875">
        <f t="shared" si="14"/>
        <v>0</v>
      </c>
      <c r="X83" s="875">
        <f t="shared" si="14"/>
        <v>14997.359999999999</v>
      </c>
      <c r="Y83" s="883"/>
      <c r="Z83" s="875">
        <f t="shared" si="15"/>
        <v>0</v>
      </c>
      <c r="AA83" s="875">
        <f t="shared" si="15"/>
        <v>0</v>
      </c>
      <c r="AB83" s="875">
        <f t="shared" si="15"/>
        <v>15455.36</v>
      </c>
      <c r="AC83" s="878" t="s">
        <v>1622</v>
      </c>
    </row>
    <row r="84" spans="1:29" ht="31.5" x14ac:dyDescent="0.2">
      <c r="A84" s="618" t="s">
        <v>1140</v>
      </c>
      <c r="B84" s="619" t="s">
        <v>729</v>
      </c>
      <c r="C84" s="620">
        <v>244</v>
      </c>
      <c r="D84" s="620">
        <v>223</v>
      </c>
      <c r="E84" s="596">
        <f t="shared" si="17"/>
        <v>30788.12</v>
      </c>
      <c r="F84" s="595">
        <f>'Прилож 4 24 (9)'!V86</f>
        <v>0</v>
      </c>
      <c r="G84" s="595">
        <f>'Прилож 4 24 (9)'!W86</f>
        <v>0</v>
      </c>
      <c r="H84" s="595">
        <f>'Прилож 4 24 (9)'!X86</f>
        <v>30788.12</v>
      </c>
      <c r="I84" s="628"/>
      <c r="J84" s="595">
        <f>'Прилож 4 24 (9)'!Z86</f>
        <v>0</v>
      </c>
      <c r="K84" s="595">
        <f>'Прилож 4 24 (9)'!AA86</f>
        <v>0</v>
      </c>
      <c r="L84" s="595">
        <f>'Прилож 4 24 (9)'!AB86</f>
        <v>0</v>
      </c>
      <c r="M84" s="876">
        <f t="shared" si="13"/>
        <v>2843.14</v>
      </c>
      <c r="N84" s="875"/>
      <c r="O84" s="875"/>
      <c r="P84" s="875">
        <v>2843.14</v>
      </c>
      <c r="Q84" s="877"/>
      <c r="R84" s="875"/>
      <c r="S84" s="875"/>
      <c r="T84" s="875"/>
      <c r="U84" s="876">
        <f t="shared" si="18"/>
        <v>33631.26</v>
      </c>
      <c r="V84" s="875">
        <f t="shared" si="16"/>
        <v>0</v>
      </c>
      <c r="W84" s="875">
        <f t="shared" si="14"/>
        <v>0</v>
      </c>
      <c r="X84" s="875">
        <f t="shared" si="14"/>
        <v>33631.26</v>
      </c>
      <c r="Y84" s="883"/>
      <c r="Z84" s="875">
        <f t="shared" si="15"/>
        <v>0</v>
      </c>
      <c r="AA84" s="875">
        <f t="shared" si="15"/>
        <v>0</v>
      </c>
      <c r="AB84" s="875">
        <f t="shared" si="15"/>
        <v>0</v>
      </c>
      <c r="AC84" s="878" t="s">
        <v>1676</v>
      </c>
    </row>
    <row r="85" spans="1:29" ht="47.25" x14ac:dyDescent="0.2">
      <c r="A85" s="618" t="s">
        <v>1141</v>
      </c>
      <c r="B85" s="619" t="s">
        <v>729</v>
      </c>
      <c r="C85" s="620">
        <v>244</v>
      </c>
      <c r="D85" s="620">
        <v>223</v>
      </c>
      <c r="E85" s="596">
        <f t="shared" si="17"/>
        <v>28826.37</v>
      </c>
      <c r="F85" s="595">
        <f>'Прилож 4 24 (9)'!V87</f>
        <v>0</v>
      </c>
      <c r="G85" s="595">
        <f>'Прилож 4 24 (9)'!W87</f>
        <v>0</v>
      </c>
      <c r="H85" s="595">
        <f>'Прилож 4 24 (9)'!X87</f>
        <v>28826.37</v>
      </c>
      <c r="I85" s="628"/>
      <c r="J85" s="595">
        <f>'Прилож 4 24 (9)'!Z87</f>
        <v>0</v>
      </c>
      <c r="K85" s="595">
        <f>'Прилож 4 24 (9)'!AA87</f>
        <v>0</v>
      </c>
      <c r="L85" s="595">
        <f>'Прилож 4 24 (9)'!AB87</f>
        <v>0</v>
      </c>
      <c r="M85" s="876">
        <f t="shared" si="13"/>
        <v>-4499.1000000000004</v>
      </c>
      <c r="N85" s="875"/>
      <c r="O85" s="875"/>
      <c r="P85" s="875">
        <f>-2843.14-1655.96</f>
        <v>-4499.1000000000004</v>
      </c>
      <c r="Q85" s="877"/>
      <c r="R85" s="875"/>
      <c r="S85" s="875"/>
      <c r="T85" s="875"/>
      <c r="U85" s="876">
        <f t="shared" si="18"/>
        <v>24327.269999999997</v>
      </c>
      <c r="V85" s="875">
        <f t="shared" si="16"/>
        <v>0</v>
      </c>
      <c r="W85" s="875">
        <f t="shared" ref="W85:X116" si="19">O85+G85</f>
        <v>0</v>
      </c>
      <c r="X85" s="875">
        <f t="shared" si="19"/>
        <v>24327.269999999997</v>
      </c>
      <c r="Y85" s="883"/>
      <c r="Z85" s="875">
        <f t="shared" ref="Z85:AB116" si="20">R85+J85</f>
        <v>0</v>
      </c>
      <c r="AA85" s="875">
        <f t="shared" si="20"/>
        <v>0</v>
      </c>
      <c r="AB85" s="875">
        <f t="shared" si="20"/>
        <v>0</v>
      </c>
      <c r="AC85" s="878" t="s">
        <v>1677</v>
      </c>
    </row>
    <row r="86" spans="1:29" ht="45.75" customHeight="1" x14ac:dyDescent="0.2">
      <c r="A86" s="618" t="s">
        <v>130</v>
      </c>
      <c r="B86" s="619" t="s">
        <v>729</v>
      </c>
      <c r="C86" s="620">
        <v>244</v>
      </c>
      <c r="D86" s="620">
        <v>223</v>
      </c>
      <c r="E86" s="596">
        <f t="shared" si="17"/>
        <v>63300</v>
      </c>
      <c r="F86" s="595">
        <f>'Прилож 4 24 (9)'!V88</f>
        <v>0</v>
      </c>
      <c r="G86" s="595">
        <f>'Прилож 4 24 (9)'!W88</f>
        <v>0</v>
      </c>
      <c r="H86" s="595">
        <f>'Прилож 4 24 (9)'!X88</f>
        <v>63300</v>
      </c>
      <c r="I86" s="628"/>
      <c r="J86" s="595">
        <f>'Прилож 4 24 (9)'!Z88</f>
        <v>0</v>
      </c>
      <c r="K86" s="595">
        <f>'Прилож 4 24 (9)'!AA88</f>
        <v>0</v>
      </c>
      <c r="L86" s="595">
        <f>'Прилож 4 24 (9)'!AB88</f>
        <v>0</v>
      </c>
      <c r="M86" s="876">
        <f t="shared" si="13"/>
        <v>21839.489999999998</v>
      </c>
      <c r="N86" s="875"/>
      <c r="O86" s="875"/>
      <c r="P86" s="875">
        <f>4688.55+1655.96+15494.98</f>
        <v>21839.489999999998</v>
      </c>
      <c r="Q86" s="877"/>
      <c r="R86" s="875"/>
      <c r="S86" s="875"/>
      <c r="T86" s="875"/>
      <c r="U86" s="876">
        <f t="shared" si="18"/>
        <v>85139.489999999991</v>
      </c>
      <c r="V86" s="875">
        <f t="shared" si="16"/>
        <v>0</v>
      </c>
      <c r="W86" s="875">
        <f t="shared" si="19"/>
        <v>0</v>
      </c>
      <c r="X86" s="875">
        <f t="shared" si="19"/>
        <v>85139.489999999991</v>
      </c>
      <c r="Y86" s="883"/>
      <c r="Z86" s="875">
        <f t="shared" si="20"/>
        <v>0</v>
      </c>
      <c r="AA86" s="875">
        <f t="shared" si="20"/>
        <v>0</v>
      </c>
      <c r="AB86" s="875">
        <f t="shared" si="20"/>
        <v>0</v>
      </c>
      <c r="AC86" s="878" t="s">
        <v>1678</v>
      </c>
    </row>
    <row r="87" spans="1:29" s="637" customFormat="1" ht="23.45" customHeight="1" x14ac:dyDescent="0.2">
      <c r="A87" s="1046" t="s">
        <v>1143</v>
      </c>
      <c r="B87" s="1047" t="s">
        <v>729</v>
      </c>
      <c r="C87" s="1048">
        <v>244</v>
      </c>
      <c r="D87" s="1048">
        <v>223</v>
      </c>
      <c r="E87" s="596">
        <f t="shared" si="17"/>
        <v>246211</v>
      </c>
      <c r="F87" s="595">
        <f>'Прилож 4 24 (9)'!V89</f>
        <v>0</v>
      </c>
      <c r="G87" s="595">
        <f>'Прилож 4 24 (9)'!W89</f>
        <v>0</v>
      </c>
      <c r="H87" s="595">
        <f>'Прилож 4 24 (9)'!X89</f>
        <v>184763.62</v>
      </c>
      <c r="I87" s="635"/>
      <c r="J87" s="595">
        <f>'Прилож 4 24 (9)'!Z89</f>
        <v>0</v>
      </c>
      <c r="K87" s="595">
        <f>'Прилож 4 24 (9)'!AA89</f>
        <v>0</v>
      </c>
      <c r="L87" s="595">
        <f>'Прилож 4 24 (9)'!AB89</f>
        <v>61447.38</v>
      </c>
      <c r="M87" s="876">
        <f t="shared" si="13"/>
        <v>15494.979999999998</v>
      </c>
      <c r="N87" s="884"/>
      <c r="O87" s="884"/>
      <c r="P87" s="884">
        <f>SUM(P81:P86)</f>
        <v>15494.979999999998</v>
      </c>
      <c r="Q87" s="885"/>
      <c r="R87" s="884"/>
      <c r="S87" s="884"/>
      <c r="T87" s="884">
        <f>SUM(T81:T86)</f>
        <v>0</v>
      </c>
      <c r="U87" s="876">
        <f t="shared" si="18"/>
        <v>261705.98</v>
      </c>
      <c r="V87" s="876">
        <f t="shared" si="16"/>
        <v>0</v>
      </c>
      <c r="W87" s="876">
        <f t="shared" si="19"/>
        <v>0</v>
      </c>
      <c r="X87" s="876">
        <f t="shared" si="19"/>
        <v>200258.6</v>
      </c>
      <c r="Y87" s="885"/>
      <c r="Z87" s="876">
        <f t="shared" si="20"/>
        <v>0</v>
      </c>
      <c r="AA87" s="876">
        <f t="shared" si="20"/>
        <v>0</v>
      </c>
      <c r="AB87" s="876">
        <f t="shared" si="20"/>
        <v>61447.38</v>
      </c>
      <c r="AC87" s="878"/>
    </row>
    <row r="88" spans="1:29" s="614" customFormat="1" x14ac:dyDescent="0.2">
      <c r="A88" s="630" t="s">
        <v>736</v>
      </c>
      <c r="B88" s="631"/>
      <c r="C88" s="624"/>
      <c r="D88" s="624"/>
      <c r="E88" s="596">
        <f t="shared" si="17"/>
        <v>617848.53</v>
      </c>
      <c r="F88" s="595">
        <f>'Прилож 4 24 (9)'!V90</f>
        <v>0</v>
      </c>
      <c r="G88" s="595">
        <f>'Прилож 4 24 (9)'!W90</f>
        <v>0</v>
      </c>
      <c r="H88" s="595">
        <f>'Прилож 4 24 (9)'!X90</f>
        <v>556401.15</v>
      </c>
      <c r="I88" s="626"/>
      <c r="J88" s="595">
        <f>'Прилож 4 24 (9)'!Z90</f>
        <v>0</v>
      </c>
      <c r="K88" s="595">
        <f>'Прилож 4 24 (9)'!AA90</f>
        <v>0</v>
      </c>
      <c r="L88" s="595">
        <f>'Прилож 4 24 (9)'!AB90</f>
        <v>61447.38</v>
      </c>
      <c r="M88" s="876">
        <f t="shared" si="13"/>
        <v>-163866.71999999997</v>
      </c>
      <c r="N88" s="876"/>
      <c r="O88" s="876"/>
      <c r="P88" s="876">
        <f>P87+P80</f>
        <v>-163866.71999999997</v>
      </c>
      <c r="Q88" s="881"/>
      <c r="R88" s="876"/>
      <c r="S88" s="876"/>
      <c r="T88" s="876">
        <f>T80+T87</f>
        <v>0</v>
      </c>
      <c r="U88" s="876">
        <f t="shared" si="18"/>
        <v>453981.81000000006</v>
      </c>
      <c r="V88" s="875">
        <f t="shared" si="16"/>
        <v>0</v>
      </c>
      <c r="W88" s="875">
        <f t="shared" si="19"/>
        <v>0</v>
      </c>
      <c r="X88" s="875">
        <f t="shared" si="19"/>
        <v>392534.43000000005</v>
      </c>
      <c r="Y88" s="881"/>
      <c r="Z88" s="875">
        <f t="shared" si="20"/>
        <v>0</v>
      </c>
      <c r="AA88" s="875">
        <f t="shared" si="20"/>
        <v>0</v>
      </c>
      <c r="AB88" s="875">
        <f t="shared" si="20"/>
        <v>61447.38</v>
      </c>
      <c r="AC88" s="878"/>
    </row>
    <row r="89" spans="1:29" ht="47.25" x14ac:dyDescent="0.2">
      <c r="A89" s="618" t="s">
        <v>131</v>
      </c>
      <c r="B89" s="619" t="s">
        <v>747</v>
      </c>
      <c r="C89" s="620">
        <v>247</v>
      </c>
      <c r="D89" s="620">
        <v>223</v>
      </c>
      <c r="E89" s="596">
        <f t="shared" si="17"/>
        <v>546600</v>
      </c>
      <c r="F89" s="595">
        <f>'Прилож 4 24 (9)'!V91</f>
        <v>0</v>
      </c>
      <c r="G89" s="595">
        <f>'Прилож 4 24 (9)'!W91</f>
        <v>0</v>
      </c>
      <c r="H89" s="595">
        <f>'Прилож 4 24 (9)'!X91</f>
        <v>546600</v>
      </c>
      <c r="I89" s="621"/>
      <c r="J89" s="595">
        <f>'Прилож 4 24 (9)'!Z91</f>
        <v>0</v>
      </c>
      <c r="K89" s="595">
        <f>'Прилож 4 24 (9)'!AA91</f>
        <v>0</v>
      </c>
      <c r="L89" s="595">
        <f>'Прилож 4 24 (9)'!AB91</f>
        <v>0</v>
      </c>
      <c r="M89" s="876">
        <f t="shared" si="13"/>
        <v>13504.180000000004</v>
      </c>
      <c r="N89" s="875"/>
      <c r="O89" s="875"/>
      <c r="P89" s="875">
        <f>33220.8-19716.62</f>
        <v>13504.180000000004</v>
      </c>
      <c r="Q89" s="877"/>
      <c r="R89" s="875"/>
      <c r="S89" s="875"/>
      <c r="T89" s="875"/>
      <c r="U89" s="876">
        <f t="shared" si="18"/>
        <v>560104.18000000005</v>
      </c>
      <c r="V89" s="875">
        <f t="shared" si="16"/>
        <v>0</v>
      </c>
      <c r="W89" s="875">
        <f t="shared" si="19"/>
        <v>0</v>
      </c>
      <c r="X89" s="875">
        <f t="shared" si="19"/>
        <v>560104.18000000005</v>
      </c>
      <c r="Y89" s="877"/>
      <c r="Z89" s="875">
        <f t="shared" si="20"/>
        <v>0</v>
      </c>
      <c r="AA89" s="875">
        <f t="shared" si="20"/>
        <v>0</v>
      </c>
      <c r="AB89" s="875">
        <f t="shared" si="20"/>
        <v>0</v>
      </c>
      <c r="AC89" s="878" t="s">
        <v>1607</v>
      </c>
    </row>
    <row r="90" spans="1:29" ht="47.25" customHeight="1" x14ac:dyDescent="0.2">
      <c r="A90" s="618" t="s">
        <v>133</v>
      </c>
      <c r="B90" s="619" t="s">
        <v>747</v>
      </c>
      <c r="C90" s="620">
        <v>247</v>
      </c>
      <c r="D90" s="620">
        <v>223</v>
      </c>
      <c r="E90" s="596">
        <f t="shared" si="17"/>
        <v>465510.83</v>
      </c>
      <c r="F90" s="595">
        <f>'Прилож 4 24 (9)'!V92</f>
        <v>0</v>
      </c>
      <c r="G90" s="595">
        <f>'Прилож 4 24 (9)'!W92</f>
        <v>0</v>
      </c>
      <c r="H90" s="595">
        <f>'Прилож 4 24 (9)'!X92</f>
        <v>465510.83</v>
      </c>
      <c r="I90" s="621"/>
      <c r="J90" s="595">
        <f>'Прилож 4 24 (9)'!Z92</f>
        <v>0</v>
      </c>
      <c r="K90" s="595">
        <f>'Прилож 4 24 (9)'!AA92</f>
        <v>0</v>
      </c>
      <c r="L90" s="595">
        <f>'Прилож 4 24 (9)'!AB92</f>
        <v>0</v>
      </c>
      <c r="M90" s="876">
        <f t="shared" si="13"/>
        <v>203472.31</v>
      </c>
      <c r="N90" s="875"/>
      <c r="O90" s="875"/>
      <c r="P90" s="875">
        <f>106299.4+97172.91</f>
        <v>203472.31</v>
      </c>
      <c r="Q90" s="877"/>
      <c r="R90" s="875"/>
      <c r="S90" s="875"/>
      <c r="T90" s="875"/>
      <c r="U90" s="876">
        <f t="shared" si="18"/>
        <v>668983.14</v>
      </c>
      <c r="V90" s="875">
        <f t="shared" si="16"/>
        <v>0</v>
      </c>
      <c r="W90" s="875">
        <f t="shared" si="19"/>
        <v>0</v>
      </c>
      <c r="X90" s="875">
        <f t="shared" si="19"/>
        <v>668983.14</v>
      </c>
      <c r="Y90" s="877"/>
      <c r="Z90" s="875">
        <f t="shared" si="20"/>
        <v>0</v>
      </c>
      <c r="AA90" s="875">
        <f t="shared" si="20"/>
        <v>0</v>
      </c>
      <c r="AB90" s="875">
        <f t="shared" si="20"/>
        <v>0</v>
      </c>
      <c r="AC90" s="878" t="s">
        <v>1610</v>
      </c>
    </row>
    <row r="91" spans="1:29" ht="30.75" customHeight="1" x14ac:dyDescent="0.2">
      <c r="A91" s="618" t="s">
        <v>1557</v>
      </c>
      <c r="B91" s="619" t="s">
        <v>747</v>
      </c>
      <c r="C91" s="620">
        <v>247</v>
      </c>
      <c r="D91" s="620">
        <v>223</v>
      </c>
      <c r="E91" s="596">
        <f t="shared" si="17"/>
        <v>318968.24</v>
      </c>
      <c r="F91" s="595">
        <f>'Прилож 4 24 (9)'!V93</f>
        <v>0</v>
      </c>
      <c r="G91" s="595">
        <f>'Прилож 4 24 (9)'!W93</f>
        <v>0</v>
      </c>
      <c r="H91" s="595">
        <f>'Прилож 4 24 (9)'!X93</f>
        <v>318968.24</v>
      </c>
      <c r="I91" s="621"/>
      <c r="J91" s="595">
        <f>'Прилож 4 24 (9)'!Z93</f>
        <v>0</v>
      </c>
      <c r="K91" s="595">
        <f>'Прилож 4 24 (9)'!AA93</f>
        <v>0</v>
      </c>
      <c r="L91" s="595">
        <f>'Прилож 4 24 (9)'!AB93</f>
        <v>0</v>
      </c>
      <c r="M91" s="876">
        <f t="shared" si="13"/>
        <v>2988.7</v>
      </c>
      <c r="N91" s="875"/>
      <c r="O91" s="875"/>
      <c r="P91" s="875">
        <v>2988.7</v>
      </c>
      <c r="Q91" s="877"/>
      <c r="R91" s="875"/>
      <c r="S91" s="875"/>
      <c r="T91" s="875"/>
      <c r="U91" s="876">
        <f t="shared" si="18"/>
        <v>321956.94</v>
      </c>
      <c r="V91" s="875">
        <f t="shared" si="16"/>
        <v>0</v>
      </c>
      <c r="W91" s="875">
        <f t="shared" si="19"/>
        <v>0</v>
      </c>
      <c r="X91" s="875">
        <f t="shared" si="19"/>
        <v>321956.94</v>
      </c>
      <c r="Y91" s="877"/>
      <c r="Z91" s="875">
        <f t="shared" si="20"/>
        <v>0</v>
      </c>
      <c r="AA91" s="875">
        <f t="shared" si="20"/>
        <v>0</v>
      </c>
      <c r="AB91" s="875">
        <f t="shared" si="20"/>
        <v>0</v>
      </c>
      <c r="AC91" s="878" t="s">
        <v>1611</v>
      </c>
    </row>
    <row r="92" spans="1:29" ht="31.5" x14ac:dyDescent="0.2">
      <c r="A92" s="618" t="s">
        <v>1240</v>
      </c>
      <c r="B92" s="619" t="s">
        <v>747</v>
      </c>
      <c r="C92" s="620">
        <v>247</v>
      </c>
      <c r="D92" s="620">
        <v>223</v>
      </c>
      <c r="E92" s="596">
        <f t="shared" si="17"/>
        <v>63447.51</v>
      </c>
      <c r="F92" s="595">
        <f>'Прилож 4 24 (9)'!V94</f>
        <v>0</v>
      </c>
      <c r="G92" s="595">
        <f>'Прилож 4 24 (9)'!W94</f>
        <v>0</v>
      </c>
      <c r="H92" s="595">
        <f>'Прилож 4 24 (9)'!X94</f>
        <v>63447.51</v>
      </c>
      <c r="I92" s="621"/>
      <c r="J92" s="595">
        <f>'Прилож 4 24 (9)'!Z94</f>
        <v>0</v>
      </c>
      <c r="K92" s="595">
        <f>'Прилож 4 24 (9)'!AA94</f>
        <v>0</v>
      </c>
      <c r="L92" s="595">
        <f>'Прилож 4 24 (9)'!AB94</f>
        <v>0</v>
      </c>
      <c r="M92" s="876">
        <f t="shared" si="13"/>
        <v>-37411.89</v>
      </c>
      <c r="N92" s="875"/>
      <c r="O92" s="875"/>
      <c r="P92" s="875">
        <v>-37411.89</v>
      </c>
      <c r="Q92" s="877"/>
      <c r="R92" s="875"/>
      <c r="S92" s="875"/>
      <c r="T92" s="875"/>
      <c r="U92" s="876">
        <f t="shared" si="18"/>
        <v>26035.620000000003</v>
      </c>
      <c r="V92" s="875">
        <f t="shared" si="16"/>
        <v>0</v>
      </c>
      <c r="W92" s="875">
        <f t="shared" si="19"/>
        <v>0</v>
      </c>
      <c r="X92" s="875">
        <f t="shared" si="19"/>
        <v>26035.620000000003</v>
      </c>
      <c r="Y92" s="877"/>
      <c r="Z92" s="875">
        <f t="shared" si="20"/>
        <v>0</v>
      </c>
      <c r="AA92" s="875">
        <f t="shared" si="20"/>
        <v>0</v>
      </c>
      <c r="AB92" s="875">
        <f t="shared" si="20"/>
        <v>0</v>
      </c>
      <c r="AC92" s="878" t="s">
        <v>1611</v>
      </c>
    </row>
    <row r="93" spans="1:29" ht="31.5" x14ac:dyDescent="0.2">
      <c r="A93" s="618" t="s">
        <v>1241</v>
      </c>
      <c r="B93" s="619" t="s">
        <v>747</v>
      </c>
      <c r="C93" s="620">
        <v>247</v>
      </c>
      <c r="D93" s="620">
        <v>223</v>
      </c>
      <c r="E93" s="596">
        <f t="shared" si="17"/>
        <v>52047.07</v>
      </c>
      <c r="F93" s="595">
        <f>'Прилож 4 24 (9)'!V95</f>
        <v>0</v>
      </c>
      <c r="G93" s="595">
        <f>'Прилож 4 24 (9)'!W95</f>
        <v>0</v>
      </c>
      <c r="H93" s="595">
        <f>'Прилож 4 24 (9)'!X95</f>
        <v>52047.07</v>
      </c>
      <c r="I93" s="621"/>
      <c r="J93" s="595">
        <f>'Прилож 4 24 (9)'!Z95</f>
        <v>0</v>
      </c>
      <c r="K93" s="595">
        <f>'Прилож 4 24 (9)'!AA95</f>
        <v>0</v>
      </c>
      <c r="L93" s="595">
        <f>'Прилож 4 24 (9)'!AB95</f>
        <v>0</v>
      </c>
      <c r="M93" s="876">
        <f t="shared" si="13"/>
        <v>-12373.37</v>
      </c>
      <c r="N93" s="875"/>
      <c r="O93" s="875"/>
      <c r="P93" s="875">
        <v>-12373.37</v>
      </c>
      <c r="Q93" s="877"/>
      <c r="R93" s="875"/>
      <c r="S93" s="875"/>
      <c r="T93" s="875"/>
      <c r="U93" s="876">
        <f t="shared" si="18"/>
        <v>39673.699999999997</v>
      </c>
      <c r="V93" s="875">
        <f t="shared" si="16"/>
        <v>0</v>
      </c>
      <c r="W93" s="875">
        <f t="shared" si="19"/>
        <v>0</v>
      </c>
      <c r="X93" s="875">
        <f t="shared" si="19"/>
        <v>39673.699999999997</v>
      </c>
      <c r="Y93" s="877"/>
      <c r="Z93" s="875">
        <f t="shared" si="20"/>
        <v>0</v>
      </c>
      <c r="AA93" s="875">
        <f t="shared" si="20"/>
        <v>0</v>
      </c>
      <c r="AB93" s="875">
        <f t="shared" si="20"/>
        <v>0</v>
      </c>
      <c r="AC93" s="878" t="s">
        <v>1611</v>
      </c>
    </row>
    <row r="94" spans="1:29" ht="31.5" x14ac:dyDescent="0.2">
      <c r="A94" s="618" t="s">
        <v>1242</v>
      </c>
      <c r="B94" s="619" t="s">
        <v>747</v>
      </c>
      <c r="C94" s="620">
        <v>247</v>
      </c>
      <c r="D94" s="620">
        <v>223</v>
      </c>
      <c r="E94" s="596">
        <f t="shared" si="17"/>
        <v>40719.379999999997</v>
      </c>
      <c r="F94" s="595">
        <f>'Прилож 4 24 (9)'!V96</f>
        <v>0</v>
      </c>
      <c r="G94" s="595">
        <f>'Прилож 4 24 (9)'!W96</f>
        <v>0</v>
      </c>
      <c r="H94" s="595">
        <f>'Прилож 4 24 (9)'!X96</f>
        <v>40719.379999999997</v>
      </c>
      <c r="I94" s="621"/>
      <c r="J94" s="595">
        <f>'Прилож 4 24 (9)'!Z96</f>
        <v>0</v>
      </c>
      <c r="K94" s="595">
        <f>'Прилож 4 24 (9)'!AA96</f>
        <v>0</v>
      </c>
      <c r="L94" s="595">
        <f>'Прилож 4 24 (9)'!AB96</f>
        <v>0</v>
      </c>
      <c r="M94" s="876">
        <f t="shared" si="13"/>
        <v>-22830.87</v>
      </c>
      <c r="N94" s="875"/>
      <c r="O94" s="875"/>
      <c r="P94" s="875">
        <v>-22830.87</v>
      </c>
      <c r="Q94" s="877"/>
      <c r="R94" s="875"/>
      <c r="S94" s="875"/>
      <c r="T94" s="875"/>
      <c r="U94" s="876">
        <f t="shared" si="18"/>
        <v>17888.509999999998</v>
      </c>
      <c r="V94" s="875">
        <f t="shared" si="16"/>
        <v>0</v>
      </c>
      <c r="W94" s="875">
        <f t="shared" si="19"/>
        <v>0</v>
      </c>
      <c r="X94" s="875">
        <f t="shared" si="19"/>
        <v>17888.509999999998</v>
      </c>
      <c r="Y94" s="877"/>
      <c r="Z94" s="875">
        <f t="shared" si="20"/>
        <v>0</v>
      </c>
      <c r="AA94" s="875">
        <f t="shared" si="20"/>
        <v>0</v>
      </c>
      <c r="AB94" s="875">
        <f t="shared" si="20"/>
        <v>0</v>
      </c>
      <c r="AC94" s="878" t="s">
        <v>1612</v>
      </c>
    </row>
    <row r="95" spans="1:29" ht="31.5" x14ac:dyDescent="0.2">
      <c r="A95" s="618" t="s">
        <v>1242</v>
      </c>
      <c r="B95" s="619" t="s">
        <v>747</v>
      </c>
      <c r="C95" s="620">
        <v>247</v>
      </c>
      <c r="D95" s="620">
        <v>223</v>
      </c>
      <c r="E95" s="596">
        <f t="shared" si="17"/>
        <v>52360.07</v>
      </c>
      <c r="F95" s="595">
        <f>'Прилож 4 24 (9)'!V97</f>
        <v>0</v>
      </c>
      <c r="G95" s="595">
        <f>'Прилож 4 24 (9)'!W97</f>
        <v>0</v>
      </c>
      <c r="H95" s="595">
        <f>'Прилож 4 24 (9)'!X97</f>
        <v>52360.07</v>
      </c>
      <c r="I95" s="621"/>
      <c r="J95" s="595">
        <f>'Прилож 4 24 (9)'!Z97</f>
        <v>0</v>
      </c>
      <c r="K95" s="595">
        <f>'Прилож 4 24 (9)'!AA97</f>
        <v>0</v>
      </c>
      <c r="L95" s="595">
        <f>'Прилож 4 24 (9)'!AB97</f>
        <v>0</v>
      </c>
      <c r="M95" s="876">
        <f t="shared" si="13"/>
        <v>-23841.15</v>
      </c>
      <c r="N95" s="875"/>
      <c r="O95" s="875"/>
      <c r="P95" s="875">
        <v>-23841.15</v>
      </c>
      <c r="Q95" s="877"/>
      <c r="R95" s="875"/>
      <c r="S95" s="875"/>
      <c r="T95" s="875"/>
      <c r="U95" s="876">
        <f t="shared" si="18"/>
        <v>28518.92</v>
      </c>
      <c r="V95" s="875">
        <f t="shared" si="16"/>
        <v>0</v>
      </c>
      <c r="W95" s="875">
        <f t="shared" si="19"/>
        <v>0</v>
      </c>
      <c r="X95" s="875">
        <f t="shared" si="19"/>
        <v>28518.92</v>
      </c>
      <c r="Y95" s="877"/>
      <c r="Z95" s="875">
        <f t="shared" si="20"/>
        <v>0</v>
      </c>
      <c r="AA95" s="875">
        <f t="shared" si="20"/>
        <v>0</v>
      </c>
      <c r="AB95" s="875">
        <f t="shared" si="20"/>
        <v>0</v>
      </c>
      <c r="AC95" s="878" t="s">
        <v>1612</v>
      </c>
    </row>
    <row r="96" spans="1:29" s="637" customFormat="1" ht="25.5" customHeight="1" x14ac:dyDescent="0.2">
      <c r="A96" s="1046" t="s">
        <v>1143</v>
      </c>
      <c r="B96" s="1047" t="s">
        <v>747</v>
      </c>
      <c r="C96" s="1048">
        <v>247</v>
      </c>
      <c r="D96" s="1048">
        <v>223</v>
      </c>
      <c r="E96" s="596">
        <f t="shared" si="17"/>
        <v>1539653.1</v>
      </c>
      <c r="F96" s="595">
        <f>'Прилож 4 24 (9)'!V98</f>
        <v>0</v>
      </c>
      <c r="G96" s="595">
        <f>'Прилож 4 24 (9)'!W98</f>
        <v>0</v>
      </c>
      <c r="H96" s="595">
        <f>'Прилож 4 24 (9)'!X98</f>
        <v>1539653.1</v>
      </c>
      <c r="I96" s="635"/>
      <c r="J96" s="595">
        <f>'Прилож 4 24 (9)'!Z98</f>
        <v>0</v>
      </c>
      <c r="K96" s="595">
        <f>'Прилож 4 24 (9)'!AA98</f>
        <v>0</v>
      </c>
      <c r="L96" s="595">
        <f>'Прилож 4 24 (9)'!AB98</f>
        <v>0</v>
      </c>
      <c r="M96" s="876">
        <f t="shared" si="13"/>
        <v>123507.91</v>
      </c>
      <c r="N96" s="884"/>
      <c r="O96" s="884"/>
      <c r="P96" s="884">
        <f>SUM(P89:P95)</f>
        <v>123507.91</v>
      </c>
      <c r="Q96" s="885"/>
      <c r="R96" s="884"/>
      <c r="S96" s="884"/>
      <c r="T96" s="884"/>
      <c r="U96" s="876">
        <f t="shared" si="18"/>
        <v>1663161.01</v>
      </c>
      <c r="V96" s="876">
        <f t="shared" si="16"/>
        <v>0</v>
      </c>
      <c r="W96" s="876">
        <f t="shared" si="19"/>
        <v>0</v>
      </c>
      <c r="X96" s="876">
        <f t="shared" si="19"/>
        <v>1663161.01</v>
      </c>
      <c r="Y96" s="885"/>
      <c r="Z96" s="876">
        <f t="shared" si="20"/>
        <v>0</v>
      </c>
      <c r="AA96" s="876">
        <f t="shared" si="20"/>
        <v>0</v>
      </c>
      <c r="AB96" s="876">
        <f t="shared" si="20"/>
        <v>0</v>
      </c>
      <c r="AC96" s="878" t="s">
        <v>1612</v>
      </c>
    </row>
    <row r="97" spans="1:29" ht="79.5" customHeight="1" x14ac:dyDescent="0.2">
      <c r="A97" s="618" t="s">
        <v>131</v>
      </c>
      <c r="B97" s="619" t="s">
        <v>729</v>
      </c>
      <c r="C97" s="620">
        <v>247</v>
      </c>
      <c r="D97" s="620">
        <v>223</v>
      </c>
      <c r="E97" s="596">
        <f t="shared" si="17"/>
        <v>943800.81</v>
      </c>
      <c r="F97" s="595">
        <f>'Прилож 4 24 (9)'!V99</f>
        <v>0</v>
      </c>
      <c r="G97" s="595">
        <f>'Прилож 4 24 (9)'!W99</f>
        <v>0</v>
      </c>
      <c r="H97" s="595">
        <f>'Прилож 4 24 (9)'!X99</f>
        <v>446000</v>
      </c>
      <c r="I97" s="621"/>
      <c r="J97" s="595">
        <f>'Прилож 4 24 (9)'!Z99</f>
        <v>0</v>
      </c>
      <c r="K97" s="595">
        <f>'Прилож 4 24 (9)'!AA99</f>
        <v>0</v>
      </c>
      <c r="L97" s="595">
        <f>'Прилож 4 24 (9)'!AB99</f>
        <v>497800.81</v>
      </c>
      <c r="M97" s="876">
        <f t="shared" si="13"/>
        <v>-228646.49000000002</v>
      </c>
      <c r="N97" s="875"/>
      <c r="O97" s="875"/>
      <c r="P97" s="875">
        <f>-139456.64-15494.98-11986.07-837.11-60871.69</f>
        <v>-228646.49000000002</v>
      </c>
      <c r="Q97" s="877"/>
      <c r="R97" s="875"/>
      <c r="S97" s="875"/>
      <c r="T97" s="875"/>
      <c r="U97" s="876">
        <f t="shared" si="18"/>
        <v>715154.32000000007</v>
      </c>
      <c r="V97" s="875">
        <f t="shared" si="16"/>
        <v>0</v>
      </c>
      <c r="W97" s="875">
        <f t="shared" si="19"/>
        <v>0</v>
      </c>
      <c r="X97" s="875">
        <f t="shared" si="19"/>
        <v>217353.50999999998</v>
      </c>
      <c r="Y97" s="877"/>
      <c r="Z97" s="875">
        <f t="shared" si="20"/>
        <v>0</v>
      </c>
      <c r="AA97" s="875">
        <f t="shared" si="20"/>
        <v>0</v>
      </c>
      <c r="AB97" s="875">
        <f t="shared" si="20"/>
        <v>497800.81</v>
      </c>
      <c r="AC97" s="878" t="s">
        <v>1679</v>
      </c>
    </row>
    <row r="98" spans="1:29" ht="60.75" customHeight="1" x14ac:dyDescent="0.2">
      <c r="A98" s="618" t="s">
        <v>133</v>
      </c>
      <c r="B98" s="619" t="s">
        <v>729</v>
      </c>
      <c r="C98" s="620">
        <v>247</v>
      </c>
      <c r="D98" s="620">
        <v>223</v>
      </c>
      <c r="E98" s="596">
        <f t="shared" si="17"/>
        <v>1433105.62</v>
      </c>
      <c r="F98" s="595">
        <f>'Прилож 4 24 (9)'!V100</f>
        <v>0</v>
      </c>
      <c r="G98" s="595">
        <f>'Прилож 4 24 (9)'!W100</f>
        <v>0</v>
      </c>
      <c r="H98" s="595">
        <f>'Прилож 4 24 (9)'!X100</f>
        <v>1088533.3600000001</v>
      </c>
      <c r="I98" s="621"/>
      <c r="J98" s="595">
        <f>'Прилож 4 24 (9)'!Z100</f>
        <v>0</v>
      </c>
      <c r="K98" s="595">
        <f>'Прилож 4 24 (9)'!AA100</f>
        <v>0</v>
      </c>
      <c r="L98" s="595">
        <f>'Прилож 4 24 (9)'!AB100</f>
        <v>344572.26</v>
      </c>
      <c r="M98" s="876">
        <f t="shared" si="13"/>
        <v>214028.95</v>
      </c>
      <c r="N98" s="875"/>
      <c r="O98" s="875"/>
      <c r="P98" s="875">
        <f>70738.54+139456.64+954.38+1826.95+1052.44</f>
        <v>214028.95</v>
      </c>
      <c r="Q98" s="877"/>
      <c r="R98" s="875"/>
      <c r="S98" s="875"/>
      <c r="T98" s="875"/>
      <c r="U98" s="876">
        <f t="shared" si="18"/>
        <v>1647134.57</v>
      </c>
      <c r="V98" s="875">
        <f t="shared" si="16"/>
        <v>0</v>
      </c>
      <c r="W98" s="875">
        <f t="shared" si="19"/>
        <v>0</v>
      </c>
      <c r="X98" s="875">
        <f t="shared" si="19"/>
        <v>1302562.31</v>
      </c>
      <c r="Y98" s="877"/>
      <c r="Z98" s="875">
        <f t="shared" si="20"/>
        <v>0</v>
      </c>
      <c r="AA98" s="875">
        <f t="shared" si="20"/>
        <v>0</v>
      </c>
      <c r="AB98" s="875">
        <f t="shared" si="20"/>
        <v>344572.26</v>
      </c>
      <c r="AC98" s="878" t="s">
        <v>1682</v>
      </c>
    </row>
    <row r="99" spans="1:29" ht="40.5" customHeight="1" x14ac:dyDescent="0.2">
      <c r="A99" s="618" t="s">
        <v>1557</v>
      </c>
      <c r="B99" s="619" t="s">
        <v>729</v>
      </c>
      <c r="C99" s="620">
        <v>247</v>
      </c>
      <c r="D99" s="620">
        <v>223</v>
      </c>
      <c r="E99" s="596">
        <f t="shared" si="17"/>
        <v>901581.75</v>
      </c>
      <c r="F99" s="595">
        <f>'Прилож 4 24 (9)'!V101</f>
        <v>0</v>
      </c>
      <c r="G99" s="595">
        <f>'Прилож 4 24 (9)'!W101</f>
        <v>0</v>
      </c>
      <c r="H99" s="595">
        <f>'Прилож 4 24 (9)'!X101</f>
        <v>618609.81999999995</v>
      </c>
      <c r="I99" s="621"/>
      <c r="J99" s="595">
        <f>'Прилож 4 24 (9)'!Z101</f>
        <v>0</v>
      </c>
      <c r="K99" s="595">
        <f>'Прилож 4 24 (9)'!AA101</f>
        <v>0</v>
      </c>
      <c r="L99" s="595">
        <f>'Прилож 4 24 (9)'!AB101</f>
        <v>282971.93</v>
      </c>
      <c r="M99" s="876">
        <f t="shared" si="13"/>
        <v>-70738.539999999994</v>
      </c>
      <c r="N99" s="875"/>
      <c r="O99" s="875"/>
      <c r="P99" s="875">
        <v>-70738.539999999994</v>
      </c>
      <c r="Q99" s="877"/>
      <c r="R99" s="875"/>
      <c r="S99" s="875"/>
      <c r="T99" s="875"/>
      <c r="U99" s="876">
        <f t="shared" si="18"/>
        <v>830843.21</v>
      </c>
      <c r="V99" s="875">
        <f t="shared" si="16"/>
        <v>0</v>
      </c>
      <c r="W99" s="875">
        <f t="shared" si="19"/>
        <v>0</v>
      </c>
      <c r="X99" s="875">
        <f t="shared" si="19"/>
        <v>547871.27999999991</v>
      </c>
      <c r="Y99" s="877"/>
      <c r="Z99" s="875">
        <f t="shared" si="20"/>
        <v>0</v>
      </c>
      <c r="AA99" s="875">
        <f t="shared" si="20"/>
        <v>0</v>
      </c>
      <c r="AB99" s="875">
        <f t="shared" si="20"/>
        <v>282971.93</v>
      </c>
      <c r="AC99" s="878" t="s">
        <v>1680</v>
      </c>
    </row>
    <row r="100" spans="1:29" ht="31.5" x14ac:dyDescent="0.2">
      <c r="A100" s="618" t="s">
        <v>1240</v>
      </c>
      <c r="B100" s="619" t="s">
        <v>729</v>
      </c>
      <c r="C100" s="620">
        <v>247</v>
      </c>
      <c r="D100" s="620">
        <v>223</v>
      </c>
      <c r="E100" s="596">
        <f t="shared" si="17"/>
        <v>26226.5</v>
      </c>
      <c r="F100" s="595">
        <f>'Прилож 4 24 (9)'!V102</f>
        <v>0</v>
      </c>
      <c r="G100" s="595">
        <f>'Прилож 4 24 (9)'!W102</f>
        <v>0</v>
      </c>
      <c r="H100" s="595">
        <f>'Прилож 4 24 (9)'!X102</f>
        <v>15346.51</v>
      </c>
      <c r="I100" s="621"/>
      <c r="J100" s="595">
        <f>'Прилож 4 24 (9)'!Z102</f>
        <v>0</v>
      </c>
      <c r="K100" s="595">
        <f>'Прилож 4 24 (9)'!AA102</f>
        <v>0</v>
      </c>
      <c r="L100" s="595">
        <f>'Прилож 4 24 (9)'!AB102</f>
        <v>10879.99</v>
      </c>
      <c r="M100" s="876">
        <f t="shared" si="13"/>
        <v>-954.38</v>
      </c>
      <c r="N100" s="875"/>
      <c r="O100" s="875"/>
      <c r="P100" s="875">
        <v>-954.38</v>
      </c>
      <c r="Q100" s="877"/>
      <c r="R100" s="875"/>
      <c r="S100" s="875"/>
      <c r="T100" s="875"/>
      <c r="U100" s="876">
        <f t="shared" si="18"/>
        <v>25272.12</v>
      </c>
      <c r="V100" s="875">
        <f t="shared" si="16"/>
        <v>0</v>
      </c>
      <c r="W100" s="875">
        <f t="shared" si="19"/>
        <v>0</v>
      </c>
      <c r="X100" s="875">
        <f t="shared" si="19"/>
        <v>14392.130000000001</v>
      </c>
      <c r="Y100" s="877"/>
      <c r="Z100" s="875">
        <f t="shared" si="20"/>
        <v>0</v>
      </c>
      <c r="AA100" s="875">
        <f t="shared" si="20"/>
        <v>0</v>
      </c>
      <c r="AB100" s="875">
        <f t="shared" si="20"/>
        <v>10879.99</v>
      </c>
      <c r="AC100" s="878" t="s">
        <v>1623</v>
      </c>
    </row>
    <row r="101" spans="1:29" ht="31.5" x14ac:dyDescent="0.2">
      <c r="A101" s="618" t="s">
        <v>1241</v>
      </c>
      <c r="B101" s="619" t="s">
        <v>729</v>
      </c>
      <c r="C101" s="620">
        <v>247</v>
      </c>
      <c r="D101" s="620">
        <v>223</v>
      </c>
      <c r="E101" s="596">
        <f t="shared" si="17"/>
        <v>22442.33</v>
      </c>
      <c r="F101" s="595">
        <f>'Прилож 4 24 (9)'!V103</f>
        <v>0</v>
      </c>
      <c r="G101" s="595">
        <f>'Прилож 4 24 (9)'!W103</f>
        <v>0</v>
      </c>
      <c r="H101" s="595">
        <f>'Прилож 4 24 (9)'!X103</f>
        <v>13515.22</v>
      </c>
      <c r="I101" s="621"/>
      <c r="J101" s="595">
        <f>'Прилож 4 24 (9)'!Z103</f>
        <v>0</v>
      </c>
      <c r="K101" s="595">
        <f>'Прилож 4 24 (9)'!AA103</f>
        <v>0</v>
      </c>
      <c r="L101" s="595">
        <f>'Прилож 4 24 (9)'!AB103</f>
        <v>8927.11</v>
      </c>
      <c r="M101" s="876">
        <f t="shared" si="13"/>
        <v>-1826.95</v>
      </c>
      <c r="N101" s="875"/>
      <c r="O101" s="875"/>
      <c r="P101" s="875">
        <v>-1826.95</v>
      </c>
      <c r="Q101" s="877"/>
      <c r="R101" s="875"/>
      <c r="S101" s="875"/>
      <c r="T101" s="875"/>
      <c r="U101" s="876">
        <f t="shared" si="18"/>
        <v>20615.38</v>
      </c>
      <c r="V101" s="875">
        <f t="shared" si="16"/>
        <v>0</v>
      </c>
      <c r="W101" s="875">
        <f t="shared" si="19"/>
        <v>0</v>
      </c>
      <c r="X101" s="875">
        <f t="shared" si="19"/>
        <v>11688.269999999999</v>
      </c>
      <c r="Y101" s="877"/>
      <c r="Z101" s="875">
        <f t="shared" si="20"/>
        <v>0</v>
      </c>
      <c r="AA101" s="875">
        <f t="shared" si="20"/>
        <v>0</v>
      </c>
      <c r="AB101" s="875">
        <f t="shared" si="20"/>
        <v>8927.11</v>
      </c>
      <c r="AC101" s="878" t="s">
        <v>1623</v>
      </c>
    </row>
    <row r="102" spans="1:29" ht="31.5" x14ac:dyDescent="0.2">
      <c r="A102" s="618" t="s">
        <v>1242</v>
      </c>
      <c r="B102" s="619" t="s">
        <v>729</v>
      </c>
      <c r="C102" s="620">
        <v>247</v>
      </c>
      <c r="D102" s="620">
        <v>223</v>
      </c>
      <c r="E102" s="596">
        <f t="shared" si="17"/>
        <v>17091.29</v>
      </c>
      <c r="F102" s="595">
        <f>'Прилож 4 24 (9)'!V104</f>
        <v>0</v>
      </c>
      <c r="G102" s="595">
        <f>'Прилож 4 24 (9)'!W104</f>
        <v>0</v>
      </c>
      <c r="H102" s="595">
        <f>'Прилож 4 24 (9)'!X104</f>
        <v>9599.83</v>
      </c>
      <c r="I102" s="621"/>
      <c r="J102" s="595">
        <f>'Прилож 4 24 (9)'!Z104</f>
        <v>0</v>
      </c>
      <c r="K102" s="595">
        <f>'Прилож 4 24 (9)'!AA104</f>
        <v>0</v>
      </c>
      <c r="L102" s="595">
        <f>'Прилож 4 24 (9)'!AB104</f>
        <v>7491.46</v>
      </c>
      <c r="M102" s="876">
        <f t="shared" si="13"/>
        <v>258.13</v>
      </c>
      <c r="N102" s="875"/>
      <c r="O102" s="875"/>
      <c r="P102" s="875">
        <v>258.13</v>
      </c>
      <c r="Q102" s="877"/>
      <c r="R102" s="875"/>
      <c r="S102" s="875"/>
      <c r="T102" s="875"/>
      <c r="U102" s="876">
        <f t="shared" si="18"/>
        <v>17349.420000000002</v>
      </c>
      <c r="V102" s="875">
        <f t="shared" si="16"/>
        <v>0</v>
      </c>
      <c r="W102" s="875">
        <f t="shared" si="19"/>
        <v>0</v>
      </c>
      <c r="X102" s="875">
        <f t="shared" si="19"/>
        <v>9857.9599999999991</v>
      </c>
      <c r="Y102" s="877"/>
      <c r="Z102" s="875">
        <f t="shared" si="20"/>
        <v>0</v>
      </c>
      <c r="AA102" s="875">
        <f t="shared" si="20"/>
        <v>0</v>
      </c>
      <c r="AB102" s="875">
        <f t="shared" si="20"/>
        <v>7491.46</v>
      </c>
      <c r="AC102" s="878" t="s">
        <v>1681</v>
      </c>
    </row>
    <row r="103" spans="1:29" ht="31.5" x14ac:dyDescent="0.2">
      <c r="A103" s="618" t="s">
        <v>1625</v>
      </c>
      <c r="B103" s="619" t="s">
        <v>729</v>
      </c>
      <c r="C103" s="620">
        <v>247</v>
      </c>
      <c r="D103" s="620">
        <v>223</v>
      </c>
      <c r="E103" s="596">
        <f t="shared" si="17"/>
        <v>18156.04</v>
      </c>
      <c r="F103" s="595">
        <f>'Прилож 4 24 (9)'!V105</f>
        <v>0</v>
      </c>
      <c r="G103" s="595">
        <f>'Прилож 4 24 (9)'!W105</f>
        <v>0</v>
      </c>
      <c r="H103" s="595">
        <f>'Прилож 4 24 (9)'!X105</f>
        <v>10621.01</v>
      </c>
      <c r="I103" s="621"/>
      <c r="J103" s="595">
        <f>'Прилож 4 24 (9)'!Z105</f>
        <v>0</v>
      </c>
      <c r="K103" s="595">
        <f>'Прилож 4 24 (9)'!AA105</f>
        <v>0</v>
      </c>
      <c r="L103" s="595">
        <f>'Прилож 4 24 (9)'!AB105</f>
        <v>7535.03</v>
      </c>
      <c r="M103" s="876">
        <f t="shared" si="13"/>
        <v>-1310.5700000000002</v>
      </c>
      <c r="N103" s="875"/>
      <c r="O103" s="875"/>
      <c r="P103" s="875">
        <f>-1052.44-258.13</f>
        <v>-1310.5700000000002</v>
      </c>
      <c r="Q103" s="877"/>
      <c r="R103" s="875"/>
      <c r="S103" s="875"/>
      <c r="T103" s="875"/>
      <c r="U103" s="876">
        <f t="shared" si="18"/>
        <v>16845.47</v>
      </c>
      <c r="V103" s="875">
        <f t="shared" si="16"/>
        <v>0</v>
      </c>
      <c r="W103" s="875">
        <f t="shared" si="19"/>
        <v>0</v>
      </c>
      <c r="X103" s="875">
        <f t="shared" si="19"/>
        <v>9310.44</v>
      </c>
      <c r="Y103" s="877"/>
      <c r="Z103" s="875">
        <f t="shared" si="20"/>
        <v>0</v>
      </c>
      <c r="AA103" s="875">
        <f t="shared" si="20"/>
        <v>0</v>
      </c>
      <c r="AB103" s="875">
        <f t="shared" si="20"/>
        <v>7535.03</v>
      </c>
      <c r="AC103" s="878" t="s">
        <v>1624</v>
      </c>
    </row>
    <row r="104" spans="1:29" s="637" customFormat="1" x14ac:dyDescent="0.2">
      <c r="A104" s="632" t="s">
        <v>1143</v>
      </c>
      <c r="B104" s="633" t="s">
        <v>729</v>
      </c>
      <c r="C104" s="634">
        <v>247</v>
      </c>
      <c r="D104" s="634">
        <v>223</v>
      </c>
      <c r="E104" s="596">
        <f t="shared" si="17"/>
        <v>3362404.34</v>
      </c>
      <c r="F104" s="595">
        <f>'Прилож 4 24 (9)'!V106</f>
        <v>0</v>
      </c>
      <c r="G104" s="595">
        <f>'Прилож 4 24 (9)'!W106</f>
        <v>0</v>
      </c>
      <c r="H104" s="595">
        <f>'Прилож 4 24 (9)'!X106</f>
        <v>2202225.75</v>
      </c>
      <c r="I104" s="635"/>
      <c r="J104" s="595">
        <f>'Прилож 4 24 (9)'!Z106</f>
        <v>0</v>
      </c>
      <c r="K104" s="595">
        <f>'Прилож 4 24 (9)'!AA106</f>
        <v>0</v>
      </c>
      <c r="L104" s="595">
        <f>'Прилож 4 24 (9)'!AB106</f>
        <v>1160178.5900000001</v>
      </c>
      <c r="M104" s="876">
        <f t="shared" si="13"/>
        <v>-89189.85</v>
      </c>
      <c r="N104" s="884"/>
      <c r="O104" s="884"/>
      <c r="P104" s="884">
        <f>SUM(P97:P103)</f>
        <v>-89189.85</v>
      </c>
      <c r="Q104" s="885"/>
      <c r="R104" s="884"/>
      <c r="S104" s="884"/>
      <c r="T104" s="884">
        <f>SUM(T97:T103)</f>
        <v>0</v>
      </c>
      <c r="U104" s="876">
        <f t="shared" si="18"/>
        <v>3273214.4899999998</v>
      </c>
      <c r="V104" s="875">
        <f t="shared" si="16"/>
        <v>0</v>
      </c>
      <c r="W104" s="875">
        <f t="shared" si="19"/>
        <v>0</v>
      </c>
      <c r="X104" s="875">
        <f t="shared" si="19"/>
        <v>2113035.9</v>
      </c>
      <c r="Y104" s="885"/>
      <c r="Z104" s="875">
        <f t="shared" si="20"/>
        <v>0</v>
      </c>
      <c r="AA104" s="875">
        <f t="shared" si="20"/>
        <v>0</v>
      </c>
      <c r="AB104" s="875">
        <f t="shared" si="20"/>
        <v>1160178.5900000001</v>
      </c>
      <c r="AC104" s="878"/>
    </row>
    <row r="105" spans="1:29" s="614" customFormat="1" x14ac:dyDescent="0.2">
      <c r="A105" s="630" t="s">
        <v>737</v>
      </c>
      <c r="B105" s="631"/>
      <c r="C105" s="624"/>
      <c r="D105" s="624"/>
      <c r="E105" s="596">
        <f t="shared" si="17"/>
        <v>4902057.4400000004</v>
      </c>
      <c r="F105" s="595">
        <f>'Прилож 4 24 (9)'!V107</f>
        <v>0</v>
      </c>
      <c r="G105" s="595">
        <f>'Прилож 4 24 (9)'!W107</f>
        <v>0</v>
      </c>
      <c r="H105" s="595">
        <f>'Прилож 4 24 (9)'!X107</f>
        <v>3741878.85</v>
      </c>
      <c r="I105" s="626"/>
      <c r="J105" s="595">
        <f>'Прилож 4 24 (9)'!Z107</f>
        <v>0</v>
      </c>
      <c r="K105" s="595">
        <f>'Прилож 4 24 (9)'!AA107</f>
        <v>0</v>
      </c>
      <c r="L105" s="595">
        <f>'Прилож 4 24 (9)'!AB107</f>
        <v>1160178.5900000001</v>
      </c>
      <c r="M105" s="876">
        <f t="shared" si="13"/>
        <v>34318.06</v>
      </c>
      <c r="N105" s="876"/>
      <c r="O105" s="876"/>
      <c r="P105" s="876">
        <f>P104+P96</f>
        <v>34318.06</v>
      </c>
      <c r="Q105" s="881"/>
      <c r="R105" s="876"/>
      <c r="S105" s="876"/>
      <c r="T105" s="876">
        <f>T96+T104</f>
        <v>0</v>
      </c>
      <c r="U105" s="876">
        <f t="shared" si="18"/>
        <v>4936375.5</v>
      </c>
      <c r="V105" s="875">
        <f t="shared" si="16"/>
        <v>0</v>
      </c>
      <c r="W105" s="875">
        <f t="shared" si="19"/>
        <v>0</v>
      </c>
      <c r="X105" s="875">
        <f t="shared" si="19"/>
        <v>3776196.91</v>
      </c>
      <c r="Y105" s="881"/>
      <c r="Z105" s="875">
        <f t="shared" si="20"/>
        <v>0</v>
      </c>
      <c r="AA105" s="875">
        <f t="shared" si="20"/>
        <v>0</v>
      </c>
      <c r="AB105" s="875">
        <f t="shared" si="20"/>
        <v>1160178.5900000001</v>
      </c>
      <c r="AC105" s="879"/>
    </row>
    <row r="106" spans="1:29" ht="31.5" x14ac:dyDescent="0.2">
      <c r="A106" s="618" t="s">
        <v>1230</v>
      </c>
      <c r="B106" s="619" t="s">
        <v>729</v>
      </c>
      <c r="C106" s="620">
        <v>243</v>
      </c>
      <c r="D106" s="620">
        <v>225</v>
      </c>
      <c r="E106" s="596">
        <f t="shared" si="17"/>
        <v>0</v>
      </c>
      <c r="F106" s="595">
        <f>'Прилож 4 24 (9)'!V108</f>
        <v>0</v>
      </c>
      <c r="G106" s="595">
        <f>'Прилож 4 24 (9)'!W108</f>
        <v>0</v>
      </c>
      <c r="H106" s="595">
        <f>'Прилож 4 24 (9)'!X108</f>
        <v>0</v>
      </c>
      <c r="I106" s="621"/>
      <c r="J106" s="595">
        <f>'Прилож 4 24 (9)'!Z108</f>
        <v>0</v>
      </c>
      <c r="K106" s="595">
        <f>'Прилож 4 24 (9)'!AA108</f>
        <v>0</v>
      </c>
      <c r="L106" s="595">
        <f>'Прилож 4 24 (9)'!AB108</f>
        <v>0</v>
      </c>
      <c r="M106" s="876">
        <f t="shared" si="13"/>
        <v>0</v>
      </c>
      <c r="N106" s="875"/>
      <c r="O106" s="875"/>
      <c r="P106" s="875"/>
      <c r="Q106" s="890"/>
      <c r="R106" s="875"/>
      <c r="S106" s="875"/>
      <c r="T106" s="875"/>
      <c r="U106" s="876">
        <f t="shared" si="18"/>
        <v>0</v>
      </c>
      <c r="V106" s="875">
        <f t="shared" si="16"/>
        <v>0</v>
      </c>
      <c r="W106" s="875">
        <f t="shared" si="19"/>
        <v>0</v>
      </c>
      <c r="X106" s="875">
        <f t="shared" si="19"/>
        <v>0</v>
      </c>
      <c r="Y106" s="877"/>
      <c r="Z106" s="875">
        <f t="shared" si="20"/>
        <v>0</v>
      </c>
      <c r="AA106" s="875">
        <f t="shared" si="20"/>
        <v>0</v>
      </c>
      <c r="AB106" s="875">
        <f t="shared" si="20"/>
        <v>0</v>
      </c>
      <c r="AC106" s="878"/>
    </row>
    <row r="107" spans="1:29" s="614" customFormat="1" ht="28.5" customHeight="1" x14ac:dyDescent="0.2">
      <c r="A107" s="630" t="s">
        <v>1312</v>
      </c>
      <c r="B107" s="631" t="s">
        <v>729</v>
      </c>
      <c r="C107" s="624">
        <v>243</v>
      </c>
      <c r="D107" s="624">
        <v>225</v>
      </c>
      <c r="E107" s="596">
        <f t="shared" si="17"/>
        <v>0</v>
      </c>
      <c r="F107" s="595">
        <f>'Прилож 4 24 (9)'!V109</f>
        <v>0</v>
      </c>
      <c r="G107" s="595">
        <f>'Прилож 4 24 (9)'!W109</f>
        <v>0</v>
      </c>
      <c r="H107" s="595">
        <f>'Прилож 4 24 (9)'!X109</f>
        <v>0</v>
      </c>
      <c r="I107" s="626"/>
      <c r="J107" s="595">
        <f>'Прилож 4 24 (9)'!Z109</f>
        <v>0</v>
      </c>
      <c r="K107" s="595">
        <f>'Прилож 4 24 (9)'!AA109</f>
        <v>0</v>
      </c>
      <c r="L107" s="595">
        <f>'Прилож 4 24 (9)'!AB109</f>
        <v>0</v>
      </c>
      <c r="M107" s="876">
        <f t="shared" si="13"/>
        <v>0</v>
      </c>
      <c r="N107" s="876"/>
      <c r="O107" s="876"/>
      <c r="P107" s="876"/>
      <c r="Q107" s="881"/>
      <c r="R107" s="876"/>
      <c r="S107" s="876"/>
      <c r="T107" s="876"/>
      <c r="U107" s="876">
        <f t="shared" si="18"/>
        <v>0</v>
      </c>
      <c r="V107" s="875">
        <f t="shared" si="16"/>
        <v>0</v>
      </c>
      <c r="W107" s="875">
        <f t="shared" si="19"/>
        <v>0</v>
      </c>
      <c r="X107" s="875">
        <f t="shared" si="19"/>
        <v>0</v>
      </c>
      <c r="Y107" s="881"/>
      <c r="Z107" s="875">
        <f t="shared" si="20"/>
        <v>0</v>
      </c>
      <c r="AA107" s="875">
        <f t="shared" si="20"/>
        <v>0</v>
      </c>
      <c r="AB107" s="875">
        <f t="shared" si="20"/>
        <v>0</v>
      </c>
      <c r="AC107" s="879"/>
    </row>
    <row r="108" spans="1:29" ht="69" customHeight="1" x14ac:dyDescent="0.2">
      <c r="A108" s="618" t="s">
        <v>1188</v>
      </c>
      <c r="B108" s="619" t="s">
        <v>747</v>
      </c>
      <c r="C108" s="620">
        <v>244</v>
      </c>
      <c r="D108" s="620">
        <v>225</v>
      </c>
      <c r="E108" s="596">
        <f t="shared" si="17"/>
        <v>50400</v>
      </c>
      <c r="F108" s="595">
        <f>'Прилож 4 24 (9)'!V110</f>
        <v>0</v>
      </c>
      <c r="G108" s="595">
        <f>'Прилож 4 24 (9)'!W110</f>
        <v>0</v>
      </c>
      <c r="H108" s="595">
        <f>'Прилож 4 24 (9)'!X110</f>
        <v>50400</v>
      </c>
      <c r="I108" s="628"/>
      <c r="J108" s="595">
        <f>'Прилож 4 24 (9)'!Z110</f>
        <v>0</v>
      </c>
      <c r="K108" s="595">
        <f>'Прилож 4 24 (9)'!AA110</f>
        <v>0</v>
      </c>
      <c r="L108" s="595">
        <f>'Прилож 4 24 (9)'!AB110</f>
        <v>0</v>
      </c>
      <c r="M108" s="876">
        <f t="shared" si="13"/>
        <v>0</v>
      </c>
      <c r="N108" s="875"/>
      <c r="O108" s="875"/>
      <c r="P108" s="875"/>
      <c r="Q108" s="877"/>
      <c r="R108" s="875"/>
      <c r="S108" s="875"/>
      <c r="T108" s="875"/>
      <c r="U108" s="876">
        <f t="shared" si="18"/>
        <v>50400</v>
      </c>
      <c r="V108" s="875">
        <f t="shared" si="16"/>
        <v>0</v>
      </c>
      <c r="W108" s="875">
        <f t="shared" si="19"/>
        <v>0</v>
      </c>
      <c r="X108" s="875">
        <f t="shared" si="19"/>
        <v>50400</v>
      </c>
      <c r="Y108" s="883"/>
      <c r="Z108" s="875">
        <f t="shared" si="20"/>
        <v>0</v>
      </c>
      <c r="AA108" s="875">
        <f t="shared" si="20"/>
        <v>0</v>
      </c>
      <c r="AB108" s="875">
        <f t="shared" si="20"/>
        <v>0</v>
      </c>
      <c r="AC108" s="878"/>
    </row>
    <row r="109" spans="1:29" x14ac:dyDescent="0.2">
      <c r="A109" s="618" t="s">
        <v>1193</v>
      </c>
      <c r="B109" s="619" t="s">
        <v>747</v>
      </c>
      <c r="C109" s="620">
        <v>244</v>
      </c>
      <c r="D109" s="620">
        <v>225</v>
      </c>
      <c r="E109" s="596">
        <f t="shared" si="17"/>
        <v>49836</v>
      </c>
      <c r="F109" s="595">
        <f>'Прилож 4 24 (9)'!V111</f>
        <v>0</v>
      </c>
      <c r="G109" s="595">
        <f>'Прилож 4 24 (9)'!W111</f>
        <v>0</v>
      </c>
      <c r="H109" s="595">
        <f>'Прилож 4 24 (9)'!X111</f>
        <v>49836</v>
      </c>
      <c r="I109" s="628"/>
      <c r="J109" s="595">
        <f>'Прилож 4 24 (9)'!Z111</f>
        <v>0</v>
      </c>
      <c r="K109" s="595">
        <f>'Прилож 4 24 (9)'!AA111</f>
        <v>0</v>
      </c>
      <c r="L109" s="595">
        <f>'Прилож 4 24 (9)'!AB111</f>
        <v>0</v>
      </c>
      <c r="M109" s="876">
        <f t="shared" si="13"/>
        <v>0</v>
      </c>
      <c r="N109" s="875"/>
      <c r="O109" s="875"/>
      <c r="P109" s="875"/>
      <c r="Q109" s="877"/>
      <c r="R109" s="875"/>
      <c r="S109" s="875"/>
      <c r="T109" s="875"/>
      <c r="U109" s="876">
        <f t="shared" si="18"/>
        <v>49836</v>
      </c>
      <c r="V109" s="875">
        <f t="shared" si="16"/>
        <v>0</v>
      </c>
      <c r="W109" s="875">
        <f t="shared" si="19"/>
        <v>0</v>
      </c>
      <c r="X109" s="875">
        <f t="shared" si="19"/>
        <v>49836</v>
      </c>
      <c r="Y109" s="883"/>
      <c r="Z109" s="875">
        <f t="shared" si="20"/>
        <v>0</v>
      </c>
      <c r="AA109" s="875">
        <f t="shared" si="20"/>
        <v>0</v>
      </c>
      <c r="AB109" s="875">
        <f t="shared" si="20"/>
        <v>0</v>
      </c>
      <c r="AC109" s="878"/>
    </row>
    <row r="110" spans="1:29" ht="41.25" customHeight="1" x14ac:dyDescent="0.2">
      <c r="A110" s="618" t="s">
        <v>1192</v>
      </c>
      <c r="B110" s="619" t="s">
        <v>747</v>
      </c>
      <c r="C110" s="620">
        <v>244</v>
      </c>
      <c r="D110" s="620">
        <v>225</v>
      </c>
      <c r="E110" s="596">
        <f t="shared" si="17"/>
        <v>3859</v>
      </c>
      <c r="F110" s="595">
        <f>'Прилож 4 24 (9)'!V112</f>
        <v>0</v>
      </c>
      <c r="G110" s="595">
        <f>'Прилож 4 24 (9)'!W112</f>
        <v>0</v>
      </c>
      <c r="H110" s="595">
        <f>'Прилож 4 24 (9)'!X112</f>
        <v>3859</v>
      </c>
      <c r="I110" s="628"/>
      <c r="J110" s="595">
        <f>'Прилож 4 24 (9)'!Z112</f>
        <v>0</v>
      </c>
      <c r="K110" s="595">
        <f>'Прилож 4 24 (9)'!AA112</f>
        <v>0</v>
      </c>
      <c r="L110" s="595">
        <f>'Прилож 4 24 (9)'!AB112</f>
        <v>0</v>
      </c>
      <c r="M110" s="876">
        <f t="shared" si="13"/>
        <v>0</v>
      </c>
      <c r="N110" s="875"/>
      <c r="O110" s="875"/>
      <c r="P110" s="875"/>
      <c r="Q110" s="877"/>
      <c r="R110" s="875"/>
      <c r="S110" s="875"/>
      <c r="T110" s="875"/>
      <c r="U110" s="876">
        <f t="shared" si="18"/>
        <v>3859</v>
      </c>
      <c r="V110" s="875">
        <f t="shared" si="16"/>
        <v>0</v>
      </c>
      <c r="W110" s="875">
        <f t="shared" si="19"/>
        <v>0</v>
      </c>
      <c r="X110" s="875">
        <f t="shared" si="19"/>
        <v>3859</v>
      </c>
      <c r="Y110" s="883"/>
      <c r="Z110" s="875">
        <f t="shared" si="20"/>
        <v>0</v>
      </c>
      <c r="AA110" s="875">
        <f t="shared" si="20"/>
        <v>0</v>
      </c>
      <c r="AB110" s="875">
        <f t="shared" si="20"/>
        <v>0</v>
      </c>
      <c r="AC110" s="878"/>
    </row>
    <row r="111" spans="1:29" x14ac:dyDescent="0.2">
      <c r="A111" s="618" t="s">
        <v>1187</v>
      </c>
      <c r="B111" s="619" t="s">
        <v>747</v>
      </c>
      <c r="C111" s="620">
        <v>244</v>
      </c>
      <c r="D111" s="620">
        <v>225</v>
      </c>
      <c r="E111" s="596">
        <f t="shared" si="17"/>
        <v>21600</v>
      </c>
      <c r="F111" s="595">
        <f>'Прилож 4 24 (9)'!V113</f>
        <v>0</v>
      </c>
      <c r="G111" s="595">
        <f>'Прилож 4 24 (9)'!W113</f>
        <v>0</v>
      </c>
      <c r="H111" s="595">
        <f>'Прилож 4 24 (9)'!X113</f>
        <v>21600</v>
      </c>
      <c r="I111" s="628"/>
      <c r="J111" s="595">
        <f>'Прилож 4 24 (9)'!Z113</f>
        <v>0</v>
      </c>
      <c r="K111" s="595">
        <f>'Прилож 4 24 (9)'!AA113</f>
        <v>0</v>
      </c>
      <c r="L111" s="595">
        <f>'Прилож 4 24 (9)'!AB113</f>
        <v>0</v>
      </c>
      <c r="M111" s="876">
        <f t="shared" si="13"/>
        <v>0</v>
      </c>
      <c r="N111" s="875"/>
      <c r="O111" s="875"/>
      <c r="P111" s="875"/>
      <c r="Q111" s="877"/>
      <c r="R111" s="875"/>
      <c r="S111" s="875"/>
      <c r="T111" s="875"/>
      <c r="U111" s="876">
        <f t="shared" si="18"/>
        <v>21600</v>
      </c>
      <c r="V111" s="875">
        <f t="shared" si="16"/>
        <v>0</v>
      </c>
      <c r="W111" s="875">
        <f t="shared" si="19"/>
        <v>0</v>
      </c>
      <c r="X111" s="875">
        <f t="shared" si="19"/>
        <v>21600</v>
      </c>
      <c r="Y111" s="883"/>
      <c r="Z111" s="875">
        <f t="shared" si="20"/>
        <v>0</v>
      </c>
      <c r="AA111" s="875">
        <f t="shared" si="20"/>
        <v>0</v>
      </c>
      <c r="AB111" s="875">
        <f t="shared" si="20"/>
        <v>0</v>
      </c>
      <c r="AC111" s="878"/>
    </row>
    <row r="112" spans="1:29" s="612" customFormat="1" ht="31.5" x14ac:dyDescent="0.2">
      <c r="A112" s="618" t="s">
        <v>1203</v>
      </c>
      <c r="B112" s="619" t="s">
        <v>747</v>
      </c>
      <c r="C112" s="620">
        <v>244</v>
      </c>
      <c r="D112" s="620">
        <v>225</v>
      </c>
      <c r="E112" s="596">
        <f t="shared" si="17"/>
        <v>16551.099999999999</v>
      </c>
      <c r="F112" s="595">
        <f>'Прилож 4 24 (9)'!V114</f>
        <v>0</v>
      </c>
      <c r="G112" s="595">
        <f>'Прилож 4 24 (9)'!W114</f>
        <v>0</v>
      </c>
      <c r="H112" s="595">
        <f>'Прилож 4 24 (9)'!X114</f>
        <v>16551.099999999999</v>
      </c>
      <c r="I112" s="628"/>
      <c r="J112" s="595">
        <f>'Прилож 4 24 (9)'!Z114</f>
        <v>0</v>
      </c>
      <c r="K112" s="595">
        <f>'Прилож 4 24 (9)'!AA114</f>
        <v>0</v>
      </c>
      <c r="L112" s="595">
        <f>'Прилож 4 24 (9)'!AB114</f>
        <v>0</v>
      </c>
      <c r="M112" s="876">
        <f t="shared" si="13"/>
        <v>0</v>
      </c>
      <c r="N112" s="875"/>
      <c r="O112" s="875"/>
      <c r="P112" s="875"/>
      <c r="Q112" s="877"/>
      <c r="R112" s="875"/>
      <c r="S112" s="875"/>
      <c r="T112" s="875"/>
      <c r="U112" s="876">
        <f t="shared" si="18"/>
        <v>16551.099999999999</v>
      </c>
      <c r="V112" s="875">
        <f t="shared" si="16"/>
        <v>0</v>
      </c>
      <c r="W112" s="875">
        <f t="shared" si="19"/>
        <v>0</v>
      </c>
      <c r="X112" s="875">
        <f t="shared" si="19"/>
        <v>16551.099999999999</v>
      </c>
      <c r="Y112" s="883"/>
      <c r="Z112" s="875">
        <f t="shared" si="20"/>
        <v>0</v>
      </c>
      <c r="AA112" s="875">
        <f t="shared" si="20"/>
        <v>0</v>
      </c>
      <c r="AB112" s="875">
        <f t="shared" si="20"/>
        <v>0</v>
      </c>
      <c r="AC112" s="878"/>
    </row>
    <row r="113" spans="1:29" s="612" customFormat="1" ht="32.25" customHeight="1" x14ac:dyDescent="0.2">
      <c r="A113" s="618" t="s">
        <v>583</v>
      </c>
      <c r="B113" s="619" t="s">
        <v>747</v>
      </c>
      <c r="C113" s="620">
        <v>244</v>
      </c>
      <c r="D113" s="620">
        <v>225</v>
      </c>
      <c r="E113" s="596">
        <f t="shared" si="17"/>
        <v>8330</v>
      </c>
      <c r="F113" s="595">
        <f>'Прилож 4 24 (9)'!V115</f>
        <v>0</v>
      </c>
      <c r="G113" s="595">
        <f>'Прилож 4 24 (9)'!W115</f>
        <v>0</v>
      </c>
      <c r="H113" s="595">
        <f>'Прилож 4 24 (9)'!X115</f>
        <v>8330</v>
      </c>
      <c r="I113" s="628"/>
      <c r="J113" s="595">
        <f>'Прилож 4 24 (9)'!Z115</f>
        <v>0</v>
      </c>
      <c r="K113" s="595">
        <f>'Прилож 4 24 (9)'!AA115</f>
        <v>0</v>
      </c>
      <c r="L113" s="595">
        <f>'Прилож 4 24 (9)'!AB115</f>
        <v>0</v>
      </c>
      <c r="M113" s="876">
        <f t="shared" si="13"/>
        <v>0</v>
      </c>
      <c r="N113" s="875"/>
      <c r="O113" s="875"/>
      <c r="P113" s="875"/>
      <c r="Q113" s="877"/>
      <c r="R113" s="875"/>
      <c r="S113" s="875"/>
      <c r="T113" s="875"/>
      <c r="U113" s="876">
        <f t="shared" si="18"/>
        <v>8330</v>
      </c>
      <c r="V113" s="875">
        <f t="shared" si="16"/>
        <v>0</v>
      </c>
      <c r="W113" s="875">
        <f t="shared" si="19"/>
        <v>0</v>
      </c>
      <c r="X113" s="875">
        <f t="shared" si="19"/>
        <v>8330</v>
      </c>
      <c r="Y113" s="883"/>
      <c r="Z113" s="875">
        <f t="shared" si="20"/>
        <v>0</v>
      </c>
      <c r="AA113" s="875">
        <f t="shared" si="20"/>
        <v>0</v>
      </c>
      <c r="AB113" s="875">
        <f t="shared" si="20"/>
        <v>0</v>
      </c>
      <c r="AC113" s="878"/>
    </row>
    <row r="114" spans="1:29" s="612" customFormat="1" x14ac:dyDescent="0.2">
      <c r="A114" s="618" t="s">
        <v>1297</v>
      </c>
      <c r="B114" s="619" t="s">
        <v>747</v>
      </c>
      <c r="C114" s="620">
        <v>244</v>
      </c>
      <c r="D114" s="620">
        <v>225</v>
      </c>
      <c r="E114" s="596">
        <f t="shared" si="17"/>
        <v>4000</v>
      </c>
      <c r="F114" s="595">
        <f>'Прилож 4 24 (9)'!V116</f>
        <v>0</v>
      </c>
      <c r="G114" s="595">
        <f>'Прилож 4 24 (9)'!W116</f>
        <v>0</v>
      </c>
      <c r="H114" s="595">
        <f>'Прилож 4 24 (9)'!X116</f>
        <v>4000</v>
      </c>
      <c r="I114" s="628"/>
      <c r="J114" s="595">
        <f>'Прилож 4 24 (9)'!Z116</f>
        <v>0</v>
      </c>
      <c r="K114" s="595">
        <f>'Прилож 4 24 (9)'!AA116</f>
        <v>0</v>
      </c>
      <c r="L114" s="595">
        <f>'Прилож 4 24 (9)'!AB116</f>
        <v>0</v>
      </c>
      <c r="M114" s="876">
        <f t="shared" si="13"/>
        <v>1910.21</v>
      </c>
      <c r="N114" s="875"/>
      <c r="O114" s="875"/>
      <c r="P114" s="875">
        <f>1910.2+0.01</f>
        <v>1910.21</v>
      </c>
      <c r="Q114" s="877"/>
      <c r="R114" s="875"/>
      <c r="S114" s="875"/>
      <c r="T114" s="875"/>
      <c r="U114" s="876">
        <f t="shared" si="18"/>
        <v>5910.21</v>
      </c>
      <c r="V114" s="875">
        <f t="shared" si="16"/>
        <v>0</v>
      </c>
      <c r="W114" s="875">
        <f t="shared" si="19"/>
        <v>0</v>
      </c>
      <c r="X114" s="875">
        <f t="shared" si="19"/>
        <v>5910.21</v>
      </c>
      <c r="Y114" s="883"/>
      <c r="Z114" s="875">
        <f t="shared" si="20"/>
        <v>0</v>
      </c>
      <c r="AA114" s="875">
        <f t="shared" si="20"/>
        <v>0</v>
      </c>
      <c r="AB114" s="875">
        <f t="shared" si="20"/>
        <v>0</v>
      </c>
      <c r="AC114" s="878" t="s">
        <v>1354</v>
      </c>
    </row>
    <row r="115" spans="1:29" s="612" customFormat="1" ht="50.25" customHeight="1" x14ac:dyDescent="0.2">
      <c r="A115" s="618" t="s">
        <v>1204</v>
      </c>
      <c r="B115" s="619" t="s">
        <v>747</v>
      </c>
      <c r="C115" s="620">
        <v>244</v>
      </c>
      <c r="D115" s="620">
        <v>225</v>
      </c>
      <c r="E115" s="596">
        <f t="shared" si="17"/>
        <v>6942.34</v>
      </c>
      <c r="F115" s="595">
        <f>'Прилож 4 24 (9)'!V117</f>
        <v>0</v>
      </c>
      <c r="G115" s="595">
        <f>'Прилож 4 24 (9)'!W117</f>
        <v>0</v>
      </c>
      <c r="H115" s="595">
        <f>'Прилож 4 24 (9)'!X117</f>
        <v>6942.34</v>
      </c>
      <c r="I115" s="628"/>
      <c r="J115" s="595">
        <f>'Прилож 4 24 (9)'!Z117</f>
        <v>0</v>
      </c>
      <c r="K115" s="595">
        <f>'Прилож 4 24 (9)'!AA117</f>
        <v>0</v>
      </c>
      <c r="L115" s="595">
        <f>'Прилож 4 24 (9)'!AB117</f>
        <v>0</v>
      </c>
      <c r="M115" s="876">
        <f t="shared" si="13"/>
        <v>-4782.34</v>
      </c>
      <c r="N115" s="875"/>
      <c r="O115" s="875"/>
      <c r="P115" s="875">
        <v>-4782.34</v>
      </c>
      <c r="Q115" s="877"/>
      <c r="R115" s="875"/>
      <c r="S115" s="875"/>
      <c r="T115" s="875"/>
      <c r="U115" s="876">
        <f t="shared" si="18"/>
        <v>2160</v>
      </c>
      <c r="V115" s="875">
        <f t="shared" si="16"/>
        <v>0</v>
      </c>
      <c r="W115" s="875">
        <f t="shared" si="19"/>
        <v>0</v>
      </c>
      <c r="X115" s="875">
        <f t="shared" si="19"/>
        <v>2160</v>
      </c>
      <c r="Y115" s="883"/>
      <c r="Z115" s="875">
        <f t="shared" si="20"/>
        <v>0</v>
      </c>
      <c r="AA115" s="875">
        <f t="shared" si="20"/>
        <v>0</v>
      </c>
      <c r="AB115" s="875">
        <f t="shared" si="20"/>
        <v>0</v>
      </c>
      <c r="AC115" s="878" t="s">
        <v>1642</v>
      </c>
    </row>
    <row r="116" spans="1:29" s="612" customFormat="1" ht="31.5" customHeight="1" x14ac:dyDescent="0.2">
      <c r="A116" s="618" t="s">
        <v>143</v>
      </c>
      <c r="B116" s="619" t="s">
        <v>747</v>
      </c>
      <c r="C116" s="620">
        <v>244</v>
      </c>
      <c r="D116" s="620">
        <v>225</v>
      </c>
      <c r="E116" s="596">
        <f t="shared" si="17"/>
        <v>12104.58</v>
      </c>
      <c r="F116" s="595">
        <f>'Прилож 4 24 (9)'!V118</f>
        <v>0</v>
      </c>
      <c r="G116" s="595">
        <f>'Прилож 4 24 (9)'!W118</f>
        <v>0</v>
      </c>
      <c r="H116" s="595">
        <f>'Прилож 4 24 (9)'!X118</f>
        <v>12104.58</v>
      </c>
      <c r="I116" s="628"/>
      <c r="J116" s="595">
        <f>'Прилож 4 24 (9)'!Z118</f>
        <v>0</v>
      </c>
      <c r="K116" s="595">
        <f>'Прилож 4 24 (9)'!AA118</f>
        <v>0</v>
      </c>
      <c r="L116" s="595">
        <f>'Прилож 4 24 (9)'!AB118</f>
        <v>0</v>
      </c>
      <c r="M116" s="876">
        <f t="shared" si="13"/>
        <v>0</v>
      </c>
      <c r="N116" s="875"/>
      <c r="O116" s="875"/>
      <c r="P116" s="875"/>
      <c r="Q116" s="877"/>
      <c r="R116" s="875"/>
      <c r="S116" s="875"/>
      <c r="T116" s="875"/>
      <c r="U116" s="876">
        <f t="shared" si="18"/>
        <v>12104.58</v>
      </c>
      <c r="V116" s="875">
        <f t="shared" si="16"/>
        <v>0</v>
      </c>
      <c r="W116" s="875">
        <f t="shared" si="19"/>
        <v>0</v>
      </c>
      <c r="X116" s="875">
        <f t="shared" si="19"/>
        <v>12104.58</v>
      </c>
      <c r="Y116" s="883"/>
      <c r="Z116" s="875">
        <f t="shared" si="20"/>
        <v>0</v>
      </c>
      <c r="AA116" s="875">
        <f t="shared" si="20"/>
        <v>0</v>
      </c>
      <c r="AB116" s="875">
        <f t="shared" si="20"/>
        <v>0</v>
      </c>
      <c r="AC116" s="878"/>
    </row>
    <row r="117" spans="1:29" s="612" customFormat="1" ht="31.5" x14ac:dyDescent="0.2">
      <c r="A117" s="618" t="s">
        <v>645</v>
      </c>
      <c r="B117" s="619" t="s">
        <v>747</v>
      </c>
      <c r="C117" s="620">
        <v>244</v>
      </c>
      <c r="D117" s="620">
        <v>225</v>
      </c>
      <c r="E117" s="596">
        <f t="shared" si="17"/>
        <v>0</v>
      </c>
      <c r="F117" s="595">
        <f>'Прилож 4 24 (9)'!V119</f>
        <v>0</v>
      </c>
      <c r="G117" s="595">
        <f>'Прилож 4 24 (9)'!W119</f>
        <v>0</v>
      </c>
      <c r="H117" s="595">
        <f>'Прилож 4 24 (9)'!X119</f>
        <v>0</v>
      </c>
      <c r="I117" s="628"/>
      <c r="J117" s="595">
        <f>'Прилож 4 24 (9)'!Z119</f>
        <v>0</v>
      </c>
      <c r="K117" s="595">
        <f>'Прилож 4 24 (9)'!AA119</f>
        <v>0</v>
      </c>
      <c r="L117" s="595">
        <f>'Прилож 4 24 (9)'!AB119</f>
        <v>0</v>
      </c>
      <c r="M117" s="876">
        <f t="shared" ref="M117:M172" si="21">N117+P117+R117+S117+T117+O117</f>
        <v>0</v>
      </c>
      <c r="N117" s="875"/>
      <c r="O117" s="875"/>
      <c r="P117" s="875"/>
      <c r="Q117" s="877"/>
      <c r="R117" s="875"/>
      <c r="S117" s="875"/>
      <c r="T117" s="875"/>
      <c r="U117" s="876">
        <f t="shared" si="18"/>
        <v>0</v>
      </c>
      <c r="V117" s="875">
        <f t="shared" si="16"/>
        <v>0</v>
      </c>
      <c r="W117" s="875">
        <f t="shared" ref="W117:X148" si="22">O117+G117</f>
        <v>0</v>
      </c>
      <c r="X117" s="875">
        <f t="shared" si="22"/>
        <v>0</v>
      </c>
      <c r="Y117" s="883"/>
      <c r="Z117" s="875">
        <f t="shared" ref="Z117:AB127" si="23">R117+J117</f>
        <v>0</v>
      </c>
      <c r="AA117" s="875">
        <f t="shared" si="23"/>
        <v>0</v>
      </c>
      <c r="AB117" s="875">
        <f t="shared" si="23"/>
        <v>0</v>
      </c>
      <c r="AC117" s="878"/>
    </row>
    <row r="118" spans="1:29" s="612" customFormat="1" ht="31.5" x14ac:dyDescent="0.2">
      <c r="A118" s="618" t="s">
        <v>646</v>
      </c>
      <c r="B118" s="619" t="s">
        <v>747</v>
      </c>
      <c r="C118" s="620">
        <v>244</v>
      </c>
      <c r="D118" s="620">
        <v>225</v>
      </c>
      <c r="E118" s="596">
        <f t="shared" si="17"/>
        <v>44200</v>
      </c>
      <c r="F118" s="595">
        <f>'Прилож 4 24 (9)'!V120</f>
        <v>0</v>
      </c>
      <c r="G118" s="595">
        <f>'Прилож 4 24 (9)'!W120</f>
        <v>0</v>
      </c>
      <c r="H118" s="595">
        <f>'Прилож 4 24 (9)'!X120</f>
        <v>44200</v>
      </c>
      <c r="I118" s="628"/>
      <c r="J118" s="595">
        <f>'Прилож 4 24 (9)'!Z120</f>
        <v>0</v>
      </c>
      <c r="K118" s="595">
        <f>'Прилож 4 24 (9)'!AA120</f>
        <v>0</v>
      </c>
      <c r="L118" s="595">
        <f>'Прилож 4 24 (9)'!AB120</f>
        <v>0</v>
      </c>
      <c r="M118" s="876">
        <f t="shared" si="21"/>
        <v>0</v>
      </c>
      <c r="N118" s="875"/>
      <c r="O118" s="875"/>
      <c r="P118" s="875"/>
      <c r="Q118" s="877"/>
      <c r="R118" s="875"/>
      <c r="S118" s="875"/>
      <c r="T118" s="875"/>
      <c r="U118" s="876">
        <f t="shared" si="18"/>
        <v>44200</v>
      </c>
      <c r="V118" s="875">
        <f t="shared" si="16"/>
        <v>0</v>
      </c>
      <c r="W118" s="875">
        <f t="shared" si="22"/>
        <v>0</v>
      </c>
      <c r="X118" s="875">
        <f t="shared" si="22"/>
        <v>44200</v>
      </c>
      <c r="Y118" s="883"/>
      <c r="Z118" s="875">
        <f t="shared" si="23"/>
        <v>0</v>
      </c>
      <c r="AA118" s="875">
        <f t="shared" si="23"/>
        <v>0</v>
      </c>
      <c r="AB118" s="875">
        <f t="shared" si="23"/>
        <v>0</v>
      </c>
      <c r="AC118" s="878"/>
    </row>
    <row r="119" spans="1:29" s="612" customFormat="1" ht="38.25" customHeight="1" x14ac:dyDescent="0.2">
      <c r="A119" s="618" t="s">
        <v>146</v>
      </c>
      <c r="B119" s="619" t="s">
        <v>747</v>
      </c>
      <c r="C119" s="620">
        <v>244</v>
      </c>
      <c r="D119" s="620">
        <v>225</v>
      </c>
      <c r="E119" s="596">
        <f t="shared" si="17"/>
        <v>1910.2000000000007</v>
      </c>
      <c r="F119" s="595">
        <f>'Прилож 4 24 (9)'!V121</f>
        <v>0</v>
      </c>
      <c r="G119" s="595">
        <f>'Прилож 4 24 (9)'!W121</f>
        <v>0</v>
      </c>
      <c r="H119" s="595">
        <f>'Прилож 4 24 (9)'!X121</f>
        <v>1910.2000000000007</v>
      </c>
      <c r="I119" s="628"/>
      <c r="J119" s="595">
        <f>'Прилож 4 24 (9)'!Z121</f>
        <v>0</v>
      </c>
      <c r="K119" s="595">
        <f>'Прилож 4 24 (9)'!AA121</f>
        <v>0</v>
      </c>
      <c r="L119" s="595">
        <f>'Прилож 4 24 (9)'!AB121</f>
        <v>0</v>
      </c>
      <c r="M119" s="876">
        <f t="shared" si="21"/>
        <v>-1910.2</v>
      </c>
      <c r="N119" s="875"/>
      <c r="O119" s="875"/>
      <c r="P119" s="875">
        <v>-1910.2</v>
      </c>
      <c r="Q119" s="877"/>
      <c r="R119" s="875"/>
      <c r="S119" s="875"/>
      <c r="T119" s="875"/>
      <c r="U119" s="876">
        <f t="shared" si="18"/>
        <v>0</v>
      </c>
      <c r="V119" s="875">
        <f t="shared" si="16"/>
        <v>0</v>
      </c>
      <c r="W119" s="875">
        <f t="shared" si="22"/>
        <v>0</v>
      </c>
      <c r="X119" s="875">
        <f t="shared" si="22"/>
        <v>0</v>
      </c>
      <c r="Y119" s="883"/>
      <c r="Z119" s="875">
        <f t="shared" si="23"/>
        <v>0</v>
      </c>
      <c r="AA119" s="875">
        <f t="shared" si="23"/>
        <v>0</v>
      </c>
      <c r="AB119" s="875">
        <f t="shared" si="23"/>
        <v>0</v>
      </c>
      <c r="AC119" s="878" t="s">
        <v>1640</v>
      </c>
    </row>
    <row r="120" spans="1:29" s="612" customFormat="1" ht="47.25" x14ac:dyDescent="0.2">
      <c r="A120" s="618" t="s">
        <v>148</v>
      </c>
      <c r="B120" s="619" t="s">
        <v>747</v>
      </c>
      <c r="C120" s="620">
        <v>244</v>
      </c>
      <c r="D120" s="620">
        <v>225</v>
      </c>
      <c r="E120" s="596">
        <f t="shared" si="17"/>
        <v>12000</v>
      </c>
      <c r="F120" s="595">
        <f>'Прилож 4 24 (9)'!V122</f>
        <v>0</v>
      </c>
      <c r="G120" s="595">
        <f>'Прилож 4 24 (9)'!W122</f>
        <v>0</v>
      </c>
      <c r="H120" s="595">
        <f>'Прилож 4 24 (9)'!X122</f>
        <v>12000</v>
      </c>
      <c r="I120" s="628"/>
      <c r="J120" s="595">
        <f>'Прилож 4 24 (9)'!Z122</f>
        <v>0</v>
      </c>
      <c r="K120" s="595">
        <f>'Прилож 4 24 (9)'!AA122</f>
        <v>0</v>
      </c>
      <c r="L120" s="595">
        <f>'Прилож 4 24 (9)'!AB122</f>
        <v>0</v>
      </c>
      <c r="M120" s="876">
        <f t="shared" si="21"/>
        <v>0</v>
      </c>
      <c r="N120" s="875"/>
      <c r="O120" s="875"/>
      <c r="P120" s="875"/>
      <c r="Q120" s="877"/>
      <c r="R120" s="875"/>
      <c r="S120" s="875"/>
      <c r="T120" s="875"/>
      <c r="U120" s="876">
        <f t="shared" si="18"/>
        <v>12000</v>
      </c>
      <c r="V120" s="875">
        <f t="shared" si="16"/>
        <v>0</v>
      </c>
      <c r="W120" s="875">
        <f t="shared" si="22"/>
        <v>0</v>
      </c>
      <c r="X120" s="875">
        <f t="shared" si="22"/>
        <v>12000</v>
      </c>
      <c r="Y120" s="883"/>
      <c r="Z120" s="875">
        <f t="shared" si="23"/>
        <v>0</v>
      </c>
      <c r="AA120" s="875">
        <f t="shared" si="23"/>
        <v>0</v>
      </c>
      <c r="AB120" s="875">
        <f t="shared" si="23"/>
        <v>0</v>
      </c>
      <c r="AC120" s="878"/>
    </row>
    <row r="121" spans="1:29" s="612" customFormat="1" ht="42" customHeight="1" x14ac:dyDescent="0.2">
      <c r="A121" s="618" t="s">
        <v>149</v>
      </c>
      <c r="B121" s="619" t="s">
        <v>747</v>
      </c>
      <c r="C121" s="620">
        <v>244</v>
      </c>
      <c r="D121" s="620">
        <v>225</v>
      </c>
      <c r="E121" s="596">
        <f t="shared" si="17"/>
        <v>2350</v>
      </c>
      <c r="F121" s="595">
        <f>'Прилож 4 24 (9)'!V123</f>
        <v>0</v>
      </c>
      <c r="G121" s="595">
        <f>'Прилож 4 24 (9)'!W123</f>
        <v>0</v>
      </c>
      <c r="H121" s="595">
        <f>'Прилож 4 24 (9)'!X123</f>
        <v>2350</v>
      </c>
      <c r="I121" s="628"/>
      <c r="J121" s="595">
        <f>'Прилож 4 24 (9)'!Z123</f>
        <v>0</v>
      </c>
      <c r="K121" s="595">
        <f>'Прилож 4 24 (9)'!AA123</f>
        <v>0</v>
      </c>
      <c r="L121" s="595">
        <f>'Прилож 4 24 (9)'!AB123</f>
        <v>0</v>
      </c>
      <c r="M121" s="876">
        <f t="shared" si="21"/>
        <v>0</v>
      </c>
      <c r="N121" s="875"/>
      <c r="O121" s="875"/>
      <c r="P121" s="875"/>
      <c r="Q121" s="877"/>
      <c r="R121" s="875"/>
      <c r="S121" s="875"/>
      <c r="T121" s="875"/>
      <c r="U121" s="876">
        <f t="shared" si="18"/>
        <v>2350</v>
      </c>
      <c r="V121" s="875">
        <f t="shared" si="16"/>
        <v>0</v>
      </c>
      <c r="W121" s="875">
        <f t="shared" si="22"/>
        <v>0</v>
      </c>
      <c r="X121" s="875">
        <f t="shared" si="22"/>
        <v>2350</v>
      </c>
      <c r="Y121" s="883"/>
      <c r="Z121" s="875">
        <f t="shared" si="23"/>
        <v>0</v>
      </c>
      <c r="AA121" s="875">
        <f t="shared" si="23"/>
        <v>0</v>
      </c>
      <c r="AB121" s="875">
        <f t="shared" si="23"/>
        <v>0</v>
      </c>
      <c r="AC121" s="878"/>
    </row>
    <row r="122" spans="1:29" s="612" customFormat="1" ht="27.75" customHeight="1" x14ac:dyDescent="0.2">
      <c r="A122" s="618" t="s">
        <v>647</v>
      </c>
      <c r="B122" s="619" t="s">
        <v>747</v>
      </c>
      <c r="C122" s="620">
        <v>244</v>
      </c>
      <c r="D122" s="620">
        <v>225</v>
      </c>
      <c r="E122" s="596">
        <f t="shared" si="17"/>
        <v>16614.940000000002</v>
      </c>
      <c r="F122" s="595">
        <f>'Прилож 4 24 (9)'!V124</f>
        <v>0</v>
      </c>
      <c r="G122" s="595">
        <f>'Прилож 4 24 (9)'!W124</f>
        <v>0</v>
      </c>
      <c r="H122" s="595">
        <f>'Прилож 4 24 (9)'!X124</f>
        <v>16614.940000000002</v>
      </c>
      <c r="I122" s="628"/>
      <c r="J122" s="595">
        <f>'Прилож 4 24 (9)'!Z124</f>
        <v>0</v>
      </c>
      <c r="K122" s="595">
        <f>'Прилож 4 24 (9)'!AA124</f>
        <v>0</v>
      </c>
      <c r="L122" s="595">
        <f>'Прилож 4 24 (9)'!AB124</f>
        <v>0</v>
      </c>
      <c r="M122" s="876">
        <f t="shared" si="21"/>
        <v>0</v>
      </c>
      <c r="N122" s="875"/>
      <c r="O122" s="875"/>
      <c r="P122" s="875"/>
      <c r="Q122" s="877"/>
      <c r="R122" s="875"/>
      <c r="S122" s="875"/>
      <c r="T122" s="875"/>
      <c r="U122" s="876">
        <f t="shared" si="18"/>
        <v>16614.940000000002</v>
      </c>
      <c r="V122" s="875">
        <f t="shared" si="16"/>
        <v>0</v>
      </c>
      <c r="W122" s="875">
        <f t="shared" si="22"/>
        <v>0</v>
      </c>
      <c r="X122" s="875">
        <f t="shared" si="22"/>
        <v>16614.940000000002</v>
      </c>
      <c r="Y122" s="883"/>
      <c r="Z122" s="875">
        <f t="shared" si="23"/>
        <v>0</v>
      </c>
      <c r="AA122" s="875">
        <f t="shared" si="23"/>
        <v>0</v>
      </c>
      <c r="AB122" s="875">
        <f t="shared" si="23"/>
        <v>0</v>
      </c>
      <c r="AC122" s="878"/>
    </row>
    <row r="123" spans="1:29" s="612" customFormat="1" ht="31.5" x14ac:dyDescent="0.2">
      <c r="A123" s="618" t="s">
        <v>1185</v>
      </c>
      <c r="B123" s="619" t="s">
        <v>747</v>
      </c>
      <c r="C123" s="620">
        <v>244</v>
      </c>
      <c r="D123" s="620">
        <v>225</v>
      </c>
      <c r="E123" s="596">
        <f t="shared" si="17"/>
        <v>19716</v>
      </c>
      <c r="F123" s="595">
        <f>'Прилож 4 24 (9)'!V125</f>
        <v>0</v>
      </c>
      <c r="G123" s="595">
        <f>'Прилож 4 24 (9)'!W125</f>
        <v>0</v>
      </c>
      <c r="H123" s="595">
        <f>'Прилож 4 24 (9)'!X125</f>
        <v>19716</v>
      </c>
      <c r="I123" s="628"/>
      <c r="J123" s="595">
        <f>'Прилож 4 24 (9)'!Z125</f>
        <v>0</v>
      </c>
      <c r="K123" s="595">
        <f>'Прилож 4 24 (9)'!AA125</f>
        <v>0</v>
      </c>
      <c r="L123" s="595">
        <f>'Прилож 4 24 (9)'!AB125</f>
        <v>0</v>
      </c>
      <c r="M123" s="876">
        <f t="shared" si="21"/>
        <v>0</v>
      </c>
      <c r="N123" s="875"/>
      <c r="O123" s="875"/>
      <c r="P123" s="875"/>
      <c r="Q123" s="877"/>
      <c r="R123" s="875"/>
      <c r="S123" s="875"/>
      <c r="T123" s="875"/>
      <c r="U123" s="876">
        <f t="shared" si="18"/>
        <v>19716</v>
      </c>
      <c r="V123" s="875">
        <f t="shared" si="16"/>
        <v>0</v>
      </c>
      <c r="W123" s="875">
        <f t="shared" si="22"/>
        <v>0</v>
      </c>
      <c r="X123" s="875">
        <f t="shared" si="22"/>
        <v>19716</v>
      </c>
      <c r="Y123" s="883"/>
      <c r="Z123" s="875">
        <f t="shared" si="23"/>
        <v>0</v>
      </c>
      <c r="AA123" s="875">
        <f t="shared" si="23"/>
        <v>0</v>
      </c>
      <c r="AB123" s="875">
        <f t="shared" si="23"/>
        <v>0</v>
      </c>
      <c r="AC123" s="878"/>
    </row>
    <row r="124" spans="1:29" s="612" customFormat="1" ht="31.5" x14ac:dyDescent="0.2">
      <c r="A124" s="618" t="s">
        <v>587</v>
      </c>
      <c r="B124" s="619" t="s">
        <v>747</v>
      </c>
      <c r="C124" s="620">
        <v>244</v>
      </c>
      <c r="D124" s="620">
        <v>225</v>
      </c>
      <c r="E124" s="596">
        <f t="shared" si="17"/>
        <v>14952</v>
      </c>
      <c r="F124" s="595">
        <f>'Прилож 4 24 (9)'!V126</f>
        <v>0</v>
      </c>
      <c r="G124" s="595">
        <f>'Прилож 4 24 (9)'!W126</f>
        <v>0</v>
      </c>
      <c r="H124" s="595">
        <f>'Прилож 4 24 (9)'!X126</f>
        <v>14952</v>
      </c>
      <c r="I124" s="628"/>
      <c r="J124" s="595">
        <f>'Прилож 4 24 (9)'!Z126</f>
        <v>0</v>
      </c>
      <c r="K124" s="595">
        <f>'Прилож 4 24 (9)'!AA126</f>
        <v>0</v>
      </c>
      <c r="L124" s="595">
        <f>'Прилож 4 24 (9)'!AB126</f>
        <v>0</v>
      </c>
      <c r="M124" s="876">
        <f t="shared" si="21"/>
        <v>0</v>
      </c>
      <c r="N124" s="875"/>
      <c r="O124" s="875"/>
      <c r="P124" s="875"/>
      <c r="Q124" s="877"/>
      <c r="R124" s="875"/>
      <c r="S124" s="875"/>
      <c r="T124" s="875"/>
      <c r="U124" s="876">
        <f t="shared" si="18"/>
        <v>14952</v>
      </c>
      <c r="V124" s="875">
        <f t="shared" si="18"/>
        <v>0</v>
      </c>
      <c r="W124" s="875">
        <f t="shared" si="22"/>
        <v>0</v>
      </c>
      <c r="X124" s="875">
        <f t="shared" si="22"/>
        <v>14952</v>
      </c>
      <c r="Y124" s="883"/>
      <c r="Z124" s="875">
        <f t="shared" si="23"/>
        <v>0</v>
      </c>
      <c r="AA124" s="875">
        <f t="shared" si="23"/>
        <v>0</v>
      </c>
      <c r="AB124" s="875">
        <f t="shared" si="23"/>
        <v>0</v>
      </c>
      <c r="AC124" s="878"/>
    </row>
    <row r="125" spans="1:29" s="612" customFormat="1" ht="22.5" customHeight="1" x14ac:dyDescent="0.2">
      <c r="A125" s="618" t="s">
        <v>1109</v>
      </c>
      <c r="B125" s="619" t="s">
        <v>747</v>
      </c>
      <c r="C125" s="620">
        <v>244</v>
      </c>
      <c r="D125" s="620">
        <v>225</v>
      </c>
      <c r="E125" s="596">
        <f t="shared" ref="E125:E188" si="24">L125+K125+J125+H125+G125+F125</f>
        <v>45398.879999999997</v>
      </c>
      <c r="F125" s="595">
        <f>'Прилож 4 24 (9)'!V127</f>
        <v>0</v>
      </c>
      <c r="G125" s="595">
        <f>'Прилож 4 24 (9)'!W127</f>
        <v>0</v>
      </c>
      <c r="H125" s="595">
        <f>'Прилож 4 24 (9)'!X127</f>
        <v>45398.879999999997</v>
      </c>
      <c r="I125" s="621"/>
      <c r="J125" s="595">
        <f>'Прилож 4 24 (9)'!Z127</f>
        <v>0</v>
      </c>
      <c r="K125" s="595">
        <f>'Прилож 4 24 (9)'!AA127</f>
        <v>0</v>
      </c>
      <c r="L125" s="595">
        <f>'Прилож 4 24 (9)'!AB127</f>
        <v>0</v>
      </c>
      <c r="M125" s="876">
        <f t="shared" si="21"/>
        <v>0</v>
      </c>
      <c r="N125" s="875"/>
      <c r="O125" s="875"/>
      <c r="P125" s="875"/>
      <c r="Q125" s="877"/>
      <c r="R125" s="875"/>
      <c r="S125" s="875"/>
      <c r="T125" s="875"/>
      <c r="U125" s="876">
        <f t="shared" ref="U125:V188" si="25">E125+M125</f>
        <v>45398.879999999997</v>
      </c>
      <c r="V125" s="875">
        <f t="shared" si="25"/>
        <v>0</v>
      </c>
      <c r="W125" s="875">
        <f t="shared" si="22"/>
        <v>0</v>
      </c>
      <c r="X125" s="875">
        <f t="shared" si="22"/>
        <v>45398.879999999997</v>
      </c>
      <c r="Y125" s="877"/>
      <c r="Z125" s="875">
        <f t="shared" si="23"/>
        <v>0</v>
      </c>
      <c r="AA125" s="875">
        <f t="shared" si="23"/>
        <v>0</v>
      </c>
      <c r="AB125" s="875">
        <f t="shared" si="23"/>
        <v>0</v>
      </c>
      <c r="AC125" s="878"/>
    </row>
    <row r="126" spans="1:29" ht="31.5" x14ac:dyDescent="0.2">
      <c r="A126" s="618" t="s">
        <v>157</v>
      </c>
      <c r="B126" s="619" t="s">
        <v>747</v>
      </c>
      <c r="C126" s="620">
        <v>244</v>
      </c>
      <c r="D126" s="620">
        <v>225</v>
      </c>
      <c r="E126" s="596">
        <f t="shared" si="24"/>
        <v>8500</v>
      </c>
      <c r="F126" s="595">
        <f>'Прилож 4 24 (9)'!V128</f>
        <v>0</v>
      </c>
      <c r="G126" s="595">
        <f>'Прилож 4 24 (9)'!W128</f>
        <v>0</v>
      </c>
      <c r="H126" s="595">
        <f>'Прилож 4 24 (9)'!X128</f>
        <v>8500</v>
      </c>
      <c r="I126" s="628"/>
      <c r="J126" s="595">
        <f>'Прилож 4 24 (9)'!Z128</f>
        <v>0</v>
      </c>
      <c r="K126" s="595">
        <f>'Прилож 4 24 (9)'!AA128</f>
        <v>0</v>
      </c>
      <c r="L126" s="595">
        <f>'Прилож 4 24 (9)'!AB128</f>
        <v>0</v>
      </c>
      <c r="M126" s="876">
        <f t="shared" si="21"/>
        <v>0</v>
      </c>
      <c r="N126" s="875"/>
      <c r="O126" s="875"/>
      <c r="P126" s="875"/>
      <c r="Q126" s="877"/>
      <c r="R126" s="875"/>
      <c r="S126" s="875"/>
      <c r="T126" s="875"/>
      <c r="U126" s="876">
        <f t="shared" si="25"/>
        <v>8500</v>
      </c>
      <c r="V126" s="875">
        <f t="shared" si="25"/>
        <v>0</v>
      </c>
      <c r="W126" s="875">
        <f t="shared" si="22"/>
        <v>0</v>
      </c>
      <c r="X126" s="875">
        <f t="shared" si="22"/>
        <v>8500</v>
      </c>
      <c r="Y126" s="883"/>
      <c r="Z126" s="875">
        <f t="shared" si="23"/>
        <v>0</v>
      </c>
      <c r="AA126" s="875">
        <f t="shared" si="23"/>
        <v>0</v>
      </c>
      <c r="AB126" s="875">
        <f t="shared" si="23"/>
        <v>0</v>
      </c>
      <c r="AC126" s="878"/>
    </row>
    <row r="127" spans="1:29" ht="34.15" customHeight="1" x14ac:dyDescent="0.2">
      <c r="A127" s="618" t="s">
        <v>1317</v>
      </c>
      <c r="B127" s="619" t="s">
        <v>747</v>
      </c>
      <c r="C127" s="620">
        <v>244</v>
      </c>
      <c r="D127" s="620">
        <v>225</v>
      </c>
      <c r="E127" s="596">
        <f t="shared" si="24"/>
        <v>202823.2</v>
      </c>
      <c r="F127" s="595">
        <f>'Прилож 4 24 (9)'!V129</f>
        <v>0</v>
      </c>
      <c r="G127" s="595">
        <f>'Прилож 4 24 (9)'!W129</f>
        <v>0</v>
      </c>
      <c r="H127" s="595">
        <f>'Прилож 4 24 (9)'!X129</f>
        <v>0</v>
      </c>
      <c r="I127" s="623" t="s">
        <v>1322</v>
      </c>
      <c r="J127" s="595">
        <f>'Прилож 4 24 (9)'!Z129</f>
        <v>0</v>
      </c>
      <c r="K127" s="595">
        <f>'Прилож 4 24 (9)'!AA129</f>
        <v>202823.2</v>
      </c>
      <c r="L127" s="595">
        <f>'Прилож 4 24 (9)'!AB129</f>
        <v>0</v>
      </c>
      <c r="M127" s="876">
        <f t="shared" si="21"/>
        <v>0</v>
      </c>
      <c r="N127" s="875"/>
      <c r="O127" s="875"/>
      <c r="P127" s="875"/>
      <c r="Q127" s="877"/>
      <c r="R127" s="875"/>
      <c r="S127" s="875"/>
      <c r="T127" s="875"/>
      <c r="U127" s="876">
        <f t="shared" si="25"/>
        <v>202823.2</v>
      </c>
      <c r="V127" s="875">
        <f t="shared" si="25"/>
        <v>0</v>
      </c>
      <c r="W127" s="875">
        <f t="shared" si="22"/>
        <v>0</v>
      </c>
      <c r="X127" s="875">
        <f t="shared" si="22"/>
        <v>0</v>
      </c>
      <c r="Y127" s="877" t="s">
        <v>1322</v>
      </c>
      <c r="Z127" s="875">
        <f t="shared" si="23"/>
        <v>0</v>
      </c>
      <c r="AA127" s="875">
        <f t="shared" si="23"/>
        <v>202823.2</v>
      </c>
      <c r="AB127" s="875">
        <f t="shared" si="23"/>
        <v>0</v>
      </c>
      <c r="AC127" s="878"/>
    </row>
    <row r="128" spans="1:29" ht="34.15" customHeight="1" x14ac:dyDescent="0.2">
      <c r="A128" s="618" t="s">
        <v>1319</v>
      </c>
      <c r="B128" s="619" t="s">
        <v>747</v>
      </c>
      <c r="C128" s="620">
        <v>244</v>
      </c>
      <c r="D128" s="620">
        <v>225</v>
      </c>
      <c r="E128" s="596">
        <f t="shared" si="24"/>
        <v>219000</v>
      </c>
      <c r="F128" s="595">
        <f>'Прилож 4 24 (9)'!V130</f>
        <v>0</v>
      </c>
      <c r="G128" s="595">
        <f>'Прилож 4 24 (9)'!W130</f>
        <v>0</v>
      </c>
      <c r="H128" s="595">
        <f>'Прилож 4 24 (9)'!X130</f>
        <v>0</v>
      </c>
      <c r="I128" s="623" t="s">
        <v>1322</v>
      </c>
      <c r="J128" s="595">
        <f>'Прилож 4 24 (9)'!Z130</f>
        <v>0</v>
      </c>
      <c r="K128" s="595">
        <f>'Прилож 4 24 (9)'!AA130</f>
        <v>219000</v>
      </c>
      <c r="L128" s="595">
        <f>'Прилож 4 24 (9)'!AB130</f>
        <v>0</v>
      </c>
      <c r="M128" s="876">
        <f t="shared" si="21"/>
        <v>0</v>
      </c>
      <c r="N128" s="875"/>
      <c r="O128" s="875"/>
      <c r="P128" s="875"/>
      <c r="Q128" s="1050"/>
      <c r="S128" s="875"/>
      <c r="T128" s="875"/>
      <c r="U128" s="876">
        <f t="shared" si="25"/>
        <v>219000</v>
      </c>
      <c r="V128" s="875">
        <f t="shared" si="25"/>
        <v>0</v>
      </c>
      <c r="W128" s="875">
        <f t="shared" si="22"/>
        <v>0</v>
      </c>
      <c r="X128" s="875">
        <f t="shared" si="22"/>
        <v>0</v>
      </c>
      <c r="Y128" s="877" t="s">
        <v>1322</v>
      </c>
      <c r="Z128" s="875"/>
      <c r="AA128" s="875">
        <f>S128+K128</f>
        <v>219000</v>
      </c>
      <c r="AB128" s="875">
        <f>T128+L128</f>
        <v>0</v>
      </c>
      <c r="AC128" s="878"/>
    </row>
    <row r="129" spans="1:29" ht="47.25" x14ac:dyDescent="0.2">
      <c r="A129" s="618" t="s">
        <v>1320</v>
      </c>
      <c r="B129" s="619" t="s">
        <v>747</v>
      </c>
      <c r="C129" s="620">
        <v>244</v>
      </c>
      <c r="D129" s="620">
        <v>225</v>
      </c>
      <c r="E129" s="596">
        <f t="shared" si="24"/>
        <v>299000</v>
      </c>
      <c r="F129" s="595">
        <f>'Прилож 4 24 (9)'!V131</f>
        <v>0</v>
      </c>
      <c r="G129" s="595">
        <f>'Прилож 4 24 (9)'!W131</f>
        <v>0</v>
      </c>
      <c r="H129" s="595">
        <f>'Прилож 4 24 (9)'!X131</f>
        <v>0</v>
      </c>
      <c r="I129" s="623" t="s">
        <v>1322</v>
      </c>
      <c r="J129" s="595">
        <f>'Прилож 4 24 (9)'!Z131</f>
        <v>0</v>
      </c>
      <c r="K129" s="595">
        <f>'Прилож 4 24 (9)'!AA131</f>
        <v>299000</v>
      </c>
      <c r="L129" s="595">
        <f>'Прилож 4 24 (9)'!AB131</f>
        <v>0</v>
      </c>
      <c r="M129" s="876">
        <f t="shared" si="21"/>
        <v>0</v>
      </c>
      <c r="N129" s="875"/>
      <c r="O129" s="875"/>
      <c r="P129" s="875"/>
      <c r="Q129" s="1050"/>
      <c r="S129" s="875"/>
      <c r="T129" s="875"/>
      <c r="U129" s="876">
        <f t="shared" si="25"/>
        <v>299000</v>
      </c>
      <c r="V129" s="875">
        <f t="shared" si="25"/>
        <v>0</v>
      </c>
      <c r="W129" s="875">
        <f t="shared" si="22"/>
        <v>0</v>
      </c>
      <c r="X129" s="875">
        <f t="shared" si="22"/>
        <v>0</v>
      </c>
      <c r="Y129" s="877" t="s">
        <v>1322</v>
      </c>
      <c r="Z129" s="875"/>
      <c r="AA129" s="875">
        <f>S129+K129</f>
        <v>299000</v>
      </c>
      <c r="AB129" s="875">
        <f>T129+L129</f>
        <v>0</v>
      </c>
      <c r="AC129" s="878"/>
    </row>
    <row r="130" spans="1:29" ht="43.15" customHeight="1" x14ac:dyDescent="0.2">
      <c r="A130" s="618" t="s">
        <v>1481</v>
      </c>
      <c r="B130" s="619" t="s">
        <v>747</v>
      </c>
      <c r="C130" s="620">
        <v>244</v>
      </c>
      <c r="D130" s="620">
        <v>225</v>
      </c>
      <c r="E130" s="596">
        <f t="shared" si="24"/>
        <v>3157010.92</v>
      </c>
      <c r="F130" s="595">
        <f>'Прилож 4 24 (9)'!V132</f>
        <v>0</v>
      </c>
      <c r="G130" s="595">
        <f>'Прилож 4 24 (9)'!W132</f>
        <v>0</v>
      </c>
      <c r="H130" s="595">
        <f>'Прилож 4 24 (9)'!X132</f>
        <v>0</v>
      </c>
      <c r="I130" s="623" t="s">
        <v>1322</v>
      </c>
      <c r="J130" s="595">
        <f>'Прилож 4 24 (9)'!Z132</f>
        <v>0</v>
      </c>
      <c r="K130" s="595">
        <f>'Прилож 4 24 (9)'!AA132</f>
        <v>3157010.92</v>
      </c>
      <c r="L130" s="595">
        <f>'Прилож 4 24 (9)'!AB132</f>
        <v>0</v>
      </c>
      <c r="M130" s="876">
        <f t="shared" si="21"/>
        <v>0</v>
      </c>
      <c r="N130" s="875"/>
      <c r="O130" s="875"/>
      <c r="P130" s="875"/>
      <c r="Q130" s="623"/>
      <c r="R130" s="595"/>
      <c r="S130" s="595"/>
      <c r="T130" s="875"/>
      <c r="U130" s="876">
        <f t="shared" si="25"/>
        <v>3157010.92</v>
      </c>
      <c r="V130" s="875">
        <f t="shared" si="25"/>
        <v>0</v>
      </c>
      <c r="W130" s="875">
        <f t="shared" si="22"/>
        <v>0</v>
      </c>
      <c r="X130" s="875">
        <f t="shared" si="22"/>
        <v>0</v>
      </c>
      <c r="Y130" s="877" t="s">
        <v>1322</v>
      </c>
      <c r="Z130" s="875"/>
      <c r="AA130" s="875">
        <f t="shared" ref="AA130:AB159" si="26">S130+K130</f>
        <v>3157010.92</v>
      </c>
      <c r="AB130" s="875"/>
      <c r="AC130" s="1003"/>
    </row>
    <row r="131" spans="1:29" ht="31.5" x14ac:dyDescent="0.2">
      <c r="A131" s="618" t="s">
        <v>1318</v>
      </c>
      <c r="B131" s="619" t="s">
        <v>747</v>
      </c>
      <c r="C131" s="620">
        <v>244</v>
      </c>
      <c r="D131" s="620">
        <v>225</v>
      </c>
      <c r="E131" s="596">
        <f t="shared" si="24"/>
        <v>252769.2</v>
      </c>
      <c r="F131" s="595">
        <f>'Прилож 4 24 (9)'!V133</f>
        <v>0</v>
      </c>
      <c r="G131" s="595">
        <f>'Прилож 4 24 (9)'!W133</f>
        <v>0</v>
      </c>
      <c r="H131" s="595">
        <f>'Прилож 4 24 (9)'!X133</f>
        <v>0</v>
      </c>
      <c r="I131" s="1051">
        <v>963324045</v>
      </c>
      <c r="J131" s="595">
        <f>'Прилож 4 24 (9)'!Z133</f>
        <v>0</v>
      </c>
      <c r="K131" s="595">
        <f>'Прилож 4 24 (9)'!AA133</f>
        <v>252769.2</v>
      </c>
      <c r="L131" s="595">
        <f>'Прилож 4 24 (9)'!AB133</f>
        <v>0</v>
      </c>
      <c r="M131" s="876">
        <f t="shared" si="21"/>
        <v>0</v>
      </c>
      <c r="N131" s="875"/>
      <c r="O131" s="875"/>
      <c r="P131" s="875"/>
      <c r="Q131" s="623"/>
      <c r="R131" s="595"/>
      <c r="S131" s="875"/>
      <c r="T131" s="875"/>
      <c r="U131" s="876">
        <f t="shared" si="25"/>
        <v>252769.2</v>
      </c>
      <c r="V131" s="875">
        <f t="shared" si="25"/>
        <v>0</v>
      </c>
      <c r="W131" s="875">
        <f t="shared" si="22"/>
        <v>0</v>
      </c>
      <c r="X131" s="875">
        <f t="shared" si="22"/>
        <v>0</v>
      </c>
      <c r="Y131" s="877" t="s">
        <v>1322</v>
      </c>
      <c r="Z131" s="875"/>
      <c r="AA131" s="875">
        <f t="shared" si="26"/>
        <v>252769.2</v>
      </c>
      <c r="AB131" s="875"/>
      <c r="AC131" s="878"/>
    </row>
    <row r="132" spans="1:29" ht="47.25" x14ac:dyDescent="0.2">
      <c r="A132" s="618" t="s">
        <v>1513</v>
      </c>
      <c r="B132" s="619" t="s">
        <v>747</v>
      </c>
      <c r="C132" s="620">
        <v>244</v>
      </c>
      <c r="D132" s="620">
        <v>225</v>
      </c>
      <c r="E132" s="596">
        <f t="shared" si="24"/>
        <v>11553.7</v>
      </c>
      <c r="F132" s="595">
        <f>'Прилож 4 24 (9)'!V134</f>
        <v>0</v>
      </c>
      <c r="G132" s="595">
        <f>'Прилож 4 24 (9)'!W134</f>
        <v>0</v>
      </c>
      <c r="H132" s="595">
        <f>'Прилож 4 24 (9)'!X134</f>
        <v>11553.7</v>
      </c>
      <c r="I132" s="1051"/>
      <c r="J132" s="595">
        <f>'Прилож 4 24 (9)'!Z134</f>
        <v>0</v>
      </c>
      <c r="K132" s="595">
        <f>'Прилож 4 24 (9)'!AA134</f>
        <v>0</v>
      </c>
      <c r="L132" s="595">
        <f>'Прилож 4 24 (9)'!AB134</f>
        <v>0</v>
      </c>
      <c r="M132" s="876">
        <f t="shared" si="21"/>
        <v>0</v>
      </c>
      <c r="N132" s="875"/>
      <c r="O132" s="875"/>
      <c r="P132" s="875"/>
      <c r="Q132" s="623"/>
      <c r="S132" s="875"/>
      <c r="T132" s="875"/>
      <c r="U132" s="876">
        <f t="shared" si="25"/>
        <v>11553.7</v>
      </c>
      <c r="V132" s="875">
        <f t="shared" si="25"/>
        <v>0</v>
      </c>
      <c r="W132" s="875">
        <f t="shared" si="22"/>
        <v>0</v>
      </c>
      <c r="X132" s="875">
        <f t="shared" si="22"/>
        <v>11553.7</v>
      </c>
      <c r="Y132" s="877"/>
      <c r="Z132" s="875"/>
      <c r="AA132" s="875">
        <f t="shared" si="26"/>
        <v>0</v>
      </c>
      <c r="AB132" s="875"/>
      <c r="AC132" s="878"/>
    </row>
    <row r="133" spans="1:29" s="637" customFormat="1" ht="27.75" customHeight="1" x14ac:dyDescent="0.2">
      <c r="A133" s="632" t="s">
        <v>1143</v>
      </c>
      <c r="B133" s="633" t="s">
        <v>747</v>
      </c>
      <c r="C133" s="634">
        <v>244</v>
      </c>
      <c r="D133" s="634">
        <v>225</v>
      </c>
      <c r="E133" s="596">
        <f t="shared" si="24"/>
        <v>4481422.0599999996</v>
      </c>
      <c r="F133" s="595">
        <f>'Прилож 4 24 (9)'!V135</f>
        <v>0</v>
      </c>
      <c r="G133" s="595">
        <f>'Прилож 4 24 (9)'!W135</f>
        <v>0</v>
      </c>
      <c r="H133" s="595">
        <f>'Прилож 4 24 (9)'!X135</f>
        <v>350818.74</v>
      </c>
      <c r="I133" s="635"/>
      <c r="J133" s="595">
        <f>'Прилож 4 24 (9)'!Z135</f>
        <v>0</v>
      </c>
      <c r="K133" s="595">
        <f>'Прилож 4 24 (9)'!AA135</f>
        <v>4130603.32</v>
      </c>
      <c r="L133" s="595">
        <f>'Прилож 4 24 (9)'!AB135</f>
        <v>0</v>
      </c>
      <c r="M133" s="876">
        <f t="shared" si="21"/>
        <v>-4782.33</v>
      </c>
      <c r="N133" s="884">
        <f>SUM(N108:N129)</f>
        <v>0</v>
      </c>
      <c r="O133" s="884"/>
      <c r="P133" s="884">
        <f>SUM(P108:P132)</f>
        <v>-4782.33</v>
      </c>
      <c r="Q133" s="885"/>
      <c r="R133" s="884"/>
      <c r="S133" s="884">
        <f>SUM(S108:S131)</f>
        <v>0</v>
      </c>
      <c r="T133" s="884"/>
      <c r="U133" s="876">
        <f t="shared" si="25"/>
        <v>4476639.7299999995</v>
      </c>
      <c r="V133" s="875">
        <f t="shared" si="25"/>
        <v>0</v>
      </c>
      <c r="W133" s="875">
        <f t="shared" si="22"/>
        <v>0</v>
      </c>
      <c r="X133" s="875">
        <f t="shared" si="22"/>
        <v>346036.41</v>
      </c>
      <c r="Y133" s="885"/>
      <c r="Z133" s="875">
        <f t="shared" ref="Z133:Z159" si="27">R133+J133</f>
        <v>0</v>
      </c>
      <c r="AA133" s="875">
        <f t="shared" si="26"/>
        <v>4130603.32</v>
      </c>
      <c r="AB133" s="875">
        <f t="shared" si="26"/>
        <v>0</v>
      </c>
      <c r="AC133" s="886"/>
    </row>
    <row r="134" spans="1:29" ht="66.75" customHeight="1" x14ac:dyDescent="0.2">
      <c r="A134" s="618" t="s">
        <v>1188</v>
      </c>
      <c r="B134" s="619" t="s">
        <v>729</v>
      </c>
      <c r="C134" s="620">
        <v>244</v>
      </c>
      <c r="D134" s="620">
        <v>225</v>
      </c>
      <c r="E134" s="596">
        <f t="shared" si="24"/>
        <v>50400</v>
      </c>
      <c r="F134" s="595">
        <f>'Прилож 4 24 (9)'!V136</f>
        <v>0</v>
      </c>
      <c r="G134" s="595">
        <f>'Прилож 4 24 (9)'!W136</f>
        <v>0</v>
      </c>
      <c r="H134" s="595">
        <f>'Прилож 4 24 (9)'!X136</f>
        <v>50400</v>
      </c>
      <c r="I134" s="628"/>
      <c r="J134" s="595">
        <f>'Прилож 4 24 (9)'!Z136</f>
        <v>0</v>
      </c>
      <c r="K134" s="595">
        <f>'Прилож 4 24 (9)'!AA136</f>
        <v>0</v>
      </c>
      <c r="L134" s="595">
        <f>'Прилож 4 24 (9)'!AB136</f>
        <v>0</v>
      </c>
      <c r="M134" s="876">
        <f t="shared" si="21"/>
        <v>0</v>
      </c>
      <c r="N134" s="875"/>
      <c r="O134" s="875"/>
      <c r="P134" s="875"/>
      <c r="Q134" s="877"/>
      <c r="R134" s="875"/>
      <c r="S134" s="875"/>
      <c r="T134" s="875"/>
      <c r="U134" s="876">
        <f t="shared" si="25"/>
        <v>50400</v>
      </c>
      <c r="V134" s="875">
        <f t="shared" si="25"/>
        <v>0</v>
      </c>
      <c r="W134" s="875">
        <f t="shared" si="22"/>
        <v>0</v>
      </c>
      <c r="X134" s="875">
        <f t="shared" si="22"/>
        <v>50400</v>
      </c>
      <c r="Y134" s="883"/>
      <c r="Z134" s="875">
        <f t="shared" si="27"/>
        <v>0</v>
      </c>
      <c r="AA134" s="875">
        <f t="shared" si="26"/>
        <v>0</v>
      </c>
      <c r="AB134" s="875">
        <f t="shared" si="26"/>
        <v>0</v>
      </c>
      <c r="AC134" s="878"/>
    </row>
    <row r="135" spans="1:29" x14ac:dyDescent="0.2">
      <c r="A135" s="618" t="s">
        <v>1193</v>
      </c>
      <c r="B135" s="619" t="s">
        <v>729</v>
      </c>
      <c r="C135" s="620">
        <v>244</v>
      </c>
      <c r="D135" s="620">
        <v>225</v>
      </c>
      <c r="E135" s="596">
        <f t="shared" si="24"/>
        <v>73152</v>
      </c>
      <c r="F135" s="595">
        <f>'Прилож 4 24 (9)'!V137</f>
        <v>0</v>
      </c>
      <c r="G135" s="595">
        <f>'Прилож 4 24 (9)'!W137</f>
        <v>0</v>
      </c>
      <c r="H135" s="595">
        <f>'Прилож 4 24 (9)'!X137</f>
        <v>73152</v>
      </c>
      <c r="I135" s="628"/>
      <c r="J135" s="595">
        <f>'Прилож 4 24 (9)'!Z137</f>
        <v>0</v>
      </c>
      <c r="K135" s="595">
        <f>'Прилож 4 24 (9)'!AA137</f>
        <v>0</v>
      </c>
      <c r="L135" s="595">
        <f>'Прилож 4 24 (9)'!AB137</f>
        <v>0</v>
      </c>
      <c r="M135" s="876">
        <f t="shared" si="21"/>
        <v>0</v>
      </c>
      <c r="N135" s="875"/>
      <c r="O135" s="875"/>
      <c r="P135" s="875"/>
      <c r="Q135" s="877"/>
      <c r="R135" s="875"/>
      <c r="S135" s="875"/>
      <c r="T135" s="875"/>
      <c r="U135" s="876">
        <f t="shared" si="25"/>
        <v>73152</v>
      </c>
      <c r="V135" s="875">
        <f t="shared" si="25"/>
        <v>0</v>
      </c>
      <c r="W135" s="875">
        <f t="shared" si="22"/>
        <v>0</v>
      </c>
      <c r="X135" s="875">
        <f t="shared" si="22"/>
        <v>73152</v>
      </c>
      <c r="Y135" s="883"/>
      <c r="Z135" s="875">
        <f t="shared" si="27"/>
        <v>0</v>
      </c>
      <c r="AA135" s="875">
        <f t="shared" si="26"/>
        <v>0</v>
      </c>
      <c r="AB135" s="875">
        <f t="shared" si="26"/>
        <v>0</v>
      </c>
      <c r="AC135" s="878"/>
    </row>
    <row r="136" spans="1:29" ht="36.75" customHeight="1" x14ac:dyDescent="0.2">
      <c r="A136" s="618" t="s">
        <v>1192</v>
      </c>
      <c r="B136" s="619" t="s">
        <v>729</v>
      </c>
      <c r="C136" s="620">
        <v>244</v>
      </c>
      <c r="D136" s="620">
        <v>225</v>
      </c>
      <c r="E136" s="596">
        <f t="shared" si="24"/>
        <v>3859</v>
      </c>
      <c r="F136" s="595">
        <f>'Прилож 4 24 (9)'!V138</f>
        <v>0</v>
      </c>
      <c r="G136" s="595">
        <f>'Прилож 4 24 (9)'!W138</f>
        <v>0</v>
      </c>
      <c r="H136" s="595">
        <f>'Прилож 4 24 (9)'!X138</f>
        <v>3859</v>
      </c>
      <c r="I136" s="628"/>
      <c r="J136" s="595">
        <f>'Прилож 4 24 (9)'!Z138</f>
        <v>0</v>
      </c>
      <c r="K136" s="595">
        <f>'Прилож 4 24 (9)'!AA138</f>
        <v>0</v>
      </c>
      <c r="L136" s="595">
        <f>'Прилож 4 24 (9)'!AB138</f>
        <v>0</v>
      </c>
      <c r="M136" s="876">
        <f t="shared" si="21"/>
        <v>0</v>
      </c>
      <c r="N136" s="875"/>
      <c r="O136" s="875"/>
      <c r="P136" s="875"/>
      <c r="Q136" s="877"/>
      <c r="R136" s="875"/>
      <c r="S136" s="875"/>
      <c r="T136" s="875"/>
      <c r="U136" s="876">
        <f t="shared" si="25"/>
        <v>3859</v>
      </c>
      <c r="V136" s="875">
        <f t="shared" si="25"/>
        <v>0</v>
      </c>
      <c r="W136" s="875">
        <f t="shared" si="22"/>
        <v>0</v>
      </c>
      <c r="X136" s="875">
        <f t="shared" si="22"/>
        <v>3859</v>
      </c>
      <c r="Y136" s="883"/>
      <c r="Z136" s="875">
        <f t="shared" si="27"/>
        <v>0</v>
      </c>
      <c r="AA136" s="875">
        <f t="shared" si="26"/>
        <v>0</v>
      </c>
      <c r="AB136" s="875">
        <f t="shared" si="26"/>
        <v>0</v>
      </c>
      <c r="AC136" s="878"/>
    </row>
    <row r="137" spans="1:29" ht="31.5" x14ac:dyDescent="0.2">
      <c r="A137" s="618" t="s">
        <v>1186</v>
      </c>
      <c r="B137" s="619" t="s">
        <v>729</v>
      </c>
      <c r="C137" s="620">
        <v>244</v>
      </c>
      <c r="D137" s="620">
        <v>225</v>
      </c>
      <c r="E137" s="596">
        <f t="shared" si="24"/>
        <v>23457.360000000001</v>
      </c>
      <c r="F137" s="595">
        <f>'Прилож 4 24 (9)'!V139</f>
        <v>0</v>
      </c>
      <c r="G137" s="595">
        <f>'Прилож 4 24 (9)'!W139</f>
        <v>0</v>
      </c>
      <c r="H137" s="595">
        <f>'Прилож 4 24 (9)'!X139</f>
        <v>23457.360000000001</v>
      </c>
      <c r="I137" s="628"/>
      <c r="J137" s="595">
        <f>'Прилож 4 24 (9)'!Z139</f>
        <v>0</v>
      </c>
      <c r="K137" s="595">
        <f>'Прилож 4 24 (9)'!AA139</f>
        <v>0</v>
      </c>
      <c r="L137" s="595">
        <f>'Прилож 4 24 (9)'!AB139</f>
        <v>0</v>
      </c>
      <c r="M137" s="876">
        <f t="shared" si="21"/>
        <v>0</v>
      </c>
      <c r="N137" s="875"/>
      <c r="O137" s="875"/>
      <c r="P137" s="875"/>
      <c r="Q137" s="877"/>
      <c r="R137" s="875"/>
      <c r="S137" s="875"/>
      <c r="T137" s="875"/>
      <c r="U137" s="876">
        <f t="shared" si="25"/>
        <v>23457.360000000001</v>
      </c>
      <c r="V137" s="875">
        <f t="shared" si="25"/>
        <v>0</v>
      </c>
      <c r="W137" s="875">
        <f t="shared" si="22"/>
        <v>0</v>
      </c>
      <c r="X137" s="875">
        <f t="shared" si="22"/>
        <v>23457.360000000001</v>
      </c>
      <c r="Y137" s="883"/>
      <c r="Z137" s="875">
        <f t="shared" si="27"/>
        <v>0</v>
      </c>
      <c r="AA137" s="875">
        <f t="shared" si="26"/>
        <v>0</v>
      </c>
      <c r="AB137" s="875">
        <f t="shared" si="26"/>
        <v>0</v>
      </c>
      <c r="AC137" s="878"/>
    </row>
    <row r="138" spans="1:29" ht="55.5" customHeight="1" x14ac:dyDescent="0.2">
      <c r="A138" s="618" t="s">
        <v>148</v>
      </c>
      <c r="B138" s="619" t="s">
        <v>729</v>
      </c>
      <c r="C138" s="620">
        <v>244</v>
      </c>
      <c r="D138" s="620">
        <v>225</v>
      </c>
      <c r="E138" s="596">
        <f t="shared" si="24"/>
        <v>4000</v>
      </c>
      <c r="F138" s="595">
        <f>'Прилож 4 24 (9)'!V140</f>
        <v>0</v>
      </c>
      <c r="G138" s="595">
        <f>'Прилож 4 24 (9)'!W140</f>
        <v>0</v>
      </c>
      <c r="H138" s="595">
        <f>'Прилож 4 24 (9)'!X140</f>
        <v>4000</v>
      </c>
      <c r="I138" s="628"/>
      <c r="J138" s="595">
        <f>'Прилож 4 24 (9)'!Z140</f>
        <v>0</v>
      </c>
      <c r="K138" s="595">
        <f>'Прилож 4 24 (9)'!AA140</f>
        <v>0</v>
      </c>
      <c r="L138" s="595">
        <f>'Прилож 4 24 (9)'!AB140</f>
        <v>0</v>
      </c>
      <c r="M138" s="876">
        <f t="shared" si="21"/>
        <v>0</v>
      </c>
      <c r="N138" s="875"/>
      <c r="O138" s="875"/>
      <c r="P138" s="875"/>
      <c r="Q138" s="877"/>
      <c r="R138" s="875"/>
      <c r="S138" s="875"/>
      <c r="T138" s="875"/>
      <c r="U138" s="876">
        <f t="shared" si="25"/>
        <v>4000</v>
      </c>
      <c r="V138" s="875">
        <f t="shared" si="25"/>
        <v>0</v>
      </c>
      <c r="W138" s="875">
        <f t="shared" si="22"/>
        <v>0</v>
      </c>
      <c r="X138" s="875">
        <f t="shared" si="22"/>
        <v>4000</v>
      </c>
      <c r="Y138" s="883"/>
      <c r="Z138" s="875">
        <f t="shared" si="27"/>
        <v>0</v>
      </c>
      <c r="AA138" s="875">
        <f t="shared" si="26"/>
        <v>0</v>
      </c>
      <c r="AB138" s="875">
        <f t="shared" si="26"/>
        <v>0</v>
      </c>
      <c r="AC138" s="878"/>
    </row>
    <row r="139" spans="1:29" x14ac:dyDescent="0.2">
      <c r="A139" s="618" t="s">
        <v>627</v>
      </c>
      <c r="B139" s="619" t="s">
        <v>729</v>
      </c>
      <c r="C139" s="620">
        <v>244</v>
      </c>
      <c r="D139" s="620">
        <v>225</v>
      </c>
      <c r="E139" s="596">
        <f t="shared" si="24"/>
        <v>126092.16</v>
      </c>
      <c r="F139" s="595">
        <f>'Прилож 4 24 (9)'!V141</f>
        <v>0</v>
      </c>
      <c r="G139" s="595">
        <f>'Прилож 4 24 (9)'!W141</f>
        <v>0</v>
      </c>
      <c r="H139" s="595">
        <f>'Прилож 4 24 (9)'!X141</f>
        <v>126092.16</v>
      </c>
      <c r="I139" s="628"/>
      <c r="J139" s="595">
        <f>'Прилож 4 24 (9)'!Z141</f>
        <v>0</v>
      </c>
      <c r="K139" s="595">
        <f>'Прилож 4 24 (9)'!AA141</f>
        <v>0</v>
      </c>
      <c r="L139" s="595">
        <f>'Прилож 4 24 (9)'!AB141</f>
        <v>0</v>
      </c>
      <c r="M139" s="876">
        <f t="shared" si="21"/>
        <v>0</v>
      </c>
      <c r="N139" s="875"/>
      <c r="O139" s="875"/>
      <c r="P139" s="875"/>
      <c r="Q139" s="877"/>
      <c r="R139" s="875"/>
      <c r="S139" s="875"/>
      <c r="T139" s="875"/>
      <c r="U139" s="876">
        <f t="shared" si="25"/>
        <v>126092.16</v>
      </c>
      <c r="V139" s="875">
        <f t="shared" si="25"/>
        <v>0</v>
      </c>
      <c r="W139" s="875">
        <f t="shared" si="22"/>
        <v>0</v>
      </c>
      <c r="X139" s="875">
        <f t="shared" si="22"/>
        <v>126092.16</v>
      </c>
      <c r="Y139" s="883"/>
      <c r="Z139" s="875">
        <f t="shared" si="27"/>
        <v>0</v>
      </c>
      <c r="AA139" s="875">
        <f t="shared" si="26"/>
        <v>0</v>
      </c>
      <c r="AB139" s="875">
        <f t="shared" si="26"/>
        <v>0</v>
      </c>
      <c r="AC139" s="878"/>
    </row>
    <row r="140" spans="1:29" ht="34.5" customHeight="1" x14ac:dyDescent="0.2">
      <c r="A140" s="618" t="s">
        <v>759</v>
      </c>
      <c r="B140" s="619" t="s">
        <v>729</v>
      </c>
      <c r="C140" s="620">
        <v>244</v>
      </c>
      <c r="D140" s="620">
        <v>225</v>
      </c>
      <c r="E140" s="596">
        <f t="shared" si="24"/>
        <v>0</v>
      </c>
      <c r="F140" s="595">
        <f>'Прилож 4 24 (9)'!V142</f>
        <v>0</v>
      </c>
      <c r="G140" s="595">
        <f>'Прилож 4 24 (9)'!W142</f>
        <v>0</v>
      </c>
      <c r="H140" s="595">
        <f>'Прилож 4 24 (9)'!X142</f>
        <v>0</v>
      </c>
      <c r="I140" s="628"/>
      <c r="J140" s="595">
        <f>'Прилож 4 24 (9)'!Z142</f>
        <v>0</v>
      </c>
      <c r="K140" s="595">
        <f>'Прилож 4 24 (9)'!AA142</f>
        <v>0</v>
      </c>
      <c r="L140" s="595">
        <f>'Прилож 4 24 (9)'!AB142</f>
        <v>0</v>
      </c>
      <c r="M140" s="876">
        <f t="shared" si="21"/>
        <v>0</v>
      </c>
      <c r="N140" s="875"/>
      <c r="O140" s="875"/>
      <c r="P140" s="875"/>
      <c r="Q140" s="877"/>
      <c r="R140" s="875"/>
      <c r="S140" s="875"/>
      <c r="T140" s="875"/>
      <c r="U140" s="876">
        <f t="shared" si="25"/>
        <v>0</v>
      </c>
      <c r="V140" s="875">
        <f t="shared" si="25"/>
        <v>0</v>
      </c>
      <c r="W140" s="875">
        <f t="shared" si="22"/>
        <v>0</v>
      </c>
      <c r="X140" s="875">
        <f t="shared" si="22"/>
        <v>0</v>
      </c>
      <c r="Y140" s="883"/>
      <c r="Z140" s="875">
        <f t="shared" si="27"/>
        <v>0</v>
      </c>
      <c r="AA140" s="875">
        <f t="shared" si="26"/>
        <v>0</v>
      </c>
      <c r="AB140" s="875">
        <f t="shared" si="26"/>
        <v>0</v>
      </c>
      <c r="AC140" s="878"/>
    </row>
    <row r="141" spans="1:29" ht="28.5" customHeight="1" x14ac:dyDescent="0.2">
      <c r="A141" s="618" t="s">
        <v>143</v>
      </c>
      <c r="B141" s="619" t="s">
        <v>729</v>
      </c>
      <c r="C141" s="620">
        <v>244</v>
      </c>
      <c r="D141" s="620">
        <v>225</v>
      </c>
      <c r="E141" s="596">
        <f t="shared" si="24"/>
        <v>43576.47</v>
      </c>
      <c r="F141" s="595">
        <f>'Прилож 4 24 (9)'!V143</f>
        <v>0</v>
      </c>
      <c r="G141" s="595">
        <f>'Прилож 4 24 (9)'!W143</f>
        <v>0</v>
      </c>
      <c r="H141" s="595">
        <f>'Прилож 4 24 (9)'!X143</f>
        <v>43576.47</v>
      </c>
      <c r="I141" s="628"/>
      <c r="J141" s="595">
        <f>'Прилож 4 24 (9)'!Z143</f>
        <v>0</v>
      </c>
      <c r="K141" s="595">
        <f>'Прилож 4 24 (9)'!AA143</f>
        <v>0</v>
      </c>
      <c r="L141" s="595">
        <f>'Прилож 4 24 (9)'!AB143</f>
        <v>0</v>
      </c>
      <c r="M141" s="876">
        <f t="shared" si="21"/>
        <v>0</v>
      </c>
      <c r="N141" s="875"/>
      <c r="O141" s="875"/>
      <c r="P141" s="875"/>
      <c r="Q141" s="877"/>
      <c r="R141" s="875"/>
      <c r="S141" s="875"/>
      <c r="T141" s="875"/>
      <c r="U141" s="876">
        <f t="shared" si="25"/>
        <v>43576.47</v>
      </c>
      <c r="V141" s="875">
        <f t="shared" si="25"/>
        <v>0</v>
      </c>
      <c r="W141" s="875">
        <f t="shared" si="22"/>
        <v>0</v>
      </c>
      <c r="X141" s="875">
        <f t="shared" si="22"/>
        <v>43576.47</v>
      </c>
      <c r="Y141" s="883"/>
      <c r="Z141" s="875">
        <f t="shared" si="27"/>
        <v>0</v>
      </c>
      <c r="AA141" s="875">
        <f t="shared" si="26"/>
        <v>0</v>
      </c>
      <c r="AB141" s="875">
        <f t="shared" si="26"/>
        <v>0</v>
      </c>
      <c r="AC141" s="878"/>
    </row>
    <row r="142" spans="1:29" ht="39" customHeight="1" x14ac:dyDescent="0.2">
      <c r="A142" s="618" t="s">
        <v>635</v>
      </c>
      <c r="B142" s="619" t="s">
        <v>729</v>
      </c>
      <c r="C142" s="620">
        <v>244</v>
      </c>
      <c r="D142" s="620">
        <v>225</v>
      </c>
      <c r="E142" s="596">
        <f t="shared" si="24"/>
        <v>77251.399999999994</v>
      </c>
      <c r="F142" s="595">
        <f>'Прилож 4 24 (9)'!V144</f>
        <v>0</v>
      </c>
      <c r="G142" s="595">
        <f>'Прилож 4 24 (9)'!W144</f>
        <v>0</v>
      </c>
      <c r="H142" s="595">
        <f>'Прилож 4 24 (9)'!X144</f>
        <v>77251.399999999994</v>
      </c>
      <c r="I142" s="628"/>
      <c r="J142" s="595">
        <f>'Прилож 4 24 (9)'!Z144</f>
        <v>0</v>
      </c>
      <c r="K142" s="595">
        <f>'Прилож 4 24 (9)'!AA144</f>
        <v>0</v>
      </c>
      <c r="L142" s="595">
        <f>'Прилож 4 24 (9)'!AB144</f>
        <v>0</v>
      </c>
      <c r="M142" s="876">
        <f t="shared" si="21"/>
        <v>0</v>
      </c>
      <c r="N142" s="875"/>
      <c r="O142" s="875"/>
      <c r="P142" s="875"/>
      <c r="Q142" s="877"/>
      <c r="R142" s="875"/>
      <c r="S142" s="875"/>
      <c r="T142" s="875"/>
      <c r="U142" s="876">
        <f t="shared" si="25"/>
        <v>77251.399999999994</v>
      </c>
      <c r="V142" s="875">
        <f t="shared" si="25"/>
        <v>0</v>
      </c>
      <c r="W142" s="875">
        <f t="shared" si="22"/>
        <v>0</v>
      </c>
      <c r="X142" s="875">
        <f t="shared" si="22"/>
        <v>77251.399999999994</v>
      </c>
      <c r="Y142" s="883"/>
      <c r="Z142" s="875">
        <f t="shared" si="27"/>
        <v>0</v>
      </c>
      <c r="AA142" s="875">
        <f t="shared" si="26"/>
        <v>0</v>
      </c>
      <c r="AB142" s="875">
        <f t="shared" si="26"/>
        <v>0</v>
      </c>
      <c r="AC142" s="878"/>
    </row>
    <row r="143" spans="1:29" ht="36.75" customHeight="1" x14ac:dyDescent="0.2">
      <c r="A143" s="618" t="s">
        <v>951</v>
      </c>
      <c r="B143" s="619" t="s">
        <v>729</v>
      </c>
      <c r="C143" s="620">
        <v>244</v>
      </c>
      <c r="D143" s="620">
        <v>225</v>
      </c>
      <c r="E143" s="596">
        <f t="shared" si="24"/>
        <v>57562.89</v>
      </c>
      <c r="F143" s="595">
        <f>'Прилож 4 24 (9)'!V145</f>
        <v>0</v>
      </c>
      <c r="G143" s="595">
        <f>'Прилож 4 24 (9)'!W145</f>
        <v>0</v>
      </c>
      <c r="H143" s="595">
        <f>'Прилож 4 24 (9)'!X145</f>
        <v>57562.89</v>
      </c>
      <c r="I143" s="628"/>
      <c r="J143" s="595">
        <f>'Прилож 4 24 (9)'!Z145</f>
        <v>0</v>
      </c>
      <c r="K143" s="595">
        <f>'Прилож 4 24 (9)'!AA145</f>
        <v>0</v>
      </c>
      <c r="L143" s="595">
        <f>'Прилож 4 24 (9)'!AB145</f>
        <v>0</v>
      </c>
      <c r="M143" s="876">
        <f t="shared" si="21"/>
        <v>-20562.89</v>
      </c>
      <c r="N143" s="875"/>
      <c r="O143" s="875"/>
      <c r="P143" s="875">
        <v>-20562.89</v>
      </c>
      <c r="Q143" s="877"/>
      <c r="R143" s="875"/>
      <c r="S143" s="875"/>
      <c r="T143" s="875"/>
      <c r="U143" s="876">
        <f t="shared" si="25"/>
        <v>37000</v>
      </c>
      <c r="V143" s="875">
        <f t="shared" si="25"/>
        <v>0</v>
      </c>
      <c r="W143" s="875">
        <f t="shared" si="22"/>
        <v>0</v>
      </c>
      <c r="X143" s="875">
        <f t="shared" si="22"/>
        <v>37000</v>
      </c>
      <c r="Y143" s="883"/>
      <c r="Z143" s="875">
        <f t="shared" si="27"/>
        <v>0</v>
      </c>
      <c r="AA143" s="875">
        <f t="shared" si="26"/>
        <v>0</v>
      </c>
      <c r="AB143" s="875"/>
      <c r="AC143" s="878" t="s">
        <v>1665</v>
      </c>
    </row>
    <row r="144" spans="1:29" ht="34.5" customHeight="1" x14ac:dyDescent="0.2">
      <c r="A144" s="618" t="s">
        <v>150</v>
      </c>
      <c r="B144" s="619" t="s">
        <v>729</v>
      </c>
      <c r="C144" s="620">
        <v>244</v>
      </c>
      <c r="D144" s="620">
        <v>225</v>
      </c>
      <c r="E144" s="596">
        <f t="shared" si="24"/>
        <v>0</v>
      </c>
      <c r="F144" s="595">
        <f>'Прилож 4 24 (9)'!V146</f>
        <v>0</v>
      </c>
      <c r="G144" s="595">
        <f>'Прилож 4 24 (9)'!W146</f>
        <v>0</v>
      </c>
      <c r="H144" s="595">
        <f>'Прилож 4 24 (9)'!X146</f>
        <v>0</v>
      </c>
      <c r="I144" s="628"/>
      <c r="J144" s="595">
        <f>'Прилож 4 24 (9)'!Z146</f>
        <v>0</v>
      </c>
      <c r="K144" s="595">
        <f>'Прилож 4 24 (9)'!AA146</f>
        <v>0</v>
      </c>
      <c r="L144" s="595">
        <f>'Прилож 4 24 (9)'!AB146</f>
        <v>0</v>
      </c>
      <c r="M144" s="876">
        <f t="shared" si="21"/>
        <v>0</v>
      </c>
      <c r="N144" s="875"/>
      <c r="O144" s="875"/>
      <c r="P144" s="875"/>
      <c r="Q144" s="877"/>
      <c r="R144" s="875"/>
      <c r="S144" s="875"/>
      <c r="T144" s="875"/>
      <c r="U144" s="876">
        <f t="shared" si="25"/>
        <v>0</v>
      </c>
      <c r="V144" s="875">
        <f t="shared" si="25"/>
        <v>0</v>
      </c>
      <c r="W144" s="875">
        <f t="shared" si="22"/>
        <v>0</v>
      </c>
      <c r="X144" s="875">
        <f t="shared" si="22"/>
        <v>0</v>
      </c>
      <c r="Y144" s="883"/>
      <c r="Z144" s="875">
        <f t="shared" si="27"/>
        <v>0</v>
      </c>
      <c r="AA144" s="875">
        <f t="shared" si="26"/>
        <v>0</v>
      </c>
      <c r="AB144" s="875">
        <f t="shared" si="26"/>
        <v>0</v>
      </c>
      <c r="AC144" s="878"/>
    </row>
    <row r="145" spans="1:29" ht="41.25" customHeight="1" x14ac:dyDescent="0.2">
      <c r="A145" s="618" t="s">
        <v>952</v>
      </c>
      <c r="B145" s="619" t="s">
        <v>729</v>
      </c>
      <c r="C145" s="620">
        <v>244</v>
      </c>
      <c r="D145" s="620">
        <v>225</v>
      </c>
      <c r="E145" s="596">
        <f t="shared" si="24"/>
        <v>21188</v>
      </c>
      <c r="F145" s="595">
        <f>'Прилож 4 24 (9)'!V147</f>
        <v>0</v>
      </c>
      <c r="G145" s="595">
        <f>'Прилож 4 24 (9)'!W147</f>
        <v>0</v>
      </c>
      <c r="H145" s="595">
        <f>'Прилож 4 24 (9)'!X147</f>
        <v>21188</v>
      </c>
      <c r="I145" s="628"/>
      <c r="J145" s="595">
        <f>'Прилож 4 24 (9)'!Z147</f>
        <v>0</v>
      </c>
      <c r="K145" s="595">
        <f>'Прилож 4 24 (9)'!AA147</f>
        <v>0</v>
      </c>
      <c r="L145" s="595">
        <f>'Прилож 4 24 (9)'!AB147</f>
        <v>0</v>
      </c>
      <c r="M145" s="876">
        <f t="shared" si="21"/>
        <v>0</v>
      </c>
      <c r="N145" s="875"/>
      <c r="O145" s="875"/>
      <c r="P145" s="875"/>
      <c r="Q145" s="877"/>
      <c r="R145" s="875"/>
      <c r="S145" s="875"/>
      <c r="T145" s="875"/>
      <c r="U145" s="876">
        <f t="shared" si="25"/>
        <v>21188</v>
      </c>
      <c r="V145" s="875">
        <f t="shared" si="25"/>
        <v>0</v>
      </c>
      <c r="W145" s="875">
        <f t="shared" si="22"/>
        <v>0</v>
      </c>
      <c r="X145" s="875">
        <f t="shared" si="22"/>
        <v>21188</v>
      </c>
      <c r="Y145" s="883"/>
      <c r="Z145" s="875">
        <f t="shared" si="27"/>
        <v>0</v>
      </c>
      <c r="AA145" s="875">
        <f t="shared" si="26"/>
        <v>0</v>
      </c>
      <c r="AB145" s="875">
        <f t="shared" si="26"/>
        <v>0</v>
      </c>
      <c r="AC145" s="878"/>
    </row>
    <row r="146" spans="1:29" ht="37.9" customHeight="1" x14ac:dyDescent="0.2">
      <c r="A146" s="618" t="s">
        <v>149</v>
      </c>
      <c r="B146" s="619" t="s">
        <v>729</v>
      </c>
      <c r="C146" s="620">
        <v>244</v>
      </c>
      <c r="D146" s="620">
        <v>225</v>
      </c>
      <c r="E146" s="596">
        <f t="shared" si="24"/>
        <v>1880</v>
      </c>
      <c r="F146" s="595">
        <f>'Прилож 4 24 (9)'!V148</f>
        <v>0</v>
      </c>
      <c r="G146" s="595">
        <f>'Прилож 4 24 (9)'!W148</f>
        <v>0</v>
      </c>
      <c r="H146" s="595">
        <f>'Прилож 4 24 (9)'!X148</f>
        <v>1880</v>
      </c>
      <c r="I146" s="628"/>
      <c r="J146" s="595">
        <f>'Прилож 4 24 (9)'!Z148</f>
        <v>0</v>
      </c>
      <c r="K146" s="595">
        <f>'Прилож 4 24 (9)'!AA148</f>
        <v>0</v>
      </c>
      <c r="L146" s="595">
        <f>'Прилож 4 24 (9)'!AB148</f>
        <v>0</v>
      </c>
      <c r="M146" s="876">
        <f t="shared" si="21"/>
        <v>0</v>
      </c>
      <c r="N146" s="875"/>
      <c r="O146" s="875"/>
      <c r="P146" s="875"/>
      <c r="Q146" s="877"/>
      <c r="R146" s="875"/>
      <c r="S146" s="875"/>
      <c r="T146" s="875"/>
      <c r="U146" s="876">
        <f t="shared" si="25"/>
        <v>1880</v>
      </c>
      <c r="V146" s="875">
        <f t="shared" si="25"/>
        <v>0</v>
      </c>
      <c r="W146" s="875">
        <f t="shared" si="22"/>
        <v>0</v>
      </c>
      <c r="X146" s="875">
        <f t="shared" si="22"/>
        <v>1880</v>
      </c>
      <c r="Y146" s="883"/>
      <c r="Z146" s="875">
        <f t="shared" si="27"/>
        <v>0</v>
      </c>
      <c r="AA146" s="875">
        <f t="shared" si="26"/>
        <v>0</v>
      </c>
      <c r="AB146" s="875">
        <f t="shared" si="26"/>
        <v>0</v>
      </c>
      <c r="AC146" s="878"/>
    </row>
    <row r="147" spans="1:29" ht="31.5" x14ac:dyDescent="0.2">
      <c r="A147" s="618" t="s">
        <v>644</v>
      </c>
      <c r="B147" s="619" t="s">
        <v>729</v>
      </c>
      <c r="C147" s="620">
        <v>244</v>
      </c>
      <c r="D147" s="620">
        <v>225</v>
      </c>
      <c r="E147" s="596">
        <f t="shared" si="24"/>
        <v>41282.94</v>
      </c>
      <c r="F147" s="595">
        <f>'Прилож 4 24 (9)'!V149</f>
        <v>0</v>
      </c>
      <c r="G147" s="595">
        <f>'Прилож 4 24 (9)'!W149</f>
        <v>0</v>
      </c>
      <c r="H147" s="595">
        <f>'Прилож 4 24 (9)'!X149</f>
        <v>26772.870000000003</v>
      </c>
      <c r="I147" s="628"/>
      <c r="J147" s="595">
        <f>'Прилож 4 24 (9)'!Z149</f>
        <v>0</v>
      </c>
      <c r="K147" s="595">
        <f>'Прилож 4 24 (9)'!AA149</f>
        <v>0</v>
      </c>
      <c r="L147" s="595">
        <f>'Прилож 4 24 (9)'!AB149</f>
        <v>14510.07</v>
      </c>
      <c r="M147" s="876">
        <f t="shared" si="21"/>
        <v>0</v>
      </c>
      <c r="N147" s="875"/>
      <c r="O147" s="875"/>
      <c r="P147" s="875">
        <f>11986.07+2524</f>
        <v>14510.07</v>
      </c>
      <c r="Q147" s="877"/>
      <c r="R147" s="875"/>
      <c r="S147" s="875"/>
      <c r="T147" s="875">
        <v>-14510.07</v>
      </c>
      <c r="U147" s="876">
        <f t="shared" si="25"/>
        <v>41282.94</v>
      </c>
      <c r="V147" s="875">
        <f t="shared" si="25"/>
        <v>0</v>
      </c>
      <c r="W147" s="875">
        <f t="shared" si="22"/>
        <v>0</v>
      </c>
      <c r="X147" s="875">
        <f t="shared" si="22"/>
        <v>41282.94</v>
      </c>
      <c r="Y147" s="883"/>
      <c r="Z147" s="875">
        <f t="shared" si="27"/>
        <v>0</v>
      </c>
      <c r="AA147" s="875">
        <f t="shared" si="26"/>
        <v>0</v>
      </c>
      <c r="AB147" s="875">
        <f t="shared" si="26"/>
        <v>0</v>
      </c>
      <c r="AC147" s="878" t="s">
        <v>1683</v>
      </c>
    </row>
    <row r="148" spans="1:29" ht="31.5" x14ac:dyDescent="0.2">
      <c r="A148" s="618" t="s">
        <v>587</v>
      </c>
      <c r="B148" s="619" t="s">
        <v>729</v>
      </c>
      <c r="C148" s="620">
        <v>244</v>
      </c>
      <c r="D148" s="620">
        <v>225</v>
      </c>
      <c r="E148" s="596">
        <f t="shared" si="24"/>
        <v>15624</v>
      </c>
      <c r="F148" s="595">
        <f>'Прилож 4 24 (9)'!V150</f>
        <v>0</v>
      </c>
      <c r="G148" s="595">
        <f>'Прилож 4 24 (9)'!W150</f>
        <v>0</v>
      </c>
      <c r="H148" s="595">
        <f>'Прилож 4 24 (9)'!X150</f>
        <v>15624</v>
      </c>
      <c r="I148" s="628"/>
      <c r="J148" s="595">
        <f>'Прилож 4 24 (9)'!Z150</f>
        <v>0</v>
      </c>
      <c r="K148" s="595">
        <f>'Прилож 4 24 (9)'!AA150</f>
        <v>0</v>
      </c>
      <c r="L148" s="595">
        <f>'Прилож 4 24 (9)'!AB150</f>
        <v>0</v>
      </c>
      <c r="M148" s="876">
        <f t="shared" si="21"/>
        <v>0</v>
      </c>
      <c r="N148" s="875"/>
      <c r="O148" s="875"/>
      <c r="P148" s="875"/>
      <c r="Q148" s="877"/>
      <c r="R148" s="875"/>
      <c r="S148" s="875"/>
      <c r="T148" s="875"/>
      <c r="U148" s="876">
        <f t="shared" si="25"/>
        <v>15624</v>
      </c>
      <c r="V148" s="875">
        <f t="shared" si="25"/>
        <v>0</v>
      </c>
      <c r="W148" s="875">
        <f t="shared" si="22"/>
        <v>0</v>
      </c>
      <c r="X148" s="875">
        <f t="shared" si="22"/>
        <v>15624</v>
      </c>
      <c r="Y148" s="883"/>
      <c r="Z148" s="875">
        <f t="shared" si="27"/>
        <v>0</v>
      </c>
      <c r="AA148" s="875">
        <f t="shared" si="26"/>
        <v>0</v>
      </c>
      <c r="AB148" s="875">
        <f t="shared" si="26"/>
        <v>0</v>
      </c>
      <c r="AC148" s="878"/>
    </row>
    <row r="149" spans="1:29" ht="28.5" customHeight="1" x14ac:dyDescent="0.2">
      <c r="A149" s="618" t="s">
        <v>1208</v>
      </c>
      <c r="B149" s="619" t="s">
        <v>729</v>
      </c>
      <c r="C149" s="620">
        <v>244</v>
      </c>
      <c r="D149" s="620">
        <v>225</v>
      </c>
      <c r="E149" s="596">
        <f t="shared" si="24"/>
        <v>0</v>
      </c>
      <c r="F149" s="595">
        <f>'Прилож 4 24 (9)'!V151</f>
        <v>0</v>
      </c>
      <c r="G149" s="595">
        <f>'Прилож 4 24 (9)'!W151</f>
        <v>0</v>
      </c>
      <c r="H149" s="595">
        <f>'Прилож 4 24 (9)'!X151</f>
        <v>0</v>
      </c>
      <c r="I149" s="628"/>
      <c r="J149" s="595">
        <f>'Прилож 4 24 (9)'!Z151</f>
        <v>0</v>
      </c>
      <c r="K149" s="595">
        <f>'Прилож 4 24 (9)'!AA151</f>
        <v>0</v>
      </c>
      <c r="L149" s="595">
        <f>'Прилож 4 24 (9)'!AB151</f>
        <v>0</v>
      </c>
      <c r="M149" s="876">
        <f t="shared" si="21"/>
        <v>0</v>
      </c>
      <c r="N149" s="875"/>
      <c r="O149" s="875"/>
      <c r="P149" s="875"/>
      <c r="Q149" s="877"/>
      <c r="R149" s="875"/>
      <c r="S149" s="875"/>
      <c r="T149" s="875"/>
      <c r="U149" s="876">
        <f t="shared" si="25"/>
        <v>0</v>
      </c>
      <c r="V149" s="875">
        <f t="shared" si="25"/>
        <v>0</v>
      </c>
      <c r="W149" s="875">
        <f t="shared" ref="W149:X159" si="28">O149+G149</f>
        <v>0</v>
      </c>
      <c r="X149" s="875">
        <f t="shared" si="28"/>
        <v>0</v>
      </c>
      <c r="Y149" s="883"/>
      <c r="Z149" s="875">
        <f t="shared" si="27"/>
        <v>0</v>
      </c>
      <c r="AA149" s="875">
        <f t="shared" si="26"/>
        <v>0</v>
      </c>
      <c r="AB149" s="875">
        <f t="shared" si="26"/>
        <v>0</v>
      </c>
      <c r="AC149" s="878"/>
    </row>
    <row r="150" spans="1:29" ht="31.5" x14ac:dyDescent="0.2">
      <c r="A150" s="618" t="s">
        <v>157</v>
      </c>
      <c r="B150" s="619" t="s">
        <v>729</v>
      </c>
      <c r="C150" s="620">
        <v>244</v>
      </c>
      <c r="D150" s="620">
        <v>225</v>
      </c>
      <c r="E150" s="596">
        <f t="shared" si="24"/>
        <v>8500</v>
      </c>
      <c r="F150" s="595">
        <f>'Прилож 4 24 (9)'!V152</f>
        <v>0</v>
      </c>
      <c r="G150" s="595">
        <f>'Прилож 4 24 (9)'!W152</f>
        <v>0</v>
      </c>
      <c r="H150" s="595">
        <f>'Прилож 4 24 (9)'!X152</f>
        <v>8500</v>
      </c>
      <c r="I150" s="628"/>
      <c r="J150" s="595">
        <f>'Прилож 4 24 (9)'!Z152</f>
        <v>0</v>
      </c>
      <c r="K150" s="595">
        <f>'Прилож 4 24 (9)'!AA152</f>
        <v>0</v>
      </c>
      <c r="L150" s="595">
        <f>'Прилож 4 24 (9)'!AB152</f>
        <v>0</v>
      </c>
      <c r="M150" s="876">
        <f t="shared" si="21"/>
        <v>0</v>
      </c>
      <c r="N150" s="875"/>
      <c r="O150" s="875"/>
      <c r="P150" s="875"/>
      <c r="Q150" s="877"/>
      <c r="R150" s="875"/>
      <c r="S150" s="875"/>
      <c r="T150" s="875"/>
      <c r="U150" s="876">
        <f t="shared" si="25"/>
        <v>8500</v>
      </c>
      <c r="V150" s="875">
        <f t="shared" si="25"/>
        <v>0</v>
      </c>
      <c r="W150" s="875">
        <f t="shared" si="28"/>
        <v>0</v>
      </c>
      <c r="X150" s="875">
        <f t="shared" si="28"/>
        <v>8500</v>
      </c>
      <c r="Y150" s="883"/>
      <c r="Z150" s="875">
        <f t="shared" si="27"/>
        <v>0</v>
      </c>
      <c r="AA150" s="875">
        <f t="shared" si="26"/>
        <v>0</v>
      </c>
      <c r="AB150" s="875">
        <f t="shared" si="26"/>
        <v>0</v>
      </c>
      <c r="AC150" s="878"/>
    </row>
    <row r="151" spans="1:29" ht="30" customHeight="1" x14ac:dyDescent="0.2">
      <c r="A151" s="618" t="s">
        <v>583</v>
      </c>
      <c r="B151" s="619" t="s">
        <v>729</v>
      </c>
      <c r="C151" s="620">
        <v>244</v>
      </c>
      <c r="D151" s="620">
        <v>225</v>
      </c>
      <c r="E151" s="596">
        <f t="shared" si="24"/>
        <v>10310</v>
      </c>
      <c r="F151" s="595">
        <f>'Прилож 4 24 (9)'!V153</f>
        <v>0</v>
      </c>
      <c r="G151" s="595">
        <f>'Прилож 4 24 (9)'!W153</f>
        <v>0</v>
      </c>
      <c r="H151" s="595">
        <f>'Прилож 4 24 (9)'!X153</f>
        <v>10310</v>
      </c>
      <c r="I151" s="628"/>
      <c r="J151" s="595">
        <f>'Прилож 4 24 (9)'!Z153</f>
        <v>0</v>
      </c>
      <c r="K151" s="595">
        <f>'Прилож 4 24 (9)'!AA153</f>
        <v>0</v>
      </c>
      <c r="L151" s="595">
        <f>'Прилож 4 24 (9)'!AB153</f>
        <v>0</v>
      </c>
      <c r="M151" s="876">
        <f t="shared" si="21"/>
        <v>0</v>
      </c>
      <c r="N151" s="875"/>
      <c r="O151" s="875"/>
      <c r="P151" s="875"/>
      <c r="Q151" s="877"/>
      <c r="R151" s="875"/>
      <c r="S151" s="875"/>
      <c r="T151" s="875"/>
      <c r="U151" s="876">
        <f t="shared" si="25"/>
        <v>10310</v>
      </c>
      <c r="V151" s="875">
        <f t="shared" si="25"/>
        <v>0</v>
      </c>
      <c r="W151" s="875">
        <f t="shared" si="28"/>
        <v>0</v>
      </c>
      <c r="X151" s="875">
        <f t="shared" si="28"/>
        <v>10310</v>
      </c>
      <c r="Y151" s="883"/>
      <c r="Z151" s="875">
        <f t="shared" si="27"/>
        <v>0</v>
      </c>
      <c r="AA151" s="875">
        <f t="shared" si="26"/>
        <v>0</v>
      </c>
      <c r="AB151" s="875">
        <f t="shared" si="26"/>
        <v>0</v>
      </c>
      <c r="AC151" s="878"/>
    </row>
    <row r="152" spans="1:29" ht="31.5" customHeight="1" x14ac:dyDescent="0.2">
      <c r="A152" s="618" t="s">
        <v>1204</v>
      </c>
      <c r="B152" s="619" t="s">
        <v>729</v>
      </c>
      <c r="C152" s="620">
        <v>244</v>
      </c>
      <c r="D152" s="620">
        <v>225</v>
      </c>
      <c r="E152" s="596">
        <f t="shared" si="24"/>
        <v>36058</v>
      </c>
      <c r="F152" s="595">
        <f>'Прилож 4 24 (9)'!V154</f>
        <v>0</v>
      </c>
      <c r="G152" s="595">
        <f>'Прилож 4 24 (9)'!W154</f>
        <v>0</v>
      </c>
      <c r="H152" s="595">
        <f>'Прилож 4 24 (9)'!X154</f>
        <v>36058</v>
      </c>
      <c r="I152" s="628"/>
      <c r="J152" s="595">
        <f>'Прилож 4 24 (9)'!Z154</f>
        <v>0</v>
      </c>
      <c r="K152" s="595">
        <f>'Прилож 4 24 (9)'!AA154</f>
        <v>0</v>
      </c>
      <c r="L152" s="595">
        <f>'Прилож 4 24 (9)'!AB154</f>
        <v>0</v>
      </c>
      <c r="M152" s="876">
        <f t="shared" si="21"/>
        <v>-2524</v>
      </c>
      <c r="N152" s="875"/>
      <c r="O152" s="875"/>
      <c r="P152" s="875">
        <v>-2524</v>
      </c>
      <c r="Q152" s="877"/>
      <c r="R152" s="875"/>
      <c r="S152" s="875"/>
      <c r="T152" s="875"/>
      <c r="U152" s="876">
        <f t="shared" si="25"/>
        <v>33534</v>
      </c>
      <c r="V152" s="875">
        <f t="shared" si="25"/>
        <v>0</v>
      </c>
      <c r="W152" s="875">
        <f t="shared" si="28"/>
        <v>0</v>
      </c>
      <c r="X152" s="875">
        <f t="shared" si="28"/>
        <v>33534</v>
      </c>
      <c r="Y152" s="883"/>
      <c r="Z152" s="875">
        <f t="shared" si="27"/>
        <v>0</v>
      </c>
      <c r="AA152" s="875">
        <f t="shared" si="26"/>
        <v>0</v>
      </c>
      <c r="AB152" s="875">
        <f t="shared" si="26"/>
        <v>0</v>
      </c>
      <c r="AC152" s="878" t="s">
        <v>1635</v>
      </c>
    </row>
    <row r="153" spans="1:29" ht="47.25" x14ac:dyDescent="0.2">
      <c r="A153" s="618" t="s">
        <v>1327</v>
      </c>
      <c r="B153" s="619" t="s">
        <v>729</v>
      </c>
      <c r="C153" s="620">
        <v>244</v>
      </c>
      <c r="D153" s="620">
        <v>225</v>
      </c>
      <c r="E153" s="596">
        <f t="shared" si="24"/>
        <v>0</v>
      </c>
      <c r="F153" s="595">
        <f>'Прилож 4 24 (9)'!V155</f>
        <v>0</v>
      </c>
      <c r="G153" s="595">
        <f>'Прилож 4 24 (9)'!W155</f>
        <v>0</v>
      </c>
      <c r="H153" s="595">
        <f>'Прилож 4 24 (9)'!X155</f>
        <v>0</v>
      </c>
      <c r="I153" s="621" t="s">
        <v>1314</v>
      </c>
      <c r="J153" s="595">
        <f>'Прилож 4 24 (9)'!Z155</f>
        <v>0</v>
      </c>
      <c r="K153" s="595">
        <f>'Прилож 4 24 (9)'!AA155</f>
        <v>0</v>
      </c>
      <c r="L153" s="595">
        <f>'Прилож 4 24 (9)'!AB155</f>
        <v>0</v>
      </c>
      <c r="M153" s="876">
        <f t="shared" si="21"/>
        <v>0</v>
      </c>
      <c r="N153" s="875"/>
      <c r="O153" s="875"/>
      <c r="P153" s="875"/>
      <c r="Q153" s="621"/>
      <c r="R153" s="875"/>
      <c r="S153" s="875"/>
      <c r="T153" s="875"/>
      <c r="U153" s="876">
        <f t="shared" si="25"/>
        <v>0</v>
      </c>
      <c r="V153" s="875">
        <f t="shared" si="25"/>
        <v>0</v>
      </c>
      <c r="W153" s="875">
        <f t="shared" si="28"/>
        <v>0</v>
      </c>
      <c r="X153" s="875">
        <f t="shared" si="28"/>
        <v>0</v>
      </c>
      <c r="Y153" s="877" t="s">
        <v>1314</v>
      </c>
      <c r="Z153" s="875">
        <f t="shared" si="27"/>
        <v>0</v>
      </c>
      <c r="AA153" s="875">
        <f t="shared" si="26"/>
        <v>0</v>
      </c>
      <c r="AB153" s="875">
        <f t="shared" si="26"/>
        <v>0</v>
      </c>
      <c r="AC153" s="878"/>
    </row>
    <row r="154" spans="1:29" ht="37.5" customHeight="1" x14ac:dyDescent="0.2">
      <c r="A154" s="994" t="s">
        <v>1446</v>
      </c>
      <c r="B154" s="619" t="s">
        <v>729</v>
      </c>
      <c r="C154" s="620">
        <v>244</v>
      </c>
      <c r="D154" s="620">
        <v>225</v>
      </c>
      <c r="E154" s="596">
        <f t="shared" si="24"/>
        <v>249291.8</v>
      </c>
      <c r="F154" s="595">
        <f>'Прилож 4 24 (9)'!V156</f>
        <v>0</v>
      </c>
      <c r="G154" s="595">
        <f>'Прилож 4 24 (9)'!W156</f>
        <v>0</v>
      </c>
      <c r="H154" s="595">
        <f>'Прилож 4 24 (9)'!X156</f>
        <v>0</v>
      </c>
      <c r="I154" s="621" t="s">
        <v>1314</v>
      </c>
      <c r="J154" s="595">
        <f>'Прилож 4 24 (9)'!Z156</f>
        <v>0</v>
      </c>
      <c r="K154" s="595">
        <f>'Прилож 4 24 (9)'!AA156</f>
        <v>249291.8</v>
      </c>
      <c r="L154" s="595">
        <f>'Прилож 4 24 (9)'!AB156</f>
        <v>0</v>
      </c>
      <c r="M154" s="876">
        <f t="shared" si="21"/>
        <v>0</v>
      </c>
      <c r="N154" s="875"/>
      <c r="O154" s="875"/>
      <c r="P154" s="875"/>
      <c r="Q154" s="621"/>
      <c r="R154" s="875"/>
      <c r="S154" s="875"/>
      <c r="T154" s="875"/>
      <c r="U154" s="876">
        <f t="shared" si="25"/>
        <v>249291.8</v>
      </c>
      <c r="V154" s="875">
        <f t="shared" si="25"/>
        <v>0</v>
      </c>
      <c r="W154" s="875">
        <f t="shared" si="28"/>
        <v>0</v>
      </c>
      <c r="X154" s="875">
        <f t="shared" si="28"/>
        <v>0</v>
      </c>
      <c r="Y154" s="877" t="s">
        <v>1314</v>
      </c>
      <c r="Z154" s="875">
        <f t="shared" si="27"/>
        <v>0</v>
      </c>
      <c r="AA154" s="875">
        <f t="shared" si="26"/>
        <v>249291.8</v>
      </c>
      <c r="AB154" s="875">
        <f t="shared" si="26"/>
        <v>0</v>
      </c>
      <c r="AC154" s="878"/>
    </row>
    <row r="155" spans="1:29" ht="24.6" customHeight="1" x14ac:dyDescent="0.2">
      <c r="A155" s="994" t="s">
        <v>1447</v>
      </c>
      <c r="B155" s="619" t="s">
        <v>729</v>
      </c>
      <c r="C155" s="620">
        <v>244</v>
      </c>
      <c r="D155" s="620">
        <v>225</v>
      </c>
      <c r="E155" s="596">
        <f t="shared" si="24"/>
        <v>268872.66000000003</v>
      </c>
      <c r="F155" s="595">
        <f>'Прилож 4 24 (9)'!V157</f>
        <v>0</v>
      </c>
      <c r="G155" s="595">
        <f>'Прилож 4 24 (9)'!W157</f>
        <v>0</v>
      </c>
      <c r="H155" s="595">
        <f>'Прилож 4 24 (9)'!X157</f>
        <v>0</v>
      </c>
      <c r="I155" s="621" t="s">
        <v>1314</v>
      </c>
      <c r="J155" s="595">
        <f>'Прилож 4 24 (9)'!Z157</f>
        <v>0</v>
      </c>
      <c r="K155" s="595">
        <f>'Прилож 4 24 (9)'!AA157</f>
        <v>268872.66000000003</v>
      </c>
      <c r="L155" s="595">
        <f>'Прилож 4 24 (9)'!AB157</f>
        <v>0</v>
      </c>
      <c r="M155" s="876">
        <f t="shared" si="21"/>
        <v>0</v>
      </c>
      <c r="N155" s="875"/>
      <c r="O155" s="875"/>
      <c r="P155" s="875"/>
      <c r="Q155" s="621"/>
      <c r="R155" s="875"/>
      <c r="S155" s="875"/>
      <c r="T155" s="875"/>
      <c r="U155" s="876">
        <f t="shared" si="25"/>
        <v>268872.66000000003</v>
      </c>
      <c r="V155" s="875">
        <f t="shared" si="25"/>
        <v>0</v>
      </c>
      <c r="W155" s="875">
        <f t="shared" si="28"/>
        <v>0</v>
      </c>
      <c r="X155" s="875">
        <f t="shared" si="28"/>
        <v>0</v>
      </c>
      <c r="Y155" s="877" t="s">
        <v>1314</v>
      </c>
      <c r="Z155" s="875">
        <f t="shared" si="27"/>
        <v>0</v>
      </c>
      <c r="AA155" s="875">
        <f t="shared" si="26"/>
        <v>268872.66000000003</v>
      </c>
      <c r="AB155" s="875">
        <f t="shared" si="26"/>
        <v>0</v>
      </c>
      <c r="AC155" s="878"/>
    </row>
    <row r="156" spans="1:29" ht="36" customHeight="1" x14ac:dyDescent="0.2">
      <c r="A156" s="994" t="s">
        <v>1460</v>
      </c>
      <c r="B156" s="619" t="s">
        <v>729</v>
      </c>
      <c r="C156" s="620">
        <v>244</v>
      </c>
      <c r="D156" s="620">
        <v>225</v>
      </c>
      <c r="E156" s="596">
        <f t="shared" si="24"/>
        <v>18000</v>
      </c>
      <c r="F156" s="595">
        <f>'Прилож 4 24 (9)'!V158</f>
        <v>0</v>
      </c>
      <c r="G156" s="595">
        <f>'Прилож 4 24 (9)'!W158</f>
        <v>0</v>
      </c>
      <c r="H156" s="595">
        <f>'Прилож 4 24 (9)'!X158</f>
        <v>18000</v>
      </c>
      <c r="I156" s="621"/>
      <c r="J156" s="595">
        <f>'Прилож 4 24 (9)'!Z158</f>
        <v>0</v>
      </c>
      <c r="K156" s="595">
        <f>'Прилож 4 24 (9)'!AA158</f>
        <v>0</v>
      </c>
      <c r="L156" s="595">
        <f>'Прилож 4 24 (9)'!AB158</f>
        <v>0</v>
      </c>
      <c r="M156" s="876">
        <f t="shared" si="21"/>
        <v>0</v>
      </c>
      <c r="N156" s="875"/>
      <c r="O156" s="875"/>
      <c r="P156" s="875"/>
      <c r="Q156" s="621"/>
      <c r="R156" s="875"/>
      <c r="S156" s="875"/>
      <c r="T156" s="875"/>
      <c r="U156" s="876">
        <f t="shared" si="25"/>
        <v>18000</v>
      </c>
      <c r="V156" s="875">
        <f t="shared" si="25"/>
        <v>0</v>
      </c>
      <c r="W156" s="875">
        <f t="shared" si="28"/>
        <v>0</v>
      </c>
      <c r="X156" s="875">
        <f t="shared" si="28"/>
        <v>18000</v>
      </c>
      <c r="Y156" s="877"/>
      <c r="Z156" s="875">
        <f t="shared" si="27"/>
        <v>0</v>
      </c>
      <c r="AA156" s="875">
        <f t="shared" si="26"/>
        <v>0</v>
      </c>
      <c r="AB156" s="875">
        <f t="shared" si="26"/>
        <v>0</v>
      </c>
      <c r="AC156" s="878"/>
    </row>
    <row r="157" spans="1:29" ht="32.25" customHeight="1" x14ac:dyDescent="0.2">
      <c r="A157" s="994" t="s">
        <v>1474</v>
      </c>
      <c r="B157" s="619" t="s">
        <v>729</v>
      </c>
      <c r="C157" s="620">
        <v>244</v>
      </c>
      <c r="D157" s="620">
        <v>225</v>
      </c>
      <c r="E157" s="596">
        <f t="shared" si="24"/>
        <v>491120.73</v>
      </c>
      <c r="F157" s="595">
        <f>'Прилож 4 24 (9)'!V159</f>
        <v>0</v>
      </c>
      <c r="G157" s="595">
        <f>'Прилож 4 24 (9)'!W159</f>
        <v>0</v>
      </c>
      <c r="H157" s="595">
        <f>'Прилож 4 24 (9)'!X159</f>
        <v>0</v>
      </c>
      <c r="I157" s="621" t="s">
        <v>1314</v>
      </c>
      <c r="J157" s="595">
        <f>'Прилож 4 24 (9)'!Z159</f>
        <v>0</v>
      </c>
      <c r="K157" s="595">
        <f>'Прилож 4 24 (9)'!AA159</f>
        <v>491120.73</v>
      </c>
      <c r="L157" s="595">
        <f>'Прилож 4 24 (9)'!AB159</f>
        <v>0</v>
      </c>
      <c r="M157" s="876">
        <f t="shared" si="21"/>
        <v>0</v>
      </c>
      <c r="N157" s="875"/>
      <c r="O157" s="875"/>
      <c r="P157" s="875"/>
      <c r="Q157" s="621"/>
      <c r="R157" s="875"/>
      <c r="S157" s="875"/>
      <c r="T157" s="875"/>
      <c r="U157" s="876">
        <f t="shared" si="25"/>
        <v>491120.73</v>
      </c>
      <c r="V157" s="875">
        <f t="shared" si="25"/>
        <v>0</v>
      </c>
      <c r="W157" s="875">
        <f t="shared" si="28"/>
        <v>0</v>
      </c>
      <c r="X157" s="875">
        <f t="shared" si="28"/>
        <v>0</v>
      </c>
      <c r="Y157" s="877" t="s">
        <v>1314</v>
      </c>
      <c r="Z157" s="875">
        <f t="shared" si="27"/>
        <v>0</v>
      </c>
      <c r="AA157" s="875">
        <f t="shared" si="26"/>
        <v>491120.73</v>
      </c>
      <c r="AB157" s="875"/>
      <c r="AC157" s="878"/>
    </row>
    <row r="158" spans="1:29" ht="66" customHeight="1" x14ac:dyDescent="0.2">
      <c r="A158" s="994" t="s">
        <v>1475</v>
      </c>
      <c r="B158" s="619" t="s">
        <v>729</v>
      </c>
      <c r="C158" s="620">
        <v>244</v>
      </c>
      <c r="D158" s="620">
        <v>225</v>
      </c>
      <c r="E158" s="596">
        <f t="shared" si="24"/>
        <v>183401.27</v>
      </c>
      <c r="F158" s="595">
        <f>'Прилож 4 24 (9)'!V160</f>
        <v>0</v>
      </c>
      <c r="G158" s="595">
        <f>'Прилож 4 24 (9)'!W160</f>
        <v>0</v>
      </c>
      <c r="H158" s="595">
        <f>'Прилож 4 24 (9)'!X160</f>
        <v>0</v>
      </c>
      <c r="I158" s="621" t="s">
        <v>1314</v>
      </c>
      <c r="J158" s="595">
        <f>'Прилож 4 24 (9)'!Z160</f>
        <v>0</v>
      </c>
      <c r="K158" s="595">
        <f>'Прилож 4 24 (9)'!AA160</f>
        <v>183401.27</v>
      </c>
      <c r="L158" s="595">
        <f>'Прилож 4 24 (9)'!AB160</f>
        <v>0</v>
      </c>
      <c r="M158" s="876">
        <f t="shared" si="21"/>
        <v>0</v>
      </c>
      <c r="N158" s="875"/>
      <c r="O158" s="875"/>
      <c r="P158" s="875"/>
      <c r="Q158" s="621"/>
      <c r="R158" s="875"/>
      <c r="S158" s="875"/>
      <c r="T158" s="875"/>
      <c r="U158" s="876">
        <f t="shared" si="25"/>
        <v>183401.27</v>
      </c>
      <c r="V158" s="875">
        <f t="shared" si="25"/>
        <v>0</v>
      </c>
      <c r="W158" s="875">
        <f t="shared" si="28"/>
        <v>0</v>
      </c>
      <c r="X158" s="875">
        <f t="shared" si="28"/>
        <v>0</v>
      </c>
      <c r="Y158" s="877" t="s">
        <v>1314</v>
      </c>
      <c r="Z158" s="875">
        <f t="shared" si="27"/>
        <v>0</v>
      </c>
      <c r="AA158" s="875">
        <f t="shared" si="26"/>
        <v>183401.27</v>
      </c>
      <c r="AB158" s="875"/>
      <c r="AC158" s="878"/>
    </row>
    <row r="159" spans="1:29" ht="42" customHeight="1" x14ac:dyDescent="0.2">
      <c r="A159" s="994" t="s">
        <v>1185</v>
      </c>
      <c r="B159" s="619" t="s">
        <v>729</v>
      </c>
      <c r="C159" s="620">
        <v>244</v>
      </c>
      <c r="D159" s="620">
        <v>225</v>
      </c>
      <c r="E159" s="596">
        <f t="shared" si="24"/>
        <v>9600</v>
      </c>
      <c r="F159" s="595">
        <f>'Прилож 4 24 (9)'!V161</f>
        <v>0</v>
      </c>
      <c r="G159" s="595">
        <f>'Прилож 4 24 (9)'!W161</f>
        <v>0</v>
      </c>
      <c r="H159" s="595">
        <f>'Прилож 4 24 (9)'!X161</f>
        <v>9600</v>
      </c>
      <c r="I159" s="621"/>
      <c r="J159" s="595">
        <f>'Прилож 4 24 (9)'!Z161</f>
        <v>0</v>
      </c>
      <c r="K159" s="595">
        <f>'Прилож 4 24 (9)'!AA161</f>
        <v>0</v>
      </c>
      <c r="L159" s="595">
        <f>'Прилож 4 24 (9)'!AB161</f>
        <v>0</v>
      </c>
      <c r="M159" s="876">
        <f t="shared" si="21"/>
        <v>0</v>
      </c>
      <c r="N159" s="875"/>
      <c r="O159" s="875"/>
      <c r="P159" s="875"/>
      <c r="Q159" s="621"/>
      <c r="R159" s="875"/>
      <c r="S159" s="875"/>
      <c r="T159" s="875"/>
      <c r="U159" s="876">
        <f t="shared" si="25"/>
        <v>9600</v>
      </c>
      <c r="V159" s="875">
        <f t="shared" si="25"/>
        <v>0</v>
      </c>
      <c r="W159" s="875">
        <f t="shared" si="28"/>
        <v>0</v>
      </c>
      <c r="X159" s="875">
        <f t="shared" si="28"/>
        <v>9600</v>
      </c>
      <c r="Y159" s="877"/>
      <c r="Z159" s="875">
        <f t="shared" si="27"/>
        <v>0</v>
      </c>
      <c r="AA159" s="875">
        <f t="shared" si="26"/>
        <v>0</v>
      </c>
      <c r="AB159" s="875"/>
      <c r="AC159" s="878"/>
    </row>
    <row r="160" spans="1:29" ht="48" customHeight="1" x14ac:dyDescent="0.2">
      <c r="A160" s="618" t="s">
        <v>1393</v>
      </c>
      <c r="B160" s="619" t="s">
        <v>729</v>
      </c>
      <c r="C160" s="620">
        <v>244</v>
      </c>
      <c r="D160" s="620">
        <v>225</v>
      </c>
      <c r="E160" s="596">
        <f t="shared" si="24"/>
        <v>37040</v>
      </c>
      <c r="F160" s="595">
        <f>'Прилож 4 24 (9)'!V162</f>
        <v>0</v>
      </c>
      <c r="G160" s="595">
        <f>'Прилож 4 24 (9)'!W162</f>
        <v>0</v>
      </c>
      <c r="H160" s="595">
        <f>'Прилож 4 24 (9)'!X162</f>
        <v>37040</v>
      </c>
      <c r="I160" s="621"/>
      <c r="J160" s="595">
        <f>'Прилож 4 24 (9)'!Z162</f>
        <v>0</v>
      </c>
      <c r="K160" s="595">
        <f>'Прилож 4 24 (9)'!AA162</f>
        <v>0</v>
      </c>
      <c r="L160" s="595">
        <f>'Прилож 4 24 (9)'!AB162</f>
        <v>0</v>
      </c>
      <c r="M160" s="876">
        <f t="shared" si="21"/>
        <v>0</v>
      </c>
      <c r="N160" s="875"/>
      <c r="O160" s="875"/>
      <c r="P160" s="875"/>
      <c r="Q160" s="621"/>
      <c r="R160" s="875"/>
      <c r="S160" s="875"/>
      <c r="T160" s="875"/>
      <c r="U160" s="876">
        <f t="shared" si="25"/>
        <v>37040</v>
      </c>
      <c r="V160" s="875"/>
      <c r="W160" s="875"/>
      <c r="X160" s="875">
        <f>P160+H160</f>
        <v>37040</v>
      </c>
      <c r="Y160" s="877"/>
      <c r="Z160" s="875"/>
      <c r="AA160" s="875"/>
      <c r="AB160" s="875"/>
      <c r="AC160" s="878"/>
    </row>
    <row r="161" spans="1:30" s="637" customFormat="1" ht="33" customHeight="1" x14ac:dyDescent="0.2">
      <c r="A161" s="1052" t="s">
        <v>1143</v>
      </c>
      <c r="B161" s="631" t="s">
        <v>729</v>
      </c>
      <c r="C161" s="624">
        <v>244</v>
      </c>
      <c r="D161" s="624">
        <v>225</v>
      </c>
      <c r="E161" s="596">
        <f t="shared" si="24"/>
        <v>1851520.6799999997</v>
      </c>
      <c r="F161" s="595">
        <f>'Прилож 4 24 (9)'!V163</f>
        <v>0</v>
      </c>
      <c r="G161" s="595">
        <f>'Прилож 4 24 (9)'!W163</f>
        <v>0</v>
      </c>
      <c r="H161" s="595">
        <f>'Прилож 4 24 (9)'!X163</f>
        <v>644324.15</v>
      </c>
      <c r="I161" s="626"/>
      <c r="J161" s="595">
        <f>'Прилож 4 24 (9)'!Z163</f>
        <v>0</v>
      </c>
      <c r="K161" s="595">
        <f>'Прилож 4 24 (9)'!AA163</f>
        <v>1192686.4599999995</v>
      </c>
      <c r="L161" s="595">
        <f>'Прилож 4 24 (9)'!AB163</f>
        <v>14510.07</v>
      </c>
      <c r="M161" s="876">
        <f t="shared" si="21"/>
        <v>-23086.89</v>
      </c>
      <c r="N161" s="1053"/>
      <c r="O161" s="1053"/>
      <c r="P161" s="1054">
        <f>SUM(P134:P160)</f>
        <v>-8576.82</v>
      </c>
      <c r="Q161" s="881"/>
      <c r="R161" s="876">
        <f>SUM(R134:R159)</f>
        <v>0</v>
      </c>
      <c r="S161" s="876">
        <f>SUM(S134:S159)</f>
        <v>0</v>
      </c>
      <c r="T161" s="876">
        <f>SUM(T134:T160)</f>
        <v>-14510.07</v>
      </c>
      <c r="U161" s="876">
        <f t="shared" si="25"/>
        <v>1828433.7899999998</v>
      </c>
      <c r="V161" s="876">
        <f>F161+N161</f>
        <v>0</v>
      </c>
      <c r="W161" s="876">
        <f>O161+G161</f>
        <v>0</v>
      </c>
      <c r="X161" s="876">
        <f>P161+H161</f>
        <v>635747.33000000007</v>
      </c>
      <c r="Y161" s="881"/>
      <c r="Z161" s="876">
        <f t="shared" ref="Z161:AB162" si="29">R161+J161</f>
        <v>0</v>
      </c>
      <c r="AA161" s="876">
        <f t="shared" si="29"/>
        <v>1192686.4599999995</v>
      </c>
      <c r="AB161" s="876">
        <f t="shared" si="29"/>
        <v>0</v>
      </c>
      <c r="AC161" s="879"/>
    </row>
    <row r="162" spans="1:30" ht="36" customHeight="1" x14ac:dyDescent="0.2">
      <c r="A162" s="994" t="s">
        <v>677</v>
      </c>
      <c r="B162" s="619" t="s">
        <v>691</v>
      </c>
      <c r="C162" s="620">
        <v>244</v>
      </c>
      <c r="D162" s="620">
        <v>225</v>
      </c>
      <c r="E162" s="596">
        <f t="shared" si="24"/>
        <v>13451.999999999998</v>
      </c>
      <c r="F162" s="595">
        <f>'Прилож 4 24 (9)'!V164</f>
        <v>0</v>
      </c>
      <c r="G162" s="595">
        <f>'Прилож 4 24 (9)'!W164</f>
        <v>0</v>
      </c>
      <c r="H162" s="595">
        <f>'Прилож 4 24 (9)'!X164</f>
        <v>11086.939999999999</v>
      </c>
      <c r="I162" s="628"/>
      <c r="J162" s="595">
        <f>'Прилож 4 24 (9)'!Z164</f>
        <v>0</v>
      </c>
      <c r="K162" s="595">
        <f>'Прилож 4 24 (9)'!AA164</f>
        <v>0</v>
      </c>
      <c r="L162" s="595">
        <f>'Прилож 4 24 (9)'!AB164</f>
        <v>2365.06</v>
      </c>
      <c r="M162" s="876">
        <f t="shared" si="21"/>
        <v>0</v>
      </c>
      <c r="N162" s="875"/>
      <c r="O162" s="875"/>
      <c r="P162" s="875"/>
      <c r="Q162" s="877"/>
      <c r="R162" s="875"/>
      <c r="S162" s="875"/>
      <c r="T162" s="875"/>
      <c r="U162" s="876">
        <f t="shared" si="25"/>
        <v>13451.999999999998</v>
      </c>
      <c r="V162" s="875">
        <f>F162+N162</f>
        <v>0</v>
      </c>
      <c r="W162" s="875">
        <f>O162+G162</f>
        <v>0</v>
      </c>
      <c r="X162" s="875">
        <f>P162+H162</f>
        <v>11086.939999999999</v>
      </c>
      <c r="Y162" s="883"/>
      <c r="Z162" s="875">
        <f t="shared" si="29"/>
        <v>0</v>
      </c>
      <c r="AA162" s="875">
        <f t="shared" si="29"/>
        <v>0</v>
      </c>
      <c r="AB162" s="875">
        <f t="shared" si="29"/>
        <v>2365.06</v>
      </c>
      <c r="AC162" s="878"/>
    </row>
    <row r="163" spans="1:30" ht="36" customHeight="1" x14ac:dyDescent="0.2">
      <c r="A163" s="994" t="s">
        <v>1436</v>
      </c>
      <c r="B163" s="619" t="s">
        <v>691</v>
      </c>
      <c r="C163" s="620">
        <v>244</v>
      </c>
      <c r="D163" s="620">
        <v>225</v>
      </c>
      <c r="E163" s="596">
        <f t="shared" si="24"/>
        <v>10200</v>
      </c>
      <c r="F163" s="595">
        <f>'Прилож 4 24 (9)'!V165</f>
        <v>0</v>
      </c>
      <c r="G163" s="595">
        <f>'Прилож 4 24 (9)'!W165</f>
        <v>0</v>
      </c>
      <c r="H163" s="595">
        <f>'Прилож 4 24 (9)'!X165</f>
        <v>0</v>
      </c>
      <c r="I163" s="877" t="s">
        <v>1440</v>
      </c>
      <c r="J163" s="595">
        <f>'Прилож 4 24 (9)'!Z165</f>
        <v>0</v>
      </c>
      <c r="K163" s="595">
        <f>'Прилож 4 24 (9)'!AA165</f>
        <v>10200</v>
      </c>
      <c r="L163" s="595">
        <f>'Прилож 4 24 (9)'!AB165</f>
        <v>0</v>
      </c>
      <c r="M163" s="876">
        <f t="shared" si="21"/>
        <v>0</v>
      </c>
      <c r="N163" s="875"/>
      <c r="O163" s="875"/>
      <c r="P163" s="875"/>
      <c r="Q163" s="877"/>
      <c r="R163" s="875"/>
      <c r="S163" s="875"/>
      <c r="T163" s="875"/>
      <c r="U163" s="876">
        <f t="shared" si="25"/>
        <v>10200</v>
      </c>
      <c r="V163" s="875"/>
      <c r="W163" s="875"/>
      <c r="X163" s="875"/>
      <c r="Y163" s="877" t="s">
        <v>1440</v>
      </c>
      <c r="Z163" s="875"/>
      <c r="AA163" s="875">
        <f>S163+K163</f>
        <v>10200</v>
      </c>
      <c r="AB163" s="875"/>
      <c r="AC163" s="878"/>
    </row>
    <row r="164" spans="1:30" ht="17.25" customHeight="1" x14ac:dyDescent="0.2">
      <c r="A164" s="632" t="s">
        <v>1143</v>
      </c>
      <c r="B164" s="633" t="s">
        <v>691</v>
      </c>
      <c r="C164" s="634">
        <v>244</v>
      </c>
      <c r="D164" s="634">
        <v>225</v>
      </c>
      <c r="E164" s="596">
        <f t="shared" si="24"/>
        <v>23652</v>
      </c>
      <c r="F164" s="595">
        <f>'Прилож 4 24 (9)'!V166</f>
        <v>0</v>
      </c>
      <c r="G164" s="595">
        <f>'Прилож 4 24 (9)'!W166</f>
        <v>0</v>
      </c>
      <c r="H164" s="595">
        <f>'Прилож 4 24 (9)'!X166</f>
        <v>11086.939999999999</v>
      </c>
      <c r="I164" s="628"/>
      <c r="J164" s="595">
        <f>'Прилож 4 24 (9)'!Z166</f>
        <v>0</v>
      </c>
      <c r="K164" s="595">
        <f>'Прилож 4 24 (9)'!AA166</f>
        <v>10200</v>
      </c>
      <c r="L164" s="595">
        <f>'Прилож 4 24 (9)'!AB166</f>
        <v>2365.06</v>
      </c>
      <c r="M164" s="876">
        <f t="shared" si="21"/>
        <v>0</v>
      </c>
      <c r="N164" s="875"/>
      <c r="O164" s="875"/>
      <c r="P164" s="875"/>
      <c r="Q164" s="877"/>
      <c r="R164" s="875"/>
      <c r="S164" s="875">
        <f>SUM(S162:S163)</f>
        <v>0</v>
      </c>
      <c r="T164" s="875"/>
      <c r="U164" s="876">
        <f t="shared" si="25"/>
        <v>23652</v>
      </c>
      <c r="V164" s="875"/>
      <c r="W164" s="875"/>
      <c r="X164" s="875">
        <f>SUM(X162:X163)</f>
        <v>11086.939999999999</v>
      </c>
      <c r="Y164" s="883"/>
      <c r="Z164" s="875"/>
      <c r="AA164" s="875">
        <f>SUM(AA162:AA163)</f>
        <v>10200</v>
      </c>
      <c r="AB164" s="875">
        <f>SUM(AB162:AB163)</f>
        <v>2365.06</v>
      </c>
      <c r="AC164" s="878"/>
    </row>
    <row r="165" spans="1:30" s="614" customFormat="1" ht="32.25" customHeight="1" x14ac:dyDescent="0.2">
      <c r="A165" s="630" t="s">
        <v>738</v>
      </c>
      <c r="B165" s="631"/>
      <c r="C165" s="624"/>
      <c r="D165" s="624"/>
      <c r="E165" s="596">
        <f t="shared" si="24"/>
        <v>6356594.7399999993</v>
      </c>
      <c r="F165" s="595">
        <f>'Прилож 4 24 (9)'!V167</f>
        <v>0</v>
      </c>
      <c r="G165" s="595">
        <f>'Прилож 4 24 (9)'!W167</f>
        <v>0</v>
      </c>
      <c r="H165" s="595">
        <f>'Прилож 4 24 (9)'!X167</f>
        <v>1006229.8300000001</v>
      </c>
      <c r="I165" s="626"/>
      <c r="J165" s="595">
        <f>'Прилож 4 24 (9)'!Z167</f>
        <v>0</v>
      </c>
      <c r="K165" s="595">
        <f>'Прилож 4 24 (9)'!AA167</f>
        <v>5333489.7799999993</v>
      </c>
      <c r="L165" s="595">
        <f>'Прилож 4 24 (9)'!AB167</f>
        <v>16875.13</v>
      </c>
      <c r="M165" s="876">
        <f t="shared" si="21"/>
        <v>-27869.22</v>
      </c>
      <c r="N165" s="876">
        <f>N133+N161+N162</f>
        <v>0</v>
      </c>
      <c r="O165" s="876"/>
      <c r="P165" s="876">
        <f>P133+P161+P162</f>
        <v>-13359.15</v>
      </c>
      <c r="Q165" s="881"/>
      <c r="R165" s="876"/>
      <c r="S165" s="876">
        <f>S161+S133+S164</f>
        <v>0</v>
      </c>
      <c r="T165" s="876">
        <f>T161+T133</f>
        <v>-14510.07</v>
      </c>
      <c r="U165" s="876">
        <f t="shared" si="25"/>
        <v>6328725.5199999996</v>
      </c>
      <c r="V165" s="875">
        <f t="shared" si="25"/>
        <v>0</v>
      </c>
      <c r="W165" s="875">
        <f t="shared" ref="W165:X197" si="30">O165+G165</f>
        <v>0</v>
      </c>
      <c r="X165" s="875">
        <f t="shared" si="30"/>
        <v>992870.68</v>
      </c>
      <c r="Y165" s="881"/>
      <c r="Z165" s="875">
        <f t="shared" ref="Z165:AB180" si="31">R165+J165</f>
        <v>0</v>
      </c>
      <c r="AA165" s="875">
        <f t="shared" si="31"/>
        <v>5333489.7799999993</v>
      </c>
      <c r="AB165" s="875">
        <f t="shared" si="31"/>
        <v>2365.0600000000013</v>
      </c>
      <c r="AC165" s="879"/>
      <c r="AD165" s="818"/>
    </row>
    <row r="166" spans="1:30" ht="31.5" x14ac:dyDescent="0.2">
      <c r="A166" s="618" t="s">
        <v>586</v>
      </c>
      <c r="B166" s="619" t="s">
        <v>747</v>
      </c>
      <c r="C166" s="620">
        <v>244</v>
      </c>
      <c r="D166" s="620">
        <v>226</v>
      </c>
      <c r="E166" s="596">
        <f t="shared" si="24"/>
        <v>53845.919999999998</v>
      </c>
      <c r="F166" s="595">
        <f>'Прилож 4 24 (9)'!V168</f>
        <v>0</v>
      </c>
      <c r="G166" s="595">
        <f>'Прилож 4 24 (9)'!W168</f>
        <v>0</v>
      </c>
      <c r="H166" s="595">
        <f>'Прилож 4 24 (9)'!X168</f>
        <v>53845.919999999998</v>
      </c>
      <c r="I166" s="628"/>
      <c r="J166" s="595">
        <f>'Прилож 4 24 (9)'!Z168</f>
        <v>0</v>
      </c>
      <c r="K166" s="595">
        <f>'Прилож 4 24 (9)'!AA168</f>
        <v>0</v>
      </c>
      <c r="L166" s="595">
        <f>'Прилож 4 24 (9)'!AB168</f>
        <v>0</v>
      </c>
      <c r="M166" s="876">
        <f t="shared" si="21"/>
        <v>0</v>
      </c>
      <c r="N166" s="875"/>
      <c r="O166" s="875"/>
      <c r="P166" s="875"/>
      <c r="Q166" s="877"/>
      <c r="R166" s="875"/>
      <c r="S166" s="875"/>
      <c r="T166" s="875"/>
      <c r="U166" s="876">
        <f t="shared" si="25"/>
        <v>53845.919999999998</v>
      </c>
      <c r="V166" s="875">
        <f t="shared" si="25"/>
        <v>0</v>
      </c>
      <c r="W166" s="875">
        <f t="shared" si="30"/>
        <v>0</v>
      </c>
      <c r="X166" s="875">
        <f t="shared" si="30"/>
        <v>53845.919999999998</v>
      </c>
      <c r="Y166" s="883"/>
      <c r="Z166" s="875">
        <f t="shared" si="31"/>
        <v>0</v>
      </c>
      <c r="AA166" s="875">
        <f t="shared" si="31"/>
        <v>0</v>
      </c>
      <c r="AB166" s="875">
        <f t="shared" si="31"/>
        <v>0</v>
      </c>
      <c r="AC166" s="878"/>
    </row>
    <row r="167" spans="1:30" ht="31.5" x14ac:dyDescent="0.2">
      <c r="A167" s="618" t="s">
        <v>154</v>
      </c>
      <c r="B167" s="619" t="s">
        <v>747</v>
      </c>
      <c r="C167" s="620">
        <v>244</v>
      </c>
      <c r="D167" s="620">
        <v>226</v>
      </c>
      <c r="E167" s="596">
        <f t="shared" si="24"/>
        <v>106000</v>
      </c>
      <c r="F167" s="595">
        <f>'Прилож 4 24 (9)'!V169</f>
        <v>0</v>
      </c>
      <c r="G167" s="595">
        <f>'Прилож 4 24 (9)'!W169</f>
        <v>0</v>
      </c>
      <c r="H167" s="595">
        <f>'Прилож 4 24 (9)'!X169</f>
        <v>106000</v>
      </c>
      <c r="I167" s="628"/>
      <c r="J167" s="595">
        <f>'Прилож 4 24 (9)'!Z169</f>
        <v>0</v>
      </c>
      <c r="K167" s="595">
        <f>'Прилож 4 24 (9)'!AA169</f>
        <v>0</v>
      </c>
      <c r="L167" s="595">
        <f>'Прилож 4 24 (9)'!AB169</f>
        <v>0</v>
      </c>
      <c r="M167" s="876">
        <f t="shared" si="21"/>
        <v>0</v>
      </c>
      <c r="N167" s="875"/>
      <c r="O167" s="875"/>
      <c r="P167" s="875"/>
      <c r="Q167" s="877"/>
      <c r="R167" s="875"/>
      <c r="S167" s="875"/>
      <c r="T167" s="875"/>
      <c r="U167" s="876">
        <f t="shared" si="25"/>
        <v>106000</v>
      </c>
      <c r="V167" s="875">
        <f t="shared" si="25"/>
        <v>0</v>
      </c>
      <c r="W167" s="875">
        <f t="shared" si="30"/>
        <v>0</v>
      </c>
      <c r="X167" s="875">
        <f t="shared" si="30"/>
        <v>106000</v>
      </c>
      <c r="Y167" s="883"/>
      <c r="Z167" s="875">
        <f t="shared" si="31"/>
        <v>0</v>
      </c>
      <c r="AA167" s="875">
        <f t="shared" si="31"/>
        <v>0</v>
      </c>
      <c r="AB167" s="875">
        <f t="shared" si="31"/>
        <v>0</v>
      </c>
      <c r="AC167" s="878"/>
    </row>
    <row r="168" spans="1:30" ht="31.5" x14ac:dyDescent="0.2">
      <c r="A168" s="618" t="s">
        <v>642</v>
      </c>
      <c r="B168" s="619" t="s">
        <v>747</v>
      </c>
      <c r="C168" s="620">
        <v>244</v>
      </c>
      <c r="D168" s="620">
        <v>226</v>
      </c>
      <c r="E168" s="596">
        <f t="shared" si="24"/>
        <v>60720</v>
      </c>
      <c r="F168" s="595">
        <f>'Прилож 4 24 (9)'!V170</f>
        <v>0</v>
      </c>
      <c r="G168" s="595">
        <f>'Прилож 4 24 (9)'!W170</f>
        <v>0</v>
      </c>
      <c r="H168" s="595">
        <f>'Прилож 4 24 (9)'!X170</f>
        <v>60720</v>
      </c>
      <c r="I168" s="628"/>
      <c r="J168" s="595">
        <f>'Прилож 4 24 (9)'!Z170</f>
        <v>0</v>
      </c>
      <c r="K168" s="595">
        <f>'Прилож 4 24 (9)'!AA170</f>
        <v>0</v>
      </c>
      <c r="L168" s="595">
        <f>'Прилож 4 24 (9)'!AB170</f>
        <v>0</v>
      </c>
      <c r="M168" s="876">
        <f t="shared" si="21"/>
        <v>0</v>
      </c>
      <c r="N168" s="875"/>
      <c r="O168" s="875"/>
      <c r="P168" s="875"/>
      <c r="Q168" s="877"/>
      <c r="R168" s="875"/>
      <c r="S168" s="875"/>
      <c r="T168" s="875"/>
      <c r="U168" s="876">
        <f t="shared" si="25"/>
        <v>60720</v>
      </c>
      <c r="V168" s="875">
        <f t="shared" si="25"/>
        <v>0</v>
      </c>
      <c r="W168" s="875">
        <f t="shared" si="30"/>
        <v>0</v>
      </c>
      <c r="X168" s="875">
        <f t="shared" si="30"/>
        <v>60720</v>
      </c>
      <c r="Y168" s="883"/>
      <c r="Z168" s="875">
        <f t="shared" si="31"/>
        <v>0</v>
      </c>
      <c r="AA168" s="875">
        <f t="shared" si="31"/>
        <v>0</v>
      </c>
      <c r="AB168" s="875">
        <f t="shared" si="31"/>
        <v>0</v>
      </c>
      <c r="AC168" s="878"/>
    </row>
    <row r="169" spans="1:30" ht="157.5" customHeight="1" x14ac:dyDescent="0.2">
      <c r="A169" s="618" t="s">
        <v>1243</v>
      </c>
      <c r="B169" s="619" t="s">
        <v>747</v>
      </c>
      <c r="C169" s="620">
        <v>244</v>
      </c>
      <c r="D169" s="620">
        <v>226</v>
      </c>
      <c r="E169" s="596">
        <f t="shared" si="24"/>
        <v>35794</v>
      </c>
      <c r="F169" s="595">
        <f>'Прилож 4 24 (9)'!V171</f>
        <v>0</v>
      </c>
      <c r="G169" s="595">
        <f>'Прилож 4 24 (9)'!W171</f>
        <v>0</v>
      </c>
      <c r="H169" s="595">
        <f>'Прилож 4 24 (9)'!X171</f>
        <v>35794</v>
      </c>
      <c r="I169" s="628"/>
      <c r="J169" s="595">
        <f>'Прилож 4 24 (9)'!Z171</f>
        <v>0</v>
      </c>
      <c r="K169" s="595">
        <f>'Прилож 4 24 (9)'!AA171</f>
        <v>0</v>
      </c>
      <c r="L169" s="595">
        <f>'Прилож 4 24 (9)'!AB171</f>
        <v>0</v>
      </c>
      <c r="M169" s="876">
        <f t="shared" si="21"/>
        <v>0</v>
      </c>
      <c r="N169" s="875"/>
      <c r="O169" s="875"/>
      <c r="P169" s="875"/>
      <c r="Q169" s="877"/>
      <c r="R169" s="875"/>
      <c r="S169" s="875"/>
      <c r="T169" s="875"/>
      <c r="U169" s="876">
        <f t="shared" si="25"/>
        <v>35794</v>
      </c>
      <c r="V169" s="875">
        <f t="shared" si="25"/>
        <v>0</v>
      </c>
      <c r="W169" s="875">
        <f t="shared" si="30"/>
        <v>0</v>
      </c>
      <c r="X169" s="875">
        <f t="shared" si="30"/>
        <v>35794</v>
      </c>
      <c r="Y169" s="883"/>
      <c r="Z169" s="875">
        <f t="shared" si="31"/>
        <v>0</v>
      </c>
      <c r="AA169" s="875">
        <f t="shared" si="31"/>
        <v>0</v>
      </c>
      <c r="AB169" s="875">
        <f t="shared" si="31"/>
        <v>0</v>
      </c>
      <c r="AC169" s="878"/>
    </row>
    <row r="170" spans="1:30" ht="57.75" customHeight="1" x14ac:dyDescent="0.2">
      <c r="A170" s="618" t="s">
        <v>593</v>
      </c>
      <c r="B170" s="619" t="s">
        <v>747</v>
      </c>
      <c r="C170" s="620">
        <v>244</v>
      </c>
      <c r="D170" s="620">
        <v>226</v>
      </c>
      <c r="E170" s="596">
        <f t="shared" si="24"/>
        <v>15128.04</v>
      </c>
      <c r="F170" s="595">
        <f>'Прилож 4 24 (9)'!V172</f>
        <v>0</v>
      </c>
      <c r="G170" s="595">
        <f>'Прилож 4 24 (9)'!W172</f>
        <v>0</v>
      </c>
      <c r="H170" s="595">
        <f>'Прилож 4 24 (9)'!X172</f>
        <v>15128.04</v>
      </c>
      <c r="I170" s="628"/>
      <c r="J170" s="595">
        <f>'Прилож 4 24 (9)'!Z172</f>
        <v>0</v>
      </c>
      <c r="K170" s="595">
        <f>'Прилож 4 24 (9)'!AA172</f>
        <v>0</v>
      </c>
      <c r="L170" s="595">
        <f>'Прилож 4 24 (9)'!AB172</f>
        <v>0</v>
      </c>
      <c r="M170" s="876">
        <f t="shared" si="21"/>
        <v>0</v>
      </c>
      <c r="N170" s="875"/>
      <c r="O170" s="875"/>
      <c r="P170" s="875"/>
      <c r="Q170" s="877"/>
      <c r="R170" s="875"/>
      <c r="S170" s="875"/>
      <c r="T170" s="875"/>
      <c r="U170" s="876">
        <f t="shared" si="25"/>
        <v>15128.04</v>
      </c>
      <c r="V170" s="875">
        <f t="shared" si="25"/>
        <v>0</v>
      </c>
      <c r="W170" s="875">
        <f t="shared" si="30"/>
        <v>0</v>
      </c>
      <c r="X170" s="875">
        <f t="shared" si="30"/>
        <v>15128.04</v>
      </c>
      <c r="Y170" s="883"/>
      <c r="Z170" s="875">
        <f t="shared" si="31"/>
        <v>0</v>
      </c>
      <c r="AA170" s="875">
        <f t="shared" si="31"/>
        <v>0</v>
      </c>
      <c r="AB170" s="875">
        <f t="shared" si="31"/>
        <v>0</v>
      </c>
      <c r="AC170" s="878"/>
    </row>
    <row r="171" spans="1:30" ht="24" customHeight="1" x14ac:dyDescent="0.2">
      <c r="A171" s="618" t="s">
        <v>1194</v>
      </c>
      <c r="B171" s="619" t="s">
        <v>747</v>
      </c>
      <c r="C171" s="620">
        <v>244</v>
      </c>
      <c r="D171" s="620">
        <v>226</v>
      </c>
      <c r="E171" s="596">
        <f t="shared" si="24"/>
        <v>20250</v>
      </c>
      <c r="F171" s="595">
        <f>'Прилож 4 24 (9)'!V173</f>
        <v>0</v>
      </c>
      <c r="G171" s="595">
        <f>'Прилож 4 24 (9)'!W173</f>
        <v>0</v>
      </c>
      <c r="H171" s="595">
        <f>'Прилож 4 24 (9)'!X173</f>
        <v>20250</v>
      </c>
      <c r="I171" s="628"/>
      <c r="J171" s="595">
        <f>'Прилож 4 24 (9)'!Z173</f>
        <v>0</v>
      </c>
      <c r="K171" s="595">
        <f>'Прилож 4 24 (9)'!AA173</f>
        <v>0</v>
      </c>
      <c r="L171" s="595">
        <f>'Прилож 4 24 (9)'!AB173</f>
        <v>0</v>
      </c>
      <c r="M171" s="876">
        <f t="shared" si="21"/>
        <v>0</v>
      </c>
      <c r="N171" s="875"/>
      <c r="O171" s="875"/>
      <c r="P171" s="875"/>
      <c r="Q171" s="877"/>
      <c r="R171" s="875"/>
      <c r="S171" s="875"/>
      <c r="T171" s="875"/>
      <c r="U171" s="876">
        <f t="shared" si="25"/>
        <v>20250</v>
      </c>
      <c r="V171" s="875">
        <f t="shared" si="25"/>
        <v>0</v>
      </c>
      <c r="W171" s="875">
        <f t="shared" si="30"/>
        <v>0</v>
      </c>
      <c r="X171" s="875">
        <f t="shared" si="30"/>
        <v>20250</v>
      </c>
      <c r="Y171" s="883"/>
      <c r="Z171" s="875">
        <f t="shared" si="31"/>
        <v>0</v>
      </c>
      <c r="AA171" s="875">
        <f t="shared" si="31"/>
        <v>0</v>
      </c>
      <c r="AB171" s="875">
        <f t="shared" si="31"/>
        <v>0</v>
      </c>
      <c r="AC171" s="878"/>
    </row>
    <row r="172" spans="1:30" ht="52.9" customHeight="1" x14ac:dyDescent="0.2">
      <c r="A172" s="618" t="s">
        <v>1518</v>
      </c>
      <c r="B172" s="619" t="s">
        <v>747</v>
      </c>
      <c r="C172" s="620">
        <v>244</v>
      </c>
      <c r="D172" s="620">
        <v>226</v>
      </c>
      <c r="E172" s="596">
        <f t="shared" si="24"/>
        <v>10676.16</v>
      </c>
      <c r="F172" s="595">
        <f>'Прилож 4 24 (9)'!V174</f>
        <v>0</v>
      </c>
      <c r="G172" s="595">
        <f>'Прилож 4 24 (9)'!W174</f>
        <v>0</v>
      </c>
      <c r="H172" s="595">
        <f>'Прилож 4 24 (9)'!X174</f>
        <v>0</v>
      </c>
      <c r="I172" s="628"/>
      <c r="J172" s="595">
        <f>'Прилож 4 24 (9)'!Z174</f>
        <v>0</v>
      </c>
      <c r="K172" s="595">
        <f>'Прилож 4 24 (9)'!AA174</f>
        <v>0</v>
      </c>
      <c r="L172" s="595">
        <f>'Прилож 4 24 (9)'!AB174</f>
        <v>10676.16</v>
      </c>
      <c r="M172" s="876">
        <f t="shared" si="21"/>
        <v>-1676.16</v>
      </c>
      <c r="N172" s="875"/>
      <c r="O172" s="875"/>
      <c r="P172" s="875"/>
      <c r="Q172" s="877"/>
      <c r="R172" s="875"/>
      <c r="S172" s="875"/>
      <c r="T172" s="875">
        <v>-1676.16</v>
      </c>
      <c r="U172" s="876">
        <f t="shared" si="25"/>
        <v>9000</v>
      </c>
      <c r="V172" s="875">
        <f t="shared" si="25"/>
        <v>0</v>
      </c>
      <c r="W172" s="875">
        <f t="shared" si="30"/>
        <v>0</v>
      </c>
      <c r="X172" s="875">
        <f t="shared" si="30"/>
        <v>0</v>
      </c>
      <c r="Y172" s="883"/>
      <c r="Z172" s="875"/>
      <c r="AA172" s="875"/>
      <c r="AB172" s="875">
        <f t="shared" si="31"/>
        <v>9000</v>
      </c>
      <c r="AC172" s="878" t="s">
        <v>1613</v>
      </c>
    </row>
    <row r="173" spans="1:30" ht="32.25" customHeight="1" x14ac:dyDescent="0.2">
      <c r="A173" s="618" t="s">
        <v>1318</v>
      </c>
      <c r="B173" s="619" t="s">
        <v>747</v>
      </c>
      <c r="C173" s="620">
        <v>244</v>
      </c>
      <c r="D173" s="620">
        <v>226</v>
      </c>
      <c r="E173" s="596">
        <f t="shared" si="24"/>
        <v>0</v>
      </c>
      <c r="F173" s="595">
        <f>'Прилож 4 24 (9)'!V175</f>
        <v>0</v>
      </c>
      <c r="G173" s="595">
        <f>'Прилож 4 24 (9)'!W175</f>
        <v>0</v>
      </c>
      <c r="H173" s="595">
        <f>'Прилож 4 24 (9)'!X175</f>
        <v>0</v>
      </c>
      <c r="I173" s="877" t="s">
        <v>1322</v>
      </c>
      <c r="J173" s="595">
        <f>'Прилож 4 24 (9)'!Z175</f>
        <v>0</v>
      </c>
      <c r="K173" s="595">
        <f>'Прилож 4 24 (9)'!AA175</f>
        <v>0</v>
      </c>
      <c r="L173" s="595">
        <f>'Прилож 4 24 (9)'!AB175</f>
        <v>0</v>
      </c>
      <c r="M173" s="875">
        <f>N173+O173+P173+R173+S173+T173</f>
        <v>0</v>
      </c>
      <c r="N173" s="875"/>
      <c r="O173" s="875"/>
      <c r="P173" s="875"/>
      <c r="Q173" s="877"/>
      <c r="R173" s="875"/>
      <c r="S173" s="875"/>
      <c r="T173" s="875"/>
      <c r="U173" s="876">
        <f t="shared" si="25"/>
        <v>0</v>
      </c>
      <c r="V173" s="875">
        <f t="shared" si="25"/>
        <v>0</v>
      </c>
      <c r="W173" s="875">
        <f t="shared" si="30"/>
        <v>0</v>
      </c>
      <c r="X173" s="875">
        <f t="shared" si="30"/>
        <v>0</v>
      </c>
      <c r="Y173" s="877" t="s">
        <v>1322</v>
      </c>
      <c r="Z173" s="875">
        <f t="shared" ref="Z173:AB197" si="32">R173+J173</f>
        <v>0</v>
      </c>
      <c r="AA173" s="875">
        <f t="shared" si="32"/>
        <v>0</v>
      </c>
      <c r="AB173" s="875">
        <f t="shared" si="31"/>
        <v>0</v>
      </c>
      <c r="AC173" s="878"/>
    </row>
    <row r="174" spans="1:30" s="637" customFormat="1" ht="25.5" customHeight="1" x14ac:dyDescent="0.2">
      <c r="A174" s="632" t="s">
        <v>1143</v>
      </c>
      <c r="B174" s="619" t="s">
        <v>747</v>
      </c>
      <c r="C174" s="634">
        <v>244</v>
      </c>
      <c r="D174" s="634">
        <v>226</v>
      </c>
      <c r="E174" s="596">
        <f t="shared" si="24"/>
        <v>302414.11999999994</v>
      </c>
      <c r="F174" s="595">
        <f>'Прилож 4 24 (9)'!V176</f>
        <v>0</v>
      </c>
      <c r="G174" s="595">
        <f>'Прилож 4 24 (9)'!W176</f>
        <v>0</v>
      </c>
      <c r="H174" s="595">
        <f>'Прилож 4 24 (9)'!X176</f>
        <v>291737.95999999996</v>
      </c>
      <c r="I174" s="640"/>
      <c r="J174" s="595">
        <f>'Прилож 4 24 (9)'!Z176</f>
        <v>0</v>
      </c>
      <c r="K174" s="595">
        <f>'Прилож 4 24 (9)'!AA176</f>
        <v>0</v>
      </c>
      <c r="L174" s="595">
        <f>'Прилож 4 24 (9)'!AB176</f>
        <v>10676.16</v>
      </c>
      <c r="M174" s="876">
        <f t="shared" ref="M174:M236" si="33">N174+P174+R174+S174+T174+O174</f>
        <v>-1676.16</v>
      </c>
      <c r="N174" s="887"/>
      <c r="O174" s="887"/>
      <c r="P174" s="887">
        <f>SUM(P166:P171)</f>
        <v>0</v>
      </c>
      <c r="Q174" s="893"/>
      <c r="R174" s="887"/>
      <c r="S174" s="887">
        <f>SUM(S165:S173)</f>
        <v>0</v>
      </c>
      <c r="T174" s="887">
        <f>T172</f>
        <v>-1676.16</v>
      </c>
      <c r="U174" s="876">
        <f t="shared" si="25"/>
        <v>300737.95999999996</v>
      </c>
      <c r="V174" s="875">
        <f t="shared" si="25"/>
        <v>0</v>
      </c>
      <c r="W174" s="875">
        <f t="shared" si="30"/>
        <v>0</v>
      </c>
      <c r="X174" s="875">
        <f t="shared" si="30"/>
        <v>291737.95999999996</v>
      </c>
      <c r="Y174" s="893"/>
      <c r="Z174" s="875">
        <f t="shared" si="32"/>
        <v>0</v>
      </c>
      <c r="AA174" s="875">
        <f t="shared" si="32"/>
        <v>0</v>
      </c>
      <c r="AB174" s="875">
        <f t="shared" si="31"/>
        <v>9000</v>
      </c>
      <c r="AC174" s="886"/>
    </row>
    <row r="175" spans="1:30" ht="31.5" x14ac:dyDescent="0.2">
      <c r="A175" s="618" t="s">
        <v>586</v>
      </c>
      <c r="B175" s="619" t="s">
        <v>729</v>
      </c>
      <c r="C175" s="620">
        <v>244</v>
      </c>
      <c r="D175" s="620">
        <v>226</v>
      </c>
      <c r="E175" s="596">
        <f t="shared" si="24"/>
        <v>53845.919999999998</v>
      </c>
      <c r="F175" s="595">
        <f>'Прилож 4 24 (9)'!V177</f>
        <v>0</v>
      </c>
      <c r="G175" s="595">
        <f>'Прилож 4 24 (9)'!W177</f>
        <v>0</v>
      </c>
      <c r="H175" s="595">
        <f>'Прилож 4 24 (9)'!X177</f>
        <v>53845.919999999998</v>
      </c>
      <c r="I175" s="628"/>
      <c r="J175" s="595">
        <f>'Прилож 4 24 (9)'!Z177</f>
        <v>0</v>
      </c>
      <c r="K175" s="595">
        <f>'Прилож 4 24 (9)'!AA177</f>
        <v>0</v>
      </c>
      <c r="L175" s="595">
        <f>'Прилож 4 24 (9)'!AB177</f>
        <v>0</v>
      </c>
      <c r="M175" s="876">
        <f t="shared" si="33"/>
        <v>0</v>
      </c>
      <c r="N175" s="875"/>
      <c r="O175" s="875"/>
      <c r="P175" s="875"/>
      <c r="Q175" s="877"/>
      <c r="R175" s="875"/>
      <c r="S175" s="875"/>
      <c r="T175" s="875"/>
      <c r="U175" s="876">
        <f t="shared" si="25"/>
        <v>53845.919999999998</v>
      </c>
      <c r="V175" s="875">
        <f t="shared" si="25"/>
        <v>0</v>
      </c>
      <c r="W175" s="875">
        <f t="shared" si="30"/>
        <v>0</v>
      </c>
      <c r="X175" s="875">
        <f t="shared" si="30"/>
        <v>53845.919999999998</v>
      </c>
      <c r="Y175" s="883"/>
      <c r="Z175" s="875">
        <f t="shared" si="32"/>
        <v>0</v>
      </c>
      <c r="AA175" s="875">
        <f t="shared" si="32"/>
        <v>0</v>
      </c>
      <c r="AB175" s="875">
        <f t="shared" si="31"/>
        <v>0</v>
      </c>
      <c r="AC175" s="878"/>
    </row>
    <row r="176" spans="1:30" ht="31.5" x14ac:dyDescent="0.2">
      <c r="A176" s="618" t="s">
        <v>642</v>
      </c>
      <c r="B176" s="619" t="s">
        <v>729</v>
      </c>
      <c r="C176" s="620">
        <v>244</v>
      </c>
      <c r="D176" s="620">
        <v>226</v>
      </c>
      <c r="E176" s="596">
        <f t="shared" si="24"/>
        <v>60720</v>
      </c>
      <c r="F176" s="595">
        <f>'Прилож 4 24 (9)'!V178</f>
        <v>0</v>
      </c>
      <c r="G176" s="595">
        <f>'Прилож 4 24 (9)'!W178</f>
        <v>0</v>
      </c>
      <c r="H176" s="595">
        <f>'Прилож 4 24 (9)'!X178</f>
        <v>60720</v>
      </c>
      <c r="I176" s="628"/>
      <c r="J176" s="595">
        <f>'Прилож 4 24 (9)'!Z178</f>
        <v>0</v>
      </c>
      <c r="K176" s="595">
        <f>'Прилож 4 24 (9)'!AA178</f>
        <v>0</v>
      </c>
      <c r="L176" s="595">
        <f>'Прилож 4 24 (9)'!AB178</f>
        <v>0</v>
      </c>
      <c r="M176" s="876">
        <f t="shared" si="33"/>
        <v>0</v>
      </c>
      <c r="N176" s="875"/>
      <c r="O176" s="875"/>
      <c r="P176" s="875"/>
      <c r="Q176" s="877"/>
      <c r="R176" s="875"/>
      <c r="S176" s="875"/>
      <c r="T176" s="875"/>
      <c r="U176" s="876">
        <f t="shared" si="25"/>
        <v>60720</v>
      </c>
      <c r="V176" s="875">
        <f t="shared" si="25"/>
        <v>0</v>
      </c>
      <c r="W176" s="875">
        <f t="shared" si="30"/>
        <v>0</v>
      </c>
      <c r="X176" s="875">
        <f t="shared" si="30"/>
        <v>60720</v>
      </c>
      <c r="Y176" s="883"/>
      <c r="Z176" s="875">
        <f t="shared" si="32"/>
        <v>0</v>
      </c>
      <c r="AA176" s="875">
        <f t="shared" si="32"/>
        <v>0</v>
      </c>
      <c r="AB176" s="875">
        <f t="shared" si="31"/>
        <v>0</v>
      </c>
      <c r="AC176" s="878"/>
    </row>
    <row r="177" spans="1:30" ht="60.75" customHeight="1" x14ac:dyDescent="0.2">
      <c r="A177" s="618" t="s">
        <v>1244</v>
      </c>
      <c r="B177" s="619" t="s">
        <v>729</v>
      </c>
      <c r="C177" s="620">
        <v>244</v>
      </c>
      <c r="D177" s="620">
        <v>226</v>
      </c>
      <c r="E177" s="596">
        <f t="shared" si="24"/>
        <v>32665</v>
      </c>
      <c r="F177" s="595">
        <f>'Прилож 4 24 (9)'!V179</f>
        <v>0</v>
      </c>
      <c r="G177" s="595">
        <f>'Прилож 4 24 (9)'!W179</f>
        <v>0</v>
      </c>
      <c r="H177" s="595">
        <f>'Прилож 4 24 (9)'!X179</f>
        <v>32665</v>
      </c>
      <c r="I177" s="628"/>
      <c r="J177" s="595">
        <f>'Прилож 4 24 (9)'!Z179</f>
        <v>0</v>
      </c>
      <c r="K177" s="595">
        <f>'Прилож 4 24 (9)'!AA179</f>
        <v>0</v>
      </c>
      <c r="L177" s="595">
        <f>'Прилож 4 24 (9)'!AB179</f>
        <v>0</v>
      </c>
      <c r="M177" s="876">
        <f t="shared" si="33"/>
        <v>-4385.03</v>
      </c>
      <c r="N177" s="875"/>
      <c r="O177" s="875"/>
      <c r="P177" s="875">
        <f>-2500-1885.03</f>
        <v>-4385.03</v>
      </c>
      <c r="Q177" s="877"/>
      <c r="R177" s="875"/>
      <c r="S177" s="875"/>
      <c r="T177" s="875"/>
      <c r="U177" s="876">
        <f t="shared" si="25"/>
        <v>28279.97</v>
      </c>
      <c r="V177" s="875">
        <f t="shared" si="25"/>
        <v>0</v>
      </c>
      <c r="W177" s="875">
        <f t="shared" si="30"/>
        <v>0</v>
      </c>
      <c r="X177" s="875">
        <f t="shared" si="30"/>
        <v>28279.97</v>
      </c>
      <c r="Y177" s="883"/>
      <c r="Z177" s="875">
        <f t="shared" si="32"/>
        <v>0</v>
      </c>
      <c r="AA177" s="875">
        <f t="shared" si="32"/>
        <v>0</v>
      </c>
      <c r="AB177" s="875">
        <f t="shared" si="31"/>
        <v>0</v>
      </c>
      <c r="AC177" s="878" t="s">
        <v>1629</v>
      </c>
    </row>
    <row r="178" spans="1:30" ht="31.5" x14ac:dyDescent="0.2">
      <c r="A178" s="618" t="s">
        <v>752</v>
      </c>
      <c r="B178" s="619" t="s">
        <v>729</v>
      </c>
      <c r="C178" s="620">
        <v>244</v>
      </c>
      <c r="D178" s="620">
        <v>226</v>
      </c>
      <c r="E178" s="596">
        <f t="shared" si="24"/>
        <v>151500</v>
      </c>
      <c r="F178" s="595">
        <f>'Прилож 4 24 (9)'!V180</f>
        <v>0</v>
      </c>
      <c r="G178" s="595">
        <f>'Прилож 4 24 (9)'!W180</f>
        <v>0</v>
      </c>
      <c r="H178" s="595">
        <f>'Прилож 4 24 (9)'!X180</f>
        <v>151500</v>
      </c>
      <c r="I178" s="628"/>
      <c r="J178" s="595">
        <f>'Прилож 4 24 (9)'!Z180</f>
        <v>0</v>
      </c>
      <c r="K178" s="595">
        <f>'Прилож 4 24 (9)'!AA180</f>
        <v>0</v>
      </c>
      <c r="L178" s="595">
        <f>'Прилож 4 24 (9)'!AB180</f>
        <v>0</v>
      </c>
      <c r="M178" s="876">
        <f t="shared" si="33"/>
        <v>0</v>
      </c>
      <c r="N178" s="875"/>
      <c r="O178" s="875"/>
      <c r="P178" s="875"/>
      <c r="Q178" s="877"/>
      <c r="R178" s="875"/>
      <c r="S178" s="875"/>
      <c r="T178" s="875"/>
      <c r="U178" s="876">
        <f t="shared" si="25"/>
        <v>151500</v>
      </c>
      <c r="V178" s="875">
        <f t="shared" si="25"/>
        <v>0</v>
      </c>
      <c r="W178" s="875">
        <f t="shared" si="30"/>
        <v>0</v>
      </c>
      <c r="X178" s="875">
        <f t="shared" si="30"/>
        <v>151500</v>
      </c>
      <c r="Y178" s="883"/>
      <c r="Z178" s="875">
        <f t="shared" si="32"/>
        <v>0</v>
      </c>
      <c r="AA178" s="875">
        <f t="shared" si="32"/>
        <v>0</v>
      </c>
      <c r="AB178" s="875">
        <f t="shared" si="31"/>
        <v>0</v>
      </c>
      <c r="AC178" s="878"/>
    </row>
    <row r="179" spans="1:30" ht="60.6" customHeight="1" x14ac:dyDescent="0.2">
      <c r="A179" s="618" t="s">
        <v>593</v>
      </c>
      <c r="B179" s="619" t="s">
        <v>729</v>
      </c>
      <c r="C179" s="620">
        <v>244</v>
      </c>
      <c r="D179" s="620">
        <v>226</v>
      </c>
      <c r="E179" s="596">
        <f t="shared" si="24"/>
        <v>2373.9599999999991</v>
      </c>
      <c r="F179" s="595">
        <f>'Прилож 4 24 (9)'!V181</f>
        <v>0</v>
      </c>
      <c r="G179" s="595">
        <f>'Прилож 4 24 (9)'!W181</f>
        <v>0</v>
      </c>
      <c r="H179" s="595">
        <f>'Прилож 4 24 (9)'!X181</f>
        <v>2373.9599999999991</v>
      </c>
      <c r="I179" s="628"/>
      <c r="J179" s="595">
        <f>'Прилож 4 24 (9)'!Z181</f>
        <v>0</v>
      </c>
      <c r="K179" s="595">
        <f>'Прилож 4 24 (9)'!AA181</f>
        <v>0</v>
      </c>
      <c r="L179" s="595">
        <f>'Прилож 4 24 (9)'!AB181</f>
        <v>0</v>
      </c>
      <c r="M179" s="876">
        <f t="shared" si="33"/>
        <v>0</v>
      </c>
      <c r="N179" s="875"/>
      <c r="O179" s="875"/>
      <c r="P179" s="875"/>
      <c r="Q179" s="877"/>
      <c r="R179" s="875"/>
      <c r="S179" s="875"/>
      <c r="T179" s="875"/>
      <c r="U179" s="876">
        <f t="shared" si="25"/>
        <v>2373.9599999999991</v>
      </c>
      <c r="V179" s="875">
        <f t="shared" si="25"/>
        <v>0</v>
      </c>
      <c r="W179" s="875">
        <f t="shared" si="30"/>
        <v>0</v>
      </c>
      <c r="X179" s="875">
        <f t="shared" si="30"/>
        <v>2373.9599999999991</v>
      </c>
      <c r="Y179" s="883"/>
      <c r="Z179" s="875">
        <f t="shared" si="32"/>
        <v>0</v>
      </c>
      <c r="AA179" s="875">
        <f t="shared" si="32"/>
        <v>0</v>
      </c>
      <c r="AB179" s="875">
        <f t="shared" si="31"/>
        <v>0</v>
      </c>
      <c r="AC179" s="878"/>
    </row>
    <row r="180" spans="1:30" ht="23.25" customHeight="1" x14ac:dyDescent="0.2">
      <c r="A180" s="618" t="s">
        <v>914</v>
      </c>
      <c r="B180" s="619" t="s">
        <v>729</v>
      </c>
      <c r="C180" s="620">
        <v>244</v>
      </c>
      <c r="D180" s="620">
        <v>226</v>
      </c>
      <c r="E180" s="596">
        <f t="shared" si="24"/>
        <v>54800</v>
      </c>
      <c r="F180" s="595">
        <f>'Прилож 4 24 (9)'!V182</f>
        <v>0</v>
      </c>
      <c r="G180" s="595">
        <f>'Прилож 4 24 (9)'!W182</f>
        <v>0</v>
      </c>
      <c r="H180" s="595">
        <f>'Прилож 4 24 (9)'!X182</f>
        <v>54800</v>
      </c>
      <c r="I180" s="628"/>
      <c r="J180" s="595">
        <f>'Прилож 4 24 (9)'!Z182</f>
        <v>0</v>
      </c>
      <c r="K180" s="595">
        <f>'Прилож 4 24 (9)'!AA182</f>
        <v>0</v>
      </c>
      <c r="L180" s="595">
        <f>'Прилож 4 24 (9)'!AB182</f>
        <v>0</v>
      </c>
      <c r="M180" s="876">
        <f t="shared" si="33"/>
        <v>0</v>
      </c>
      <c r="N180" s="875"/>
      <c r="O180" s="875"/>
      <c r="P180" s="875"/>
      <c r="Q180" s="877"/>
      <c r="R180" s="875"/>
      <c r="S180" s="875"/>
      <c r="T180" s="875"/>
      <c r="U180" s="876">
        <f t="shared" si="25"/>
        <v>54800</v>
      </c>
      <c r="V180" s="875">
        <f t="shared" si="25"/>
        <v>0</v>
      </c>
      <c r="W180" s="875">
        <f t="shared" si="30"/>
        <v>0</v>
      </c>
      <c r="X180" s="875">
        <f t="shared" si="30"/>
        <v>54800</v>
      </c>
      <c r="Y180" s="883"/>
      <c r="Z180" s="875">
        <f t="shared" si="32"/>
        <v>0</v>
      </c>
      <c r="AA180" s="875">
        <f t="shared" si="32"/>
        <v>0</v>
      </c>
      <c r="AB180" s="875">
        <f t="shared" si="31"/>
        <v>0</v>
      </c>
      <c r="AC180" s="1003"/>
    </row>
    <row r="181" spans="1:30" ht="31.5" customHeight="1" x14ac:dyDescent="0.2">
      <c r="A181" s="618" t="s">
        <v>1245</v>
      </c>
      <c r="B181" s="619" t="s">
        <v>729</v>
      </c>
      <c r="C181" s="620">
        <v>244</v>
      </c>
      <c r="D181" s="620">
        <v>226</v>
      </c>
      <c r="E181" s="596">
        <f t="shared" si="24"/>
        <v>7200</v>
      </c>
      <c r="F181" s="595">
        <f>'Прилож 4 24 (9)'!V183</f>
        <v>0</v>
      </c>
      <c r="G181" s="595">
        <f>'Прилож 4 24 (9)'!W183</f>
        <v>0</v>
      </c>
      <c r="H181" s="595">
        <f>'Прилож 4 24 (9)'!X183</f>
        <v>7200</v>
      </c>
      <c r="I181" s="628"/>
      <c r="J181" s="595">
        <f>'Прилож 4 24 (9)'!Z183</f>
        <v>0</v>
      </c>
      <c r="K181" s="595">
        <f>'Прилож 4 24 (9)'!AA183</f>
        <v>0</v>
      </c>
      <c r="L181" s="595">
        <f>'Прилож 4 24 (9)'!AB183</f>
        <v>0</v>
      </c>
      <c r="M181" s="876">
        <f t="shared" si="33"/>
        <v>0</v>
      </c>
      <c r="N181" s="875"/>
      <c r="O181" s="875"/>
      <c r="P181" s="875"/>
      <c r="Q181" s="877"/>
      <c r="R181" s="875"/>
      <c r="S181" s="875"/>
      <c r="T181" s="875"/>
      <c r="U181" s="876">
        <f t="shared" si="25"/>
        <v>7200</v>
      </c>
      <c r="V181" s="875">
        <f t="shared" si="25"/>
        <v>0</v>
      </c>
      <c r="W181" s="875">
        <f t="shared" si="30"/>
        <v>0</v>
      </c>
      <c r="X181" s="875">
        <f t="shared" si="30"/>
        <v>7200</v>
      </c>
      <c r="Y181" s="883"/>
      <c r="Z181" s="875">
        <f t="shared" si="32"/>
        <v>0</v>
      </c>
      <c r="AA181" s="875">
        <f t="shared" si="32"/>
        <v>0</v>
      </c>
      <c r="AB181" s="875">
        <f t="shared" si="32"/>
        <v>0</v>
      </c>
      <c r="AC181" s="878"/>
    </row>
    <row r="182" spans="1:30" ht="36" customHeight="1" x14ac:dyDescent="0.2">
      <c r="A182" s="618" t="s">
        <v>1185</v>
      </c>
      <c r="B182" s="619" t="s">
        <v>729</v>
      </c>
      <c r="C182" s="620">
        <v>244</v>
      </c>
      <c r="D182" s="620">
        <v>226</v>
      </c>
      <c r="E182" s="596">
        <f t="shared" si="24"/>
        <v>0</v>
      </c>
      <c r="F182" s="595">
        <f>'Прилож 4 24 (9)'!V184</f>
        <v>0</v>
      </c>
      <c r="G182" s="595">
        <f>'Прилож 4 24 (9)'!W184</f>
        <v>0</v>
      </c>
      <c r="H182" s="595">
        <f>'Прилож 4 24 (9)'!X184</f>
        <v>0</v>
      </c>
      <c r="I182" s="621"/>
      <c r="J182" s="595">
        <f>'Прилож 4 24 (9)'!Z184</f>
        <v>0</v>
      </c>
      <c r="K182" s="595">
        <f>'Прилож 4 24 (9)'!AA184</f>
        <v>0</v>
      </c>
      <c r="L182" s="595">
        <f>'Прилож 4 24 (9)'!AB184</f>
        <v>0</v>
      </c>
      <c r="M182" s="876">
        <f t="shared" si="33"/>
        <v>0</v>
      </c>
      <c r="N182" s="875"/>
      <c r="O182" s="875"/>
      <c r="P182" s="875"/>
      <c r="Q182" s="877"/>
      <c r="R182" s="875"/>
      <c r="S182" s="875"/>
      <c r="T182" s="875"/>
      <c r="U182" s="876">
        <f t="shared" si="25"/>
        <v>0</v>
      </c>
      <c r="V182" s="875">
        <f t="shared" si="25"/>
        <v>0</v>
      </c>
      <c r="W182" s="875">
        <f t="shared" si="30"/>
        <v>0</v>
      </c>
      <c r="X182" s="875">
        <f t="shared" si="30"/>
        <v>0</v>
      </c>
      <c r="Y182" s="877"/>
      <c r="Z182" s="875">
        <f t="shared" si="32"/>
        <v>0</v>
      </c>
      <c r="AA182" s="875">
        <f t="shared" si="32"/>
        <v>0</v>
      </c>
      <c r="AB182" s="875">
        <f t="shared" si="32"/>
        <v>0</v>
      </c>
      <c r="AC182" s="878"/>
    </row>
    <row r="183" spans="1:30" ht="27" customHeight="1" x14ac:dyDescent="0.2">
      <c r="A183" s="618" t="s">
        <v>1194</v>
      </c>
      <c r="B183" s="619" t="s">
        <v>729</v>
      </c>
      <c r="C183" s="620">
        <v>244</v>
      </c>
      <c r="D183" s="620">
        <v>226</v>
      </c>
      <c r="E183" s="596">
        <f t="shared" si="24"/>
        <v>13500</v>
      </c>
      <c r="F183" s="595">
        <f>'Прилож 4 24 (9)'!V185</f>
        <v>0</v>
      </c>
      <c r="G183" s="595">
        <f>'Прилож 4 24 (9)'!W185</f>
        <v>0</v>
      </c>
      <c r="H183" s="595">
        <f>'Прилож 4 24 (9)'!X185</f>
        <v>13500</v>
      </c>
      <c r="I183" s="621"/>
      <c r="J183" s="595">
        <f>'Прилож 4 24 (9)'!Z185</f>
        <v>0</v>
      </c>
      <c r="K183" s="595">
        <f>'Прилож 4 24 (9)'!AA185</f>
        <v>0</v>
      </c>
      <c r="L183" s="595">
        <f>'Прилож 4 24 (9)'!AB185</f>
        <v>0</v>
      </c>
      <c r="M183" s="876">
        <f t="shared" si="33"/>
        <v>2500</v>
      </c>
      <c r="N183" s="875"/>
      <c r="O183" s="875"/>
      <c r="P183" s="875">
        <v>2500</v>
      </c>
      <c r="Q183" s="877"/>
      <c r="R183" s="875"/>
      <c r="S183" s="875"/>
      <c r="T183" s="875"/>
      <c r="U183" s="876">
        <f t="shared" si="25"/>
        <v>16000</v>
      </c>
      <c r="V183" s="875">
        <f t="shared" si="25"/>
        <v>0</v>
      </c>
      <c r="W183" s="875">
        <f t="shared" si="30"/>
        <v>0</v>
      </c>
      <c r="X183" s="875">
        <f t="shared" si="30"/>
        <v>16000</v>
      </c>
      <c r="Y183" s="877"/>
      <c r="Z183" s="875">
        <f t="shared" si="32"/>
        <v>0</v>
      </c>
      <c r="AA183" s="875">
        <f t="shared" si="32"/>
        <v>0</v>
      </c>
      <c r="AB183" s="875">
        <f t="shared" si="32"/>
        <v>0</v>
      </c>
      <c r="AC183" s="878" t="s">
        <v>1630</v>
      </c>
    </row>
    <row r="184" spans="1:30" ht="54.75" customHeight="1" x14ac:dyDescent="0.2">
      <c r="A184" s="618" t="s">
        <v>1223</v>
      </c>
      <c r="B184" s="619" t="s">
        <v>729</v>
      </c>
      <c r="C184" s="620">
        <v>244</v>
      </c>
      <c r="D184" s="620">
        <v>226</v>
      </c>
      <c r="E184" s="596">
        <f t="shared" si="24"/>
        <v>14900</v>
      </c>
      <c r="F184" s="595">
        <f>'Прилож 4 24 (9)'!V186</f>
        <v>0</v>
      </c>
      <c r="G184" s="595">
        <f>'Прилож 4 24 (9)'!W186</f>
        <v>0</v>
      </c>
      <c r="H184" s="595">
        <f>'Прилож 4 24 (9)'!X186</f>
        <v>14900</v>
      </c>
      <c r="I184" s="628"/>
      <c r="J184" s="595">
        <f>'Прилож 4 24 (9)'!Z186</f>
        <v>0</v>
      </c>
      <c r="K184" s="595">
        <f>'Прилож 4 24 (9)'!AA186</f>
        <v>0</v>
      </c>
      <c r="L184" s="595">
        <f>'Прилож 4 24 (9)'!AB186</f>
        <v>0</v>
      </c>
      <c r="M184" s="876">
        <f t="shared" si="33"/>
        <v>0</v>
      </c>
      <c r="N184" s="875"/>
      <c r="O184" s="875"/>
      <c r="P184" s="875"/>
      <c r="Q184" s="877"/>
      <c r="R184" s="875"/>
      <c r="S184" s="875"/>
      <c r="T184" s="875"/>
      <c r="U184" s="876">
        <f t="shared" si="25"/>
        <v>14900</v>
      </c>
      <c r="V184" s="875">
        <f t="shared" si="25"/>
        <v>0</v>
      </c>
      <c r="W184" s="875">
        <f t="shared" si="30"/>
        <v>0</v>
      </c>
      <c r="X184" s="875">
        <f t="shared" si="30"/>
        <v>14900</v>
      </c>
      <c r="Y184" s="883"/>
      <c r="Z184" s="875">
        <f t="shared" si="32"/>
        <v>0</v>
      </c>
      <c r="AA184" s="875">
        <f t="shared" si="32"/>
        <v>0</v>
      </c>
      <c r="AB184" s="875">
        <f t="shared" si="32"/>
        <v>0</v>
      </c>
      <c r="AC184" s="878"/>
    </row>
    <row r="185" spans="1:30" ht="47.25" x14ac:dyDescent="0.2">
      <c r="A185" s="618" t="s">
        <v>1289</v>
      </c>
      <c r="B185" s="619" t="s">
        <v>729</v>
      </c>
      <c r="C185" s="620">
        <v>244</v>
      </c>
      <c r="D185" s="620">
        <v>226</v>
      </c>
      <c r="E185" s="596">
        <f t="shared" si="24"/>
        <v>11320</v>
      </c>
      <c r="F185" s="595">
        <f>'Прилож 4 24 (9)'!V187</f>
        <v>0</v>
      </c>
      <c r="G185" s="595">
        <f>'Прилож 4 24 (9)'!W187</f>
        <v>0</v>
      </c>
      <c r="H185" s="595">
        <f>'Прилож 4 24 (9)'!X187</f>
        <v>11320</v>
      </c>
      <c r="I185" s="628"/>
      <c r="J185" s="595">
        <f>'Прилож 4 24 (9)'!Z187</f>
        <v>0</v>
      </c>
      <c r="K185" s="595">
        <f>'Прилож 4 24 (9)'!AA187</f>
        <v>0</v>
      </c>
      <c r="L185" s="595">
        <f>'Прилож 4 24 (9)'!AB187</f>
        <v>0</v>
      </c>
      <c r="M185" s="876">
        <f t="shared" si="33"/>
        <v>0</v>
      </c>
      <c r="N185" s="875"/>
      <c r="O185" s="875"/>
      <c r="P185" s="875"/>
      <c r="Q185" s="877"/>
      <c r="R185" s="875"/>
      <c r="S185" s="875"/>
      <c r="T185" s="875"/>
      <c r="U185" s="876">
        <f t="shared" si="25"/>
        <v>11320</v>
      </c>
      <c r="V185" s="875">
        <f t="shared" si="25"/>
        <v>0</v>
      </c>
      <c r="W185" s="875">
        <f t="shared" si="30"/>
        <v>0</v>
      </c>
      <c r="X185" s="875">
        <f t="shared" si="30"/>
        <v>11320</v>
      </c>
      <c r="Y185" s="883"/>
      <c r="Z185" s="875">
        <f t="shared" si="32"/>
        <v>0</v>
      </c>
      <c r="AA185" s="875">
        <f t="shared" si="32"/>
        <v>0</v>
      </c>
      <c r="AB185" s="875">
        <f t="shared" si="32"/>
        <v>0</v>
      </c>
      <c r="AC185" s="878"/>
    </row>
    <row r="186" spans="1:30" ht="24.75" customHeight="1" x14ac:dyDescent="0.2">
      <c r="A186" s="618" t="s">
        <v>1313</v>
      </c>
      <c r="B186" s="619" t="s">
        <v>729</v>
      </c>
      <c r="C186" s="620">
        <v>244</v>
      </c>
      <c r="D186" s="620">
        <v>226</v>
      </c>
      <c r="E186" s="596">
        <f t="shared" si="24"/>
        <v>163101.6</v>
      </c>
      <c r="F186" s="595">
        <f>'Прилож 4 24 (9)'!V188</f>
        <v>0</v>
      </c>
      <c r="G186" s="595">
        <f>'Прилож 4 24 (9)'!W188</f>
        <v>0</v>
      </c>
      <c r="H186" s="595">
        <f>'Прилож 4 24 (9)'!X188</f>
        <v>0</v>
      </c>
      <c r="I186" s="582" t="s">
        <v>1314</v>
      </c>
      <c r="J186" s="595">
        <f>'Прилож 4 24 (9)'!Z188</f>
        <v>0</v>
      </c>
      <c r="K186" s="595">
        <f>'Прилож 4 24 (9)'!AA188</f>
        <v>163101.6</v>
      </c>
      <c r="L186" s="595">
        <f>'Прилож 4 24 (9)'!AB188</f>
        <v>0</v>
      </c>
      <c r="M186" s="876">
        <f t="shared" si="33"/>
        <v>0</v>
      </c>
      <c r="N186" s="875"/>
      <c r="O186" s="875"/>
      <c r="P186" s="875"/>
      <c r="Q186" s="873"/>
      <c r="R186" s="875"/>
      <c r="S186" s="875"/>
      <c r="T186" s="875"/>
      <c r="U186" s="876">
        <f t="shared" si="25"/>
        <v>163101.6</v>
      </c>
      <c r="V186" s="875">
        <f t="shared" si="25"/>
        <v>0</v>
      </c>
      <c r="W186" s="875">
        <f t="shared" si="30"/>
        <v>0</v>
      </c>
      <c r="X186" s="875">
        <f t="shared" si="30"/>
        <v>0</v>
      </c>
      <c r="Y186" s="873" t="s">
        <v>1314</v>
      </c>
      <c r="Z186" s="875">
        <f t="shared" si="32"/>
        <v>0</v>
      </c>
      <c r="AA186" s="875">
        <f t="shared" si="32"/>
        <v>163101.6</v>
      </c>
      <c r="AB186" s="875">
        <f t="shared" si="32"/>
        <v>0</v>
      </c>
      <c r="AC186" s="878"/>
    </row>
    <row r="187" spans="1:30" ht="41.25" customHeight="1" x14ac:dyDescent="0.2">
      <c r="A187" s="618" t="s">
        <v>1318</v>
      </c>
      <c r="B187" s="619" t="s">
        <v>729</v>
      </c>
      <c r="C187" s="620">
        <v>244</v>
      </c>
      <c r="D187" s="620">
        <v>226</v>
      </c>
      <c r="E187" s="596">
        <f t="shared" si="24"/>
        <v>0</v>
      </c>
      <c r="F187" s="595">
        <f>'Прилож 4 24 (9)'!V189</f>
        <v>0</v>
      </c>
      <c r="G187" s="595">
        <f>'Прилож 4 24 (9)'!W189</f>
        <v>0</v>
      </c>
      <c r="H187" s="595">
        <f>'Прилож 4 24 (9)'!X189</f>
        <v>0</v>
      </c>
      <c r="I187" s="582" t="s">
        <v>1314</v>
      </c>
      <c r="J187" s="595">
        <f>'Прилож 4 24 (9)'!Z189</f>
        <v>0</v>
      </c>
      <c r="K187" s="595">
        <f>'Прилож 4 24 (9)'!AA189</f>
        <v>0</v>
      </c>
      <c r="L187" s="595">
        <f>'Прилож 4 24 (9)'!AB189</f>
        <v>0</v>
      </c>
      <c r="M187" s="876">
        <f t="shared" si="33"/>
        <v>0</v>
      </c>
      <c r="N187" s="875"/>
      <c r="O187" s="875"/>
      <c r="P187" s="875"/>
      <c r="Q187" s="990"/>
      <c r="R187" s="875"/>
      <c r="S187" s="875"/>
      <c r="T187" s="875"/>
      <c r="U187" s="876">
        <f t="shared" si="25"/>
        <v>0</v>
      </c>
      <c r="V187" s="875">
        <f t="shared" si="25"/>
        <v>0</v>
      </c>
      <c r="W187" s="875">
        <f t="shared" si="30"/>
        <v>0</v>
      </c>
      <c r="X187" s="875">
        <f t="shared" si="30"/>
        <v>0</v>
      </c>
      <c r="Y187" s="873" t="s">
        <v>1314</v>
      </c>
      <c r="Z187" s="875">
        <f t="shared" si="32"/>
        <v>0</v>
      </c>
      <c r="AA187" s="875">
        <f t="shared" si="32"/>
        <v>0</v>
      </c>
      <c r="AB187" s="875">
        <f t="shared" si="32"/>
        <v>0</v>
      </c>
      <c r="AC187" s="878"/>
    </row>
    <row r="188" spans="1:30" ht="47.25" customHeight="1" x14ac:dyDescent="0.2">
      <c r="A188" s="618" t="s">
        <v>1424</v>
      </c>
      <c r="B188" s="619" t="s">
        <v>729</v>
      </c>
      <c r="C188" s="620">
        <v>244</v>
      </c>
      <c r="D188" s="620">
        <v>226</v>
      </c>
      <c r="E188" s="596">
        <f t="shared" si="24"/>
        <v>43822.35</v>
      </c>
      <c r="F188" s="595">
        <f>'Прилож 4 24 (9)'!V190</f>
        <v>43822.35</v>
      </c>
      <c r="G188" s="595">
        <f>'Прилож 4 24 (9)'!W190</f>
        <v>0</v>
      </c>
      <c r="H188" s="595">
        <f>'Прилож 4 24 (9)'!X190</f>
        <v>0</v>
      </c>
      <c r="I188" s="582"/>
      <c r="J188" s="595">
        <f>'Прилож 4 24 (9)'!Z190</f>
        <v>0</v>
      </c>
      <c r="K188" s="595">
        <f>'Прилож 4 24 (9)'!AA190</f>
        <v>0</v>
      </c>
      <c r="L188" s="595">
        <f>'Прилож 4 24 (9)'!AB190</f>
        <v>0</v>
      </c>
      <c r="M188" s="876">
        <f t="shared" si="33"/>
        <v>0</v>
      </c>
      <c r="N188" s="875"/>
      <c r="O188" s="875"/>
      <c r="P188" s="875"/>
      <c r="Q188" s="873"/>
      <c r="R188" s="875"/>
      <c r="S188" s="875"/>
      <c r="T188" s="875"/>
      <c r="U188" s="876">
        <f t="shared" si="25"/>
        <v>43822.35</v>
      </c>
      <c r="V188" s="875">
        <f t="shared" si="25"/>
        <v>43822.35</v>
      </c>
      <c r="W188" s="875">
        <f t="shared" si="30"/>
        <v>0</v>
      </c>
      <c r="X188" s="875">
        <f t="shared" si="30"/>
        <v>0</v>
      </c>
      <c r="Y188" s="873"/>
      <c r="Z188" s="875">
        <f t="shared" si="32"/>
        <v>0</v>
      </c>
      <c r="AA188" s="875">
        <f t="shared" si="32"/>
        <v>0</v>
      </c>
      <c r="AB188" s="875">
        <f t="shared" si="32"/>
        <v>0</v>
      </c>
      <c r="AC188" s="878"/>
    </row>
    <row r="189" spans="1:30" ht="25.5" customHeight="1" x14ac:dyDescent="0.2">
      <c r="A189" s="618" t="s">
        <v>1393</v>
      </c>
      <c r="B189" s="619" t="s">
        <v>729</v>
      </c>
      <c r="C189" s="620">
        <v>244</v>
      </c>
      <c r="D189" s="620">
        <v>226</v>
      </c>
      <c r="E189" s="596">
        <f t="shared" ref="E189:E211" si="34">L189+K189+J189+H189+G189+F189</f>
        <v>0</v>
      </c>
      <c r="F189" s="595">
        <f>'Прилож 4 24 (9)'!V191</f>
        <v>0</v>
      </c>
      <c r="G189" s="595">
        <f>'Прилож 4 24 (9)'!W191</f>
        <v>0</v>
      </c>
      <c r="H189" s="595">
        <f>'Прилож 4 24 (9)'!X191</f>
        <v>0</v>
      </c>
      <c r="I189" s="582"/>
      <c r="J189" s="595">
        <f>'Прилож 4 24 (9)'!Z191</f>
        <v>0</v>
      </c>
      <c r="K189" s="595">
        <f>'Прилож 4 24 (9)'!AA191</f>
        <v>0</v>
      </c>
      <c r="L189" s="595">
        <f>'Прилож 4 24 (9)'!AB191</f>
        <v>0</v>
      </c>
      <c r="M189" s="876">
        <f t="shared" si="33"/>
        <v>0</v>
      </c>
      <c r="N189" s="875"/>
      <c r="O189" s="875"/>
      <c r="P189" s="875"/>
      <c r="Q189" s="873"/>
      <c r="R189" s="875"/>
      <c r="S189" s="875"/>
      <c r="T189" s="875"/>
      <c r="U189" s="876">
        <f t="shared" ref="U189:V251" si="35">E189+M189</f>
        <v>0</v>
      </c>
      <c r="V189" s="875">
        <f t="shared" si="35"/>
        <v>0</v>
      </c>
      <c r="W189" s="875">
        <f t="shared" si="30"/>
        <v>0</v>
      </c>
      <c r="X189" s="875">
        <f t="shared" si="30"/>
        <v>0</v>
      </c>
      <c r="Y189" s="873"/>
      <c r="Z189" s="875">
        <f t="shared" si="32"/>
        <v>0</v>
      </c>
      <c r="AA189" s="875">
        <f t="shared" si="32"/>
        <v>0</v>
      </c>
      <c r="AB189" s="875">
        <f t="shared" si="32"/>
        <v>0</v>
      </c>
      <c r="AC189" s="878"/>
    </row>
    <row r="190" spans="1:30" ht="48.75" customHeight="1" x14ac:dyDescent="0.2">
      <c r="A190" s="618" t="s">
        <v>1327</v>
      </c>
      <c r="B190" s="619" t="s">
        <v>729</v>
      </c>
      <c r="C190" s="620">
        <v>244</v>
      </c>
      <c r="D190" s="620">
        <v>226</v>
      </c>
      <c r="E190" s="596">
        <f t="shared" si="34"/>
        <v>4898492.1900000004</v>
      </c>
      <c r="F190" s="595">
        <f>'Прилож 4 24 (9)'!V192</f>
        <v>0</v>
      </c>
      <c r="G190" s="595">
        <f>'Прилож 4 24 (9)'!W192</f>
        <v>0</v>
      </c>
      <c r="H190" s="595">
        <f>'Прилож 4 24 (9)'!X192</f>
        <v>0</v>
      </c>
      <c r="I190" s="621" t="s">
        <v>1314</v>
      </c>
      <c r="J190" s="595">
        <f>'Прилож 4 24 (9)'!Z192</f>
        <v>0</v>
      </c>
      <c r="K190" s="595">
        <f>'Прилож 4 24 (9)'!AA192</f>
        <v>4898492.1900000004</v>
      </c>
      <c r="L190" s="595">
        <f>'Прилож 4 24 (9)'!AB192</f>
        <v>0</v>
      </c>
      <c r="M190" s="876">
        <f t="shared" si="33"/>
        <v>0</v>
      </c>
      <c r="N190" s="875"/>
      <c r="O190" s="875"/>
      <c r="P190" s="875"/>
      <c r="Q190" s="621"/>
      <c r="R190" s="875"/>
      <c r="S190" s="875"/>
      <c r="T190" s="875"/>
      <c r="U190" s="876">
        <f t="shared" si="35"/>
        <v>4898492.1900000004</v>
      </c>
      <c r="V190" s="875">
        <f t="shared" si="35"/>
        <v>0</v>
      </c>
      <c r="W190" s="875">
        <f t="shared" si="30"/>
        <v>0</v>
      </c>
      <c r="X190" s="875">
        <f t="shared" si="30"/>
        <v>0</v>
      </c>
      <c r="Y190" s="621" t="s">
        <v>1314</v>
      </c>
      <c r="Z190" s="875">
        <f t="shared" si="32"/>
        <v>0</v>
      </c>
      <c r="AA190" s="875">
        <f t="shared" si="32"/>
        <v>4898492.1900000004</v>
      </c>
      <c r="AB190" s="875">
        <f t="shared" si="32"/>
        <v>0</v>
      </c>
      <c r="AC190" s="878"/>
    </row>
    <row r="191" spans="1:30" s="637" customFormat="1" ht="30" customHeight="1" x14ac:dyDescent="0.2">
      <c r="A191" s="1046" t="s">
        <v>1143</v>
      </c>
      <c r="B191" s="1047" t="s">
        <v>729</v>
      </c>
      <c r="C191" s="1048">
        <v>244</v>
      </c>
      <c r="D191" s="1048">
        <v>226</v>
      </c>
      <c r="E191" s="596">
        <f t="shared" si="34"/>
        <v>5508241.0199999996</v>
      </c>
      <c r="F191" s="595">
        <f>'Прилож 4 24 (9)'!V193</f>
        <v>43822.35</v>
      </c>
      <c r="G191" s="595">
        <f>'Прилож 4 24 (9)'!W193</f>
        <v>0</v>
      </c>
      <c r="H191" s="595">
        <f>'Прилож 4 24 (9)'!X193</f>
        <v>402824.88</v>
      </c>
      <c r="I191" s="635"/>
      <c r="J191" s="595">
        <f>'Прилож 4 24 (9)'!Z193</f>
        <v>0</v>
      </c>
      <c r="K191" s="595">
        <f>'Прилож 4 24 (9)'!AA193</f>
        <v>5061593.79</v>
      </c>
      <c r="L191" s="595">
        <f>'Прилож 4 24 (9)'!AB193</f>
        <v>0</v>
      </c>
      <c r="M191" s="876">
        <f t="shared" si="33"/>
        <v>-1885.0299999999997</v>
      </c>
      <c r="N191" s="884">
        <f>SUM(N175:N189)</f>
        <v>0</v>
      </c>
      <c r="O191" s="884"/>
      <c r="P191" s="884">
        <f>SUM(P175:P189)</f>
        <v>-1885.0299999999997</v>
      </c>
      <c r="Q191" s="885"/>
      <c r="R191" s="884"/>
      <c r="S191" s="884">
        <f>SUM(S175:S190)</f>
        <v>0</v>
      </c>
      <c r="T191" s="884"/>
      <c r="U191" s="876">
        <f t="shared" si="35"/>
        <v>5506355.9899999993</v>
      </c>
      <c r="V191" s="876">
        <f t="shared" si="35"/>
        <v>43822.35</v>
      </c>
      <c r="W191" s="876">
        <f t="shared" si="30"/>
        <v>0</v>
      </c>
      <c r="X191" s="876">
        <f t="shared" si="30"/>
        <v>400939.85</v>
      </c>
      <c r="Y191" s="885"/>
      <c r="Z191" s="876">
        <f t="shared" si="32"/>
        <v>0</v>
      </c>
      <c r="AA191" s="876">
        <f t="shared" si="32"/>
        <v>5061593.79</v>
      </c>
      <c r="AB191" s="876">
        <f t="shared" si="32"/>
        <v>0</v>
      </c>
      <c r="AC191" s="1049"/>
      <c r="AD191" s="819"/>
    </row>
    <row r="192" spans="1:30" x14ac:dyDescent="0.2">
      <c r="A192" s="618" t="s">
        <v>753</v>
      </c>
      <c r="B192" s="619" t="s">
        <v>691</v>
      </c>
      <c r="C192" s="620">
        <v>244</v>
      </c>
      <c r="D192" s="620">
        <v>226</v>
      </c>
      <c r="E192" s="596">
        <f t="shared" si="34"/>
        <v>190260</v>
      </c>
      <c r="F192" s="595">
        <f>'Прилож 4 24 (9)'!V194</f>
        <v>32288.760000000002</v>
      </c>
      <c r="G192" s="595">
        <f>'Прилож 4 24 (9)'!W194</f>
        <v>0</v>
      </c>
      <c r="H192" s="595">
        <f>'Прилож 4 24 (9)'!X194</f>
        <v>109128.84999999999</v>
      </c>
      <c r="I192" s="628"/>
      <c r="J192" s="595">
        <f>'Прилож 4 24 (9)'!Z194</f>
        <v>0</v>
      </c>
      <c r="K192" s="595">
        <f>'Прилож 4 24 (9)'!AA194</f>
        <v>0</v>
      </c>
      <c r="L192" s="595">
        <f>'Прилож 4 24 (9)'!AB194</f>
        <v>48842.39</v>
      </c>
      <c r="M192" s="876">
        <f t="shared" si="33"/>
        <v>0</v>
      </c>
      <c r="N192" s="875"/>
      <c r="O192" s="875"/>
      <c r="P192" s="875"/>
      <c r="Q192" s="877"/>
      <c r="R192" s="875"/>
      <c r="S192" s="875"/>
      <c r="T192" s="875"/>
      <c r="U192" s="876">
        <f t="shared" si="35"/>
        <v>190260</v>
      </c>
      <c r="V192" s="875">
        <f t="shared" si="35"/>
        <v>32288.760000000002</v>
      </c>
      <c r="W192" s="875">
        <f t="shared" si="30"/>
        <v>0</v>
      </c>
      <c r="X192" s="875">
        <f t="shared" si="30"/>
        <v>109128.84999999999</v>
      </c>
      <c r="Y192" s="883"/>
      <c r="Z192" s="875">
        <f t="shared" si="32"/>
        <v>0</v>
      </c>
      <c r="AA192" s="875">
        <f t="shared" si="32"/>
        <v>0</v>
      </c>
      <c r="AB192" s="875">
        <f t="shared" si="32"/>
        <v>48842.39</v>
      </c>
      <c r="AC192" s="878"/>
    </row>
    <row r="193" spans="1:30" x14ac:dyDescent="0.2">
      <c r="A193" s="618" t="s">
        <v>754</v>
      </c>
      <c r="B193" s="619" t="s">
        <v>691</v>
      </c>
      <c r="C193" s="620">
        <v>244</v>
      </c>
      <c r="D193" s="620">
        <v>226</v>
      </c>
      <c r="E193" s="596">
        <f t="shared" si="34"/>
        <v>74560.5</v>
      </c>
      <c r="F193" s="595">
        <f>'Прилож 4 24 (9)'!V195</f>
        <v>0</v>
      </c>
      <c r="G193" s="595">
        <f>'Прилож 4 24 (9)'!W195</f>
        <v>0</v>
      </c>
      <c r="H193" s="595">
        <f>'Прилож 4 24 (9)'!X195</f>
        <v>63301.25</v>
      </c>
      <c r="I193" s="628"/>
      <c r="J193" s="595">
        <f>'Прилож 4 24 (9)'!Z195</f>
        <v>0</v>
      </c>
      <c r="K193" s="595">
        <f>'Прилож 4 24 (9)'!AA195</f>
        <v>0</v>
      </c>
      <c r="L193" s="595">
        <f>'Прилож 4 24 (9)'!AB195</f>
        <v>11259.25</v>
      </c>
      <c r="M193" s="876">
        <f t="shared" si="33"/>
        <v>0</v>
      </c>
      <c r="N193" s="875"/>
      <c r="O193" s="875"/>
      <c r="P193" s="875"/>
      <c r="Q193" s="877"/>
      <c r="R193" s="875"/>
      <c r="S193" s="875"/>
      <c r="T193" s="875"/>
      <c r="U193" s="876">
        <f t="shared" si="35"/>
        <v>74560.5</v>
      </c>
      <c r="V193" s="875">
        <f t="shared" si="35"/>
        <v>0</v>
      </c>
      <c r="W193" s="875">
        <f t="shared" si="30"/>
        <v>0</v>
      </c>
      <c r="X193" s="875">
        <f t="shared" si="30"/>
        <v>63301.25</v>
      </c>
      <c r="Y193" s="883"/>
      <c r="Z193" s="875">
        <f t="shared" si="32"/>
        <v>0</v>
      </c>
      <c r="AA193" s="875">
        <f t="shared" si="32"/>
        <v>0</v>
      </c>
      <c r="AB193" s="875">
        <f t="shared" si="32"/>
        <v>11259.25</v>
      </c>
      <c r="AC193" s="878"/>
    </row>
    <row r="194" spans="1:30" ht="45" customHeight="1" x14ac:dyDescent="0.2">
      <c r="A194" s="618" t="s">
        <v>712</v>
      </c>
      <c r="B194" s="619" t="s">
        <v>691</v>
      </c>
      <c r="C194" s="620">
        <v>244</v>
      </c>
      <c r="D194" s="620">
        <v>226</v>
      </c>
      <c r="E194" s="596">
        <f t="shared" si="34"/>
        <v>28538.999999999996</v>
      </c>
      <c r="F194" s="595">
        <f>'Прилож 4 24 (9)'!V196</f>
        <v>0</v>
      </c>
      <c r="G194" s="595">
        <f>'Прилож 4 24 (9)'!W196</f>
        <v>0</v>
      </c>
      <c r="H194" s="595">
        <f>'Прилож 4 24 (9)'!X196</f>
        <v>27112.049999999996</v>
      </c>
      <c r="I194" s="628"/>
      <c r="J194" s="595">
        <f>'Прилож 4 24 (9)'!Z196</f>
        <v>0</v>
      </c>
      <c r="K194" s="595">
        <f>'Прилож 4 24 (9)'!AA196</f>
        <v>0</v>
      </c>
      <c r="L194" s="595">
        <f>'Прилож 4 24 (9)'!AB196</f>
        <v>1426.95</v>
      </c>
      <c r="M194" s="876">
        <f t="shared" si="33"/>
        <v>0</v>
      </c>
      <c r="N194" s="875"/>
      <c r="O194" s="875"/>
      <c r="P194" s="875"/>
      <c r="Q194" s="877"/>
      <c r="R194" s="875"/>
      <c r="S194" s="875"/>
      <c r="T194" s="875"/>
      <c r="U194" s="876">
        <f t="shared" si="35"/>
        <v>28538.999999999996</v>
      </c>
      <c r="V194" s="875">
        <f t="shared" si="35"/>
        <v>0</v>
      </c>
      <c r="W194" s="875">
        <f t="shared" si="30"/>
        <v>0</v>
      </c>
      <c r="X194" s="875">
        <f t="shared" si="30"/>
        <v>27112.049999999996</v>
      </c>
      <c r="Y194" s="883"/>
      <c r="Z194" s="875">
        <f t="shared" si="32"/>
        <v>0</v>
      </c>
      <c r="AA194" s="875">
        <f t="shared" si="32"/>
        <v>0</v>
      </c>
      <c r="AB194" s="875">
        <f t="shared" si="32"/>
        <v>1426.95</v>
      </c>
      <c r="AC194" s="878"/>
    </row>
    <row r="195" spans="1:30" x14ac:dyDescent="0.2">
      <c r="A195" s="618" t="s">
        <v>755</v>
      </c>
      <c r="B195" s="619" t="s">
        <v>691</v>
      </c>
      <c r="C195" s="620">
        <v>244</v>
      </c>
      <c r="D195" s="620">
        <v>226</v>
      </c>
      <c r="E195" s="596">
        <f t="shared" si="34"/>
        <v>0</v>
      </c>
      <c r="F195" s="595">
        <f>'Прилож 4 24 (9)'!V197</f>
        <v>0</v>
      </c>
      <c r="G195" s="595">
        <f>'Прилож 4 24 (9)'!W197</f>
        <v>0</v>
      </c>
      <c r="H195" s="595">
        <f>'Прилож 4 24 (9)'!X197</f>
        <v>0</v>
      </c>
      <c r="I195" s="628"/>
      <c r="J195" s="595">
        <f>'Прилож 4 24 (9)'!Z197</f>
        <v>0</v>
      </c>
      <c r="K195" s="595">
        <f>'Прилож 4 24 (9)'!AA197</f>
        <v>0</v>
      </c>
      <c r="L195" s="595">
        <f>'Прилож 4 24 (9)'!AB197</f>
        <v>0</v>
      </c>
      <c r="M195" s="876">
        <f t="shared" si="33"/>
        <v>0</v>
      </c>
      <c r="N195" s="875"/>
      <c r="O195" s="875"/>
      <c r="P195" s="875"/>
      <c r="Q195" s="877"/>
      <c r="R195" s="875"/>
      <c r="S195" s="875"/>
      <c r="T195" s="875"/>
      <c r="U195" s="876">
        <f t="shared" si="35"/>
        <v>0</v>
      </c>
      <c r="V195" s="875">
        <f t="shared" si="35"/>
        <v>0</v>
      </c>
      <c r="W195" s="875">
        <f t="shared" si="30"/>
        <v>0</v>
      </c>
      <c r="X195" s="875">
        <f t="shared" si="30"/>
        <v>0</v>
      </c>
      <c r="Y195" s="883"/>
      <c r="Z195" s="875">
        <f t="shared" si="32"/>
        <v>0</v>
      </c>
      <c r="AA195" s="875">
        <f t="shared" si="32"/>
        <v>0</v>
      </c>
      <c r="AB195" s="875">
        <f t="shared" si="32"/>
        <v>0</v>
      </c>
      <c r="AC195" s="878"/>
    </row>
    <row r="196" spans="1:30" ht="30" customHeight="1" x14ac:dyDescent="0.2">
      <c r="A196" s="618" t="s">
        <v>756</v>
      </c>
      <c r="B196" s="619" t="s">
        <v>691</v>
      </c>
      <c r="C196" s="620">
        <v>244</v>
      </c>
      <c r="D196" s="620">
        <v>226</v>
      </c>
      <c r="E196" s="596">
        <f t="shared" si="34"/>
        <v>29384.92</v>
      </c>
      <c r="F196" s="595">
        <f>'Прилож 4 24 (9)'!V198</f>
        <v>0</v>
      </c>
      <c r="G196" s="595">
        <f>'Прилож 4 24 (9)'!W198</f>
        <v>0</v>
      </c>
      <c r="H196" s="595">
        <f>'Прилож 4 24 (9)'!X198</f>
        <v>25135.27</v>
      </c>
      <c r="I196" s="628"/>
      <c r="J196" s="595">
        <f>'Прилож 4 24 (9)'!Z198</f>
        <v>0</v>
      </c>
      <c r="K196" s="595">
        <f>'Прилож 4 24 (9)'!AA198</f>
        <v>0</v>
      </c>
      <c r="L196" s="595">
        <f>'Прилож 4 24 (9)'!AB198</f>
        <v>4249.6499999999996</v>
      </c>
      <c r="M196" s="876">
        <f t="shared" si="33"/>
        <v>0</v>
      </c>
      <c r="N196" s="875"/>
      <c r="O196" s="875"/>
      <c r="P196" s="875"/>
      <c r="Q196" s="877"/>
      <c r="R196" s="875"/>
      <c r="S196" s="875"/>
      <c r="T196" s="875"/>
      <c r="U196" s="876">
        <f t="shared" si="35"/>
        <v>29384.92</v>
      </c>
      <c r="V196" s="875">
        <f t="shared" si="35"/>
        <v>0</v>
      </c>
      <c r="W196" s="875">
        <f t="shared" si="30"/>
        <v>0</v>
      </c>
      <c r="X196" s="875">
        <f t="shared" si="30"/>
        <v>25135.27</v>
      </c>
      <c r="Y196" s="883"/>
      <c r="Z196" s="875">
        <f t="shared" si="32"/>
        <v>0</v>
      </c>
      <c r="AA196" s="875">
        <f t="shared" si="32"/>
        <v>0</v>
      </c>
      <c r="AB196" s="875">
        <f t="shared" si="32"/>
        <v>4249.6499999999996</v>
      </c>
      <c r="AC196" s="878"/>
    </row>
    <row r="197" spans="1:30" x14ac:dyDescent="0.2">
      <c r="A197" s="618" t="s">
        <v>706</v>
      </c>
      <c r="B197" s="619" t="s">
        <v>691</v>
      </c>
      <c r="C197" s="620">
        <v>244</v>
      </c>
      <c r="D197" s="620">
        <v>226</v>
      </c>
      <c r="E197" s="596">
        <f t="shared" si="34"/>
        <v>0</v>
      </c>
      <c r="F197" s="595">
        <f>'Прилож 4 24 (9)'!V199</f>
        <v>0</v>
      </c>
      <c r="G197" s="595">
        <f>'Прилож 4 24 (9)'!W199</f>
        <v>0</v>
      </c>
      <c r="H197" s="595">
        <f>'Прилож 4 24 (9)'!X199</f>
        <v>0</v>
      </c>
      <c r="I197" s="628"/>
      <c r="J197" s="595">
        <f>'Прилож 4 24 (9)'!Z199</f>
        <v>0</v>
      </c>
      <c r="K197" s="595">
        <f>'Прилож 4 24 (9)'!AA199</f>
        <v>0</v>
      </c>
      <c r="L197" s="595">
        <f>'Прилож 4 24 (9)'!AB199</f>
        <v>0</v>
      </c>
      <c r="M197" s="876">
        <f t="shared" si="33"/>
        <v>0</v>
      </c>
      <c r="N197" s="875"/>
      <c r="O197" s="875"/>
      <c r="P197" s="875"/>
      <c r="Q197" s="877"/>
      <c r="R197" s="875"/>
      <c r="S197" s="875"/>
      <c r="T197" s="875"/>
      <c r="U197" s="876">
        <f t="shared" si="35"/>
        <v>0</v>
      </c>
      <c r="V197" s="875">
        <f t="shared" si="35"/>
        <v>0</v>
      </c>
      <c r="W197" s="875">
        <f t="shared" si="30"/>
        <v>0</v>
      </c>
      <c r="X197" s="875">
        <f t="shared" si="30"/>
        <v>0</v>
      </c>
      <c r="Y197" s="883"/>
      <c r="Z197" s="875">
        <f t="shared" si="32"/>
        <v>0</v>
      </c>
      <c r="AA197" s="875">
        <f t="shared" si="32"/>
        <v>0</v>
      </c>
      <c r="AB197" s="875">
        <f t="shared" si="32"/>
        <v>0</v>
      </c>
      <c r="AC197" s="878"/>
    </row>
    <row r="198" spans="1:30" ht="37.5" customHeight="1" x14ac:dyDescent="0.2">
      <c r="A198" s="994" t="s">
        <v>1445</v>
      </c>
      <c r="B198" s="619" t="s">
        <v>691</v>
      </c>
      <c r="C198" s="620">
        <v>244</v>
      </c>
      <c r="D198" s="620">
        <v>226</v>
      </c>
      <c r="E198" s="596">
        <f t="shared" si="34"/>
        <v>21411</v>
      </c>
      <c r="F198" s="595">
        <f>'Прилож 4 24 (9)'!V200</f>
        <v>0</v>
      </c>
      <c r="G198" s="595">
        <f>'Прилож 4 24 (9)'!W200</f>
        <v>0</v>
      </c>
      <c r="H198" s="595">
        <f>'Прилож 4 24 (9)'!X200</f>
        <v>0</v>
      </c>
      <c r="I198" s="877" t="s">
        <v>1440</v>
      </c>
      <c r="J198" s="595">
        <f>'Прилож 4 24 (9)'!Z200</f>
        <v>0</v>
      </c>
      <c r="K198" s="595">
        <f>'Прилож 4 24 (9)'!AA200</f>
        <v>21411</v>
      </c>
      <c r="L198" s="595">
        <f>'Прилож 4 24 (9)'!AB200</f>
        <v>0</v>
      </c>
      <c r="M198" s="876">
        <f t="shared" si="33"/>
        <v>0</v>
      </c>
      <c r="N198" s="875"/>
      <c r="O198" s="875"/>
      <c r="P198" s="875"/>
      <c r="Q198" s="877"/>
      <c r="R198" s="875"/>
      <c r="S198" s="875"/>
      <c r="T198" s="875"/>
      <c r="U198" s="876">
        <f t="shared" si="35"/>
        <v>21411</v>
      </c>
      <c r="V198" s="875">
        <f t="shared" si="35"/>
        <v>0</v>
      </c>
      <c r="W198" s="875">
        <f t="shared" ref="W198:X209" si="36">O198+G198</f>
        <v>0</v>
      </c>
      <c r="X198" s="875"/>
      <c r="Y198" s="877" t="s">
        <v>1440</v>
      </c>
      <c r="Z198" s="875"/>
      <c r="AA198" s="875">
        <f t="shared" ref="AA198:AB209" si="37">S198+K198</f>
        <v>21411</v>
      </c>
      <c r="AB198" s="875">
        <f t="shared" si="37"/>
        <v>0</v>
      </c>
      <c r="AC198" s="878"/>
    </row>
    <row r="199" spans="1:30" s="637" customFormat="1" x14ac:dyDescent="0.2">
      <c r="A199" s="632" t="s">
        <v>1143</v>
      </c>
      <c r="B199" s="633" t="s">
        <v>691</v>
      </c>
      <c r="C199" s="634">
        <v>244</v>
      </c>
      <c r="D199" s="634">
        <v>226</v>
      </c>
      <c r="E199" s="596">
        <f t="shared" si="34"/>
        <v>344155.42</v>
      </c>
      <c r="F199" s="595">
        <f>'Прилож 4 24 (9)'!V201</f>
        <v>32288.760000000002</v>
      </c>
      <c r="G199" s="595">
        <f>'Прилож 4 24 (9)'!W201</f>
        <v>0</v>
      </c>
      <c r="H199" s="595">
        <f>'Прилож 4 24 (9)'!X201</f>
        <v>224677.41999999998</v>
      </c>
      <c r="I199" s="635"/>
      <c r="J199" s="595">
        <f>'Прилож 4 24 (9)'!Z201</f>
        <v>0</v>
      </c>
      <c r="K199" s="595">
        <f>'Прилож 4 24 (9)'!AA201</f>
        <v>21411</v>
      </c>
      <c r="L199" s="595">
        <f>'Прилож 4 24 (9)'!AB201</f>
        <v>65778.240000000005</v>
      </c>
      <c r="M199" s="876">
        <f t="shared" si="33"/>
        <v>0</v>
      </c>
      <c r="N199" s="884">
        <f>SUM(N192:N198)</f>
        <v>0</v>
      </c>
      <c r="O199" s="884"/>
      <c r="P199" s="884">
        <f>SUM(P192:P197)</f>
        <v>0</v>
      </c>
      <c r="Q199" s="885"/>
      <c r="R199" s="884"/>
      <c r="S199" s="884">
        <f>SUM(S192:S198)</f>
        <v>0</v>
      </c>
      <c r="T199" s="884">
        <f>SUM(T192:T197)</f>
        <v>0</v>
      </c>
      <c r="U199" s="876">
        <f t="shared" si="35"/>
        <v>344155.42</v>
      </c>
      <c r="V199" s="875">
        <f t="shared" si="35"/>
        <v>32288.760000000002</v>
      </c>
      <c r="W199" s="875">
        <f t="shared" si="36"/>
        <v>0</v>
      </c>
      <c r="X199" s="875">
        <f t="shared" si="36"/>
        <v>224677.41999999998</v>
      </c>
      <c r="Y199" s="885"/>
      <c r="Z199" s="875">
        <f t="shared" ref="Z199:Z209" si="38">R199+J199</f>
        <v>0</v>
      </c>
      <c r="AA199" s="875">
        <f t="shared" si="37"/>
        <v>21411</v>
      </c>
      <c r="AB199" s="875">
        <f t="shared" si="37"/>
        <v>65778.240000000005</v>
      </c>
      <c r="AC199" s="886"/>
      <c r="AD199" s="819"/>
    </row>
    <row r="200" spans="1:30" s="614" customFormat="1" x14ac:dyDescent="0.2">
      <c r="A200" s="630" t="s">
        <v>739</v>
      </c>
      <c r="B200" s="631"/>
      <c r="C200" s="624"/>
      <c r="D200" s="624"/>
      <c r="E200" s="596">
        <f t="shared" si="34"/>
        <v>6154810.5600000005</v>
      </c>
      <c r="F200" s="595">
        <f>'Прилож 4 24 (9)'!V202</f>
        <v>76111.11</v>
      </c>
      <c r="G200" s="595">
        <f>'Прилож 4 24 (9)'!W202</f>
        <v>0</v>
      </c>
      <c r="H200" s="595">
        <f>'Прилож 4 24 (9)'!X202</f>
        <v>919240.25999999989</v>
      </c>
      <c r="I200" s="626"/>
      <c r="J200" s="595">
        <f>'Прилож 4 24 (9)'!Z202</f>
        <v>0</v>
      </c>
      <c r="K200" s="595">
        <f>'Прилож 4 24 (9)'!AA202</f>
        <v>5083004.79</v>
      </c>
      <c r="L200" s="595">
        <f>'Прилож 4 24 (9)'!AB202</f>
        <v>76454.400000000009</v>
      </c>
      <c r="M200" s="876">
        <f t="shared" si="33"/>
        <v>-3561.1899999999996</v>
      </c>
      <c r="N200" s="876">
        <f>N199+N191+N174</f>
        <v>0</v>
      </c>
      <c r="O200" s="876"/>
      <c r="P200" s="876">
        <f>P199+P191+P174</f>
        <v>-1885.0299999999997</v>
      </c>
      <c r="Q200" s="881"/>
      <c r="R200" s="876">
        <f>R199+R191+R174</f>
        <v>0</v>
      </c>
      <c r="S200" s="876">
        <f>S199+S191+S174</f>
        <v>0</v>
      </c>
      <c r="T200" s="876">
        <f>T199+T191+T174</f>
        <v>-1676.16</v>
      </c>
      <c r="U200" s="876">
        <f t="shared" si="35"/>
        <v>6151249.3700000001</v>
      </c>
      <c r="V200" s="875">
        <f t="shared" si="35"/>
        <v>76111.11</v>
      </c>
      <c r="W200" s="875">
        <f t="shared" si="36"/>
        <v>0</v>
      </c>
      <c r="X200" s="875">
        <f t="shared" si="36"/>
        <v>917355.22999999986</v>
      </c>
      <c r="Y200" s="881"/>
      <c r="Z200" s="875">
        <f t="shared" si="38"/>
        <v>0</v>
      </c>
      <c r="AA200" s="875">
        <f t="shared" si="37"/>
        <v>5083004.79</v>
      </c>
      <c r="AB200" s="875">
        <f t="shared" si="37"/>
        <v>74778.240000000005</v>
      </c>
      <c r="AC200" s="879"/>
      <c r="AD200" s="819"/>
    </row>
    <row r="201" spans="1:30" ht="28.5" customHeight="1" x14ac:dyDescent="0.2">
      <c r="A201" s="618" t="s">
        <v>637</v>
      </c>
      <c r="B201" s="619" t="s">
        <v>729</v>
      </c>
      <c r="C201" s="620">
        <v>244</v>
      </c>
      <c r="D201" s="620">
        <v>227</v>
      </c>
      <c r="E201" s="596">
        <f t="shared" si="34"/>
        <v>10000</v>
      </c>
      <c r="F201" s="595">
        <f>'Прилож 4 24 (9)'!V203</f>
        <v>0</v>
      </c>
      <c r="G201" s="595">
        <f>'Прилож 4 24 (9)'!W203</f>
        <v>0</v>
      </c>
      <c r="H201" s="595">
        <f>'Прилож 4 24 (9)'!X203</f>
        <v>10000</v>
      </c>
      <c r="I201" s="628"/>
      <c r="J201" s="595">
        <f>'Прилож 4 24 (9)'!Z203</f>
        <v>0</v>
      </c>
      <c r="K201" s="595">
        <f>'Прилож 4 24 (9)'!AA203</f>
        <v>0</v>
      </c>
      <c r="L201" s="595">
        <f>'Прилож 4 24 (9)'!AB203</f>
        <v>0</v>
      </c>
      <c r="M201" s="876">
        <f t="shared" si="33"/>
        <v>-2125.4499999999998</v>
      </c>
      <c r="N201" s="875"/>
      <c r="O201" s="875"/>
      <c r="P201" s="875">
        <v>-2125.4499999999998</v>
      </c>
      <c r="Q201" s="877"/>
      <c r="R201" s="875"/>
      <c r="S201" s="875"/>
      <c r="T201" s="875"/>
      <c r="U201" s="876">
        <f t="shared" si="35"/>
        <v>7874.55</v>
      </c>
      <c r="V201" s="875">
        <f t="shared" si="35"/>
        <v>0</v>
      </c>
      <c r="W201" s="875">
        <f t="shared" si="36"/>
        <v>0</v>
      </c>
      <c r="X201" s="875">
        <f t="shared" si="36"/>
        <v>7874.55</v>
      </c>
      <c r="Y201" s="883"/>
      <c r="Z201" s="875">
        <f t="shared" si="38"/>
        <v>0</v>
      </c>
      <c r="AA201" s="875">
        <f t="shared" si="37"/>
        <v>0</v>
      </c>
      <c r="AB201" s="875">
        <f t="shared" si="37"/>
        <v>0</v>
      </c>
      <c r="AC201" s="878" t="s">
        <v>1628</v>
      </c>
    </row>
    <row r="202" spans="1:30" ht="25.5" customHeight="1" x14ac:dyDescent="0.2">
      <c r="A202" s="618" t="s">
        <v>678</v>
      </c>
      <c r="B202" s="619" t="s">
        <v>691</v>
      </c>
      <c r="C202" s="620">
        <v>244</v>
      </c>
      <c r="D202" s="620">
        <v>227</v>
      </c>
      <c r="E202" s="596">
        <f t="shared" si="34"/>
        <v>1827</v>
      </c>
      <c r="F202" s="595">
        <f>'Прилож 4 24 (9)'!V204</f>
        <v>0</v>
      </c>
      <c r="G202" s="595">
        <f>'Прилож 4 24 (9)'!W204</f>
        <v>0</v>
      </c>
      <c r="H202" s="595">
        <f>'Прилож 4 24 (9)'!X204</f>
        <v>1551.11</v>
      </c>
      <c r="I202" s="628"/>
      <c r="J202" s="595">
        <f>'Прилож 4 24 (9)'!Z204</f>
        <v>0</v>
      </c>
      <c r="K202" s="595">
        <f>'Прилож 4 24 (9)'!AA204</f>
        <v>0</v>
      </c>
      <c r="L202" s="595">
        <f>'Прилож 4 24 (9)'!AB204</f>
        <v>275.89</v>
      </c>
      <c r="M202" s="876">
        <f t="shared" si="33"/>
        <v>0</v>
      </c>
      <c r="N202" s="875"/>
      <c r="O202" s="875"/>
      <c r="P202" s="875"/>
      <c r="Q202" s="877"/>
      <c r="R202" s="875"/>
      <c r="S202" s="875"/>
      <c r="T202" s="875"/>
      <c r="U202" s="876">
        <f t="shared" si="35"/>
        <v>1827</v>
      </c>
      <c r="V202" s="875">
        <f t="shared" si="35"/>
        <v>0</v>
      </c>
      <c r="W202" s="875">
        <f t="shared" si="36"/>
        <v>0</v>
      </c>
      <c r="X202" s="875">
        <f t="shared" si="36"/>
        <v>1551.11</v>
      </c>
      <c r="Y202" s="883"/>
      <c r="Z202" s="875">
        <f t="shared" si="38"/>
        <v>0</v>
      </c>
      <c r="AA202" s="875">
        <f t="shared" si="37"/>
        <v>0</v>
      </c>
      <c r="AB202" s="875">
        <f t="shared" si="37"/>
        <v>275.89</v>
      </c>
      <c r="AC202" s="878"/>
    </row>
    <row r="203" spans="1:30" s="614" customFormat="1" x14ac:dyDescent="0.2">
      <c r="A203" s="630" t="s">
        <v>740</v>
      </c>
      <c r="B203" s="631"/>
      <c r="C203" s="624"/>
      <c r="D203" s="624"/>
      <c r="E203" s="596">
        <f t="shared" si="34"/>
        <v>11827</v>
      </c>
      <c r="F203" s="595">
        <f>'Прилож 4 24 (9)'!V205</f>
        <v>0</v>
      </c>
      <c r="G203" s="595">
        <f>'Прилож 4 24 (9)'!W205</f>
        <v>0</v>
      </c>
      <c r="H203" s="595">
        <f>'Прилож 4 24 (9)'!X205</f>
        <v>11551.11</v>
      </c>
      <c r="I203" s="626"/>
      <c r="J203" s="595">
        <f>'Прилож 4 24 (9)'!Z205</f>
        <v>0</v>
      </c>
      <c r="K203" s="595">
        <f>'Прилож 4 24 (9)'!AA205</f>
        <v>0</v>
      </c>
      <c r="L203" s="595">
        <f>'Прилож 4 24 (9)'!AB205</f>
        <v>275.89</v>
      </c>
      <c r="M203" s="876">
        <f t="shared" si="33"/>
        <v>-2125.4499999999998</v>
      </c>
      <c r="N203" s="876"/>
      <c r="O203" s="876"/>
      <c r="P203" s="876">
        <f>SUM(P201:P202)</f>
        <v>-2125.4499999999998</v>
      </c>
      <c r="Q203" s="881"/>
      <c r="R203" s="876"/>
      <c r="S203" s="876"/>
      <c r="T203" s="876"/>
      <c r="U203" s="876">
        <f t="shared" si="35"/>
        <v>9701.5499999999993</v>
      </c>
      <c r="V203" s="875">
        <f t="shared" si="35"/>
        <v>0</v>
      </c>
      <c r="W203" s="875">
        <f t="shared" si="36"/>
        <v>0</v>
      </c>
      <c r="X203" s="875">
        <f t="shared" si="36"/>
        <v>9425.66</v>
      </c>
      <c r="Y203" s="881"/>
      <c r="Z203" s="875">
        <f t="shared" si="38"/>
        <v>0</v>
      </c>
      <c r="AA203" s="875">
        <f t="shared" si="37"/>
        <v>0</v>
      </c>
      <c r="AB203" s="875">
        <f t="shared" si="37"/>
        <v>275.89</v>
      </c>
      <c r="AC203" s="879"/>
    </row>
    <row r="204" spans="1:30" x14ac:dyDescent="0.2">
      <c r="A204" s="618" t="s">
        <v>1227</v>
      </c>
      <c r="B204" s="619" t="s">
        <v>747</v>
      </c>
      <c r="C204" s="620">
        <v>244</v>
      </c>
      <c r="D204" s="620">
        <v>310</v>
      </c>
      <c r="E204" s="596">
        <f t="shared" si="34"/>
        <v>0</v>
      </c>
      <c r="F204" s="595">
        <f>'Прилож 4 24 (9)'!V206</f>
        <v>0</v>
      </c>
      <c r="G204" s="595">
        <f>'Прилож 4 24 (9)'!W206</f>
        <v>0</v>
      </c>
      <c r="H204" s="595">
        <f>'Прилож 4 24 (9)'!X206</f>
        <v>0</v>
      </c>
      <c r="I204" s="621"/>
      <c r="J204" s="595">
        <f>'Прилож 4 24 (9)'!Z206</f>
        <v>0</v>
      </c>
      <c r="K204" s="595">
        <f>'Прилож 4 24 (9)'!AA206</f>
        <v>0</v>
      </c>
      <c r="L204" s="595">
        <f>'Прилож 4 24 (9)'!AB206</f>
        <v>0</v>
      </c>
      <c r="M204" s="876">
        <f t="shared" si="33"/>
        <v>0</v>
      </c>
      <c r="N204" s="875"/>
      <c r="O204" s="875"/>
      <c r="P204" s="875"/>
      <c r="Q204" s="877"/>
      <c r="R204" s="875"/>
      <c r="S204" s="875"/>
      <c r="T204" s="875"/>
      <c r="U204" s="876">
        <f t="shared" si="35"/>
        <v>0</v>
      </c>
      <c r="V204" s="875">
        <f t="shared" si="35"/>
        <v>0</v>
      </c>
      <c r="W204" s="875">
        <f t="shared" si="36"/>
        <v>0</v>
      </c>
      <c r="X204" s="875">
        <f t="shared" si="36"/>
        <v>0</v>
      </c>
      <c r="Y204" s="877"/>
      <c r="Z204" s="875">
        <f t="shared" si="38"/>
        <v>0</v>
      </c>
      <c r="AA204" s="875">
        <f t="shared" si="37"/>
        <v>0</v>
      </c>
      <c r="AB204" s="875">
        <f t="shared" si="37"/>
        <v>0</v>
      </c>
      <c r="AC204" s="878"/>
    </row>
    <row r="205" spans="1:30" ht="31.5" x14ac:dyDescent="0.2">
      <c r="A205" s="618" t="s">
        <v>1228</v>
      </c>
      <c r="B205" s="619" t="s">
        <v>747</v>
      </c>
      <c r="C205" s="620">
        <v>244</v>
      </c>
      <c r="D205" s="620">
        <v>310</v>
      </c>
      <c r="E205" s="596">
        <f t="shared" si="34"/>
        <v>0</v>
      </c>
      <c r="F205" s="595">
        <f>'Прилож 4 24 (9)'!V207</f>
        <v>0</v>
      </c>
      <c r="G205" s="595">
        <f>'Прилож 4 24 (9)'!W207</f>
        <v>0</v>
      </c>
      <c r="H205" s="595">
        <f>'Прилож 4 24 (9)'!X207</f>
        <v>0</v>
      </c>
      <c r="I205" s="621"/>
      <c r="J205" s="595">
        <f>'Прилож 4 24 (9)'!Z207</f>
        <v>0</v>
      </c>
      <c r="K205" s="595">
        <f>'Прилож 4 24 (9)'!AA207</f>
        <v>0</v>
      </c>
      <c r="L205" s="595">
        <f>'Прилож 4 24 (9)'!AB207</f>
        <v>0</v>
      </c>
      <c r="M205" s="876">
        <f t="shared" si="33"/>
        <v>0</v>
      </c>
      <c r="N205" s="875"/>
      <c r="O205" s="875"/>
      <c r="P205" s="875"/>
      <c r="Q205" s="877"/>
      <c r="R205" s="875"/>
      <c r="S205" s="875"/>
      <c r="T205" s="875"/>
      <c r="U205" s="876">
        <f t="shared" si="35"/>
        <v>0</v>
      </c>
      <c r="V205" s="875">
        <f t="shared" si="35"/>
        <v>0</v>
      </c>
      <c r="W205" s="875">
        <f t="shared" si="36"/>
        <v>0</v>
      </c>
      <c r="X205" s="875">
        <f t="shared" si="36"/>
        <v>0</v>
      </c>
      <c r="Y205" s="877"/>
      <c r="Z205" s="875">
        <f t="shared" si="38"/>
        <v>0</v>
      </c>
      <c r="AA205" s="875">
        <f t="shared" si="37"/>
        <v>0</v>
      </c>
      <c r="AB205" s="875">
        <f t="shared" si="37"/>
        <v>0</v>
      </c>
      <c r="AC205" s="878"/>
    </row>
    <row r="206" spans="1:30" ht="31.5" x14ac:dyDescent="0.2">
      <c r="A206" s="618" t="s">
        <v>1229</v>
      </c>
      <c r="B206" s="619" t="s">
        <v>747</v>
      </c>
      <c r="C206" s="620">
        <v>244</v>
      </c>
      <c r="D206" s="620">
        <v>310</v>
      </c>
      <c r="E206" s="596">
        <f t="shared" si="34"/>
        <v>0</v>
      </c>
      <c r="F206" s="595">
        <f>'Прилож 4 24 (9)'!V208</f>
        <v>0</v>
      </c>
      <c r="G206" s="595">
        <f>'Прилож 4 24 (9)'!W208</f>
        <v>0</v>
      </c>
      <c r="H206" s="595">
        <f>'Прилож 4 24 (9)'!X208</f>
        <v>0</v>
      </c>
      <c r="I206" s="621"/>
      <c r="J206" s="595">
        <f>'Прилож 4 24 (9)'!Z208</f>
        <v>0</v>
      </c>
      <c r="K206" s="595">
        <f>'Прилож 4 24 (9)'!AA208</f>
        <v>0</v>
      </c>
      <c r="L206" s="595">
        <f>'Прилож 4 24 (9)'!AB208</f>
        <v>0</v>
      </c>
      <c r="M206" s="876">
        <f t="shared" si="33"/>
        <v>0</v>
      </c>
      <c r="N206" s="875"/>
      <c r="O206" s="875"/>
      <c r="P206" s="875"/>
      <c r="Q206" s="877"/>
      <c r="R206" s="875"/>
      <c r="S206" s="875"/>
      <c r="T206" s="875"/>
      <c r="U206" s="876">
        <f t="shared" si="35"/>
        <v>0</v>
      </c>
      <c r="V206" s="875">
        <f t="shared" si="35"/>
        <v>0</v>
      </c>
      <c r="W206" s="875">
        <f t="shared" si="36"/>
        <v>0</v>
      </c>
      <c r="X206" s="875">
        <f t="shared" si="36"/>
        <v>0</v>
      </c>
      <c r="Y206" s="877"/>
      <c r="Z206" s="875">
        <f t="shared" si="38"/>
        <v>0</v>
      </c>
      <c r="AA206" s="875">
        <f t="shared" si="37"/>
        <v>0</v>
      </c>
      <c r="AB206" s="875">
        <f t="shared" si="37"/>
        <v>0</v>
      </c>
      <c r="AC206" s="878"/>
    </row>
    <row r="207" spans="1:30" x14ac:dyDescent="0.2">
      <c r="A207" s="618" t="s">
        <v>1284</v>
      </c>
      <c r="B207" s="619" t="s">
        <v>747</v>
      </c>
      <c r="C207" s="620">
        <v>244</v>
      </c>
      <c r="D207" s="620">
        <v>310</v>
      </c>
      <c r="E207" s="596">
        <f t="shared" si="34"/>
        <v>18000</v>
      </c>
      <c r="F207" s="595">
        <f>'Прилож 4 24 (9)'!V209</f>
        <v>18000</v>
      </c>
      <c r="G207" s="595">
        <f>'Прилож 4 24 (9)'!W209</f>
        <v>0</v>
      </c>
      <c r="H207" s="595">
        <f>'Прилож 4 24 (9)'!X209</f>
        <v>0</v>
      </c>
      <c r="I207" s="621"/>
      <c r="J207" s="595">
        <f>'Прилож 4 24 (9)'!Z209</f>
        <v>0</v>
      </c>
      <c r="K207" s="595">
        <f>'Прилож 4 24 (9)'!AA209</f>
        <v>0</v>
      </c>
      <c r="L207" s="595">
        <f>'Прилож 4 24 (9)'!AB209</f>
        <v>0</v>
      </c>
      <c r="M207" s="876">
        <f t="shared" si="33"/>
        <v>0</v>
      </c>
      <c r="N207" s="875"/>
      <c r="O207" s="875"/>
      <c r="P207" s="875"/>
      <c r="Q207" s="877"/>
      <c r="R207" s="875"/>
      <c r="S207" s="875"/>
      <c r="T207" s="875"/>
      <c r="U207" s="876">
        <f t="shared" si="35"/>
        <v>18000</v>
      </c>
      <c r="V207" s="875">
        <f t="shared" si="35"/>
        <v>18000</v>
      </c>
      <c r="W207" s="875">
        <f t="shared" si="36"/>
        <v>0</v>
      </c>
      <c r="X207" s="875">
        <f t="shared" si="36"/>
        <v>0</v>
      </c>
      <c r="Y207" s="877"/>
      <c r="Z207" s="875">
        <f t="shared" si="38"/>
        <v>0</v>
      </c>
      <c r="AA207" s="875">
        <f t="shared" si="37"/>
        <v>0</v>
      </c>
      <c r="AB207" s="875">
        <f t="shared" si="37"/>
        <v>0</v>
      </c>
      <c r="AC207" s="878"/>
    </row>
    <row r="208" spans="1:30" ht="21" customHeight="1" x14ac:dyDescent="0.2">
      <c r="A208" s="618" t="s">
        <v>1344</v>
      </c>
      <c r="B208" s="619" t="s">
        <v>747</v>
      </c>
      <c r="C208" s="620">
        <v>244</v>
      </c>
      <c r="D208" s="620">
        <v>310</v>
      </c>
      <c r="E208" s="596">
        <f t="shared" si="34"/>
        <v>219950</v>
      </c>
      <c r="F208" s="595">
        <f>'Прилож 4 24 (9)'!V210</f>
        <v>219950</v>
      </c>
      <c r="G208" s="595">
        <f>'Прилож 4 24 (9)'!W210</f>
        <v>0</v>
      </c>
      <c r="H208" s="595">
        <f>'Прилож 4 24 (9)'!X210</f>
        <v>0</v>
      </c>
      <c r="I208" s="621"/>
      <c r="J208" s="595">
        <f>'Прилож 4 24 (9)'!Z210</f>
        <v>0</v>
      </c>
      <c r="K208" s="595">
        <f>'Прилож 4 24 (9)'!AA210</f>
        <v>0</v>
      </c>
      <c r="L208" s="595">
        <f>'Прилож 4 24 (9)'!AB210</f>
        <v>0</v>
      </c>
      <c r="M208" s="876">
        <f t="shared" si="33"/>
        <v>0</v>
      </c>
      <c r="N208" s="875"/>
      <c r="O208" s="875"/>
      <c r="P208" s="875"/>
      <c r="Q208" s="877"/>
      <c r="R208" s="875"/>
      <c r="S208" s="875"/>
      <c r="T208" s="875"/>
      <c r="U208" s="876">
        <f t="shared" si="35"/>
        <v>219950</v>
      </c>
      <c r="V208" s="875">
        <f t="shared" si="35"/>
        <v>219950</v>
      </c>
      <c r="W208" s="875">
        <f t="shared" si="36"/>
        <v>0</v>
      </c>
      <c r="X208" s="875">
        <f t="shared" si="36"/>
        <v>0</v>
      </c>
      <c r="Y208" s="877"/>
      <c r="Z208" s="875">
        <f t="shared" si="38"/>
        <v>0</v>
      </c>
      <c r="AA208" s="875">
        <f t="shared" si="37"/>
        <v>0</v>
      </c>
      <c r="AB208" s="875">
        <f t="shared" si="37"/>
        <v>0</v>
      </c>
      <c r="AC208" s="878"/>
    </row>
    <row r="209" spans="1:30" ht="27.75" customHeight="1" x14ac:dyDescent="0.2">
      <c r="A209" s="618" t="s">
        <v>1345</v>
      </c>
      <c r="B209" s="619" t="s">
        <v>747</v>
      </c>
      <c r="C209" s="620">
        <v>244</v>
      </c>
      <c r="D209" s="620">
        <v>310</v>
      </c>
      <c r="E209" s="596">
        <f t="shared" si="34"/>
        <v>45990</v>
      </c>
      <c r="F209" s="595">
        <f>'Прилож 4 24 (9)'!V211</f>
        <v>45990</v>
      </c>
      <c r="G209" s="595">
        <f>'Прилож 4 24 (9)'!W211</f>
        <v>0</v>
      </c>
      <c r="H209" s="595">
        <f>'Прилож 4 24 (9)'!X211</f>
        <v>0</v>
      </c>
      <c r="I209" s="621"/>
      <c r="J209" s="595">
        <f>'Прилож 4 24 (9)'!Z211</f>
        <v>0</v>
      </c>
      <c r="K209" s="595">
        <f>'Прилож 4 24 (9)'!AA211</f>
        <v>0</v>
      </c>
      <c r="L209" s="595">
        <f>'Прилож 4 24 (9)'!AB211</f>
        <v>0</v>
      </c>
      <c r="M209" s="876">
        <f t="shared" si="33"/>
        <v>0</v>
      </c>
      <c r="N209" s="875"/>
      <c r="O209" s="875"/>
      <c r="P209" s="875"/>
      <c r="Q209" s="877"/>
      <c r="R209" s="875"/>
      <c r="S209" s="875"/>
      <c r="T209" s="875"/>
      <c r="U209" s="876">
        <f t="shared" si="35"/>
        <v>45990</v>
      </c>
      <c r="V209" s="875">
        <f t="shared" si="35"/>
        <v>45990</v>
      </c>
      <c r="W209" s="875">
        <f t="shared" si="36"/>
        <v>0</v>
      </c>
      <c r="X209" s="875">
        <f t="shared" si="36"/>
        <v>0</v>
      </c>
      <c r="Y209" s="877"/>
      <c r="Z209" s="875">
        <f t="shared" si="38"/>
        <v>0</v>
      </c>
      <c r="AA209" s="875">
        <f t="shared" si="37"/>
        <v>0</v>
      </c>
      <c r="AB209" s="875">
        <f t="shared" si="37"/>
        <v>0</v>
      </c>
      <c r="AC209" s="878"/>
    </row>
    <row r="210" spans="1:30" ht="27.75" customHeight="1" x14ac:dyDescent="0.2">
      <c r="A210" s="618" t="s">
        <v>1519</v>
      </c>
      <c r="B210" s="619" t="s">
        <v>747</v>
      </c>
      <c r="C210" s="620">
        <v>244</v>
      </c>
      <c r="D210" s="620">
        <v>310</v>
      </c>
      <c r="E210" s="596">
        <f t="shared" si="34"/>
        <v>19790</v>
      </c>
      <c r="F210" s="595">
        <f>'Прилож 4 24 (9)'!V212</f>
        <v>19790</v>
      </c>
      <c r="G210" s="595">
        <f>'Прилож 4 24 (9)'!W212</f>
        <v>0</v>
      </c>
      <c r="H210" s="595">
        <f>'Прилож 4 24 (9)'!X212</f>
        <v>0</v>
      </c>
      <c r="I210" s="621"/>
      <c r="J210" s="595">
        <f>'Прилож 4 24 (9)'!Z212</f>
        <v>0</v>
      </c>
      <c r="K210" s="595">
        <f>'Прилож 4 24 (9)'!AA212</f>
        <v>0</v>
      </c>
      <c r="L210" s="595">
        <f>'Прилож 4 24 (9)'!AB212</f>
        <v>0</v>
      </c>
      <c r="M210" s="876">
        <f t="shared" si="33"/>
        <v>0</v>
      </c>
      <c r="N210" s="875"/>
      <c r="O210" s="875"/>
      <c r="P210" s="875"/>
      <c r="Q210" s="877"/>
      <c r="R210" s="875"/>
      <c r="S210" s="875"/>
      <c r="T210" s="875"/>
      <c r="U210" s="876">
        <f t="shared" si="35"/>
        <v>19790</v>
      </c>
      <c r="V210" s="875">
        <f t="shared" si="35"/>
        <v>19790</v>
      </c>
      <c r="W210" s="875"/>
      <c r="X210" s="875"/>
      <c r="Y210" s="877"/>
      <c r="Z210" s="875"/>
      <c r="AA210" s="875"/>
      <c r="AB210" s="875"/>
      <c r="AC210" s="878"/>
    </row>
    <row r="211" spans="1:30" ht="27.75" customHeight="1" x14ac:dyDescent="0.2">
      <c r="A211" s="618" t="s">
        <v>1520</v>
      </c>
      <c r="B211" s="619" t="s">
        <v>747</v>
      </c>
      <c r="C211" s="620">
        <v>244</v>
      </c>
      <c r="D211" s="620">
        <v>310</v>
      </c>
      <c r="E211" s="596">
        <f t="shared" si="34"/>
        <v>43990</v>
      </c>
      <c r="F211" s="595">
        <f>'Прилож 4 24 (9)'!V213</f>
        <v>43990</v>
      </c>
      <c r="G211" s="595">
        <f>'Прилож 4 24 (9)'!W213</f>
        <v>0</v>
      </c>
      <c r="H211" s="595">
        <f>'Прилож 4 24 (9)'!X213</f>
        <v>0</v>
      </c>
      <c r="I211" s="621"/>
      <c r="J211" s="595">
        <f>'Прилож 4 24 (9)'!Z213</f>
        <v>0</v>
      </c>
      <c r="K211" s="595">
        <f>'Прилож 4 24 (9)'!AA213</f>
        <v>0</v>
      </c>
      <c r="L211" s="595">
        <f>'Прилож 4 24 (9)'!AB213</f>
        <v>0</v>
      </c>
      <c r="M211" s="876">
        <f t="shared" si="33"/>
        <v>0</v>
      </c>
      <c r="N211" s="875"/>
      <c r="O211" s="875"/>
      <c r="P211" s="875"/>
      <c r="Q211" s="877"/>
      <c r="R211" s="875"/>
      <c r="S211" s="875"/>
      <c r="T211" s="875"/>
      <c r="U211" s="876">
        <f t="shared" si="35"/>
        <v>43990</v>
      </c>
      <c r="V211" s="875">
        <f t="shared" si="35"/>
        <v>43990</v>
      </c>
      <c r="W211" s="875"/>
      <c r="X211" s="875"/>
      <c r="Y211" s="877"/>
      <c r="Z211" s="875"/>
      <c r="AA211" s="875"/>
      <c r="AB211" s="875"/>
      <c r="AC211" s="878"/>
    </row>
    <row r="212" spans="1:30" ht="35.25" customHeight="1" x14ac:dyDescent="0.2">
      <c r="A212" s="618" t="s">
        <v>1599</v>
      </c>
      <c r="B212" s="619" t="s">
        <v>747</v>
      </c>
      <c r="C212" s="620">
        <v>244</v>
      </c>
      <c r="D212" s="620">
        <v>310</v>
      </c>
      <c r="E212" s="596"/>
      <c r="F212" s="595"/>
      <c r="G212" s="595"/>
      <c r="H212" s="595"/>
      <c r="I212" s="621"/>
      <c r="J212" s="595"/>
      <c r="K212" s="595"/>
      <c r="L212" s="595"/>
      <c r="M212" s="876">
        <f t="shared" si="33"/>
        <v>413000</v>
      </c>
      <c r="N212" s="875">
        <v>413000</v>
      </c>
      <c r="O212" s="875"/>
      <c r="P212" s="875"/>
      <c r="Q212" s="877"/>
      <c r="R212" s="875"/>
      <c r="S212" s="875"/>
      <c r="T212" s="875"/>
      <c r="U212" s="876">
        <f t="shared" si="35"/>
        <v>413000</v>
      </c>
      <c r="V212" s="875">
        <f t="shared" si="35"/>
        <v>413000</v>
      </c>
      <c r="W212" s="875"/>
      <c r="X212" s="875"/>
      <c r="Y212" s="877"/>
      <c r="Z212" s="875"/>
      <c r="AA212" s="875"/>
      <c r="AB212" s="875"/>
      <c r="AC212" s="878" t="s">
        <v>1614</v>
      </c>
    </row>
    <row r="213" spans="1:30" s="637" customFormat="1" ht="22.5" customHeight="1" x14ac:dyDescent="0.2">
      <c r="A213" s="632" t="s">
        <v>783</v>
      </c>
      <c r="B213" s="619" t="s">
        <v>747</v>
      </c>
      <c r="C213" s="620">
        <v>244</v>
      </c>
      <c r="D213" s="620">
        <v>310</v>
      </c>
      <c r="E213" s="596">
        <f t="shared" ref="E213:E223" si="39">L213+K213+J213+H213+G213+F213</f>
        <v>347720</v>
      </c>
      <c r="F213" s="595">
        <f>'Прилож 4 24 (9)'!V214</f>
        <v>347720</v>
      </c>
      <c r="G213" s="595">
        <f>'Прилож 4 24 (9)'!W214</f>
        <v>0</v>
      </c>
      <c r="H213" s="595">
        <f>'Прилож 4 24 (9)'!X214</f>
        <v>0</v>
      </c>
      <c r="I213" s="597">
        <f>SUM(I204:I207)</f>
        <v>0</v>
      </c>
      <c r="J213" s="595">
        <f>'Прилож 4 24 (9)'!Z214</f>
        <v>0</v>
      </c>
      <c r="K213" s="595">
        <f>'Прилож 4 24 (9)'!AA214</f>
        <v>0</v>
      </c>
      <c r="L213" s="595">
        <f>'Прилож 4 24 (9)'!AB214</f>
        <v>0</v>
      </c>
      <c r="M213" s="876">
        <f t="shared" si="33"/>
        <v>413000</v>
      </c>
      <c r="N213" s="884">
        <f>SUM(N212)</f>
        <v>413000</v>
      </c>
      <c r="O213" s="884"/>
      <c r="P213" s="884"/>
      <c r="Q213" s="884"/>
      <c r="R213" s="884"/>
      <c r="S213" s="884"/>
      <c r="T213" s="884"/>
      <c r="U213" s="876">
        <f t="shared" si="35"/>
        <v>760720</v>
      </c>
      <c r="V213" s="875">
        <f t="shared" si="35"/>
        <v>760720</v>
      </c>
      <c r="W213" s="875">
        <f t="shared" ref="W213:X222" si="40">O213+G213</f>
        <v>0</v>
      </c>
      <c r="X213" s="875">
        <f t="shared" si="40"/>
        <v>0</v>
      </c>
      <c r="Y213" s="884">
        <f>SUM(Y204:Y207)</f>
        <v>0</v>
      </c>
      <c r="Z213" s="875">
        <f t="shared" ref="Z213:AB222" si="41">R213+J213</f>
        <v>0</v>
      </c>
      <c r="AA213" s="875">
        <f t="shared" si="41"/>
        <v>0</v>
      </c>
      <c r="AB213" s="875">
        <f t="shared" si="41"/>
        <v>0</v>
      </c>
      <c r="AC213" s="886"/>
    </row>
    <row r="214" spans="1:30" ht="31.5" x14ac:dyDescent="0.2">
      <c r="A214" s="618" t="s">
        <v>1281</v>
      </c>
      <c r="B214" s="619" t="s">
        <v>729</v>
      </c>
      <c r="C214" s="620">
        <v>244</v>
      </c>
      <c r="D214" s="620">
        <v>310</v>
      </c>
      <c r="E214" s="596">
        <f t="shared" si="39"/>
        <v>50000</v>
      </c>
      <c r="F214" s="595">
        <f>'Прилож 4 24 (9)'!V215</f>
        <v>50000</v>
      </c>
      <c r="G214" s="595">
        <f>'Прилож 4 24 (9)'!W215</f>
        <v>0</v>
      </c>
      <c r="H214" s="595">
        <f>'Прилож 4 24 (9)'!X215</f>
        <v>0</v>
      </c>
      <c r="I214" s="621"/>
      <c r="J214" s="595">
        <f>'Прилож 4 24 (9)'!Z215</f>
        <v>0</v>
      </c>
      <c r="K214" s="595">
        <f>'Прилож 4 24 (9)'!AA215</f>
        <v>0</v>
      </c>
      <c r="L214" s="595">
        <f>'Прилож 4 24 (9)'!AB215</f>
        <v>0</v>
      </c>
      <c r="M214" s="876">
        <f t="shared" si="33"/>
        <v>0</v>
      </c>
      <c r="N214" s="875"/>
      <c r="O214" s="875"/>
      <c r="P214" s="875"/>
      <c r="Q214" s="877"/>
      <c r="R214" s="875"/>
      <c r="S214" s="875"/>
      <c r="T214" s="875"/>
      <c r="U214" s="876">
        <f t="shared" si="35"/>
        <v>50000</v>
      </c>
      <c r="V214" s="875">
        <f t="shared" si="35"/>
        <v>50000</v>
      </c>
      <c r="W214" s="875">
        <f t="shared" si="40"/>
        <v>0</v>
      </c>
      <c r="X214" s="875">
        <f t="shared" si="40"/>
        <v>0</v>
      </c>
      <c r="Y214" s="877"/>
      <c r="Z214" s="875">
        <f t="shared" si="41"/>
        <v>0</v>
      </c>
      <c r="AA214" s="875">
        <f t="shared" si="41"/>
        <v>0</v>
      </c>
      <c r="AB214" s="875">
        <f t="shared" si="41"/>
        <v>0</v>
      </c>
      <c r="AC214" s="878"/>
    </row>
    <row r="215" spans="1:30" ht="42" customHeight="1" x14ac:dyDescent="0.2">
      <c r="A215" s="618" t="s">
        <v>1282</v>
      </c>
      <c r="B215" s="619" t="s">
        <v>729</v>
      </c>
      <c r="C215" s="620">
        <v>244</v>
      </c>
      <c r="D215" s="620">
        <v>310</v>
      </c>
      <c r="E215" s="596">
        <f t="shared" si="39"/>
        <v>534476.31000000006</v>
      </c>
      <c r="F215" s="595">
        <f>'Прилож 4 24 (9)'!V216</f>
        <v>534476.31000000006</v>
      </c>
      <c r="G215" s="595">
        <f>'Прилож 4 24 (9)'!W216</f>
        <v>0</v>
      </c>
      <c r="H215" s="595">
        <f>'Прилож 4 24 (9)'!X216</f>
        <v>0</v>
      </c>
      <c r="I215" s="621"/>
      <c r="J215" s="595">
        <f>'Прилож 4 24 (9)'!Z216</f>
        <v>0</v>
      </c>
      <c r="K215" s="595">
        <f>'Прилож 4 24 (9)'!AA216</f>
        <v>0</v>
      </c>
      <c r="L215" s="595">
        <f>'Прилож 4 24 (9)'!AB216</f>
        <v>0</v>
      </c>
      <c r="M215" s="876">
        <f t="shared" si="33"/>
        <v>-138140.14000000001</v>
      </c>
      <c r="N215" s="875">
        <f>-13590-82800-41750.14</f>
        <v>-138140.14000000001</v>
      </c>
      <c r="O215" s="875"/>
      <c r="P215" s="875"/>
      <c r="Q215" s="877"/>
      <c r="R215" s="875"/>
      <c r="S215" s="875"/>
      <c r="T215" s="875"/>
      <c r="U215" s="876">
        <f t="shared" si="35"/>
        <v>396336.17000000004</v>
      </c>
      <c r="V215" s="875">
        <f t="shared" si="35"/>
        <v>396336.17000000004</v>
      </c>
      <c r="W215" s="875">
        <f t="shared" si="40"/>
        <v>0</v>
      </c>
      <c r="X215" s="875">
        <f t="shared" si="40"/>
        <v>0</v>
      </c>
      <c r="Y215" s="877"/>
      <c r="Z215" s="875">
        <f t="shared" si="41"/>
        <v>0</v>
      </c>
      <c r="AA215" s="875">
        <f t="shared" si="41"/>
        <v>0</v>
      </c>
      <c r="AB215" s="875">
        <f t="shared" si="41"/>
        <v>0</v>
      </c>
      <c r="AC215" s="878" t="s">
        <v>1697</v>
      </c>
    </row>
    <row r="216" spans="1:30" ht="24.75" customHeight="1" x14ac:dyDescent="0.2">
      <c r="A216" s="618" t="s">
        <v>1284</v>
      </c>
      <c r="B216" s="619" t="s">
        <v>729</v>
      </c>
      <c r="C216" s="620">
        <v>244</v>
      </c>
      <c r="D216" s="620">
        <v>310</v>
      </c>
      <c r="E216" s="596">
        <f t="shared" si="39"/>
        <v>27000</v>
      </c>
      <c r="F216" s="595">
        <f>'Прилож 4 24 (9)'!V217</f>
        <v>27000</v>
      </c>
      <c r="G216" s="595">
        <f>'Прилож 4 24 (9)'!W217</f>
        <v>0</v>
      </c>
      <c r="H216" s="595">
        <f>'Прилож 4 24 (9)'!X217</f>
        <v>0</v>
      </c>
      <c r="I216" s="621"/>
      <c r="J216" s="595">
        <f>'Прилож 4 24 (9)'!Z217</f>
        <v>0</v>
      </c>
      <c r="K216" s="595">
        <f>'Прилож 4 24 (9)'!AA217</f>
        <v>0</v>
      </c>
      <c r="L216" s="595">
        <f>'Прилож 4 24 (9)'!AB217</f>
        <v>0</v>
      </c>
      <c r="M216" s="876">
        <f t="shared" si="33"/>
        <v>0</v>
      </c>
      <c r="N216" s="875"/>
      <c r="O216" s="875"/>
      <c r="P216" s="875"/>
      <c r="Q216" s="877"/>
      <c r="R216" s="875"/>
      <c r="S216" s="875"/>
      <c r="T216" s="875"/>
      <c r="U216" s="876">
        <f t="shared" si="35"/>
        <v>27000</v>
      </c>
      <c r="V216" s="875">
        <f t="shared" si="35"/>
        <v>27000</v>
      </c>
      <c r="W216" s="875">
        <f t="shared" si="40"/>
        <v>0</v>
      </c>
      <c r="X216" s="875">
        <f t="shared" si="40"/>
        <v>0</v>
      </c>
      <c r="Y216" s="877"/>
      <c r="Z216" s="875">
        <f t="shared" si="41"/>
        <v>0</v>
      </c>
      <c r="AA216" s="875">
        <f t="shared" si="41"/>
        <v>0</v>
      </c>
      <c r="AB216" s="875">
        <f t="shared" si="41"/>
        <v>0</v>
      </c>
      <c r="AC216" s="878"/>
    </row>
    <row r="217" spans="1:30" ht="25.5" customHeight="1" x14ac:dyDescent="0.2">
      <c r="A217" s="618" t="s">
        <v>1227</v>
      </c>
      <c r="B217" s="619" t="s">
        <v>729</v>
      </c>
      <c r="C217" s="620">
        <v>244</v>
      </c>
      <c r="D217" s="620">
        <v>310</v>
      </c>
      <c r="E217" s="596">
        <f t="shared" si="39"/>
        <v>4025</v>
      </c>
      <c r="F217" s="595">
        <f>'Прилож 4 24 (9)'!V218</f>
        <v>0</v>
      </c>
      <c r="G217" s="595">
        <f>'Прилож 4 24 (9)'!W218</f>
        <v>0</v>
      </c>
      <c r="H217" s="595">
        <f>'Прилож 4 24 (9)'!X218</f>
        <v>0</v>
      </c>
      <c r="I217" s="621" t="s">
        <v>1226</v>
      </c>
      <c r="J217" s="595">
        <f>'Прилож 4 24 (9)'!Z218</f>
        <v>0</v>
      </c>
      <c r="K217" s="595">
        <f>'Прилож 4 24 (9)'!AA218</f>
        <v>4025</v>
      </c>
      <c r="L217" s="595">
        <f>'Прилож 4 24 (9)'!AB218</f>
        <v>0</v>
      </c>
      <c r="M217" s="876">
        <f t="shared" si="33"/>
        <v>0</v>
      </c>
      <c r="N217" s="875"/>
      <c r="O217" s="875"/>
      <c r="P217" s="875"/>
      <c r="Q217" s="877"/>
      <c r="R217" s="875"/>
      <c r="S217" s="875"/>
      <c r="T217" s="875"/>
      <c r="U217" s="876">
        <f t="shared" si="35"/>
        <v>4025</v>
      </c>
      <c r="V217" s="875">
        <f t="shared" si="35"/>
        <v>0</v>
      </c>
      <c r="W217" s="875">
        <f t="shared" si="40"/>
        <v>0</v>
      </c>
      <c r="X217" s="875">
        <f t="shared" si="40"/>
        <v>0</v>
      </c>
      <c r="Y217" s="877" t="s">
        <v>1226</v>
      </c>
      <c r="Z217" s="875">
        <f t="shared" si="41"/>
        <v>0</v>
      </c>
      <c r="AA217" s="875">
        <f t="shared" si="41"/>
        <v>4025</v>
      </c>
      <c r="AB217" s="875">
        <f t="shared" si="41"/>
        <v>0</v>
      </c>
      <c r="AC217" s="878"/>
    </row>
    <row r="218" spans="1:30" ht="31.5" x14ac:dyDescent="0.2">
      <c r="A218" s="618" t="s">
        <v>1228</v>
      </c>
      <c r="B218" s="619" t="s">
        <v>729</v>
      </c>
      <c r="C218" s="620">
        <v>244</v>
      </c>
      <c r="D218" s="620">
        <v>310</v>
      </c>
      <c r="E218" s="596">
        <f t="shared" si="39"/>
        <v>4638</v>
      </c>
      <c r="F218" s="595">
        <f>'Прилож 4 24 (9)'!V219</f>
        <v>0</v>
      </c>
      <c r="G218" s="595">
        <f>'Прилож 4 24 (9)'!W219</f>
        <v>0</v>
      </c>
      <c r="H218" s="595">
        <f>'Прилож 4 24 (9)'!X219</f>
        <v>0</v>
      </c>
      <c r="I218" s="621" t="s">
        <v>1226</v>
      </c>
      <c r="J218" s="595">
        <f>'Прилож 4 24 (9)'!Z219</f>
        <v>0</v>
      </c>
      <c r="K218" s="595">
        <f>'Прилож 4 24 (9)'!AA219</f>
        <v>4638</v>
      </c>
      <c r="L218" s="595">
        <f>'Прилож 4 24 (9)'!AB219</f>
        <v>0</v>
      </c>
      <c r="M218" s="876">
        <f t="shared" si="33"/>
        <v>0</v>
      </c>
      <c r="N218" s="875"/>
      <c r="O218" s="875"/>
      <c r="P218" s="875"/>
      <c r="Q218" s="877"/>
      <c r="R218" s="875"/>
      <c r="S218" s="875"/>
      <c r="T218" s="875"/>
      <c r="U218" s="876">
        <f t="shared" si="35"/>
        <v>4638</v>
      </c>
      <c r="V218" s="875">
        <f t="shared" si="35"/>
        <v>0</v>
      </c>
      <c r="W218" s="875">
        <f t="shared" si="40"/>
        <v>0</v>
      </c>
      <c r="X218" s="875">
        <f t="shared" si="40"/>
        <v>0</v>
      </c>
      <c r="Y218" s="877" t="s">
        <v>1226</v>
      </c>
      <c r="Z218" s="875">
        <f t="shared" si="41"/>
        <v>0</v>
      </c>
      <c r="AA218" s="875">
        <f t="shared" si="41"/>
        <v>4638</v>
      </c>
      <c r="AB218" s="875">
        <f t="shared" si="41"/>
        <v>0</v>
      </c>
      <c r="AC218" s="878"/>
      <c r="AD218" s="820"/>
    </row>
    <row r="219" spans="1:30" ht="31.5" x14ac:dyDescent="0.2">
      <c r="A219" s="618" t="s">
        <v>1229</v>
      </c>
      <c r="B219" s="619" t="s">
        <v>729</v>
      </c>
      <c r="C219" s="620">
        <v>244</v>
      </c>
      <c r="D219" s="620">
        <v>310</v>
      </c>
      <c r="E219" s="596">
        <f t="shared" si="39"/>
        <v>93768</v>
      </c>
      <c r="F219" s="595">
        <f>'Прилож 4 24 (9)'!V220</f>
        <v>0</v>
      </c>
      <c r="G219" s="595">
        <f>'Прилож 4 24 (9)'!W220</f>
        <v>0</v>
      </c>
      <c r="H219" s="595">
        <f>'Прилож 4 24 (9)'!X220</f>
        <v>0</v>
      </c>
      <c r="I219" s="621" t="s">
        <v>1226</v>
      </c>
      <c r="J219" s="595">
        <f>'Прилож 4 24 (9)'!Z220</f>
        <v>0</v>
      </c>
      <c r="K219" s="595">
        <f>'Прилож 4 24 (9)'!AA220</f>
        <v>93768</v>
      </c>
      <c r="L219" s="595">
        <f>'Прилож 4 24 (9)'!AB220</f>
        <v>0</v>
      </c>
      <c r="M219" s="876">
        <f t="shared" si="33"/>
        <v>0</v>
      </c>
      <c r="N219" s="875"/>
      <c r="O219" s="875"/>
      <c r="P219" s="875"/>
      <c r="Q219" s="877"/>
      <c r="R219" s="875"/>
      <c r="S219" s="875"/>
      <c r="T219" s="875"/>
      <c r="U219" s="876">
        <f t="shared" si="35"/>
        <v>93768</v>
      </c>
      <c r="V219" s="875">
        <f t="shared" si="35"/>
        <v>0</v>
      </c>
      <c r="W219" s="875">
        <f t="shared" si="40"/>
        <v>0</v>
      </c>
      <c r="X219" s="875">
        <f t="shared" si="40"/>
        <v>0</v>
      </c>
      <c r="Y219" s="877" t="s">
        <v>1226</v>
      </c>
      <c r="Z219" s="875">
        <f t="shared" si="41"/>
        <v>0</v>
      </c>
      <c r="AA219" s="875">
        <f t="shared" si="41"/>
        <v>93768</v>
      </c>
      <c r="AB219" s="875">
        <f t="shared" si="41"/>
        <v>0</v>
      </c>
      <c r="AC219" s="878"/>
    </row>
    <row r="220" spans="1:30" ht="33" customHeight="1" x14ac:dyDescent="0.2">
      <c r="A220" s="618" t="s">
        <v>1360</v>
      </c>
      <c r="B220" s="619" t="s">
        <v>729</v>
      </c>
      <c r="C220" s="620">
        <v>244</v>
      </c>
      <c r="D220" s="620">
        <v>310</v>
      </c>
      <c r="E220" s="596">
        <f t="shared" si="39"/>
        <v>100000</v>
      </c>
      <c r="F220" s="595">
        <f>'Прилож 4 24 (9)'!V221</f>
        <v>0</v>
      </c>
      <c r="G220" s="595">
        <f>'Прилож 4 24 (9)'!W221</f>
        <v>0</v>
      </c>
      <c r="H220" s="595">
        <f>'Прилож 4 24 (9)'!X221</f>
        <v>0</v>
      </c>
      <c r="I220" s="1020" t="s">
        <v>1226</v>
      </c>
      <c r="J220" s="595">
        <f>'Прилож 4 24 (9)'!Z221</f>
        <v>0</v>
      </c>
      <c r="K220" s="595">
        <f>'Прилож 4 24 (9)'!AA221</f>
        <v>100000</v>
      </c>
      <c r="L220" s="595">
        <f>'Прилож 4 24 (9)'!AB221</f>
        <v>0</v>
      </c>
      <c r="M220" s="876">
        <f t="shared" si="33"/>
        <v>0</v>
      </c>
      <c r="N220" s="875"/>
      <c r="O220" s="875"/>
      <c r="P220" s="875"/>
      <c r="Q220" s="877"/>
      <c r="R220" s="875"/>
      <c r="S220" s="875"/>
      <c r="T220" s="875"/>
      <c r="U220" s="876">
        <f t="shared" si="35"/>
        <v>100000</v>
      </c>
      <c r="V220" s="875">
        <f t="shared" si="35"/>
        <v>0</v>
      </c>
      <c r="W220" s="875">
        <f t="shared" si="40"/>
        <v>0</v>
      </c>
      <c r="X220" s="875">
        <f t="shared" si="40"/>
        <v>0</v>
      </c>
      <c r="Y220" s="877" t="s">
        <v>1226</v>
      </c>
      <c r="Z220" s="875">
        <f t="shared" si="41"/>
        <v>0</v>
      </c>
      <c r="AA220" s="875">
        <f t="shared" si="41"/>
        <v>100000</v>
      </c>
      <c r="AB220" s="875">
        <f t="shared" si="41"/>
        <v>0</v>
      </c>
      <c r="AC220" s="878"/>
    </row>
    <row r="221" spans="1:30" ht="34.5" customHeight="1" x14ac:dyDescent="0.2">
      <c r="A221" s="618" t="s">
        <v>1358</v>
      </c>
      <c r="B221" s="619" t="s">
        <v>729</v>
      </c>
      <c r="C221" s="620">
        <v>244</v>
      </c>
      <c r="D221" s="620">
        <v>310</v>
      </c>
      <c r="E221" s="596">
        <f t="shared" si="39"/>
        <v>107260</v>
      </c>
      <c r="F221" s="595">
        <f>'Прилож 4 24 (9)'!V222</f>
        <v>107260</v>
      </c>
      <c r="G221" s="595">
        <f>'Прилож 4 24 (9)'!W222</f>
        <v>0</v>
      </c>
      <c r="H221" s="595">
        <f>'Прилож 4 24 (9)'!X222</f>
        <v>0</v>
      </c>
      <c r="I221" s="621"/>
      <c r="J221" s="595">
        <f>'Прилож 4 24 (9)'!Z222</f>
        <v>0</v>
      </c>
      <c r="K221" s="595">
        <f>'Прилож 4 24 (9)'!AA222</f>
        <v>0</v>
      </c>
      <c r="L221" s="595">
        <f>'Прилож 4 24 (9)'!AB222</f>
        <v>0</v>
      </c>
      <c r="M221" s="876">
        <f t="shared" si="33"/>
        <v>13590</v>
      </c>
      <c r="N221" s="875">
        <v>13590</v>
      </c>
      <c r="O221" s="875"/>
      <c r="P221" s="875"/>
      <c r="Q221" s="877"/>
      <c r="R221" s="875"/>
      <c r="S221" s="875"/>
      <c r="T221" s="875"/>
      <c r="U221" s="876">
        <f t="shared" si="35"/>
        <v>120850</v>
      </c>
      <c r="V221" s="875">
        <f t="shared" si="35"/>
        <v>120850</v>
      </c>
      <c r="W221" s="875">
        <f t="shared" si="40"/>
        <v>0</v>
      </c>
      <c r="X221" s="875">
        <f t="shared" si="40"/>
        <v>0</v>
      </c>
      <c r="Y221" s="877"/>
      <c r="Z221" s="875">
        <f t="shared" si="41"/>
        <v>0</v>
      </c>
      <c r="AA221" s="875">
        <f t="shared" si="41"/>
        <v>0</v>
      </c>
      <c r="AB221" s="875">
        <f t="shared" si="41"/>
        <v>0</v>
      </c>
      <c r="AC221" s="878" t="s">
        <v>1615</v>
      </c>
    </row>
    <row r="222" spans="1:30" ht="30.75" customHeight="1" x14ac:dyDescent="0.2">
      <c r="A222" s="618" t="s">
        <v>1359</v>
      </c>
      <c r="B222" s="619" t="s">
        <v>729</v>
      </c>
      <c r="C222" s="620">
        <v>244</v>
      </c>
      <c r="D222" s="620">
        <v>310</v>
      </c>
      <c r="E222" s="596">
        <f t="shared" si="39"/>
        <v>76990</v>
      </c>
      <c r="F222" s="595">
        <f>'Прилож 4 24 (9)'!V223</f>
        <v>76990</v>
      </c>
      <c r="G222" s="595">
        <f>'Прилож 4 24 (9)'!W223</f>
        <v>0</v>
      </c>
      <c r="H222" s="595">
        <f>'Прилож 4 24 (9)'!X223</f>
        <v>0</v>
      </c>
      <c r="I222" s="621"/>
      <c r="J222" s="595">
        <f>'Прилож 4 24 (9)'!Z223</f>
        <v>0</v>
      </c>
      <c r="K222" s="595">
        <f>'Прилож 4 24 (9)'!AA223</f>
        <v>0</v>
      </c>
      <c r="L222" s="595">
        <f>'Прилож 4 24 (9)'!AB223</f>
        <v>0</v>
      </c>
      <c r="M222" s="876">
        <f t="shared" si="33"/>
        <v>0</v>
      </c>
      <c r="N222" s="875"/>
      <c r="O222" s="875"/>
      <c r="P222" s="875"/>
      <c r="Q222" s="877"/>
      <c r="R222" s="875"/>
      <c r="S222" s="875"/>
      <c r="T222" s="875"/>
      <c r="U222" s="876">
        <f t="shared" si="35"/>
        <v>76990</v>
      </c>
      <c r="V222" s="875">
        <f t="shared" si="35"/>
        <v>76990</v>
      </c>
      <c r="W222" s="875">
        <f t="shared" si="40"/>
        <v>0</v>
      </c>
      <c r="X222" s="875">
        <f t="shared" si="40"/>
        <v>0</v>
      </c>
      <c r="Y222" s="877"/>
      <c r="Z222" s="875">
        <f t="shared" si="41"/>
        <v>0</v>
      </c>
      <c r="AA222" s="875">
        <f t="shared" si="41"/>
        <v>0</v>
      </c>
      <c r="AB222" s="875">
        <f t="shared" si="41"/>
        <v>0</v>
      </c>
      <c r="AC222" s="878"/>
    </row>
    <row r="223" spans="1:30" ht="30.75" customHeight="1" x14ac:dyDescent="0.2">
      <c r="A223" s="994" t="s">
        <v>1516</v>
      </c>
      <c r="B223" s="619" t="s">
        <v>729</v>
      </c>
      <c r="C223" s="620">
        <v>244</v>
      </c>
      <c r="D223" s="620">
        <v>310</v>
      </c>
      <c r="E223" s="596">
        <f t="shared" si="39"/>
        <v>11200</v>
      </c>
      <c r="F223" s="595">
        <f>'Прилож 4 24 (9)'!V224</f>
        <v>11200</v>
      </c>
      <c r="G223" s="595">
        <f>'Прилож 4 24 (9)'!W223</f>
        <v>0</v>
      </c>
      <c r="H223" s="595">
        <f>'Прилож 4 24 (9)'!X223</f>
        <v>0</v>
      </c>
      <c r="I223" s="621"/>
      <c r="J223" s="595">
        <f>'Прилож 4 24 (9)'!Z223</f>
        <v>0</v>
      </c>
      <c r="K223" s="595">
        <f>'Прилож 4 24 (9)'!AA223</f>
        <v>0</v>
      </c>
      <c r="L223" s="595">
        <f>'Прилож 4 24 (9)'!AB223</f>
        <v>0</v>
      </c>
      <c r="M223" s="876">
        <f t="shared" si="33"/>
        <v>0</v>
      </c>
      <c r="N223" s="875"/>
      <c r="O223" s="875"/>
      <c r="P223" s="875"/>
      <c r="Q223" s="877"/>
      <c r="R223" s="875"/>
      <c r="S223" s="875"/>
      <c r="T223" s="875"/>
      <c r="U223" s="876">
        <f t="shared" si="35"/>
        <v>11200</v>
      </c>
      <c r="V223" s="875">
        <f t="shared" si="35"/>
        <v>11200</v>
      </c>
      <c r="W223" s="875"/>
      <c r="X223" s="875"/>
      <c r="Y223" s="877"/>
      <c r="Z223" s="875"/>
      <c r="AA223" s="875">
        <f>S223+K223</f>
        <v>0</v>
      </c>
      <c r="AB223" s="875">
        <f>T223+L223</f>
        <v>0</v>
      </c>
      <c r="AC223" s="878"/>
    </row>
    <row r="224" spans="1:30" ht="30.75" customHeight="1" x14ac:dyDescent="0.2">
      <c r="A224" s="994" t="s">
        <v>1643</v>
      </c>
      <c r="B224" s="619" t="s">
        <v>729</v>
      </c>
      <c r="C224" s="620">
        <v>244</v>
      </c>
      <c r="D224" s="620">
        <v>310</v>
      </c>
      <c r="E224" s="596"/>
      <c r="F224" s="595"/>
      <c r="G224" s="595"/>
      <c r="H224" s="595"/>
      <c r="I224" s="621"/>
      <c r="J224" s="595"/>
      <c r="K224" s="595"/>
      <c r="L224" s="595"/>
      <c r="M224" s="876">
        <f t="shared" si="33"/>
        <v>82800</v>
      </c>
      <c r="N224" s="875">
        <v>82800</v>
      </c>
      <c r="O224" s="875"/>
      <c r="P224" s="875"/>
      <c r="Q224" s="877"/>
      <c r="R224" s="875"/>
      <c r="S224" s="875"/>
      <c r="T224" s="875"/>
      <c r="U224" s="876">
        <f t="shared" si="35"/>
        <v>82800</v>
      </c>
      <c r="V224" s="875">
        <f t="shared" si="35"/>
        <v>82800</v>
      </c>
      <c r="W224" s="875"/>
      <c r="X224" s="875"/>
      <c r="Y224" s="877"/>
      <c r="Z224" s="875"/>
      <c r="AA224" s="875"/>
      <c r="AB224" s="875"/>
      <c r="AC224" s="878" t="s">
        <v>1638</v>
      </c>
    </row>
    <row r="225" spans="1:30" ht="30.75" customHeight="1" x14ac:dyDescent="0.2">
      <c r="A225" s="994" t="s">
        <v>1660</v>
      </c>
      <c r="B225" s="619" t="s">
        <v>729</v>
      </c>
      <c r="C225" s="620">
        <v>244</v>
      </c>
      <c r="D225" s="620">
        <v>310</v>
      </c>
      <c r="E225" s="596"/>
      <c r="F225" s="595"/>
      <c r="G225" s="595"/>
      <c r="H225" s="595"/>
      <c r="I225" s="621"/>
      <c r="J225" s="595"/>
      <c r="K225" s="595"/>
      <c r="L225" s="595"/>
      <c r="M225" s="876">
        <f t="shared" si="33"/>
        <v>18490</v>
      </c>
      <c r="N225" s="875">
        <v>18490</v>
      </c>
      <c r="O225" s="875"/>
      <c r="P225" s="875"/>
      <c r="Q225" s="877"/>
      <c r="R225" s="875"/>
      <c r="S225" s="875"/>
      <c r="T225" s="875"/>
      <c r="U225" s="876">
        <f t="shared" si="35"/>
        <v>18490</v>
      </c>
      <c r="V225" s="875">
        <f t="shared" si="35"/>
        <v>18490</v>
      </c>
      <c r="W225" s="875"/>
      <c r="X225" s="875"/>
      <c r="Y225" s="877"/>
      <c r="Z225" s="875"/>
      <c r="AA225" s="875"/>
      <c r="AB225" s="875"/>
      <c r="AC225" s="878" t="s">
        <v>1600</v>
      </c>
    </row>
    <row r="226" spans="1:30" ht="30.75" customHeight="1" x14ac:dyDescent="0.2">
      <c r="A226" s="994" t="s">
        <v>1701</v>
      </c>
      <c r="B226" s="619" t="s">
        <v>729</v>
      </c>
      <c r="C226" s="620">
        <v>244</v>
      </c>
      <c r="D226" s="620">
        <v>310</v>
      </c>
      <c r="E226" s="596"/>
      <c r="F226" s="595"/>
      <c r="G226" s="595"/>
      <c r="H226" s="595"/>
      <c r="I226" s="621"/>
      <c r="J226" s="595"/>
      <c r="K226" s="595"/>
      <c r="L226" s="595"/>
      <c r="M226" s="876">
        <f t="shared" si="33"/>
        <v>6040</v>
      </c>
      <c r="N226" s="875">
        <f>2520+3520</f>
        <v>6040</v>
      </c>
      <c r="O226" s="875"/>
      <c r="P226" s="875"/>
      <c r="Q226" s="877"/>
      <c r="R226" s="875"/>
      <c r="S226" s="875"/>
      <c r="T226" s="875"/>
      <c r="U226" s="876">
        <f t="shared" si="35"/>
        <v>6040</v>
      </c>
      <c r="V226" s="875">
        <f t="shared" si="35"/>
        <v>6040</v>
      </c>
      <c r="W226" s="875"/>
      <c r="X226" s="875"/>
      <c r="Y226" s="877"/>
      <c r="Z226" s="875"/>
      <c r="AA226" s="875"/>
      <c r="AB226" s="875"/>
      <c r="AC226" s="878" t="s">
        <v>1600</v>
      </c>
    </row>
    <row r="227" spans="1:30" ht="37.9" customHeight="1" x14ac:dyDescent="0.2">
      <c r="A227" s="994" t="s">
        <v>1734</v>
      </c>
      <c r="B227" s="619" t="s">
        <v>729</v>
      </c>
      <c r="C227" s="620">
        <v>244</v>
      </c>
      <c r="D227" s="620">
        <v>310</v>
      </c>
      <c r="E227" s="596"/>
      <c r="F227" s="595"/>
      <c r="G227" s="595"/>
      <c r="H227" s="595"/>
      <c r="I227" s="621"/>
      <c r="J227" s="595"/>
      <c r="K227" s="595"/>
      <c r="L227" s="595"/>
      <c r="M227" s="876">
        <f t="shared" si="33"/>
        <v>44840</v>
      </c>
      <c r="N227" s="875">
        <v>44840</v>
      </c>
      <c r="O227" s="875"/>
      <c r="P227" s="875"/>
      <c r="Q227" s="877"/>
      <c r="R227" s="875"/>
      <c r="S227" s="875"/>
      <c r="T227" s="875"/>
      <c r="U227" s="876">
        <f t="shared" si="35"/>
        <v>44840</v>
      </c>
      <c r="V227" s="875">
        <f t="shared" si="35"/>
        <v>44840</v>
      </c>
      <c r="W227" s="875"/>
      <c r="X227" s="875"/>
      <c r="Y227" s="877"/>
      <c r="Z227" s="875"/>
      <c r="AA227" s="875"/>
      <c r="AB227" s="875"/>
      <c r="AC227" s="878" t="s">
        <v>1600</v>
      </c>
    </row>
    <row r="228" spans="1:30" ht="46.9" customHeight="1" x14ac:dyDescent="0.2">
      <c r="A228" s="994" t="s">
        <v>1632</v>
      </c>
      <c r="B228" s="619" t="s">
        <v>729</v>
      </c>
      <c r="C228" s="620">
        <v>244</v>
      </c>
      <c r="D228" s="620">
        <v>310</v>
      </c>
      <c r="E228" s="596">
        <f t="shared" ref="E228:E236" si="42">L228+K228+J228+H228+G228+F228</f>
        <v>0</v>
      </c>
      <c r="F228" s="595"/>
      <c r="G228" s="595">
        <f>'Прилож 4 24 (9)'!W224</f>
        <v>0</v>
      </c>
      <c r="H228" s="595">
        <f>'Прилож 4 24 (9)'!X224</f>
        <v>0</v>
      </c>
      <c r="I228" s="621"/>
      <c r="J228" s="595">
        <f>'Прилож 4 24 (9)'!Z224</f>
        <v>0</v>
      </c>
      <c r="K228" s="595">
        <f>'Прилож 4 24 (9)'!AA224</f>
        <v>0</v>
      </c>
      <c r="L228" s="595">
        <f>'Прилож 4 24 (9)'!AB224</f>
        <v>0</v>
      </c>
      <c r="M228" s="876">
        <f t="shared" si="33"/>
        <v>39100</v>
      </c>
      <c r="N228" s="875"/>
      <c r="O228" s="875"/>
      <c r="P228" s="875"/>
      <c r="Q228" s="884"/>
      <c r="R228" s="875"/>
      <c r="S228" s="875"/>
      <c r="T228" s="875">
        <v>39100</v>
      </c>
      <c r="U228" s="876">
        <f t="shared" si="35"/>
        <v>39100</v>
      </c>
      <c r="V228" s="875">
        <f t="shared" si="35"/>
        <v>0</v>
      </c>
      <c r="W228" s="875"/>
      <c r="X228" s="875"/>
      <c r="Y228" s="877"/>
      <c r="Z228" s="875"/>
      <c r="AA228" s="875">
        <f t="shared" ref="AA228:AB236" si="43">S228+K228</f>
        <v>0</v>
      </c>
      <c r="AB228" s="875">
        <f t="shared" si="43"/>
        <v>39100</v>
      </c>
      <c r="AC228" s="618" t="s">
        <v>1634</v>
      </c>
    </row>
    <row r="229" spans="1:30" ht="22.5" customHeight="1" x14ac:dyDescent="0.2">
      <c r="A229" s="618" t="s">
        <v>1287</v>
      </c>
      <c r="B229" s="619" t="s">
        <v>729</v>
      </c>
      <c r="C229" s="620">
        <v>244</v>
      </c>
      <c r="D229" s="620">
        <v>310</v>
      </c>
      <c r="E229" s="596">
        <f t="shared" si="42"/>
        <v>1009357.31</v>
      </c>
      <c r="F229" s="595">
        <f>'Прилож 4 24 (9)'!V225</f>
        <v>806926.31</v>
      </c>
      <c r="G229" s="595">
        <f>'Прилож 4 24 (9)'!W225</f>
        <v>0</v>
      </c>
      <c r="H229" s="595">
        <f>'Прилож 4 24 (9)'!X225</f>
        <v>0</v>
      </c>
      <c r="I229" s="596">
        <f>SUM(I214:I216)</f>
        <v>0</v>
      </c>
      <c r="J229" s="595">
        <f>'Прилож 4 24 (9)'!Z225</f>
        <v>0</v>
      </c>
      <c r="K229" s="595">
        <f>'Прилож 4 24 (9)'!AA225</f>
        <v>202431</v>
      </c>
      <c r="L229" s="595">
        <f>'Прилож 4 24 (9)'!AB225</f>
        <v>0</v>
      </c>
      <c r="M229" s="876">
        <f t="shared" si="33"/>
        <v>66719.859999999986</v>
      </c>
      <c r="N229" s="876">
        <f>SUM(N214:N228)</f>
        <v>27619.859999999986</v>
      </c>
      <c r="O229" s="876"/>
      <c r="P229" s="876">
        <f>SUM(P214:P222)</f>
        <v>0</v>
      </c>
      <c r="Q229" s="876">
        <f>Q214+Q215+Q216+Q217+Q218+Q219+Q220+Q221+Q222+Q228</f>
        <v>0</v>
      </c>
      <c r="R229" s="876"/>
      <c r="S229" s="876">
        <f>SUM(S214:S220)</f>
        <v>0</v>
      </c>
      <c r="T229" s="876">
        <f>SUM(T214:T228)</f>
        <v>39100</v>
      </c>
      <c r="U229" s="876">
        <f t="shared" si="35"/>
        <v>1076077.17</v>
      </c>
      <c r="V229" s="875">
        <f t="shared" si="35"/>
        <v>834546.17</v>
      </c>
      <c r="W229" s="875">
        <f t="shared" ref="W229:X236" si="44">O229+G229</f>
        <v>0</v>
      </c>
      <c r="X229" s="875">
        <f t="shared" si="44"/>
        <v>0</v>
      </c>
      <c r="Y229" s="876">
        <f>SUM(Y214:Y216)</f>
        <v>0</v>
      </c>
      <c r="Z229" s="875">
        <f t="shared" ref="Z229:Z236" si="45">R229+J229</f>
        <v>0</v>
      </c>
      <c r="AA229" s="875">
        <f t="shared" si="43"/>
        <v>202431</v>
      </c>
      <c r="AB229" s="875">
        <f t="shared" si="43"/>
        <v>39100</v>
      </c>
      <c r="AC229" s="876"/>
      <c r="AD229" s="820"/>
    </row>
    <row r="230" spans="1:30" s="614" customFormat="1" ht="29.25" customHeight="1" x14ac:dyDescent="0.2">
      <c r="A230" s="630" t="s">
        <v>741</v>
      </c>
      <c r="B230" s="631"/>
      <c r="C230" s="624"/>
      <c r="D230" s="624"/>
      <c r="E230" s="596">
        <f t="shared" si="42"/>
        <v>1357077.31</v>
      </c>
      <c r="F230" s="595">
        <f>'Прилож 4 24 (9)'!V226</f>
        <v>1154646.31</v>
      </c>
      <c r="G230" s="595">
        <f>'Прилож 4 24 (9)'!W226</f>
        <v>0</v>
      </c>
      <c r="H230" s="595">
        <f>'Прилож 4 24 (9)'!X226</f>
        <v>0</v>
      </c>
      <c r="I230" s="596">
        <f>I229+I213</f>
        <v>0</v>
      </c>
      <c r="J230" s="595">
        <f>'Прилож 4 24 (9)'!Z226</f>
        <v>0</v>
      </c>
      <c r="K230" s="595">
        <f>'Прилож 4 24 (9)'!AA226</f>
        <v>202431</v>
      </c>
      <c r="L230" s="595">
        <f>'Прилож 4 24 (9)'!AB226</f>
        <v>0</v>
      </c>
      <c r="M230" s="876">
        <f t="shared" si="33"/>
        <v>479719.86</v>
      </c>
      <c r="N230" s="876">
        <f>N213+N229</f>
        <v>440619.86</v>
      </c>
      <c r="O230" s="876"/>
      <c r="P230" s="876">
        <f>P229+P213</f>
        <v>0</v>
      </c>
      <c r="Q230" s="876"/>
      <c r="R230" s="876"/>
      <c r="S230" s="876">
        <f>S213+S229</f>
        <v>0</v>
      </c>
      <c r="T230" s="876">
        <f>T213+T229</f>
        <v>39100</v>
      </c>
      <c r="U230" s="876">
        <f t="shared" si="35"/>
        <v>1836797.17</v>
      </c>
      <c r="V230" s="875">
        <f t="shared" si="35"/>
        <v>1595266.17</v>
      </c>
      <c r="W230" s="875">
        <f t="shared" si="44"/>
        <v>0</v>
      </c>
      <c r="X230" s="875">
        <f t="shared" si="44"/>
        <v>0</v>
      </c>
      <c r="Y230" s="876">
        <f>Y229+Y213</f>
        <v>0</v>
      </c>
      <c r="Z230" s="875">
        <f t="shared" si="45"/>
        <v>0</v>
      </c>
      <c r="AA230" s="875">
        <f t="shared" si="43"/>
        <v>202431</v>
      </c>
      <c r="AB230" s="875">
        <f t="shared" si="43"/>
        <v>39100</v>
      </c>
      <c r="AC230" s="876"/>
    </row>
    <row r="231" spans="1:30" ht="22.5" customHeight="1" x14ac:dyDescent="0.2">
      <c r="A231" s="618" t="s">
        <v>588</v>
      </c>
      <c r="B231" s="619" t="s">
        <v>747</v>
      </c>
      <c r="C231" s="620">
        <v>244</v>
      </c>
      <c r="D231" s="620">
        <v>341</v>
      </c>
      <c r="E231" s="596">
        <f t="shared" si="42"/>
        <v>0</v>
      </c>
      <c r="F231" s="595">
        <f>'Прилож 4 24 (9)'!V227</f>
        <v>0</v>
      </c>
      <c r="G231" s="595">
        <f>'Прилож 4 24 (9)'!W227</f>
        <v>0</v>
      </c>
      <c r="H231" s="595">
        <f>'Прилож 4 24 (9)'!X227</f>
        <v>0</v>
      </c>
      <c r="I231" s="621"/>
      <c r="J231" s="595">
        <f>'Прилож 4 24 (9)'!Z227</f>
        <v>0</v>
      </c>
      <c r="K231" s="595">
        <f>'Прилож 4 24 (9)'!AA227</f>
        <v>0</v>
      </c>
      <c r="L231" s="595">
        <f>'Прилож 4 24 (9)'!AB227</f>
        <v>0</v>
      </c>
      <c r="M231" s="876">
        <f t="shared" si="33"/>
        <v>0</v>
      </c>
      <c r="N231" s="875"/>
      <c r="O231" s="875"/>
      <c r="P231" s="875"/>
      <c r="Q231" s="894"/>
      <c r="R231" s="875"/>
      <c r="S231" s="875"/>
      <c r="T231" s="875"/>
      <c r="U231" s="876">
        <f t="shared" si="35"/>
        <v>0</v>
      </c>
      <c r="V231" s="875">
        <f t="shared" si="35"/>
        <v>0</v>
      </c>
      <c r="W231" s="875">
        <f t="shared" si="44"/>
        <v>0</v>
      </c>
      <c r="X231" s="875">
        <f t="shared" si="44"/>
        <v>0</v>
      </c>
      <c r="Y231" s="877"/>
      <c r="Z231" s="875">
        <f t="shared" si="45"/>
        <v>0</v>
      </c>
      <c r="AA231" s="875">
        <f t="shared" si="43"/>
        <v>0</v>
      </c>
      <c r="AB231" s="875">
        <f t="shared" si="43"/>
        <v>0</v>
      </c>
      <c r="AC231" s="878"/>
    </row>
    <row r="232" spans="1:30" ht="19.5" customHeight="1" x14ac:dyDescent="0.2">
      <c r="A232" s="618" t="s">
        <v>588</v>
      </c>
      <c r="B232" s="619" t="s">
        <v>729</v>
      </c>
      <c r="C232" s="620">
        <v>244</v>
      </c>
      <c r="D232" s="620">
        <v>341</v>
      </c>
      <c r="E232" s="596">
        <f t="shared" si="42"/>
        <v>27315</v>
      </c>
      <c r="F232" s="595">
        <f>'Прилож 4 24 (9)'!V228</f>
        <v>0</v>
      </c>
      <c r="G232" s="595">
        <f>'Прилож 4 24 (9)'!W228</f>
        <v>0</v>
      </c>
      <c r="H232" s="595">
        <f>'Прилож 4 24 (9)'!X228</f>
        <v>13280</v>
      </c>
      <c r="I232" s="621" t="s">
        <v>1226</v>
      </c>
      <c r="J232" s="595">
        <f>'Прилож 4 24 (9)'!Z228</f>
        <v>0</v>
      </c>
      <c r="K232" s="595">
        <f>'Прилож 4 24 (9)'!AA228</f>
        <v>14035</v>
      </c>
      <c r="L232" s="595">
        <f>'Прилож 4 24 (9)'!AB228</f>
        <v>0</v>
      </c>
      <c r="M232" s="876">
        <f t="shared" si="33"/>
        <v>0</v>
      </c>
      <c r="N232" s="875"/>
      <c r="O232" s="875"/>
      <c r="P232" s="875"/>
      <c r="Q232" s="894"/>
      <c r="R232" s="875"/>
      <c r="S232" s="875"/>
      <c r="T232" s="875"/>
      <c r="U232" s="876">
        <f t="shared" si="35"/>
        <v>27315</v>
      </c>
      <c r="V232" s="875">
        <f t="shared" si="35"/>
        <v>0</v>
      </c>
      <c r="W232" s="875">
        <f t="shared" si="44"/>
        <v>0</v>
      </c>
      <c r="X232" s="875">
        <f t="shared" si="44"/>
        <v>13280</v>
      </c>
      <c r="Y232" s="877" t="s">
        <v>1226</v>
      </c>
      <c r="Z232" s="875">
        <f t="shared" si="45"/>
        <v>0</v>
      </c>
      <c r="AA232" s="875">
        <f t="shared" si="43"/>
        <v>14035</v>
      </c>
      <c r="AB232" s="875">
        <f t="shared" si="43"/>
        <v>0</v>
      </c>
      <c r="AC232" s="878"/>
    </row>
    <row r="233" spans="1:30" s="614" customFormat="1" ht="26.25" customHeight="1" x14ac:dyDescent="0.2">
      <c r="A233" s="630" t="s">
        <v>742</v>
      </c>
      <c r="B233" s="631"/>
      <c r="C233" s="624"/>
      <c r="D233" s="624"/>
      <c r="E233" s="596">
        <f t="shared" si="42"/>
        <v>27315</v>
      </c>
      <c r="F233" s="595">
        <f>'Прилож 4 24 (9)'!V229</f>
        <v>0</v>
      </c>
      <c r="G233" s="595">
        <f>'Прилож 4 24 (9)'!W229</f>
        <v>0</v>
      </c>
      <c r="H233" s="595">
        <f>'Прилож 4 24 (9)'!X229</f>
        <v>13280</v>
      </c>
      <c r="I233" s="626"/>
      <c r="J233" s="595">
        <f>'Прилож 4 24 (9)'!Z229</f>
        <v>0</v>
      </c>
      <c r="K233" s="595">
        <f>'Прилож 4 24 (9)'!AA229</f>
        <v>14035</v>
      </c>
      <c r="L233" s="595">
        <f>'Прилож 4 24 (9)'!AB229</f>
        <v>0</v>
      </c>
      <c r="M233" s="876">
        <f t="shared" si="33"/>
        <v>0</v>
      </c>
      <c r="N233" s="876"/>
      <c r="O233" s="876"/>
      <c r="P233" s="876">
        <f>P231+P232</f>
        <v>0</v>
      </c>
      <c r="Q233" s="881"/>
      <c r="R233" s="876"/>
      <c r="S233" s="876"/>
      <c r="T233" s="876"/>
      <c r="U233" s="876">
        <f t="shared" si="35"/>
        <v>27315</v>
      </c>
      <c r="V233" s="875">
        <f t="shared" si="35"/>
        <v>0</v>
      </c>
      <c r="W233" s="875">
        <f t="shared" si="44"/>
        <v>0</v>
      </c>
      <c r="X233" s="875">
        <f t="shared" si="44"/>
        <v>13280</v>
      </c>
      <c r="Y233" s="881"/>
      <c r="Z233" s="875">
        <f t="shared" si="45"/>
        <v>0</v>
      </c>
      <c r="AA233" s="875">
        <f t="shared" si="43"/>
        <v>14035</v>
      </c>
      <c r="AB233" s="875">
        <f t="shared" si="43"/>
        <v>0</v>
      </c>
      <c r="AC233" s="879"/>
    </row>
    <row r="234" spans="1:30" ht="45.6" customHeight="1" x14ac:dyDescent="0.2">
      <c r="A234" s="618" t="s">
        <v>1736</v>
      </c>
      <c r="B234" s="619" t="s">
        <v>747</v>
      </c>
      <c r="C234" s="620">
        <v>244</v>
      </c>
      <c r="D234" s="620">
        <v>342</v>
      </c>
      <c r="E234" s="596">
        <f t="shared" si="42"/>
        <v>2008650</v>
      </c>
      <c r="F234" s="595">
        <f>'Прилож 4 24 (9)'!V230</f>
        <v>0</v>
      </c>
      <c r="G234" s="595">
        <f>'Прилож 4 24 (9)'!W230</f>
        <v>0</v>
      </c>
      <c r="H234" s="595">
        <f>'Прилож 4 24 (9)'!X230</f>
        <v>851020</v>
      </c>
      <c r="I234" s="628"/>
      <c r="J234" s="595">
        <f>'Прилож 4 24 (9)'!Z230</f>
        <v>0</v>
      </c>
      <c r="K234" s="595">
        <f>'Прилож 4 24 (9)'!AA230</f>
        <v>0</v>
      </c>
      <c r="L234" s="595">
        <f>'Прилож 4 24 (9)'!AB230</f>
        <v>1157630</v>
      </c>
      <c r="M234" s="876">
        <f t="shared" si="33"/>
        <v>-384754.28</v>
      </c>
      <c r="N234" s="875"/>
      <c r="O234" s="875"/>
      <c r="P234" s="875">
        <v>-179581.28</v>
      </c>
      <c r="Q234" s="877"/>
      <c r="R234" s="875"/>
      <c r="S234" s="875"/>
      <c r="T234" s="875">
        <v>-205173</v>
      </c>
      <c r="U234" s="876">
        <f t="shared" si="35"/>
        <v>1623895.72</v>
      </c>
      <c r="V234" s="875">
        <f t="shared" si="35"/>
        <v>0</v>
      </c>
      <c r="W234" s="875">
        <f t="shared" si="44"/>
        <v>0</v>
      </c>
      <c r="X234" s="875">
        <f t="shared" si="44"/>
        <v>671438.72</v>
      </c>
      <c r="Y234" s="883"/>
      <c r="Z234" s="875">
        <f t="shared" si="45"/>
        <v>0</v>
      </c>
      <c r="AA234" s="875">
        <f t="shared" si="43"/>
        <v>0</v>
      </c>
      <c r="AB234" s="875">
        <f t="shared" si="43"/>
        <v>952457</v>
      </c>
      <c r="AC234" s="878" t="s">
        <v>1657</v>
      </c>
    </row>
    <row r="235" spans="1:30" s="614" customFormat="1" ht="26.25" customHeight="1" x14ac:dyDescent="0.2">
      <c r="A235" s="630" t="s">
        <v>786</v>
      </c>
      <c r="B235" s="631"/>
      <c r="C235" s="624"/>
      <c r="D235" s="624"/>
      <c r="E235" s="596">
        <f t="shared" si="42"/>
        <v>2008650</v>
      </c>
      <c r="F235" s="595">
        <f>'Прилож 4 24 (9)'!V231</f>
        <v>0</v>
      </c>
      <c r="G235" s="595">
        <f>'Прилож 4 24 (9)'!W231</f>
        <v>0</v>
      </c>
      <c r="H235" s="595">
        <f>'Прилож 4 24 (9)'!X231</f>
        <v>851020</v>
      </c>
      <c r="I235" s="626"/>
      <c r="J235" s="595">
        <f>'Прилож 4 24 (9)'!Z231</f>
        <v>0</v>
      </c>
      <c r="K235" s="595">
        <f>'Прилож 4 24 (9)'!AA231</f>
        <v>0</v>
      </c>
      <c r="L235" s="595">
        <f>'Прилож 4 24 (9)'!AB231</f>
        <v>1157630</v>
      </c>
      <c r="M235" s="876">
        <f t="shared" si="33"/>
        <v>-384754.28</v>
      </c>
      <c r="N235" s="876"/>
      <c r="O235" s="876"/>
      <c r="P235" s="876">
        <f>SUM(P234)</f>
        <v>-179581.28</v>
      </c>
      <c r="Q235" s="881"/>
      <c r="R235" s="876"/>
      <c r="S235" s="876"/>
      <c r="T235" s="876">
        <f>SUM(T234)</f>
        <v>-205173</v>
      </c>
      <c r="U235" s="876">
        <f t="shared" si="35"/>
        <v>1623895.72</v>
      </c>
      <c r="V235" s="875">
        <f t="shared" si="35"/>
        <v>0</v>
      </c>
      <c r="W235" s="875">
        <f t="shared" si="44"/>
        <v>0</v>
      </c>
      <c r="X235" s="875">
        <f t="shared" si="44"/>
        <v>671438.72</v>
      </c>
      <c r="Y235" s="881"/>
      <c r="Z235" s="875">
        <f t="shared" si="45"/>
        <v>0</v>
      </c>
      <c r="AA235" s="875">
        <f t="shared" si="43"/>
        <v>0</v>
      </c>
      <c r="AB235" s="875">
        <f t="shared" si="43"/>
        <v>952457</v>
      </c>
      <c r="AC235" s="879"/>
      <c r="AD235" s="818"/>
    </row>
    <row r="236" spans="1:30" ht="47.25" x14ac:dyDescent="0.2">
      <c r="A236" s="618" t="s">
        <v>793</v>
      </c>
      <c r="B236" s="619" t="s">
        <v>791</v>
      </c>
      <c r="C236" s="620">
        <v>244</v>
      </c>
      <c r="D236" s="620">
        <v>342</v>
      </c>
      <c r="E236" s="596">
        <f t="shared" si="42"/>
        <v>600000</v>
      </c>
      <c r="F236" s="595">
        <f>'Прилож 4 24 (9)'!V232</f>
        <v>600000</v>
      </c>
      <c r="G236" s="595">
        <f>'Прилож 4 24 (9)'!W232</f>
        <v>0</v>
      </c>
      <c r="H236" s="595">
        <f>'Прилож 4 24 (9)'!X232</f>
        <v>0</v>
      </c>
      <c r="I236" s="628"/>
      <c r="J236" s="595">
        <f>'Прилож 4 24 (9)'!Z232</f>
        <v>0</v>
      </c>
      <c r="K236" s="595">
        <f>'Прилож 4 24 (9)'!AA232</f>
        <v>0</v>
      </c>
      <c r="L236" s="595">
        <f>'Прилож 4 24 (9)'!AB232</f>
        <v>0</v>
      </c>
      <c r="M236" s="876">
        <f t="shared" si="33"/>
        <v>-90000</v>
      </c>
      <c r="N236" s="875">
        <v>-90000</v>
      </c>
      <c r="O236" s="875"/>
      <c r="P236" s="875"/>
      <c r="Q236" s="877"/>
      <c r="R236" s="875"/>
      <c r="S236" s="875"/>
      <c r="T236" s="875"/>
      <c r="U236" s="876">
        <f t="shared" si="35"/>
        <v>510000</v>
      </c>
      <c r="V236" s="875">
        <f t="shared" si="35"/>
        <v>510000</v>
      </c>
      <c r="W236" s="875">
        <f t="shared" si="44"/>
        <v>0</v>
      </c>
      <c r="X236" s="875">
        <f t="shared" si="44"/>
        <v>0</v>
      </c>
      <c r="Y236" s="883"/>
      <c r="Z236" s="875">
        <f t="shared" si="45"/>
        <v>0</v>
      </c>
      <c r="AA236" s="875">
        <f t="shared" si="43"/>
        <v>0</v>
      </c>
      <c r="AB236" s="875">
        <f t="shared" si="43"/>
        <v>0</v>
      </c>
      <c r="AC236" s="1003" t="s">
        <v>1644</v>
      </c>
    </row>
    <row r="237" spans="1:30" s="614" customFormat="1" ht="21" customHeight="1" x14ac:dyDescent="0.2">
      <c r="A237" s="630" t="s">
        <v>786</v>
      </c>
      <c r="B237" s="631"/>
      <c r="C237" s="624"/>
      <c r="D237" s="624"/>
      <c r="E237" s="596">
        <f t="shared" ref="E237:E270" si="46">L237+K237+J237+H237+G237+F237</f>
        <v>600000</v>
      </c>
      <c r="F237" s="595">
        <f>'Прилож 4 24 (9)'!V233</f>
        <v>600000</v>
      </c>
      <c r="G237" s="595">
        <f>'Прилож 4 24 (9)'!W233</f>
        <v>0</v>
      </c>
      <c r="H237" s="595">
        <f>'Прилож 4 24 (9)'!X233</f>
        <v>0</v>
      </c>
      <c r="I237" s="626"/>
      <c r="J237" s="595">
        <f>'Прилож 4 24 (9)'!Z233</f>
        <v>0</v>
      </c>
      <c r="K237" s="595">
        <f>'Прилож 4 24 (9)'!AA233</f>
        <v>0</v>
      </c>
      <c r="L237" s="595">
        <f>'Прилож 4 24 (9)'!AB233</f>
        <v>0</v>
      </c>
      <c r="M237" s="876">
        <f t="shared" ref="M237:M266" si="47">N237+P237+R237+S237+T237+O237</f>
        <v>-90000</v>
      </c>
      <c r="N237" s="876">
        <f>SUM(N236:N236)</f>
        <v>-90000</v>
      </c>
      <c r="O237" s="876"/>
      <c r="P237" s="876"/>
      <c r="Q237" s="881"/>
      <c r="R237" s="876"/>
      <c r="S237" s="876"/>
      <c r="T237" s="876"/>
      <c r="U237" s="876">
        <f t="shared" si="35"/>
        <v>510000</v>
      </c>
      <c r="V237" s="875">
        <f t="shared" si="35"/>
        <v>510000</v>
      </c>
      <c r="W237" s="875">
        <f t="shared" ref="W237:X254" si="48">O237+G237</f>
        <v>0</v>
      </c>
      <c r="X237" s="875">
        <f t="shared" si="48"/>
        <v>0</v>
      </c>
      <c r="Y237" s="881"/>
      <c r="Z237" s="875">
        <f t="shared" ref="Z237:AB254" si="49">R237+J237</f>
        <v>0</v>
      </c>
      <c r="AA237" s="875">
        <f t="shared" si="49"/>
        <v>0</v>
      </c>
      <c r="AB237" s="875">
        <f t="shared" si="49"/>
        <v>0</v>
      </c>
      <c r="AC237" s="624"/>
    </row>
    <row r="238" spans="1:30" ht="19.5" customHeight="1" x14ac:dyDescent="0.2">
      <c r="A238" s="618" t="s">
        <v>621</v>
      </c>
      <c r="B238" s="619" t="s">
        <v>747</v>
      </c>
      <c r="C238" s="620">
        <v>244</v>
      </c>
      <c r="D238" s="620">
        <v>343</v>
      </c>
      <c r="E238" s="596">
        <f t="shared" si="46"/>
        <v>256</v>
      </c>
      <c r="F238" s="595">
        <f>'Прилож 4 24 (9)'!V234</f>
        <v>0</v>
      </c>
      <c r="G238" s="595">
        <f>'Прилож 4 24 (9)'!W234</f>
        <v>0</v>
      </c>
      <c r="H238" s="595">
        <f>'Прилож 4 24 (9)'!X234</f>
        <v>256</v>
      </c>
      <c r="I238" s="628"/>
      <c r="J238" s="595">
        <f>'Прилож 4 24 (9)'!Z234</f>
        <v>0</v>
      </c>
      <c r="K238" s="595">
        <f>'Прилож 4 24 (9)'!AA234</f>
        <v>0</v>
      </c>
      <c r="L238" s="595">
        <f>'Прилож 4 24 (9)'!AB234</f>
        <v>0</v>
      </c>
      <c r="M238" s="876">
        <f t="shared" si="47"/>
        <v>0</v>
      </c>
      <c r="N238" s="875"/>
      <c r="O238" s="875"/>
      <c r="P238" s="875"/>
      <c r="Q238" s="877"/>
      <c r="R238" s="875"/>
      <c r="S238" s="875"/>
      <c r="T238" s="875"/>
      <c r="U238" s="876">
        <f t="shared" si="35"/>
        <v>256</v>
      </c>
      <c r="V238" s="875">
        <f t="shared" si="35"/>
        <v>0</v>
      </c>
      <c r="W238" s="875">
        <f t="shared" si="48"/>
        <v>0</v>
      </c>
      <c r="X238" s="875">
        <f t="shared" si="48"/>
        <v>256</v>
      </c>
      <c r="Y238" s="883"/>
      <c r="Z238" s="875">
        <f t="shared" si="49"/>
        <v>0</v>
      </c>
      <c r="AA238" s="875">
        <f t="shared" si="49"/>
        <v>0</v>
      </c>
      <c r="AB238" s="875">
        <f t="shared" si="49"/>
        <v>0</v>
      </c>
      <c r="AC238" s="879"/>
    </row>
    <row r="239" spans="1:30" ht="50.45" customHeight="1" x14ac:dyDescent="0.2">
      <c r="A239" s="618" t="s">
        <v>1145</v>
      </c>
      <c r="B239" s="619" t="s">
        <v>729</v>
      </c>
      <c r="C239" s="620">
        <v>244</v>
      </c>
      <c r="D239" s="620">
        <v>343</v>
      </c>
      <c r="E239" s="596">
        <f t="shared" si="46"/>
        <v>200512</v>
      </c>
      <c r="F239" s="595">
        <f>'Прилож 4 24 (9)'!V235</f>
        <v>200000</v>
      </c>
      <c r="G239" s="595">
        <f>'Прилож 4 24 (9)'!W235</f>
        <v>0</v>
      </c>
      <c r="H239" s="595">
        <f>'Прилож 4 24 (9)'!X235</f>
        <v>512</v>
      </c>
      <c r="I239" s="628"/>
      <c r="J239" s="595">
        <f>'Прилож 4 24 (9)'!Z235</f>
        <v>0</v>
      </c>
      <c r="K239" s="595">
        <f>'Прилож 4 24 (9)'!AA235</f>
        <v>0</v>
      </c>
      <c r="L239" s="595">
        <f>'Прилож 4 24 (9)'!AB235</f>
        <v>0</v>
      </c>
      <c r="M239" s="876">
        <f t="shared" si="47"/>
        <v>159750</v>
      </c>
      <c r="N239" s="875">
        <v>150000</v>
      </c>
      <c r="O239" s="875"/>
      <c r="P239" s="875">
        <v>9750</v>
      </c>
      <c r="Q239" s="877"/>
      <c r="R239" s="875"/>
      <c r="S239" s="875"/>
      <c r="T239" s="875"/>
      <c r="U239" s="876">
        <f t="shared" si="35"/>
        <v>360262</v>
      </c>
      <c r="V239" s="875">
        <f t="shared" si="35"/>
        <v>350000</v>
      </c>
      <c r="W239" s="875">
        <f t="shared" si="48"/>
        <v>0</v>
      </c>
      <c r="X239" s="875">
        <f t="shared" si="48"/>
        <v>10262</v>
      </c>
      <c r="Y239" s="883"/>
      <c r="Z239" s="875">
        <f t="shared" si="49"/>
        <v>0</v>
      </c>
      <c r="AA239" s="875">
        <f t="shared" si="49"/>
        <v>0</v>
      </c>
      <c r="AB239" s="875">
        <f t="shared" si="49"/>
        <v>0</v>
      </c>
      <c r="AC239" s="878" t="s">
        <v>1616</v>
      </c>
    </row>
    <row r="240" spans="1:30" s="614" customFormat="1" ht="22.5" customHeight="1" x14ac:dyDescent="0.2">
      <c r="A240" s="630" t="s">
        <v>879</v>
      </c>
      <c r="B240" s="631"/>
      <c r="C240" s="624"/>
      <c r="D240" s="624"/>
      <c r="E240" s="596">
        <f t="shared" si="46"/>
        <v>200768</v>
      </c>
      <c r="F240" s="595">
        <f>'Прилож 4 24 (9)'!V236</f>
        <v>200000</v>
      </c>
      <c r="G240" s="595">
        <f>'Прилож 4 24 (9)'!W236</f>
        <v>0</v>
      </c>
      <c r="H240" s="595">
        <f>'Прилож 4 24 (9)'!X236</f>
        <v>768</v>
      </c>
      <c r="I240" s="626"/>
      <c r="J240" s="595">
        <f>'Прилож 4 24 (9)'!Z236</f>
        <v>0</v>
      </c>
      <c r="K240" s="595">
        <f>'Прилож 4 24 (9)'!AA236</f>
        <v>0</v>
      </c>
      <c r="L240" s="595">
        <f>'Прилож 4 24 (9)'!AB236</f>
        <v>0</v>
      </c>
      <c r="M240" s="876">
        <f t="shared" si="47"/>
        <v>159750</v>
      </c>
      <c r="N240" s="876">
        <f>SUM(N238:N239)</f>
        <v>150000</v>
      </c>
      <c r="O240" s="876"/>
      <c r="P240" s="876">
        <f>SUM(P238:P239)</f>
        <v>9750</v>
      </c>
      <c r="Q240" s="881"/>
      <c r="R240" s="876"/>
      <c r="S240" s="876"/>
      <c r="T240" s="876"/>
      <c r="U240" s="876">
        <f t="shared" si="35"/>
        <v>360518</v>
      </c>
      <c r="V240" s="875">
        <f t="shared" si="35"/>
        <v>350000</v>
      </c>
      <c r="W240" s="875">
        <f t="shared" si="48"/>
        <v>0</v>
      </c>
      <c r="X240" s="875">
        <f t="shared" si="48"/>
        <v>10518</v>
      </c>
      <c r="Y240" s="881"/>
      <c r="Z240" s="875">
        <f t="shared" si="49"/>
        <v>0</v>
      </c>
      <c r="AA240" s="875">
        <f t="shared" si="49"/>
        <v>0</v>
      </c>
      <c r="AB240" s="875">
        <f t="shared" si="49"/>
        <v>0</v>
      </c>
      <c r="AC240" s="879"/>
    </row>
    <row r="241" spans="1:31" s="614" customFormat="1" ht="22.5" customHeight="1" x14ac:dyDescent="0.2">
      <c r="A241" s="618" t="s">
        <v>941</v>
      </c>
      <c r="B241" s="619" t="s">
        <v>729</v>
      </c>
      <c r="C241" s="620">
        <v>244</v>
      </c>
      <c r="D241" s="620">
        <v>344</v>
      </c>
      <c r="E241" s="596">
        <f t="shared" si="46"/>
        <v>0</v>
      </c>
      <c r="F241" s="595">
        <f>'Прилож 4 24 (9)'!V237</f>
        <v>0</v>
      </c>
      <c r="G241" s="595">
        <f>'Прилож 4 24 (9)'!W237</f>
        <v>0</v>
      </c>
      <c r="H241" s="595">
        <f>'Прилож 4 24 (9)'!X237</f>
        <v>0</v>
      </c>
      <c r="I241" s="628"/>
      <c r="J241" s="595">
        <f>'Прилож 4 24 (9)'!Z237</f>
        <v>0</v>
      </c>
      <c r="K241" s="595">
        <f>'Прилож 4 24 (9)'!AA237</f>
        <v>0</v>
      </c>
      <c r="L241" s="595">
        <f>'Прилож 4 24 (9)'!AB237</f>
        <v>0</v>
      </c>
      <c r="M241" s="876">
        <f t="shared" si="47"/>
        <v>0</v>
      </c>
      <c r="N241" s="876"/>
      <c r="O241" s="876"/>
      <c r="P241" s="875"/>
      <c r="Q241" s="883"/>
      <c r="R241" s="876"/>
      <c r="S241" s="876"/>
      <c r="T241" s="875"/>
      <c r="U241" s="876">
        <f t="shared" si="35"/>
        <v>0</v>
      </c>
      <c r="V241" s="875">
        <f t="shared" si="35"/>
        <v>0</v>
      </c>
      <c r="W241" s="875">
        <f t="shared" si="48"/>
        <v>0</v>
      </c>
      <c r="X241" s="875">
        <f t="shared" si="48"/>
        <v>0</v>
      </c>
      <c r="Y241" s="883"/>
      <c r="Z241" s="875">
        <f t="shared" si="49"/>
        <v>0</v>
      </c>
      <c r="AA241" s="875">
        <f t="shared" si="49"/>
        <v>0</v>
      </c>
      <c r="AB241" s="875">
        <f t="shared" si="49"/>
        <v>0</v>
      </c>
      <c r="AC241" s="878"/>
    </row>
    <row r="242" spans="1:31" s="614" customFormat="1" ht="22.5" customHeight="1" x14ac:dyDescent="0.2">
      <c r="A242" s="630" t="s">
        <v>942</v>
      </c>
      <c r="B242" s="631"/>
      <c r="C242" s="624"/>
      <c r="D242" s="624"/>
      <c r="E242" s="596">
        <f t="shared" si="46"/>
        <v>0</v>
      </c>
      <c r="F242" s="595">
        <f>'Прилож 4 24 (9)'!V238</f>
        <v>0</v>
      </c>
      <c r="G242" s="595">
        <f>'Прилож 4 24 (9)'!W238</f>
        <v>0</v>
      </c>
      <c r="H242" s="595">
        <f>'Прилож 4 24 (9)'!X238</f>
        <v>0</v>
      </c>
      <c r="I242" s="626"/>
      <c r="J242" s="595">
        <f>'Прилож 4 24 (9)'!Z238</f>
        <v>0</v>
      </c>
      <c r="K242" s="595">
        <f>'Прилож 4 24 (9)'!AA238</f>
        <v>0</v>
      </c>
      <c r="L242" s="595">
        <f>'Прилож 4 24 (9)'!AB238</f>
        <v>0</v>
      </c>
      <c r="M242" s="876">
        <f t="shared" si="47"/>
        <v>0</v>
      </c>
      <c r="N242" s="876"/>
      <c r="O242" s="876"/>
      <c r="P242" s="876"/>
      <c r="Q242" s="881"/>
      <c r="R242" s="876"/>
      <c r="S242" s="876"/>
      <c r="T242" s="876"/>
      <c r="U242" s="876">
        <f t="shared" si="35"/>
        <v>0</v>
      </c>
      <c r="V242" s="875">
        <f t="shared" si="35"/>
        <v>0</v>
      </c>
      <c r="W242" s="875">
        <f t="shared" si="48"/>
        <v>0</v>
      </c>
      <c r="X242" s="875">
        <f t="shared" si="48"/>
        <v>0</v>
      </c>
      <c r="Y242" s="881"/>
      <c r="Z242" s="875">
        <f t="shared" si="49"/>
        <v>0</v>
      </c>
      <c r="AA242" s="875">
        <f t="shared" si="49"/>
        <v>0</v>
      </c>
      <c r="AB242" s="875">
        <f t="shared" si="49"/>
        <v>0</v>
      </c>
      <c r="AC242" s="1084"/>
    </row>
    <row r="243" spans="1:31" ht="29.25" customHeight="1" x14ac:dyDescent="0.2">
      <c r="A243" s="618" t="s">
        <v>169</v>
      </c>
      <c r="B243" s="619" t="s">
        <v>747</v>
      </c>
      <c r="C243" s="620">
        <v>244</v>
      </c>
      <c r="D243" s="620">
        <v>345</v>
      </c>
      <c r="E243" s="596">
        <f t="shared" si="46"/>
        <v>18430</v>
      </c>
      <c r="F243" s="595">
        <f>'Прилож 4 24 (9)'!V239</f>
        <v>0</v>
      </c>
      <c r="G243" s="595">
        <f>'Прилож 4 24 (9)'!W239</f>
        <v>0</v>
      </c>
      <c r="H243" s="595">
        <f>'Прилож 4 24 (9)'!X239</f>
        <v>0</v>
      </c>
      <c r="I243" s="628"/>
      <c r="J243" s="595">
        <f>'Прилож 4 24 (9)'!Z239</f>
        <v>0</v>
      </c>
      <c r="K243" s="595">
        <f>'Прилож 4 24 (9)'!AA239</f>
        <v>0</v>
      </c>
      <c r="L243" s="595">
        <f>'Прилож 4 24 (9)'!AB239</f>
        <v>18430</v>
      </c>
      <c r="M243" s="876">
        <f t="shared" si="47"/>
        <v>0</v>
      </c>
      <c r="N243" s="875"/>
      <c r="O243" s="875"/>
      <c r="P243" s="875"/>
      <c r="Q243" s="877"/>
      <c r="R243" s="875"/>
      <c r="S243" s="875"/>
      <c r="T243" s="875"/>
      <c r="U243" s="876">
        <f t="shared" si="35"/>
        <v>18430</v>
      </c>
      <c r="V243" s="875">
        <f t="shared" si="35"/>
        <v>0</v>
      </c>
      <c r="W243" s="875">
        <f t="shared" si="48"/>
        <v>0</v>
      </c>
      <c r="X243" s="875">
        <f t="shared" si="48"/>
        <v>0</v>
      </c>
      <c r="Y243" s="883"/>
      <c r="Z243" s="875">
        <f t="shared" si="49"/>
        <v>0</v>
      </c>
      <c r="AA243" s="875">
        <f t="shared" si="49"/>
        <v>0</v>
      </c>
      <c r="AB243" s="875">
        <f t="shared" si="49"/>
        <v>18430</v>
      </c>
      <c r="AC243" s="878"/>
    </row>
    <row r="244" spans="1:31" s="614" customFormat="1" ht="30" customHeight="1" x14ac:dyDescent="0.2">
      <c r="A244" s="630" t="s">
        <v>743</v>
      </c>
      <c r="B244" s="631"/>
      <c r="C244" s="624"/>
      <c r="D244" s="624"/>
      <c r="E244" s="596">
        <f t="shared" si="46"/>
        <v>18430</v>
      </c>
      <c r="F244" s="595">
        <f>'Прилож 4 24 (9)'!V240</f>
        <v>0</v>
      </c>
      <c r="G244" s="595">
        <f>'Прилож 4 24 (9)'!W240</f>
        <v>0</v>
      </c>
      <c r="H244" s="595">
        <f>'Прилож 4 24 (9)'!X240</f>
        <v>0</v>
      </c>
      <c r="I244" s="626"/>
      <c r="J244" s="595">
        <f>'Прилож 4 24 (9)'!Z240</f>
        <v>0</v>
      </c>
      <c r="K244" s="595">
        <f>'Прилож 4 24 (9)'!AA240</f>
        <v>0</v>
      </c>
      <c r="L244" s="595">
        <f>'Прилож 4 24 (9)'!AB240</f>
        <v>18430</v>
      </c>
      <c r="M244" s="876">
        <f t="shared" si="47"/>
        <v>0</v>
      </c>
      <c r="N244" s="876"/>
      <c r="O244" s="876"/>
      <c r="P244" s="876"/>
      <c r="Q244" s="881"/>
      <c r="R244" s="876"/>
      <c r="S244" s="876"/>
      <c r="T244" s="876">
        <f>T243</f>
        <v>0</v>
      </c>
      <c r="U244" s="876">
        <f t="shared" si="35"/>
        <v>18430</v>
      </c>
      <c r="V244" s="875">
        <f t="shared" si="35"/>
        <v>0</v>
      </c>
      <c r="W244" s="875">
        <f t="shared" si="48"/>
        <v>0</v>
      </c>
      <c r="X244" s="875">
        <f t="shared" si="48"/>
        <v>0</v>
      </c>
      <c r="Y244" s="881"/>
      <c r="Z244" s="875">
        <f t="shared" si="49"/>
        <v>0</v>
      </c>
      <c r="AA244" s="875">
        <f t="shared" si="49"/>
        <v>0</v>
      </c>
      <c r="AB244" s="875">
        <f t="shared" si="49"/>
        <v>18430</v>
      </c>
      <c r="AC244" s="879"/>
    </row>
    <row r="245" spans="1:31" ht="50.25" customHeight="1" x14ac:dyDescent="0.2">
      <c r="A245" s="618" t="s">
        <v>1735</v>
      </c>
      <c r="B245" s="619" t="s">
        <v>747</v>
      </c>
      <c r="C245" s="620">
        <v>244</v>
      </c>
      <c r="D245" s="620">
        <v>346</v>
      </c>
      <c r="E245" s="596">
        <f t="shared" si="46"/>
        <v>193082.76</v>
      </c>
      <c r="F245" s="595">
        <f>'Прилож 4 24 (9)'!V241</f>
        <v>80000</v>
      </c>
      <c r="G245" s="595">
        <f>'Прилож 4 24 (9)'!W241</f>
        <v>0</v>
      </c>
      <c r="H245" s="595">
        <f>'Прилож 4 24 (9)'!X241</f>
        <v>66365.05</v>
      </c>
      <c r="I245" s="621"/>
      <c r="J245" s="595">
        <f>'Прилож 4 24 (9)'!Z241</f>
        <v>0</v>
      </c>
      <c r="K245" s="595">
        <f>'Прилож 4 24 (9)'!AA241</f>
        <v>0</v>
      </c>
      <c r="L245" s="595">
        <f>'Прилож 4 24 (9)'!AB241</f>
        <v>46717.71</v>
      </c>
      <c r="M245" s="876">
        <f t="shared" si="47"/>
        <v>241893.56</v>
      </c>
      <c r="N245" s="875"/>
      <c r="O245" s="875"/>
      <c r="P245" s="875">
        <f>52999.96+4782.33+179581.28+2853.83</f>
        <v>240217.4</v>
      </c>
      <c r="Q245" s="877"/>
      <c r="R245" s="875"/>
      <c r="S245" s="875"/>
      <c r="T245" s="875">
        <v>1676.16</v>
      </c>
      <c r="U245" s="876">
        <f t="shared" si="35"/>
        <v>434976.32</v>
      </c>
      <c r="V245" s="875">
        <f t="shared" si="35"/>
        <v>80000</v>
      </c>
      <c r="W245" s="875">
        <f t="shared" si="48"/>
        <v>0</v>
      </c>
      <c r="X245" s="875">
        <f t="shared" si="48"/>
        <v>306582.45</v>
      </c>
      <c r="Y245" s="877"/>
      <c r="Z245" s="875">
        <f t="shared" si="49"/>
        <v>0</v>
      </c>
      <c r="AA245" s="875">
        <f t="shared" si="49"/>
        <v>0</v>
      </c>
      <c r="AB245" s="875">
        <f t="shared" si="49"/>
        <v>48393.87</v>
      </c>
      <c r="AC245" s="878" t="s">
        <v>1659</v>
      </c>
    </row>
    <row r="246" spans="1:31" ht="90" customHeight="1" x14ac:dyDescent="0.2">
      <c r="A246" s="618" t="s">
        <v>1311</v>
      </c>
      <c r="B246" s="619" t="s">
        <v>747</v>
      </c>
      <c r="C246" s="620">
        <v>244</v>
      </c>
      <c r="D246" s="620">
        <v>346</v>
      </c>
      <c r="E246" s="596">
        <f t="shared" si="46"/>
        <v>1025092.2</v>
      </c>
      <c r="F246" s="595">
        <f>'Прилож 4 24 (9)'!V242</f>
        <v>1025092.2</v>
      </c>
      <c r="G246" s="595">
        <f>'Прилож 4 24 (9)'!W242</f>
        <v>0</v>
      </c>
      <c r="H246" s="595">
        <f>'Прилож 4 24 (9)'!X242</f>
        <v>0</v>
      </c>
      <c r="I246" s="621"/>
      <c r="J246" s="595">
        <f>'Прилож 4 24 (9)'!Z242</f>
        <v>0</v>
      </c>
      <c r="K246" s="595">
        <f>'Прилож 4 24 (9)'!AA242</f>
        <v>0</v>
      </c>
      <c r="L246" s="595">
        <f>'Прилож 4 24 (9)'!AB242</f>
        <v>0</v>
      </c>
      <c r="M246" s="876">
        <f t="shared" si="47"/>
        <v>-403940</v>
      </c>
      <c r="N246" s="875">
        <f>-413000+9060</f>
        <v>-403940</v>
      </c>
      <c r="O246" s="875"/>
      <c r="P246" s="875"/>
      <c r="Q246" s="877"/>
      <c r="R246" s="875"/>
      <c r="S246" s="875"/>
      <c r="T246" s="875"/>
      <c r="U246" s="876">
        <f t="shared" si="35"/>
        <v>621152.19999999995</v>
      </c>
      <c r="V246" s="875">
        <f t="shared" si="35"/>
        <v>621152.19999999995</v>
      </c>
      <c r="W246" s="875">
        <f t="shared" si="48"/>
        <v>0</v>
      </c>
      <c r="X246" s="875">
        <f t="shared" si="48"/>
        <v>0</v>
      </c>
      <c r="Y246" s="877"/>
      <c r="Z246" s="875">
        <f t="shared" si="49"/>
        <v>0</v>
      </c>
      <c r="AA246" s="875">
        <f t="shared" si="49"/>
        <v>0</v>
      </c>
      <c r="AB246" s="875">
        <f t="shared" si="49"/>
        <v>0</v>
      </c>
      <c r="AC246" s="878" t="s">
        <v>1729</v>
      </c>
      <c r="AD246" s="820"/>
    </row>
    <row r="247" spans="1:31" ht="32.25" customHeight="1" x14ac:dyDescent="0.2">
      <c r="A247" s="618" t="s">
        <v>1419</v>
      </c>
      <c r="B247" s="619" t="s">
        <v>747</v>
      </c>
      <c r="C247" s="620">
        <v>244</v>
      </c>
      <c r="D247" s="620">
        <v>346</v>
      </c>
      <c r="E247" s="596">
        <f t="shared" si="46"/>
        <v>30000</v>
      </c>
      <c r="F247" s="595">
        <f>'Прилож 4 24 (9)'!V243</f>
        <v>30000</v>
      </c>
      <c r="G247" s="595">
        <f>'Прилож 4 24 (9)'!W243</f>
        <v>0</v>
      </c>
      <c r="H247" s="595">
        <f>'Прилож 4 24 (9)'!X243</f>
        <v>0</v>
      </c>
      <c r="I247" s="621"/>
      <c r="J247" s="595">
        <f>'Прилож 4 24 (9)'!Z243</f>
        <v>0</v>
      </c>
      <c r="K247" s="595">
        <f>'Прилож 4 24 (9)'!AA243</f>
        <v>0</v>
      </c>
      <c r="L247" s="595">
        <f>'Прилож 4 24 (9)'!AB243</f>
        <v>0</v>
      </c>
      <c r="M247" s="876">
        <f t="shared" si="47"/>
        <v>0</v>
      </c>
      <c r="N247" s="875"/>
      <c r="O247" s="875"/>
      <c r="P247" s="875"/>
      <c r="Q247" s="877"/>
      <c r="R247" s="875"/>
      <c r="S247" s="875"/>
      <c r="T247" s="875"/>
      <c r="U247" s="876">
        <f t="shared" si="35"/>
        <v>30000</v>
      </c>
      <c r="V247" s="875">
        <f t="shared" si="35"/>
        <v>30000</v>
      </c>
      <c r="W247" s="875">
        <f t="shared" si="48"/>
        <v>0</v>
      </c>
      <c r="X247" s="875">
        <f t="shared" si="48"/>
        <v>0</v>
      </c>
      <c r="Y247" s="877"/>
      <c r="Z247" s="875">
        <f t="shared" si="49"/>
        <v>0</v>
      </c>
      <c r="AA247" s="875">
        <f t="shared" si="49"/>
        <v>0</v>
      </c>
      <c r="AB247" s="875">
        <f t="shared" si="49"/>
        <v>0</v>
      </c>
      <c r="AC247" s="878"/>
      <c r="AD247" s="820"/>
    </row>
    <row r="248" spans="1:31" ht="33" customHeight="1" x14ac:dyDescent="0.2">
      <c r="A248" s="618" t="s">
        <v>1293</v>
      </c>
      <c r="B248" s="619" t="s">
        <v>747</v>
      </c>
      <c r="C248" s="620">
        <v>244</v>
      </c>
      <c r="D248" s="620">
        <v>346</v>
      </c>
      <c r="E248" s="596">
        <f t="shared" si="46"/>
        <v>12000</v>
      </c>
      <c r="F248" s="595">
        <f>'Прилож 4 24 (9)'!V244</f>
        <v>0</v>
      </c>
      <c r="G248" s="595">
        <f>'Прилож 4 24 (9)'!W244</f>
        <v>0</v>
      </c>
      <c r="H248" s="595">
        <f>'Прилож 4 24 (9)'!X244</f>
        <v>0</v>
      </c>
      <c r="I248" s="621"/>
      <c r="J248" s="595">
        <f>'Прилож 4 24 (9)'!Z244</f>
        <v>0</v>
      </c>
      <c r="K248" s="595">
        <f>'Прилож 4 24 (9)'!AA244</f>
        <v>0</v>
      </c>
      <c r="L248" s="595">
        <f>'Прилож 4 24 (9)'!AB244</f>
        <v>12000</v>
      </c>
      <c r="M248" s="876">
        <f t="shared" si="47"/>
        <v>0</v>
      </c>
      <c r="N248" s="875"/>
      <c r="O248" s="875"/>
      <c r="P248" s="875"/>
      <c r="Q248" s="877"/>
      <c r="R248" s="875"/>
      <c r="S248" s="875"/>
      <c r="T248" s="875"/>
      <c r="U248" s="876">
        <f t="shared" si="35"/>
        <v>12000</v>
      </c>
      <c r="V248" s="875">
        <f t="shared" si="35"/>
        <v>0</v>
      </c>
      <c r="W248" s="875">
        <f t="shared" si="48"/>
        <v>0</v>
      </c>
      <c r="X248" s="875">
        <f t="shared" si="48"/>
        <v>0</v>
      </c>
      <c r="Y248" s="877"/>
      <c r="Z248" s="875">
        <f t="shared" si="49"/>
        <v>0</v>
      </c>
      <c r="AA248" s="875">
        <f t="shared" si="49"/>
        <v>0</v>
      </c>
      <c r="AB248" s="875">
        <f t="shared" si="49"/>
        <v>12000</v>
      </c>
      <c r="AC248" s="878"/>
      <c r="AD248" s="820"/>
    </row>
    <row r="249" spans="1:31" s="637" customFormat="1" ht="19.5" customHeight="1" x14ac:dyDescent="0.2">
      <c r="A249" s="632" t="s">
        <v>1143</v>
      </c>
      <c r="B249" s="633" t="s">
        <v>747</v>
      </c>
      <c r="C249" s="634">
        <v>244</v>
      </c>
      <c r="D249" s="634">
        <v>346</v>
      </c>
      <c r="E249" s="596">
        <f t="shared" si="46"/>
        <v>1260174.96</v>
      </c>
      <c r="F249" s="595">
        <f>'Прилож 4 24 (9)'!V245</f>
        <v>1135092.2</v>
      </c>
      <c r="G249" s="595">
        <f>'Прилож 4 24 (9)'!W245</f>
        <v>0</v>
      </c>
      <c r="H249" s="595">
        <f>'Прилож 4 24 (9)'!X245</f>
        <v>66365.05</v>
      </c>
      <c r="I249" s="597">
        <f>SUM(I245:I248)</f>
        <v>0</v>
      </c>
      <c r="J249" s="595">
        <f>'Прилож 4 24 (9)'!Z245</f>
        <v>0</v>
      </c>
      <c r="K249" s="595">
        <f>'Прилож 4 24 (9)'!AA245</f>
        <v>0</v>
      </c>
      <c r="L249" s="595">
        <f>'Прилож 4 24 (9)'!AB245</f>
        <v>58717.71</v>
      </c>
      <c r="M249" s="876">
        <f t="shared" si="47"/>
        <v>-162046.44</v>
      </c>
      <c r="N249" s="876">
        <f>SUM(N245:N248)</f>
        <v>-403940</v>
      </c>
      <c r="O249" s="876"/>
      <c r="P249" s="876">
        <f>SUM(P245:P248)</f>
        <v>240217.4</v>
      </c>
      <c r="Q249" s="876"/>
      <c r="R249" s="876"/>
      <c r="S249" s="876"/>
      <c r="T249" s="876">
        <f>SUM(T245:T248)</f>
        <v>1676.16</v>
      </c>
      <c r="U249" s="876">
        <f t="shared" si="35"/>
        <v>1098128.52</v>
      </c>
      <c r="V249" s="875">
        <f t="shared" si="35"/>
        <v>731152.2</v>
      </c>
      <c r="W249" s="875">
        <f t="shared" si="48"/>
        <v>0</v>
      </c>
      <c r="X249" s="875">
        <f t="shared" si="48"/>
        <v>306582.45</v>
      </c>
      <c r="Y249" s="884">
        <f>SUM(Y245:Y248)</f>
        <v>0</v>
      </c>
      <c r="Z249" s="875">
        <f t="shared" si="49"/>
        <v>0</v>
      </c>
      <c r="AA249" s="875">
        <f t="shared" si="49"/>
        <v>0</v>
      </c>
      <c r="AB249" s="875">
        <f t="shared" si="49"/>
        <v>60393.87</v>
      </c>
      <c r="AC249" s="886"/>
      <c r="AD249" s="819"/>
      <c r="AE249" s="819"/>
    </row>
    <row r="250" spans="1:31" ht="69.599999999999994" customHeight="1" x14ac:dyDescent="0.2">
      <c r="A250" s="618" t="s">
        <v>1423</v>
      </c>
      <c r="B250" s="619" t="s">
        <v>729</v>
      </c>
      <c r="C250" s="620">
        <v>244</v>
      </c>
      <c r="D250" s="620">
        <v>346</v>
      </c>
      <c r="E250" s="596">
        <f t="shared" si="46"/>
        <v>103633.00000000001</v>
      </c>
      <c r="F250" s="595">
        <f>'Прилож 4 24 (9)'!V246</f>
        <v>0</v>
      </c>
      <c r="G250" s="595">
        <f>'Прилож 4 24 (9)'!W246</f>
        <v>0</v>
      </c>
      <c r="H250" s="595">
        <f>'Прилож 4 24 (9)'!X246</f>
        <v>90899.670000000013</v>
      </c>
      <c r="I250" s="621"/>
      <c r="J250" s="595">
        <f>'Прилож 4 24 (9)'!Z246</f>
        <v>0</v>
      </c>
      <c r="K250" s="595">
        <f>'Прилож 4 24 (9)'!AA246</f>
        <v>0</v>
      </c>
      <c r="L250" s="595">
        <f>'Прилож 4 24 (9)'!AB246</f>
        <v>12733.33</v>
      </c>
      <c r="M250" s="876">
        <f t="shared" si="47"/>
        <v>157056.46</v>
      </c>
      <c r="N250" s="875">
        <v>33000</v>
      </c>
      <c r="O250" s="875"/>
      <c r="P250" s="875">
        <f>2125.45+1885.03+60871.69</f>
        <v>64882.17</v>
      </c>
      <c r="Q250" s="877"/>
      <c r="R250" s="875"/>
      <c r="S250" s="875"/>
      <c r="T250" s="875">
        <f>44664.22+14510.07</f>
        <v>59174.29</v>
      </c>
      <c r="U250" s="876">
        <f t="shared" si="35"/>
        <v>260689.46000000002</v>
      </c>
      <c r="V250" s="875">
        <f t="shared" si="35"/>
        <v>33000</v>
      </c>
      <c r="W250" s="875">
        <f t="shared" si="48"/>
        <v>0</v>
      </c>
      <c r="X250" s="875">
        <f t="shared" si="48"/>
        <v>155781.84000000003</v>
      </c>
      <c r="Y250" s="877"/>
      <c r="Z250" s="875">
        <f t="shared" si="49"/>
        <v>0</v>
      </c>
      <c r="AA250" s="875">
        <f t="shared" si="49"/>
        <v>0</v>
      </c>
      <c r="AB250" s="875">
        <f t="shared" si="49"/>
        <v>71907.62</v>
      </c>
      <c r="AC250" s="1085" t="s">
        <v>1685</v>
      </c>
    </row>
    <row r="251" spans="1:31" ht="33" customHeight="1" x14ac:dyDescent="0.2">
      <c r="A251" s="618" t="s">
        <v>617</v>
      </c>
      <c r="B251" s="619" t="s">
        <v>729</v>
      </c>
      <c r="C251" s="620">
        <v>244</v>
      </c>
      <c r="D251" s="620">
        <v>346</v>
      </c>
      <c r="E251" s="596">
        <f t="shared" si="46"/>
        <v>191915</v>
      </c>
      <c r="F251" s="595">
        <f>'Прилож 4 24 (9)'!V247</f>
        <v>0</v>
      </c>
      <c r="G251" s="595">
        <f>'Прилож 4 24 (9)'!W247</f>
        <v>0</v>
      </c>
      <c r="H251" s="595">
        <f>'Прилож 4 24 (9)'!X247</f>
        <v>191915</v>
      </c>
      <c r="I251" s="621"/>
      <c r="J251" s="595">
        <f>'Прилож 4 24 (9)'!Z247</f>
        <v>0</v>
      </c>
      <c r="K251" s="595">
        <f>'Прилож 4 24 (9)'!AA247</f>
        <v>0</v>
      </c>
      <c r="L251" s="595">
        <f>'Прилож 4 24 (9)'!AB247</f>
        <v>0</v>
      </c>
      <c r="M251" s="876">
        <f t="shared" si="47"/>
        <v>11650</v>
      </c>
      <c r="N251" s="875"/>
      <c r="O251" s="875"/>
      <c r="P251" s="875">
        <f>-9750+20562.89+837.11</f>
        <v>11650</v>
      </c>
      <c r="Q251" s="877"/>
      <c r="R251" s="875"/>
      <c r="S251" s="875"/>
      <c r="T251" s="875"/>
      <c r="U251" s="876">
        <f t="shared" si="35"/>
        <v>203565</v>
      </c>
      <c r="V251" s="875">
        <f t="shared" si="35"/>
        <v>0</v>
      </c>
      <c r="W251" s="875">
        <f t="shared" si="48"/>
        <v>0</v>
      </c>
      <c r="X251" s="875">
        <f t="shared" si="48"/>
        <v>203565</v>
      </c>
      <c r="Y251" s="877"/>
      <c r="Z251" s="875">
        <f t="shared" si="49"/>
        <v>0</v>
      </c>
      <c r="AA251" s="875">
        <f t="shared" si="49"/>
        <v>0</v>
      </c>
      <c r="AB251" s="875">
        <f t="shared" si="49"/>
        <v>0</v>
      </c>
      <c r="AC251" s="878" t="s">
        <v>1666</v>
      </c>
    </row>
    <row r="252" spans="1:31" ht="34.5" customHeight="1" x14ac:dyDescent="0.2">
      <c r="A252" s="618" t="s">
        <v>1427</v>
      </c>
      <c r="B252" s="619" t="s">
        <v>729</v>
      </c>
      <c r="C252" s="620">
        <v>244</v>
      </c>
      <c r="D252" s="620">
        <v>346</v>
      </c>
      <c r="E252" s="596">
        <f t="shared" si="46"/>
        <v>9962</v>
      </c>
      <c r="F252" s="595">
        <f>'Прилож 4 24 (9)'!V248</f>
        <v>9962</v>
      </c>
      <c r="G252" s="595">
        <f>'Прилож 4 24 (9)'!W248</f>
        <v>0</v>
      </c>
      <c r="H252" s="595">
        <f>'Прилож 4 24 (9)'!X248</f>
        <v>0</v>
      </c>
      <c r="I252" s="621"/>
      <c r="J252" s="595">
        <f>'Прилож 4 24 (9)'!Z248</f>
        <v>0</v>
      </c>
      <c r="K252" s="595">
        <f>'Прилож 4 24 (9)'!AA248</f>
        <v>0</v>
      </c>
      <c r="L252" s="595">
        <f>'Прилож 4 24 (9)'!AB248</f>
        <v>0</v>
      </c>
      <c r="M252" s="876">
        <f t="shared" si="47"/>
        <v>10</v>
      </c>
      <c r="N252" s="875">
        <v>10</v>
      </c>
      <c r="O252" s="875"/>
      <c r="P252" s="875"/>
      <c r="Q252" s="877"/>
      <c r="R252" s="875"/>
      <c r="S252" s="875"/>
      <c r="T252" s="875"/>
      <c r="U252" s="876">
        <f t="shared" ref="U252:V267" si="50">E252+M252</f>
        <v>9972</v>
      </c>
      <c r="V252" s="875">
        <f t="shared" si="50"/>
        <v>9972</v>
      </c>
      <c r="W252" s="875">
        <f t="shared" si="48"/>
        <v>0</v>
      </c>
      <c r="X252" s="875">
        <f t="shared" si="48"/>
        <v>0</v>
      </c>
      <c r="Y252" s="877"/>
      <c r="Z252" s="875">
        <f t="shared" si="49"/>
        <v>0</v>
      </c>
      <c r="AA252" s="875">
        <f t="shared" si="49"/>
        <v>0</v>
      </c>
      <c r="AB252" s="875">
        <f t="shared" si="49"/>
        <v>0</v>
      </c>
      <c r="AC252" s="878" t="s">
        <v>1687</v>
      </c>
    </row>
    <row r="253" spans="1:31" ht="27.75" customHeight="1" x14ac:dyDescent="0.2">
      <c r="A253" s="618" t="s">
        <v>1285</v>
      </c>
      <c r="B253" s="619" t="s">
        <v>729</v>
      </c>
      <c r="C253" s="620">
        <v>244</v>
      </c>
      <c r="D253" s="620">
        <v>346</v>
      </c>
      <c r="E253" s="596">
        <f t="shared" si="46"/>
        <v>50000</v>
      </c>
      <c r="F253" s="595">
        <f>'Прилож 4 24 (9)'!V249</f>
        <v>50000</v>
      </c>
      <c r="G253" s="595">
        <f>'Прилож 4 24 (9)'!W249</f>
        <v>0</v>
      </c>
      <c r="H253" s="595">
        <f>'Прилож 4 24 (9)'!X249</f>
        <v>0</v>
      </c>
      <c r="I253" s="621"/>
      <c r="J253" s="595">
        <f>'Прилож 4 24 (9)'!Z249</f>
        <v>0</v>
      </c>
      <c r="K253" s="595">
        <f>'Прилож 4 24 (9)'!AA249</f>
        <v>0</v>
      </c>
      <c r="L253" s="595">
        <f>'Прилож 4 24 (9)'!AB249</f>
        <v>0</v>
      </c>
      <c r="M253" s="876">
        <f t="shared" si="47"/>
        <v>0</v>
      </c>
      <c r="N253" s="875"/>
      <c r="O253" s="875"/>
      <c r="P253" s="875"/>
      <c r="Q253" s="877"/>
      <c r="R253" s="875"/>
      <c r="S253" s="875"/>
      <c r="T253" s="875"/>
      <c r="U253" s="876">
        <f t="shared" si="50"/>
        <v>50000</v>
      </c>
      <c r="V253" s="875">
        <f t="shared" si="50"/>
        <v>50000</v>
      </c>
      <c r="W253" s="875">
        <f t="shared" si="48"/>
        <v>0</v>
      </c>
      <c r="X253" s="875">
        <f t="shared" si="48"/>
        <v>0</v>
      </c>
      <c r="Y253" s="877"/>
      <c r="Z253" s="875">
        <f t="shared" si="49"/>
        <v>0</v>
      </c>
      <c r="AA253" s="875">
        <f t="shared" si="49"/>
        <v>0</v>
      </c>
      <c r="AB253" s="875">
        <f t="shared" si="49"/>
        <v>0</v>
      </c>
      <c r="AC253" s="878"/>
    </row>
    <row r="254" spans="1:31" ht="46.15" customHeight="1" x14ac:dyDescent="0.2">
      <c r="A254" s="618" t="s">
        <v>1286</v>
      </c>
      <c r="B254" s="619" t="s">
        <v>729</v>
      </c>
      <c r="C254" s="620">
        <v>244</v>
      </c>
      <c r="D254" s="620">
        <v>346</v>
      </c>
      <c r="E254" s="596">
        <f t="shared" si="46"/>
        <v>90219.760000000009</v>
      </c>
      <c r="F254" s="595">
        <f>'Прилож 4 24 (9)'!V250</f>
        <v>90219.760000000009</v>
      </c>
      <c r="G254" s="595">
        <f>'Прилож 4 24 (9)'!W250</f>
        <v>0</v>
      </c>
      <c r="H254" s="595">
        <f>'Прилож 4 24 (9)'!X250</f>
        <v>0</v>
      </c>
      <c r="I254" s="621"/>
      <c r="J254" s="595">
        <f>'Прилож 4 24 (9)'!Z250</f>
        <v>0</v>
      </c>
      <c r="K254" s="595">
        <f>'Прилож 4 24 (9)'!AA250</f>
        <v>0</v>
      </c>
      <c r="L254" s="595">
        <f>'Прилож 4 24 (9)'!AB250</f>
        <v>0</v>
      </c>
      <c r="M254" s="876">
        <f t="shared" si="47"/>
        <v>42450.14</v>
      </c>
      <c r="N254" s="875">
        <f>710-10+41750.14</f>
        <v>42450.14</v>
      </c>
      <c r="O254" s="875"/>
      <c r="P254" s="875"/>
      <c r="Q254" s="877"/>
      <c r="R254" s="875"/>
      <c r="S254" s="875"/>
      <c r="T254" s="875"/>
      <c r="U254" s="876">
        <f t="shared" si="50"/>
        <v>132669.90000000002</v>
      </c>
      <c r="V254" s="875">
        <f t="shared" si="50"/>
        <v>132669.90000000002</v>
      </c>
      <c r="W254" s="875">
        <f t="shared" si="48"/>
        <v>0</v>
      </c>
      <c r="X254" s="875">
        <f t="shared" si="48"/>
        <v>0</v>
      </c>
      <c r="Y254" s="877"/>
      <c r="Z254" s="875">
        <f t="shared" si="49"/>
        <v>0</v>
      </c>
      <c r="AA254" s="875">
        <f t="shared" si="49"/>
        <v>0</v>
      </c>
      <c r="AB254" s="875">
        <f t="shared" si="49"/>
        <v>0</v>
      </c>
      <c r="AC254" s="878" t="s">
        <v>1698</v>
      </c>
    </row>
    <row r="255" spans="1:31" ht="34.5" customHeight="1" x14ac:dyDescent="0.2">
      <c r="A255" s="618" t="s">
        <v>1421</v>
      </c>
      <c r="B255" s="619" t="s">
        <v>729</v>
      </c>
      <c r="C255" s="620">
        <v>244</v>
      </c>
      <c r="D255" s="620">
        <v>346</v>
      </c>
      <c r="E255" s="596">
        <f t="shared" si="46"/>
        <v>9550</v>
      </c>
      <c r="F255" s="595">
        <f>'Прилож 4 24 (9)'!V251</f>
        <v>9550</v>
      </c>
      <c r="G255" s="595">
        <f>'Прилож 4 24 (9)'!W251</f>
        <v>0</v>
      </c>
      <c r="H255" s="595">
        <f>'Прилож 4 24 (9)'!X251</f>
        <v>0</v>
      </c>
      <c r="I255" s="621"/>
      <c r="J255" s="595">
        <f>'Прилож 4 24 (9)'!Z251</f>
        <v>0</v>
      </c>
      <c r="K255" s="595">
        <f>'Прилож 4 24 (9)'!AA251</f>
        <v>0</v>
      </c>
      <c r="L255" s="595">
        <f>'Прилож 4 24 (9)'!AB251</f>
        <v>0</v>
      </c>
      <c r="M255" s="876">
        <f t="shared" si="47"/>
        <v>0</v>
      </c>
      <c r="N255" s="875"/>
      <c r="O255" s="875"/>
      <c r="P255" s="875"/>
      <c r="Q255" s="877"/>
      <c r="R255" s="875"/>
      <c r="S255" s="875"/>
      <c r="T255" s="875"/>
      <c r="U255" s="876">
        <f t="shared" si="50"/>
        <v>9550</v>
      </c>
      <c r="V255" s="875">
        <f t="shared" si="50"/>
        <v>9550</v>
      </c>
      <c r="W255" s="875"/>
      <c r="X255" s="875"/>
      <c r="Y255" s="877"/>
      <c r="Z255" s="875"/>
      <c r="AA255" s="875"/>
      <c r="AB255" s="875"/>
      <c r="AC255" s="878"/>
    </row>
    <row r="256" spans="1:31" ht="30" customHeight="1" x14ac:dyDescent="0.2">
      <c r="A256" s="618" t="s">
        <v>1422</v>
      </c>
      <c r="B256" s="619" t="s">
        <v>729</v>
      </c>
      <c r="C256" s="620">
        <v>244</v>
      </c>
      <c r="D256" s="620">
        <v>346</v>
      </c>
      <c r="E256" s="596">
        <f t="shared" si="46"/>
        <v>27035</v>
      </c>
      <c r="F256" s="595">
        <f>'Прилож 4 24 (9)'!V252</f>
        <v>27035</v>
      </c>
      <c r="G256" s="595">
        <f>'Прилож 4 24 (9)'!W252</f>
        <v>0</v>
      </c>
      <c r="H256" s="595">
        <f>'Прилож 4 24 (9)'!X252</f>
        <v>0</v>
      </c>
      <c r="I256" s="621"/>
      <c r="J256" s="595">
        <f>'Прилож 4 24 (9)'!Z252</f>
        <v>0</v>
      </c>
      <c r="K256" s="595">
        <f>'Прилож 4 24 (9)'!AA252</f>
        <v>0</v>
      </c>
      <c r="L256" s="595">
        <f>'Прилож 4 24 (9)'!AB252</f>
        <v>0</v>
      </c>
      <c r="M256" s="876">
        <f t="shared" si="47"/>
        <v>20360</v>
      </c>
      <c r="N256" s="875">
        <f>2860+17500</f>
        <v>20360</v>
      </c>
      <c r="O256" s="875"/>
      <c r="P256" s="875"/>
      <c r="Q256" s="877"/>
      <c r="R256" s="875"/>
      <c r="S256" s="875"/>
      <c r="T256" s="875"/>
      <c r="U256" s="876">
        <f t="shared" si="50"/>
        <v>47395</v>
      </c>
      <c r="V256" s="875">
        <f t="shared" si="50"/>
        <v>47395</v>
      </c>
      <c r="W256" s="875">
        <f>O256+G256</f>
        <v>0</v>
      </c>
      <c r="X256" s="875">
        <f>P256+H256</f>
        <v>0</v>
      </c>
      <c r="Y256" s="877"/>
      <c r="Z256" s="875">
        <f>R256+J256</f>
        <v>0</v>
      </c>
      <c r="AA256" s="875">
        <f>S256+K256</f>
        <v>0</v>
      </c>
      <c r="AB256" s="875">
        <f>T256+L256</f>
        <v>0</v>
      </c>
      <c r="AC256" s="878" t="s">
        <v>1600</v>
      </c>
    </row>
    <row r="257" spans="1:31" ht="39.75" customHeight="1" x14ac:dyDescent="0.2">
      <c r="A257" s="618" t="s">
        <v>1346</v>
      </c>
      <c r="B257" s="619" t="s">
        <v>729</v>
      </c>
      <c r="C257" s="620">
        <v>244</v>
      </c>
      <c r="D257" s="620">
        <v>346</v>
      </c>
      <c r="E257" s="596">
        <f t="shared" si="46"/>
        <v>31356</v>
      </c>
      <c r="F257" s="595">
        <f>'Прилож 4 24 (9)'!V253</f>
        <v>31356</v>
      </c>
      <c r="G257" s="595">
        <f>'Прилож 4 24 (9)'!W253</f>
        <v>0</v>
      </c>
      <c r="H257" s="595">
        <f>'Прилож 4 24 (9)'!X253</f>
        <v>0</v>
      </c>
      <c r="I257" s="621"/>
      <c r="J257" s="595">
        <f>'Прилож 4 24 (9)'!Z253</f>
        <v>0</v>
      </c>
      <c r="K257" s="595">
        <f>'Прилож 4 24 (9)'!AA253</f>
        <v>0</v>
      </c>
      <c r="L257" s="595">
        <f>'Прилож 4 24 (9)'!AB253</f>
        <v>0</v>
      </c>
      <c r="M257" s="876">
        <f t="shared" si="47"/>
        <v>0</v>
      </c>
      <c r="N257" s="875"/>
      <c r="O257" s="875"/>
      <c r="P257" s="875"/>
      <c r="Q257" s="877"/>
      <c r="R257" s="875"/>
      <c r="S257" s="875"/>
      <c r="T257" s="875"/>
      <c r="U257" s="876">
        <f t="shared" si="50"/>
        <v>31356</v>
      </c>
      <c r="V257" s="875">
        <f t="shared" si="50"/>
        <v>31356</v>
      </c>
      <c r="W257" s="875"/>
      <c r="X257" s="875">
        <f t="shared" ref="X257:X269" si="51">P257+H257</f>
        <v>0</v>
      </c>
      <c r="Y257" s="877"/>
      <c r="Z257" s="875">
        <f t="shared" ref="Z257:AA271" si="52">R257+J257</f>
        <v>0</v>
      </c>
      <c r="AA257" s="875"/>
      <c r="AB257" s="875">
        <f t="shared" ref="AB257:AB276" si="53">T257+L257</f>
        <v>0</v>
      </c>
      <c r="AC257" s="878"/>
    </row>
    <row r="258" spans="1:31" s="637" customFormat="1" ht="26.25" customHeight="1" x14ac:dyDescent="0.2">
      <c r="A258" s="632" t="s">
        <v>1143</v>
      </c>
      <c r="B258" s="619" t="s">
        <v>729</v>
      </c>
      <c r="C258" s="620">
        <v>244</v>
      </c>
      <c r="D258" s="620">
        <v>346</v>
      </c>
      <c r="E258" s="596">
        <f t="shared" si="46"/>
        <v>513670.76000000007</v>
      </c>
      <c r="F258" s="595">
        <f>'Прилож 4 24 (9)'!V254</f>
        <v>218122.76</v>
      </c>
      <c r="G258" s="595">
        <f>'Прилож 4 24 (9)'!W254</f>
        <v>0</v>
      </c>
      <c r="H258" s="595">
        <f>'Прилож 4 24 (9)'!X254</f>
        <v>282814.67000000004</v>
      </c>
      <c r="I258" s="597">
        <f>SUM(I250:I254)</f>
        <v>0</v>
      </c>
      <c r="J258" s="595">
        <f>'Прилож 4 24 (9)'!Z254</f>
        <v>0</v>
      </c>
      <c r="K258" s="595">
        <f>'Прилож 4 24 (9)'!AA254</f>
        <v>0</v>
      </c>
      <c r="L258" s="595">
        <f>'Прилож 4 24 (9)'!AB254</f>
        <v>12733.33</v>
      </c>
      <c r="M258" s="876">
        <f t="shared" si="47"/>
        <v>231526.6</v>
      </c>
      <c r="N258" s="876">
        <f>SUM(N250:N257)</f>
        <v>95820.14</v>
      </c>
      <c r="O258" s="876"/>
      <c r="P258" s="876">
        <f>SUM(P250:P257)</f>
        <v>76532.17</v>
      </c>
      <c r="Q258" s="876"/>
      <c r="R258" s="876"/>
      <c r="S258" s="876"/>
      <c r="T258" s="876">
        <f>SUM(T250:T256)</f>
        <v>59174.29</v>
      </c>
      <c r="U258" s="876">
        <f t="shared" si="50"/>
        <v>745197.3600000001</v>
      </c>
      <c r="V258" s="876">
        <f t="shared" si="50"/>
        <v>313942.90000000002</v>
      </c>
      <c r="W258" s="876">
        <f t="shared" ref="W258:W270" si="54">O258+G258</f>
        <v>0</v>
      </c>
      <c r="X258" s="876">
        <f t="shared" si="51"/>
        <v>359346.84</v>
      </c>
      <c r="Y258" s="884">
        <f>SUM(Y250:Y254)</f>
        <v>0</v>
      </c>
      <c r="Z258" s="876">
        <f t="shared" si="52"/>
        <v>0</v>
      </c>
      <c r="AA258" s="876">
        <f t="shared" si="52"/>
        <v>0</v>
      </c>
      <c r="AB258" s="876">
        <f t="shared" si="53"/>
        <v>71907.62</v>
      </c>
      <c r="AC258" s="886"/>
      <c r="AD258" s="819"/>
    </row>
    <row r="259" spans="1:31" ht="22.5" customHeight="1" x14ac:dyDescent="0.2">
      <c r="A259" s="618" t="s">
        <v>67</v>
      </c>
      <c r="B259" s="619" t="s">
        <v>64</v>
      </c>
      <c r="C259" s="620">
        <v>244</v>
      </c>
      <c r="D259" s="620">
        <v>346</v>
      </c>
      <c r="E259" s="596">
        <f t="shared" si="46"/>
        <v>3200</v>
      </c>
      <c r="F259" s="595">
        <f>'Прилож 4 24 (9)'!V255</f>
        <v>0</v>
      </c>
      <c r="G259" s="595">
        <f>'Прилож 4 24 (9)'!W255</f>
        <v>0</v>
      </c>
      <c r="H259" s="595">
        <f>'Прилож 4 24 (9)'!X255</f>
        <v>0</v>
      </c>
      <c r="I259" s="621" t="s">
        <v>1235</v>
      </c>
      <c r="J259" s="595">
        <f>'Прилож 4 24 (9)'!Z255</f>
        <v>0</v>
      </c>
      <c r="K259" s="595">
        <f>'Прилож 4 24 (9)'!AA255</f>
        <v>3200</v>
      </c>
      <c r="L259" s="595">
        <f>'Прилож 4 24 (9)'!AB255</f>
        <v>0</v>
      </c>
      <c r="M259" s="876">
        <f t="shared" si="47"/>
        <v>0</v>
      </c>
      <c r="N259" s="875"/>
      <c r="O259" s="875"/>
      <c r="P259" s="875"/>
      <c r="Q259" s="877"/>
      <c r="R259" s="875"/>
      <c r="S259" s="875"/>
      <c r="T259" s="875"/>
      <c r="U259" s="876">
        <f t="shared" si="50"/>
        <v>3200</v>
      </c>
      <c r="V259" s="875">
        <f t="shared" si="50"/>
        <v>0</v>
      </c>
      <c r="W259" s="875">
        <f t="shared" si="54"/>
        <v>0</v>
      </c>
      <c r="X259" s="875">
        <f t="shared" si="51"/>
        <v>0</v>
      </c>
      <c r="Y259" s="621" t="s">
        <v>1235</v>
      </c>
      <c r="Z259" s="875">
        <f t="shared" si="52"/>
        <v>0</v>
      </c>
      <c r="AA259" s="875">
        <f t="shared" si="52"/>
        <v>3200</v>
      </c>
      <c r="AB259" s="875">
        <f t="shared" si="53"/>
        <v>0</v>
      </c>
      <c r="AC259" s="878"/>
    </row>
    <row r="260" spans="1:31" s="637" customFormat="1" ht="22.5" customHeight="1" x14ac:dyDescent="0.2">
      <c r="A260" s="1046" t="s">
        <v>1143</v>
      </c>
      <c r="B260" s="619" t="s">
        <v>64</v>
      </c>
      <c r="C260" s="620">
        <v>244</v>
      </c>
      <c r="D260" s="620">
        <v>346</v>
      </c>
      <c r="E260" s="596">
        <f t="shared" si="46"/>
        <v>3200</v>
      </c>
      <c r="F260" s="595">
        <f>'Прилож 4 24 (9)'!V256</f>
        <v>0</v>
      </c>
      <c r="G260" s="595">
        <f>'Прилож 4 24 (9)'!W256</f>
        <v>0</v>
      </c>
      <c r="H260" s="595">
        <f>'Прилож 4 24 (9)'!X256</f>
        <v>0</v>
      </c>
      <c r="I260" s="597"/>
      <c r="J260" s="595">
        <f>'Прилож 4 24 (9)'!Z256</f>
        <v>0</v>
      </c>
      <c r="K260" s="595">
        <f>'Прилож 4 24 (9)'!AA256</f>
        <v>3200</v>
      </c>
      <c r="L260" s="595">
        <f>'Прилож 4 24 (9)'!AB256</f>
        <v>0</v>
      </c>
      <c r="M260" s="876">
        <f t="shared" si="47"/>
        <v>0</v>
      </c>
      <c r="N260" s="884"/>
      <c r="O260" s="884"/>
      <c r="P260" s="884"/>
      <c r="Q260" s="884"/>
      <c r="R260" s="884"/>
      <c r="S260" s="884"/>
      <c r="T260" s="884"/>
      <c r="U260" s="876">
        <f t="shared" si="50"/>
        <v>3200</v>
      </c>
      <c r="V260" s="876">
        <f t="shared" si="50"/>
        <v>0</v>
      </c>
      <c r="W260" s="876">
        <f t="shared" si="54"/>
        <v>0</v>
      </c>
      <c r="X260" s="876">
        <f t="shared" si="51"/>
        <v>0</v>
      </c>
      <c r="Y260" s="884"/>
      <c r="Z260" s="876">
        <f t="shared" si="52"/>
        <v>0</v>
      </c>
      <c r="AA260" s="876">
        <f t="shared" si="52"/>
        <v>3200</v>
      </c>
      <c r="AB260" s="875">
        <f t="shared" si="53"/>
        <v>0</v>
      </c>
      <c r="AC260" s="886"/>
    </row>
    <row r="261" spans="1:31" ht="33" customHeight="1" x14ac:dyDescent="0.2">
      <c r="A261" s="618" t="s">
        <v>710</v>
      </c>
      <c r="B261" s="619" t="s">
        <v>691</v>
      </c>
      <c r="C261" s="620">
        <v>244</v>
      </c>
      <c r="D261" s="620">
        <v>346</v>
      </c>
      <c r="E261" s="596">
        <f t="shared" si="46"/>
        <v>17057.180000000229</v>
      </c>
      <c r="F261" s="595">
        <f>'Прилож 4 24 (9)'!V257</f>
        <v>0</v>
      </c>
      <c r="G261" s="595">
        <f>'Прилож 4 24 (9)'!W257</f>
        <v>2.3283064365386963E-10</v>
      </c>
      <c r="H261" s="595">
        <f>'Прилож 4 24 (9)'!X257</f>
        <v>15649.169999999998</v>
      </c>
      <c r="I261" s="621"/>
      <c r="J261" s="595">
        <f>'Прилож 4 24 (9)'!Z257</f>
        <v>0</v>
      </c>
      <c r="K261" s="595">
        <f>'Прилож 4 24 (9)'!AA257</f>
        <v>0</v>
      </c>
      <c r="L261" s="595">
        <f>'Прилож 4 24 (9)'!AB257</f>
        <v>1408.01</v>
      </c>
      <c r="M261" s="876">
        <f t="shared" si="47"/>
        <v>0</v>
      </c>
      <c r="N261" s="875"/>
      <c r="O261" s="875"/>
      <c r="P261" s="875"/>
      <c r="Q261" s="877"/>
      <c r="R261" s="875"/>
      <c r="S261" s="875"/>
      <c r="T261" s="875"/>
      <c r="U261" s="876">
        <f t="shared" si="50"/>
        <v>17057.180000000229</v>
      </c>
      <c r="V261" s="875">
        <f t="shared" si="50"/>
        <v>0</v>
      </c>
      <c r="W261" s="875">
        <f t="shared" si="54"/>
        <v>2.3283064365386963E-10</v>
      </c>
      <c r="X261" s="875">
        <f t="shared" si="51"/>
        <v>15649.169999999998</v>
      </c>
      <c r="Y261" s="877"/>
      <c r="Z261" s="875">
        <f t="shared" si="52"/>
        <v>0</v>
      </c>
      <c r="AA261" s="875">
        <f t="shared" si="52"/>
        <v>0</v>
      </c>
      <c r="AB261" s="875">
        <f t="shared" si="53"/>
        <v>1408.01</v>
      </c>
      <c r="AC261" s="878"/>
    </row>
    <row r="262" spans="1:31" ht="39.75" customHeight="1" x14ac:dyDescent="0.2">
      <c r="A262" s="618" t="s">
        <v>709</v>
      </c>
      <c r="B262" s="619" t="s">
        <v>691</v>
      </c>
      <c r="C262" s="620">
        <v>244</v>
      </c>
      <c r="D262" s="620">
        <v>346</v>
      </c>
      <c r="E262" s="596">
        <f t="shared" si="46"/>
        <v>5836.95</v>
      </c>
      <c r="F262" s="595">
        <f>'Прилож 4 24 (9)'!V258</f>
        <v>0</v>
      </c>
      <c r="G262" s="595">
        <f>'Прилож 4 24 (9)'!W258</f>
        <v>0</v>
      </c>
      <c r="H262" s="595">
        <f>'Прилож 4 24 (9)'!X258</f>
        <v>5171</v>
      </c>
      <c r="I262" s="621"/>
      <c r="J262" s="595">
        <f>'Прилож 4 24 (9)'!Z258</f>
        <v>0</v>
      </c>
      <c r="K262" s="595">
        <f>'Прилож 4 24 (9)'!AA258</f>
        <v>0</v>
      </c>
      <c r="L262" s="595">
        <f>'Прилож 4 24 (9)'!AB258</f>
        <v>665.95</v>
      </c>
      <c r="M262" s="876">
        <f t="shared" si="47"/>
        <v>0</v>
      </c>
      <c r="N262" s="875"/>
      <c r="O262" s="875"/>
      <c r="P262" s="875"/>
      <c r="Q262" s="877"/>
      <c r="R262" s="875"/>
      <c r="S262" s="875"/>
      <c r="T262" s="875"/>
      <c r="U262" s="876">
        <f t="shared" si="50"/>
        <v>5836.95</v>
      </c>
      <c r="V262" s="875">
        <f t="shared" si="50"/>
        <v>0</v>
      </c>
      <c r="W262" s="875">
        <f t="shared" si="54"/>
        <v>0</v>
      </c>
      <c r="X262" s="875">
        <f t="shared" si="51"/>
        <v>5171</v>
      </c>
      <c r="Y262" s="877"/>
      <c r="Z262" s="875">
        <f t="shared" si="52"/>
        <v>0</v>
      </c>
      <c r="AA262" s="875">
        <f t="shared" si="52"/>
        <v>0</v>
      </c>
      <c r="AB262" s="875">
        <f t="shared" si="53"/>
        <v>665.95</v>
      </c>
      <c r="AC262" s="878"/>
    </row>
    <row r="263" spans="1:31" s="637" customFormat="1" ht="25.5" customHeight="1" x14ac:dyDescent="0.2">
      <c r="A263" s="1046" t="s">
        <v>1143</v>
      </c>
      <c r="B263" s="1047" t="s">
        <v>691</v>
      </c>
      <c r="C263" s="1048">
        <v>244</v>
      </c>
      <c r="D263" s="1048">
        <v>346</v>
      </c>
      <c r="E263" s="596">
        <f t="shared" si="46"/>
        <v>22894.13</v>
      </c>
      <c r="F263" s="595">
        <f>'Прилож 4 24 (9)'!V259</f>
        <v>0</v>
      </c>
      <c r="G263" s="595">
        <f>'Прилож 4 24 (9)'!W259</f>
        <v>0</v>
      </c>
      <c r="H263" s="595">
        <f>'Прилож 4 24 (9)'!X259</f>
        <v>20820.170000000002</v>
      </c>
      <c r="I263" s="635"/>
      <c r="J263" s="595">
        <f>'Прилож 4 24 (9)'!Z259</f>
        <v>0</v>
      </c>
      <c r="K263" s="595">
        <f>'Прилож 4 24 (9)'!AA259</f>
        <v>0</v>
      </c>
      <c r="L263" s="595">
        <f>'Прилож 4 24 (9)'!AB259</f>
        <v>2073.96</v>
      </c>
      <c r="M263" s="876">
        <f t="shared" si="47"/>
        <v>0</v>
      </c>
      <c r="N263" s="884"/>
      <c r="O263" s="884"/>
      <c r="P263" s="884">
        <f>SUM(P261:P262)</f>
        <v>0</v>
      </c>
      <c r="Q263" s="885"/>
      <c r="R263" s="884"/>
      <c r="S263" s="884"/>
      <c r="T263" s="884">
        <f>SUM(T261:T262)</f>
        <v>0</v>
      </c>
      <c r="U263" s="876">
        <f t="shared" si="50"/>
        <v>22894.13</v>
      </c>
      <c r="V263" s="876">
        <f t="shared" si="50"/>
        <v>0</v>
      </c>
      <c r="W263" s="876">
        <f t="shared" si="54"/>
        <v>0</v>
      </c>
      <c r="X263" s="876">
        <f t="shared" si="51"/>
        <v>20820.170000000002</v>
      </c>
      <c r="Y263" s="885"/>
      <c r="Z263" s="876">
        <f t="shared" si="52"/>
        <v>0</v>
      </c>
      <c r="AA263" s="876">
        <f t="shared" si="52"/>
        <v>0</v>
      </c>
      <c r="AB263" s="876">
        <f t="shared" si="53"/>
        <v>2073.96</v>
      </c>
      <c r="AC263" s="1086"/>
    </row>
    <row r="264" spans="1:31" s="614" customFormat="1" ht="27.75" customHeight="1" x14ac:dyDescent="0.2">
      <c r="A264" s="630" t="s">
        <v>744</v>
      </c>
      <c r="B264" s="631"/>
      <c r="C264" s="624"/>
      <c r="D264" s="624"/>
      <c r="E264" s="596">
        <f t="shared" si="46"/>
        <v>1799939.85</v>
      </c>
      <c r="F264" s="595">
        <f>'Прилож 4 24 (9)'!V260</f>
        <v>1353214.96</v>
      </c>
      <c r="G264" s="595">
        <f>'Прилож 4 24 (9)'!W260</f>
        <v>0</v>
      </c>
      <c r="H264" s="595">
        <f>'Прилож 4 24 (9)'!X260</f>
        <v>369999.89</v>
      </c>
      <c r="I264" s="596"/>
      <c r="J264" s="595">
        <f>'Прилож 4 24 (9)'!Z260</f>
        <v>0</v>
      </c>
      <c r="K264" s="595">
        <f>'Прилож 4 24 (9)'!AA260</f>
        <v>3200</v>
      </c>
      <c r="L264" s="595">
        <f>'Прилож 4 24 (9)'!AB260</f>
        <v>73524.999999999985</v>
      </c>
      <c r="M264" s="876">
        <f t="shared" si="47"/>
        <v>69480.160000000033</v>
      </c>
      <c r="N264" s="876">
        <f>N263+N260+N258+N249</f>
        <v>-308119.86</v>
      </c>
      <c r="O264" s="876"/>
      <c r="P264" s="876">
        <f>P249+P258+P263</f>
        <v>316749.57</v>
      </c>
      <c r="Q264" s="876"/>
      <c r="R264" s="876"/>
      <c r="S264" s="876"/>
      <c r="T264" s="876">
        <f>T249+T258+T263</f>
        <v>60850.450000000004</v>
      </c>
      <c r="U264" s="876">
        <f t="shared" si="50"/>
        <v>1869420.0100000002</v>
      </c>
      <c r="V264" s="875">
        <f t="shared" si="50"/>
        <v>1045095.1</v>
      </c>
      <c r="W264" s="875">
        <f t="shared" si="54"/>
        <v>0</v>
      </c>
      <c r="X264" s="875">
        <f t="shared" si="51"/>
        <v>686749.46</v>
      </c>
      <c r="Y264" s="876"/>
      <c r="Z264" s="875">
        <f t="shared" si="52"/>
        <v>0</v>
      </c>
      <c r="AA264" s="875">
        <f t="shared" si="52"/>
        <v>3200</v>
      </c>
      <c r="AB264" s="875">
        <f t="shared" si="53"/>
        <v>134375.44999999998</v>
      </c>
      <c r="AC264" s="879"/>
      <c r="AD264" s="818"/>
    </row>
    <row r="265" spans="1:31" ht="39.75" customHeight="1" x14ac:dyDescent="0.2">
      <c r="A265" s="618" t="s">
        <v>948</v>
      </c>
      <c r="B265" s="619" t="s">
        <v>729</v>
      </c>
      <c r="C265" s="620">
        <v>244</v>
      </c>
      <c r="D265" s="620">
        <v>349</v>
      </c>
      <c r="E265" s="596">
        <f t="shared" si="46"/>
        <v>4644</v>
      </c>
      <c r="F265" s="595">
        <f>'Прилож 4 24 (9)'!V261</f>
        <v>4644</v>
      </c>
      <c r="G265" s="595">
        <f>'Прилож 4 24 (9)'!W261</f>
        <v>0</v>
      </c>
      <c r="H265" s="595">
        <f>'Прилож 4 24 (9)'!X261</f>
        <v>0</v>
      </c>
      <c r="I265" s="626"/>
      <c r="J265" s="595">
        <f>'Прилож 4 24 (9)'!Z261</f>
        <v>0</v>
      </c>
      <c r="K265" s="595">
        <f>'Прилож 4 24 (9)'!AA261</f>
        <v>0</v>
      </c>
      <c r="L265" s="595">
        <f>'Прилож 4 24 (9)'!AB261</f>
        <v>0</v>
      </c>
      <c r="M265" s="876">
        <f t="shared" si="47"/>
        <v>0</v>
      </c>
      <c r="N265" s="875"/>
      <c r="O265" s="876"/>
      <c r="P265" s="876"/>
      <c r="Q265" s="881"/>
      <c r="R265" s="876"/>
      <c r="S265" s="876"/>
      <c r="T265" s="875"/>
      <c r="U265" s="876">
        <f t="shared" si="50"/>
        <v>4644</v>
      </c>
      <c r="V265" s="875">
        <f t="shared" si="50"/>
        <v>4644</v>
      </c>
      <c r="W265" s="875">
        <f t="shared" si="54"/>
        <v>0</v>
      </c>
      <c r="X265" s="875">
        <f t="shared" si="51"/>
        <v>0</v>
      </c>
      <c r="Y265" s="881"/>
      <c r="Z265" s="875">
        <f t="shared" si="52"/>
        <v>0</v>
      </c>
      <c r="AA265" s="875">
        <f t="shared" si="52"/>
        <v>0</v>
      </c>
      <c r="AB265" s="875">
        <f t="shared" si="53"/>
        <v>0</v>
      </c>
      <c r="AC265" s="878"/>
    </row>
    <row r="266" spans="1:31" s="614" customFormat="1" ht="27.75" customHeight="1" x14ac:dyDescent="0.2">
      <c r="A266" s="630" t="s">
        <v>949</v>
      </c>
      <c r="B266" s="631"/>
      <c r="C266" s="624"/>
      <c r="D266" s="624"/>
      <c r="E266" s="596">
        <f t="shared" si="46"/>
        <v>4644</v>
      </c>
      <c r="F266" s="595">
        <f>'Прилож 4 24 (9)'!V262</f>
        <v>4644</v>
      </c>
      <c r="G266" s="595">
        <f>'Прилож 4 24 (9)'!W262</f>
        <v>0</v>
      </c>
      <c r="H266" s="595">
        <f>'Прилож 4 24 (9)'!X262</f>
        <v>0</v>
      </c>
      <c r="I266" s="626"/>
      <c r="J266" s="595">
        <f>'Прилож 4 24 (9)'!Z262</f>
        <v>0</v>
      </c>
      <c r="K266" s="595">
        <f>'Прилож 4 24 (9)'!AA262</f>
        <v>0</v>
      </c>
      <c r="L266" s="595">
        <f>'Прилож 4 24 (9)'!AB262</f>
        <v>0</v>
      </c>
      <c r="M266" s="876">
        <f t="shared" si="47"/>
        <v>0</v>
      </c>
      <c r="N266" s="875"/>
      <c r="O266" s="876">
        <f>O258+O260+O263</f>
        <v>0</v>
      </c>
      <c r="P266" s="876"/>
      <c r="Q266" s="881"/>
      <c r="R266" s="876">
        <f>R258+R260+R263</f>
        <v>0</v>
      </c>
      <c r="S266" s="876">
        <f>S258+S260+S263</f>
        <v>0</v>
      </c>
      <c r="T266" s="876"/>
      <c r="U266" s="876">
        <f t="shared" si="50"/>
        <v>4644</v>
      </c>
      <c r="V266" s="875">
        <f t="shared" si="50"/>
        <v>4644</v>
      </c>
      <c r="W266" s="875">
        <f t="shared" si="54"/>
        <v>0</v>
      </c>
      <c r="X266" s="875">
        <f t="shared" si="51"/>
        <v>0</v>
      </c>
      <c r="Y266" s="881"/>
      <c r="Z266" s="875">
        <f t="shared" si="52"/>
        <v>0</v>
      </c>
      <c r="AA266" s="875">
        <f t="shared" si="52"/>
        <v>0</v>
      </c>
      <c r="AB266" s="875">
        <f t="shared" si="53"/>
        <v>0</v>
      </c>
      <c r="AC266" s="879"/>
    </row>
    <row r="267" spans="1:31" s="614" customFormat="1" x14ac:dyDescent="0.2">
      <c r="A267" s="624" t="s">
        <v>745</v>
      </c>
      <c r="B267" s="631"/>
      <c r="C267" s="624"/>
      <c r="D267" s="624"/>
      <c r="E267" s="596">
        <f t="shared" si="46"/>
        <v>69330099.439999998</v>
      </c>
      <c r="F267" s="595">
        <f>'Прилож 4 24 (9)'!V263</f>
        <v>42188221.800000004</v>
      </c>
      <c r="G267" s="595">
        <f>'Прилож 4 24 (9)'!W263</f>
        <v>2315726.5499999998</v>
      </c>
      <c r="H267" s="595">
        <f>'Прилож 4 24 (9)'!X263</f>
        <v>11500323.030000001</v>
      </c>
      <c r="I267" s="626"/>
      <c r="J267" s="595">
        <f>'Прилож 4 24 (9)'!Z263</f>
        <v>0</v>
      </c>
      <c r="K267" s="595">
        <f>'Прилож 4 24 (9)'!AA263</f>
        <v>10749997.869999999</v>
      </c>
      <c r="L267" s="595">
        <f>'Прилож 4 24 (9)'!AB263</f>
        <v>2575830.1899999995</v>
      </c>
      <c r="M267" s="876">
        <f>M266+M264+M244+M242+M240+M237+M235+M230++M203+M200+M165+M107+M105+M88+M70+M61+M50+M48+M43+M233+M45+M52</f>
        <v>62031.22</v>
      </c>
      <c r="N267" s="876">
        <f>N264+N244+N242+N240+N237+N235+N233+N230+N203+N200+N165+N107+N105+N88+N70+N61+N50+N48+N45+N43+N266</f>
        <v>183440</v>
      </c>
      <c r="O267" s="876">
        <f>O264+O244+O242+O240+O237+O235+O233+O230+O203+O200+O165+O107+O105+O88+O70+O61+O50+O48+O45+O43</f>
        <v>0</v>
      </c>
      <c r="P267" s="876">
        <f>P264+P244+P242+P240+P237+P235+P233+P230+P203+P200+P165+P107+P105+P88+P70+P61+P50+P48+P45+P43</f>
        <v>2.9103830456733704E-11</v>
      </c>
      <c r="Q267" s="876"/>
      <c r="R267" s="876">
        <f>R264+R244+R242+R240+R237+R235+R233+R230+R203+R200+R165+R107+R105+R88+R70+R61+R50+R48+R45+R43</f>
        <v>0</v>
      </c>
      <c r="S267" s="876">
        <f>S264+S244+S242+S240+S237+S235+S233+S230+S203+S200+S165+S107+S105+S88+S70+S61+S50+S48+S45+S43+S52</f>
        <v>0</v>
      </c>
      <c r="T267" s="876">
        <f>T264+T244+T242+T240+T237+T235+T233+T230+T203+T200+T165+T107+T105+T88+T70+T61+T50+T48+T45+T43</f>
        <v>-121408.78</v>
      </c>
      <c r="U267" s="876">
        <f>U266+U264+U244+U242+U240+U237+U235+U230++U203+U200+U165+U107+U105+U88+U70+U61+U50+U48+U43+U233+U45+U51</f>
        <v>69392130.659999996</v>
      </c>
      <c r="V267" s="875">
        <f t="shared" si="50"/>
        <v>42371661.800000004</v>
      </c>
      <c r="W267" s="875">
        <f t="shared" si="54"/>
        <v>2315726.5499999998</v>
      </c>
      <c r="X267" s="875">
        <f t="shared" si="51"/>
        <v>11500323.030000001</v>
      </c>
      <c r="Y267" s="876">
        <f>Y266+Y264+Y244+Y242+Y240+Y237+Y235+Y230++Y203+Y200+Y165+Y107+Y105+Y88+Y70+Y61+Y50+Y48+Y43+Y233</f>
        <v>0</v>
      </c>
      <c r="Z267" s="875">
        <f t="shared" si="52"/>
        <v>0</v>
      </c>
      <c r="AA267" s="875">
        <f t="shared" si="52"/>
        <v>10749997.869999999</v>
      </c>
      <c r="AB267" s="875">
        <f t="shared" si="53"/>
        <v>2454421.4099999997</v>
      </c>
      <c r="AC267" s="879"/>
      <c r="AD267" s="818"/>
      <c r="AE267" s="818">
        <f>V267+W267+X267</f>
        <v>56187711.380000003</v>
      </c>
    </row>
    <row r="268" spans="1:31" ht="25.5" customHeight="1" x14ac:dyDescent="0.2">
      <c r="A268" s="618" t="s">
        <v>946</v>
      </c>
      <c r="B268" s="619"/>
      <c r="C268" s="620"/>
      <c r="D268" s="620">
        <v>189</v>
      </c>
      <c r="E268" s="596">
        <f t="shared" si="46"/>
        <v>-12500</v>
      </c>
      <c r="F268" s="595">
        <f>'Прилож 4 24 (2)'!V208</f>
        <v>0</v>
      </c>
      <c r="G268" s="595">
        <f>'Прилож 4 24 (2)'!W218</f>
        <v>0</v>
      </c>
      <c r="H268" s="595">
        <f>'Прилож 4 24 (2)'!X208</f>
        <v>0</v>
      </c>
      <c r="I268" s="621"/>
      <c r="J268" s="595">
        <f>'Прилож 4 24 (2)'!Z208</f>
        <v>0</v>
      </c>
      <c r="K268" s="595">
        <f>'Прилож 4 24 (2)'!AA208</f>
        <v>0</v>
      </c>
      <c r="L268" s="875">
        <f>'Прилож 4 24 (2)'!AB208</f>
        <v>-12500</v>
      </c>
      <c r="M268" s="876">
        <f>N268+P268+R268+S268+T268+O268</f>
        <v>0</v>
      </c>
      <c r="N268" s="875"/>
      <c r="O268" s="875"/>
      <c r="P268" s="875"/>
      <c r="Q268" s="877"/>
      <c r="R268" s="875"/>
      <c r="S268" s="875"/>
      <c r="T268" s="875"/>
      <c r="U268" s="876">
        <f>V268+X268+Z268+AA268+AB268+W268</f>
        <v>-12500</v>
      </c>
      <c r="V268" s="875">
        <f t="shared" ref="V268:V271" si="55">F268+N268</f>
        <v>0</v>
      </c>
      <c r="W268" s="875">
        <f t="shared" si="54"/>
        <v>0</v>
      </c>
      <c r="X268" s="875">
        <f t="shared" si="51"/>
        <v>0</v>
      </c>
      <c r="Y268" s="877"/>
      <c r="Z268" s="875">
        <f t="shared" si="52"/>
        <v>0</v>
      </c>
      <c r="AA268" s="875">
        <f t="shared" si="52"/>
        <v>0</v>
      </c>
      <c r="AB268" s="875">
        <f t="shared" si="53"/>
        <v>-12500</v>
      </c>
      <c r="AC268" s="878"/>
    </row>
    <row r="269" spans="1:31" s="614" customFormat="1" ht="31.5" x14ac:dyDescent="0.2">
      <c r="A269" s="630" t="s">
        <v>746</v>
      </c>
      <c r="B269" s="624"/>
      <c r="C269" s="624"/>
      <c r="D269" s="624"/>
      <c r="E269" s="596">
        <f t="shared" si="46"/>
        <v>-12500</v>
      </c>
      <c r="F269" s="595">
        <f>'Прилож 4 24 (2)'!V209</f>
        <v>0</v>
      </c>
      <c r="G269" s="595">
        <f>'Прилож 4 24 (2)'!W219</f>
        <v>0</v>
      </c>
      <c r="H269" s="595">
        <f>'Прилож 4 24 (2)'!X209</f>
        <v>0</v>
      </c>
      <c r="I269" s="626"/>
      <c r="J269" s="595">
        <f>'Прилож 4 24 (2)'!Z209</f>
        <v>0</v>
      </c>
      <c r="K269" s="595">
        <f>'Прилож 4 24 (2)'!AA209</f>
        <v>0</v>
      </c>
      <c r="L269" s="875">
        <f>'Прилож 4 24 (2)'!AB209</f>
        <v>-12500</v>
      </c>
      <c r="M269" s="876">
        <f>N269+P269+R269+S269+T269+O269</f>
        <v>0</v>
      </c>
      <c r="N269" s="876">
        <f>N268</f>
        <v>0</v>
      </c>
      <c r="O269" s="876">
        <f>O268</f>
        <v>0</v>
      </c>
      <c r="P269" s="876">
        <f>P268</f>
        <v>0</v>
      </c>
      <c r="Q269" s="881"/>
      <c r="R269" s="876">
        <f>R268</f>
        <v>0</v>
      </c>
      <c r="S269" s="876"/>
      <c r="T269" s="876">
        <f>T268</f>
        <v>0</v>
      </c>
      <c r="U269" s="876">
        <f>V269+X269+Z269+AA269+AB269+W269</f>
        <v>-12500</v>
      </c>
      <c r="V269" s="875">
        <f t="shared" si="55"/>
        <v>0</v>
      </c>
      <c r="W269" s="875">
        <f t="shared" si="54"/>
        <v>0</v>
      </c>
      <c r="X269" s="875">
        <f t="shared" si="51"/>
        <v>0</v>
      </c>
      <c r="Y269" s="881">
        <f>Y268</f>
        <v>0</v>
      </c>
      <c r="Z269" s="875">
        <f t="shared" si="52"/>
        <v>0</v>
      </c>
      <c r="AA269" s="875">
        <f t="shared" si="52"/>
        <v>0</v>
      </c>
      <c r="AB269" s="875">
        <f t="shared" si="53"/>
        <v>-12500</v>
      </c>
      <c r="AC269" s="878"/>
    </row>
    <row r="270" spans="1:31" s="614" customFormat="1" x14ac:dyDescent="0.2">
      <c r="A270" s="630" t="s">
        <v>950</v>
      </c>
      <c r="B270" s="631" t="s">
        <v>747</v>
      </c>
      <c r="C270" s="624"/>
      <c r="D270" s="624">
        <v>610</v>
      </c>
      <c r="E270" s="596">
        <f t="shared" si="46"/>
        <v>142385.88</v>
      </c>
      <c r="F270" s="595">
        <f>'Прилож 4 24 (2)'!V210</f>
        <v>0</v>
      </c>
      <c r="G270" s="595">
        <f>'Прилож 4 24 (2)'!W220</f>
        <v>0</v>
      </c>
      <c r="H270" s="595">
        <f>'Прилож 4 24 (2)'!X210</f>
        <v>142385.88</v>
      </c>
      <c r="I270" s="626"/>
      <c r="J270" s="595">
        <f>'Прилож 4 24 (2)'!Z210</f>
        <v>0</v>
      </c>
      <c r="K270" s="595">
        <f>'Прилож 4 24 (2)'!AA210</f>
        <v>0</v>
      </c>
      <c r="L270" s="875">
        <f>'Прилож 4 24 (2)'!AB210</f>
        <v>0</v>
      </c>
      <c r="M270" s="876">
        <f>N270+P270+R270+S270+T270+O270</f>
        <v>0</v>
      </c>
      <c r="N270" s="876">
        <f>N269</f>
        <v>0</v>
      </c>
      <c r="O270" s="876">
        <f>O269</f>
        <v>0</v>
      </c>
      <c r="P270" s="876"/>
      <c r="Q270" s="881"/>
      <c r="R270" s="876">
        <f>R269</f>
        <v>0</v>
      </c>
      <c r="S270" s="876">
        <f>S269</f>
        <v>0</v>
      </c>
      <c r="T270" s="876"/>
      <c r="U270" s="876">
        <f>V270+X270+Z270+AA270+AB270+W270</f>
        <v>142385.88</v>
      </c>
      <c r="V270" s="875">
        <f t="shared" si="55"/>
        <v>0</v>
      </c>
      <c r="W270" s="875">
        <f t="shared" si="54"/>
        <v>0</v>
      </c>
      <c r="X270" s="875">
        <v>142385.88</v>
      </c>
      <c r="Y270" s="881">
        <f>Y269</f>
        <v>0</v>
      </c>
      <c r="Z270" s="875">
        <f t="shared" si="52"/>
        <v>0</v>
      </c>
      <c r="AA270" s="875">
        <f t="shared" si="52"/>
        <v>0</v>
      </c>
      <c r="AB270" s="875">
        <f t="shared" si="53"/>
        <v>0</v>
      </c>
      <c r="AC270" s="878"/>
    </row>
    <row r="271" spans="1:31" ht="33" customHeight="1" x14ac:dyDescent="0.2">
      <c r="A271" s="822" t="s">
        <v>1330</v>
      </c>
      <c r="E271" s="644">
        <f t="shared" ref="E271:Q271" si="56">E11+E35-E267+E269-E270</f>
        <v>1.0128132998943329E-8</v>
      </c>
      <c r="F271" s="644">
        <f t="shared" si="56"/>
        <v>0</v>
      </c>
      <c r="G271" s="644">
        <f t="shared" si="56"/>
        <v>0</v>
      </c>
      <c r="H271" s="644">
        <f t="shared" si="56"/>
        <v>-1.0477378964424133E-9</v>
      </c>
      <c r="I271" s="641">
        <f t="shared" si="56"/>
        <v>0</v>
      </c>
      <c r="J271" s="644">
        <f t="shared" si="56"/>
        <v>0</v>
      </c>
      <c r="K271" s="644">
        <f t="shared" si="56"/>
        <v>0</v>
      </c>
      <c r="L271" s="644">
        <f t="shared" si="56"/>
        <v>9.3132257461547852E-10</v>
      </c>
      <c r="M271" s="644">
        <f t="shared" si="56"/>
        <v>0</v>
      </c>
      <c r="N271" s="644">
        <f t="shared" si="56"/>
        <v>0</v>
      </c>
      <c r="O271" s="644">
        <f t="shared" si="56"/>
        <v>0</v>
      </c>
      <c r="P271" s="644">
        <f t="shared" si="56"/>
        <v>-2.9103830456733704E-11</v>
      </c>
      <c r="Q271" s="644">
        <f t="shared" si="56"/>
        <v>0</v>
      </c>
      <c r="R271" s="644"/>
      <c r="S271" s="644">
        <f>S11+S35-S267+S269-S270</f>
        <v>0</v>
      </c>
      <c r="T271" s="644">
        <f>T11+T35-T267+T269-T270</f>
        <v>0</v>
      </c>
      <c r="U271" s="644">
        <f>U11+U35-U267+U269-U270</f>
        <v>1.0128132998943329E-8</v>
      </c>
      <c r="V271" s="595">
        <f t="shared" si="55"/>
        <v>0</v>
      </c>
      <c r="W271" s="644">
        <f>W11+W35-W267+W269-W270</f>
        <v>0</v>
      </c>
      <c r="X271" s="644">
        <f>X11+X35-X267+X269-X270</f>
        <v>-1.0477378964424133E-9</v>
      </c>
      <c r="Y271" s="644">
        <f>Y11+Y35-Y267+Y269-Y270</f>
        <v>0</v>
      </c>
      <c r="Z271" s="595">
        <f t="shared" si="52"/>
        <v>0</v>
      </c>
      <c r="AA271" s="644">
        <f>AA11+AA35-AA267+AA269-AA270</f>
        <v>0</v>
      </c>
      <c r="AB271" s="595">
        <f t="shared" si="53"/>
        <v>9.3132257461547852E-10</v>
      </c>
      <c r="AC271" s="1005"/>
    </row>
    <row r="272" spans="1:31" x14ac:dyDescent="0.2">
      <c r="A272" s="624" t="s">
        <v>1266</v>
      </c>
      <c r="B272" s="620"/>
      <c r="C272" s="620"/>
      <c r="D272" s="620"/>
      <c r="E272" s="596"/>
      <c r="F272" s="595"/>
      <c r="G272" s="595"/>
      <c r="H272" s="595"/>
      <c r="W272" s="645">
        <f>SUM(W214:W229)</f>
        <v>0</v>
      </c>
      <c r="AB272" s="595">
        <f t="shared" si="53"/>
        <v>0</v>
      </c>
      <c r="AC272" s="1002"/>
    </row>
    <row r="273" spans="1:29" x14ac:dyDescent="0.2">
      <c r="A273" s="624" t="s">
        <v>1268</v>
      </c>
      <c r="B273" s="620"/>
      <c r="C273" s="620"/>
      <c r="D273" s="620"/>
      <c r="E273" s="596"/>
      <c r="F273" s="595"/>
      <c r="G273" s="595"/>
      <c r="H273" s="595"/>
      <c r="AB273" s="595">
        <f t="shared" si="53"/>
        <v>0</v>
      </c>
      <c r="AC273" s="1002"/>
    </row>
    <row r="274" spans="1:29" x14ac:dyDescent="0.2">
      <c r="A274" s="620" t="s">
        <v>1265</v>
      </c>
      <c r="B274" s="619" t="s">
        <v>747</v>
      </c>
      <c r="C274" s="620">
        <v>247</v>
      </c>
      <c r="D274" s="620">
        <v>223</v>
      </c>
      <c r="E274" s="596"/>
      <c r="F274" s="595"/>
      <c r="G274" s="595"/>
      <c r="H274" s="595">
        <v>97172.91</v>
      </c>
      <c r="AB274" s="595">
        <f t="shared" si="53"/>
        <v>0</v>
      </c>
      <c r="AC274" s="1002"/>
    </row>
    <row r="275" spans="1:29" x14ac:dyDescent="0.2">
      <c r="A275" s="620" t="s">
        <v>1265</v>
      </c>
      <c r="B275" s="619" t="s">
        <v>729</v>
      </c>
      <c r="C275" s="620">
        <v>247</v>
      </c>
      <c r="D275" s="620">
        <v>223</v>
      </c>
      <c r="E275" s="596"/>
      <c r="F275" s="595"/>
      <c r="G275" s="595"/>
      <c r="H275" s="595">
        <v>149284.57</v>
      </c>
      <c r="AB275" s="595">
        <f t="shared" si="53"/>
        <v>0</v>
      </c>
      <c r="AC275" s="1002"/>
    </row>
    <row r="276" spans="1:29" x14ac:dyDescent="0.2">
      <c r="A276" s="620"/>
      <c r="B276" s="620"/>
      <c r="C276" s="620"/>
      <c r="D276" s="620"/>
      <c r="E276" s="596"/>
      <c r="F276" s="595"/>
      <c r="G276" s="595"/>
      <c r="H276" s="595">
        <f>SUM(H274:H275)</f>
        <v>246457.48</v>
      </c>
      <c r="AB276" s="595">
        <f t="shared" si="53"/>
        <v>0</v>
      </c>
    </row>
    <row r="277" spans="1:29" x14ac:dyDescent="0.2">
      <c r="A277" s="624" t="s">
        <v>1269</v>
      </c>
      <c r="B277" s="620"/>
      <c r="C277" s="620"/>
      <c r="D277" s="620"/>
      <c r="E277" s="596"/>
      <c r="F277" s="595"/>
      <c r="G277" s="595"/>
      <c r="H277" s="595"/>
      <c r="L277" s="645">
        <v>-28336.69</v>
      </c>
    </row>
    <row r="278" spans="1:29" x14ac:dyDescent="0.2">
      <c r="A278" s="620" t="s">
        <v>735</v>
      </c>
      <c r="B278" s="619" t="s">
        <v>747</v>
      </c>
      <c r="C278" s="620">
        <v>244</v>
      </c>
      <c r="D278" s="620">
        <v>223</v>
      </c>
      <c r="E278" s="596"/>
      <c r="F278" s="595"/>
      <c r="G278" s="595"/>
      <c r="H278" s="595">
        <v>28336.69</v>
      </c>
    </row>
    <row r="279" spans="1:29" x14ac:dyDescent="0.2">
      <c r="A279" s="620" t="s">
        <v>1267</v>
      </c>
      <c r="B279" s="619" t="s">
        <v>747</v>
      </c>
      <c r="C279" s="620">
        <v>247</v>
      </c>
      <c r="D279" s="620">
        <v>223</v>
      </c>
      <c r="E279" s="596"/>
      <c r="F279" s="595"/>
      <c r="G279" s="595"/>
      <c r="H279" s="595">
        <v>19716.62</v>
      </c>
    </row>
    <row r="280" spans="1:29" x14ac:dyDescent="0.2">
      <c r="A280" s="620" t="s">
        <v>1267</v>
      </c>
      <c r="B280" s="619" t="s">
        <v>729</v>
      </c>
      <c r="C280" s="620">
        <v>247</v>
      </c>
      <c r="D280" s="620">
        <v>223</v>
      </c>
      <c r="E280" s="596"/>
      <c r="F280" s="595"/>
      <c r="G280" s="595"/>
      <c r="H280" s="595">
        <v>105588.85</v>
      </c>
    </row>
    <row r="281" spans="1:29" x14ac:dyDescent="0.2">
      <c r="A281" s="620"/>
      <c r="B281" s="620"/>
      <c r="C281" s="620"/>
      <c r="D281" s="620"/>
      <c r="E281" s="596"/>
      <c r="F281" s="595"/>
      <c r="G281" s="595"/>
      <c r="H281" s="595">
        <f>SUM(H278:H280)</f>
        <v>153642.16</v>
      </c>
    </row>
  </sheetData>
  <mergeCells count="28">
    <mergeCell ref="A7:A10"/>
    <mergeCell ref="B7:B10"/>
    <mergeCell ref="C7:C10"/>
    <mergeCell ref="D7:D10"/>
    <mergeCell ref="E7:L7"/>
    <mergeCell ref="E8:E10"/>
    <mergeCell ref="F8:L8"/>
    <mergeCell ref="F9:H9"/>
    <mergeCell ref="I9:K9"/>
    <mergeCell ref="L9:L10"/>
    <mergeCell ref="Z1:AB1"/>
    <mergeCell ref="Z2:AB2"/>
    <mergeCell ref="A3:X3"/>
    <mergeCell ref="A4:X4"/>
    <mergeCell ref="D5:P5"/>
    <mergeCell ref="AC7:AC10"/>
    <mergeCell ref="V8:AB8"/>
    <mergeCell ref="Y9:AA9"/>
    <mergeCell ref="AB9:AB10"/>
    <mergeCell ref="M8:M10"/>
    <mergeCell ref="N8:T8"/>
    <mergeCell ref="U8:U10"/>
    <mergeCell ref="T9:T10"/>
    <mergeCell ref="N9:P9"/>
    <mergeCell ref="Q9:S9"/>
    <mergeCell ref="V9:X9"/>
    <mergeCell ref="M7:T7"/>
    <mergeCell ref="U7:AB7"/>
  </mergeCells>
  <pageMargins left="0.25" right="0.25" top="0.75" bottom="0.75" header="0.3" footer="0.3"/>
  <pageSetup paperSize="9" scale="2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Y51"/>
  <sheetViews>
    <sheetView view="pageBreakPreview" topLeftCell="E1" zoomScale="96" zoomScaleNormal="100" zoomScaleSheetLayoutView="96" workbookViewId="0">
      <selection activeCell="I26" sqref="I26"/>
    </sheetView>
  </sheetViews>
  <sheetFormatPr defaultRowHeight="12.75" x14ac:dyDescent="0.2"/>
  <cols>
    <col min="3" max="3" width="7.42578125" customWidth="1"/>
    <col min="4" max="4" width="9" bestFit="1" customWidth="1"/>
    <col min="5" max="5" width="8.28515625" customWidth="1"/>
    <col min="6" max="7" width="9" bestFit="1" customWidth="1"/>
    <col min="8" max="8" width="8.140625" customWidth="1"/>
    <col min="9" max="9" width="9" bestFit="1" customWidth="1"/>
    <col min="10" max="10" width="13.140625" customWidth="1"/>
    <col min="11" max="11" width="10.140625" bestFit="1" customWidth="1"/>
    <col min="12" max="12" width="11.28515625" customWidth="1"/>
    <col min="13" max="13" width="10.140625" bestFit="1" customWidth="1"/>
    <col min="14" max="17" width="9" bestFit="1" customWidth="1"/>
    <col min="18" max="18" width="10.140625" bestFit="1" customWidth="1"/>
    <col min="19" max="19" width="12.7109375" customWidth="1"/>
    <col min="20" max="20" width="11.5703125" customWidth="1"/>
    <col min="21" max="21" width="11.7109375" customWidth="1"/>
    <col min="22" max="22" width="12.28515625" customWidth="1"/>
    <col min="23" max="23" width="12.5703125" customWidth="1"/>
    <col min="24" max="24" width="12.140625" customWidth="1"/>
    <col min="25" max="25" width="6.5703125" customWidth="1"/>
    <col min="26" max="29" width="8.85546875" customWidth="1"/>
  </cols>
  <sheetData>
    <row r="1" spans="1:25" ht="21" customHeight="1" thickBot="1" x14ac:dyDescent="0.25">
      <c r="A1" s="1678" t="s">
        <v>1405</v>
      </c>
      <c r="B1" s="1678"/>
      <c r="C1" s="1678"/>
      <c r="D1" s="1678"/>
      <c r="E1" s="1678"/>
      <c r="F1" s="1678"/>
      <c r="G1" s="1678"/>
      <c r="H1" s="1678"/>
      <c r="I1" s="1678"/>
      <c r="J1" s="1678"/>
      <c r="K1" s="1678"/>
      <c r="L1" s="1678"/>
      <c r="M1" s="1679"/>
      <c r="N1" s="1679"/>
      <c r="O1" s="1679"/>
      <c r="P1" s="1679"/>
      <c r="Q1" s="1679"/>
      <c r="R1" s="1679"/>
      <c r="S1" s="1678"/>
      <c r="T1" s="1678"/>
      <c r="U1" s="1678"/>
      <c r="V1" s="1678"/>
      <c r="W1" s="1678"/>
      <c r="X1" s="969"/>
      <c r="Y1" s="969"/>
    </row>
    <row r="2" spans="1:25" ht="13.9" customHeight="1" x14ac:dyDescent="0.2">
      <c r="A2" s="1680" t="s">
        <v>794</v>
      </c>
      <c r="B2" s="1681"/>
      <c r="C2" s="1684" t="s">
        <v>795</v>
      </c>
      <c r="D2" s="1687" t="s">
        <v>796</v>
      </c>
      <c r="E2" s="1690" t="s">
        <v>797</v>
      </c>
      <c r="F2" s="1691"/>
      <c r="G2" s="1691"/>
      <c r="H2" s="1691"/>
      <c r="I2" s="1692"/>
      <c r="J2" s="1693" t="s">
        <v>798</v>
      </c>
      <c r="K2" s="1693" t="s">
        <v>799</v>
      </c>
      <c r="L2" s="1693" t="s">
        <v>800</v>
      </c>
      <c r="M2" s="1696" t="s">
        <v>1367</v>
      </c>
      <c r="N2" s="1696"/>
      <c r="O2" s="1696"/>
      <c r="P2" s="1696"/>
      <c r="Q2" s="1696"/>
      <c r="R2" s="1696"/>
      <c r="S2" s="1697" t="s">
        <v>802</v>
      </c>
      <c r="T2" s="1712" t="s">
        <v>1415</v>
      </c>
      <c r="U2" s="970"/>
      <c r="V2" s="1693" t="s">
        <v>804</v>
      </c>
      <c r="W2" s="1693" t="s">
        <v>805</v>
      </c>
      <c r="X2" s="1693" t="s">
        <v>806</v>
      </c>
      <c r="Y2" s="969"/>
    </row>
    <row r="3" spans="1:25" ht="13.9" customHeight="1" x14ac:dyDescent="0.2">
      <c r="A3" s="1682"/>
      <c r="B3" s="1683"/>
      <c r="C3" s="1685"/>
      <c r="D3" s="1688"/>
      <c r="E3" s="1707" t="s">
        <v>807</v>
      </c>
      <c r="F3" s="1708"/>
      <c r="G3" s="1709" t="s">
        <v>808</v>
      </c>
      <c r="H3" s="1707" t="s">
        <v>809</v>
      </c>
      <c r="I3" s="1708"/>
      <c r="J3" s="1685"/>
      <c r="K3" s="1694"/>
      <c r="L3" s="1694"/>
      <c r="M3" s="1711" t="s">
        <v>810</v>
      </c>
      <c r="N3" s="1711" t="s">
        <v>811</v>
      </c>
      <c r="O3" s="1711" t="s">
        <v>1416</v>
      </c>
      <c r="P3" s="1701" t="s">
        <v>813</v>
      </c>
      <c r="Q3" s="1701"/>
      <c r="R3" s="1701" t="s">
        <v>189</v>
      </c>
      <c r="S3" s="1698"/>
      <c r="T3" s="1688"/>
      <c r="U3" s="971"/>
      <c r="V3" s="1685"/>
      <c r="W3" s="1685"/>
      <c r="X3" s="1685"/>
      <c r="Y3" s="969"/>
    </row>
    <row r="4" spans="1:25" ht="13.15" customHeight="1" x14ac:dyDescent="0.2">
      <c r="A4" s="1682"/>
      <c r="B4" s="1683"/>
      <c r="C4" s="1686"/>
      <c r="D4" s="1689"/>
      <c r="E4" s="972" t="s">
        <v>814</v>
      </c>
      <c r="F4" s="972" t="s">
        <v>815</v>
      </c>
      <c r="G4" s="1710"/>
      <c r="H4" s="972" t="s">
        <v>816</v>
      </c>
      <c r="I4" s="972" t="s">
        <v>817</v>
      </c>
      <c r="J4" s="1686"/>
      <c r="K4" s="1695"/>
      <c r="L4" s="1695"/>
      <c r="M4" s="1711"/>
      <c r="N4" s="1711"/>
      <c r="O4" s="1711"/>
      <c r="P4" s="1702"/>
      <c r="Q4" s="1702"/>
      <c r="R4" s="1702"/>
      <c r="S4" s="1699"/>
      <c r="T4" s="1689"/>
      <c r="U4" s="973" t="s">
        <v>1381</v>
      </c>
      <c r="V4" s="1686"/>
      <c r="W4" s="1686"/>
      <c r="X4" s="1686"/>
      <c r="Y4" s="969"/>
    </row>
    <row r="5" spans="1:25" ht="15" x14ac:dyDescent="0.2">
      <c r="A5" s="1703">
        <v>1</v>
      </c>
      <c r="B5" s="1704"/>
      <c r="C5" s="974">
        <v>2</v>
      </c>
      <c r="D5" s="974">
        <v>3</v>
      </c>
      <c r="E5" s="974">
        <v>4</v>
      </c>
      <c r="F5" s="974">
        <v>5</v>
      </c>
      <c r="G5" s="974">
        <v>6</v>
      </c>
      <c r="H5" s="974">
        <v>7</v>
      </c>
      <c r="I5" s="974">
        <v>8</v>
      </c>
      <c r="J5" s="974">
        <v>9</v>
      </c>
      <c r="K5" s="974">
        <v>10</v>
      </c>
      <c r="L5" s="974">
        <v>11</v>
      </c>
      <c r="M5" s="974">
        <v>12</v>
      </c>
      <c r="N5" s="974">
        <v>13</v>
      </c>
      <c r="O5" s="974">
        <v>14</v>
      </c>
      <c r="P5" s="974">
        <v>14</v>
      </c>
      <c r="Q5" s="974">
        <v>16</v>
      </c>
      <c r="R5" s="974">
        <v>15</v>
      </c>
      <c r="S5" s="974">
        <v>16</v>
      </c>
      <c r="T5" s="974">
        <v>17</v>
      </c>
      <c r="U5" s="974"/>
      <c r="V5" s="974">
        <v>18</v>
      </c>
      <c r="W5" s="974">
        <v>19</v>
      </c>
      <c r="X5" s="974">
        <v>20</v>
      </c>
      <c r="Y5" s="969"/>
    </row>
    <row r="6" spans="1:25" ht="13.9" customHeight="1" x14ac:dyDescent="0.2">
      <c r="A6" s="1700" t="s">
        <v>840</v>
      </c>
      <c r="B6" s="1700"/>
      <c r="C6" s="975">
        <v>1</v>
      </c>
      <c r="D6" s="975">
        <v>12265</v>
      </c>
      <c r="E6" s="975"/>
      <c r="F6" s="975">
        <v>2.9</v>
      </c>
      <c r="G6" s="975"/>
      <c r="H6" s="975"/>
      <c r="I6" s="975"/>
      <c r="J6" s="948">
        <f>ROUND(D6*F6*C6,2)</f>
        <v>35568.5</v>
      </c>
      <c r="K6" s="948"/>
      <c r="L6" s="948">
        <f>J6</f>
        <v>35568.5</v>
      </c>
      <c r="M6" s="948"/>
      <c r="N6" s="948"/>
      <c r="O6" s="948"/>
      <c r="P6" s="948"/>
      <c r="Q6" s="948"/>
      <c r="R6" s="948">
        <f>M6+N6+P6</f>
        <v>0</v>
      </c>
      <c r="S6" s="948">
        <f>L6+R6</f>
        <v>35568.5</v>
      </c>
      <c r="T6" s="948">
        <f>L6*24%</f>
        <v>8536.44</v>
      </c>
      <c r="U6" s="948"/>
      <c r="V6" s="948">
        <f>S6+T6+U6</f>
        <v>44104.94</v>
      </c>
      <c r="W6" s="948">
        <f>V6*2</f>
        <v>88209.88</v>
      </c>
      <c r="X6" s="948">
        <f>W6*30.2%</f>
        <v>26639.383760000001</v>
      </c>
      <c r="Y6" s="969"/>
    </row>
    <row r="7" spans="1:25" ht="28.15" customHeight="1" x14ac:dyDescent="0.2">
      <c r="A7" s="1700" t="s">
        <v>564</v>
      </c>
      <c r="B7" s="1700"/>
      <c r="C7" s="975">
        <v>0.5</v>
      </c>
      <c r="D7" s="975">
        <v>12265</v>
      </c>
      <c r="E7" s="975"/>
      <c r="F7" s="975"/>
      <c r="G7" s="975"/>
      <c r="H7" s="975"/>
      <c r="I7" s="975"/>
      <c r="J7" s="948">
        <v>22745.55</v>
      </c>
      <c r="K7" s="948"/>
      <c r="L7" s="948">
        <v>22807.1</v>
      </c>
      <c r="M7" s="948"/>
      <c r="N7" s="948"/>
      <c r="O7" s="948"/>
      <c r="P7" s="948"/>
      <c r="Q7" s="948"/>
      <c r="R7" s="948">
        <f t="shared" ref="R7:R18" si="0">M7+N7+P7</f>
        <v>0</v>
      </c>
      <c r="S7" s="948">
        <f t="shared" ref="S7" si="1">L7+R7</f>
        <v>22807.1</v>
      </c>
      <c r="T7" s="948">
        <f t="shared" ref="T7:T17" si="2">L7*24%</f>
        <v>5473.7039999999997</v>
      </c>
      <c r="U7" s="948"/>
      <c r="V7" s="948">
        <f t="shared" ref="V7:V18" si="3">S7+T7+U7</f>
        <v>28280.803999999996</v>
      </c>
      <c r="W7" s="948">
        <f t="shared" ref="W7:W18" si="4">V7*2</f>
        <v>56561.607999999993</v>
      </c>
      <c r="X7" s="948">
        <f t="shared" ref="X7:X18" si="5">W7*30.2%</f>
        <v>17081.605615999997</v>
      </c>
      <c r="Y7" s="969"/>
    </row>
    <row r="8" spans="1:25" ht="14.45" customHeight="1" x14ac:dyDescent="0.2">
      <c r="A8" s="1705" t="s">
        <v>821</v>
      </c>
      <c r="B8" s="1706"/>
      <c r="C8" s="975">
        <v>6.15</v>
      </c>
      <c r="D8" s="975">
        <v>12265</v>
      </c>
      <c r="E8" s="975">
        <v>1.6</v>
      </c>
      <c r="F8" s="975"/>
      <c r="G8" s="975"/>
      <c r="H8" s="975"/>
      <c r="I8" s="976"/>
      <c r="J8" s="948">
        <f>ROUND(D8*E8*C8,2)</f>
        <v>120687.6</v>
      </c>
      <c r="K8" s="948">
        <f>15699.2</f>
        <v>15699.2</v>
      </c>
      <c r="L8" s="948">
        <f>J8+K8</f>
        <v>136386.80000000002</v>
      </c>
      <c r="M8" s="948">
        <v>8242.08</v>
      </c>
      <c r="N8" s="948"/>
      <c r="O8" s="948"/>
      <c r="P8" s="948"/>
      <c r="Q8" s="948"/>
      <c r="R8" s="948">
        <f t="shared" si="0"/>
        <v>8242.08</v>
      </c>
      <c r="S8" s="948">
        <f>L8+R8</f>
        <v>144628.88</v>
      </c>
      <c r="T8" s="948">
        <f t="shared" si="2"/>
        <v>32732.832000000002</v>
      </c>
      <c r="U8" s="948">
        <f>L8*97.775%</f>
        <v>133352.19370000003</v>
      </c>
      <c r="V8" s="948">
        <f t="shared" si="3"/>
        <v>310713.9057</v>
      </c>
      <c r="W8" s="948">
        <f t="shared" si="4"/>
        <v>621427.81140000001</v>
      </c>
      <c r="X8" s="948">
        <f t="shared" si="5"/>
        <v>187671.1990428</v>
      </c>
      <c r="Y8" s="969"/>
    </row>
    <row r="9" spans="1:25" ht="13.9" customHeight="1" x14ac:dyDescent="0.2">
      <c r="A9" s="1705" t="s">
        <v>822</v>
      </c>
      <c r="B9" s="1706"/>
      <c r="C9" s="975">
        <v>2</v>
      </c>
      <c r="D9" s="975">
        <v>12265</v>
      </c>
      <c r="E9" s="975"/>
      <c r="F9" s="975">
        <v>1.9</v>
      </c>
      <c r="G9" s="975"/>
      <c r="H9" s="975"/>
      <c r="I9" s="975"/>
      <c r="J9" s="948">
        <f t="shared" ref="J9:J13" si="6">ROUND(C9*D9*F9,2)</f>
        <v>46607</v>
      </c>
      <c r="K9" s="948">
        <f>6991.05</f>
        <v>6991.05</v>
      </c>
      <c r="L9" s="948">
        <f>J9+K9</f>
        <v>53598.05</v>
      </c>
      <c r="M9" s="948"/>
      <c r="N9" s="948"/>
      <c r="O9" s="948"/>
      <c r="P9" s="948"/>
      <c r="Q9" s="948"/>
      <c r="R9" s="948">
        <f t="shared" si="0"/>
        <v>0</v>
      </c>
      <c r="S9" s="948">
        <f t="shared" ref="S9:S18" si="7">L9+R9</f>
        <v>53598.05</v>
      </c>
      <c r="T9" s="948">
        <f t="shared" si="2"/>
        <v>12863.532000000001</v>
      </c>
      <c r="U9" s="948">
        <f>L9*97%</f>
        <v>51990.108500000002</v>
      </c>
      <c r="V9" s="948">
        <f t="shared" si="3"/>
        <v>118451.69050000001</v>
      </c>
      <c r="W9" s="948">
        <f t="shared" si="4"/>
        <v>236903.38100000002</v>
      </c>
      <c r="X9" s="948">
        <f t="shared" si="5"/>
        <v>71544.821062000003</v>
      </c>
      <c r="Y9" s="969"/>
    </row>
    <row r="10" spans="1:25" ht="13.9" customHeight="1" x14ac:dyDescent="0.2">
      <c r="A10" s="1700" t="s">
        <v>1382</v>
      </c>
      <c r="B10" s="1700"/>
      <c r="C10" s="975">
        <v>0.5</v>
      </c>
      <c r="D10" s="975">
        <v>12265</v>
      </c>
      <c r="E10" s="975"/>
      <c r="F10" s="975">
        <v>1.75</v>
      </c>
      <c r="G10" s="975"/>
      <c r="H10" s="975"/>
      <c r="I10" s="975"/>
      <c r="J10" s="948">
        <f>ROUND(C10*D10*F10,2)</f>
        <v>10731.88</v>
      </c>
      <c r="K10" s="948">
        <f>4292.75</f>
        <v>4292.75</v>
      </c>
      <c r="L10" s="948">
        <f>J10+K10</f>
        <v>15024.63</v>
      </c>
      <c r="M10" s="948">
        <v>429.28</v>
      </c>
      <c r="N10" s="948"/>
      <c r="O10" s="948"/>
      <c r="P10" s="948"/>
      <c r="Q10" s="948"/>
      <c r="R10" s="948">
        <f t="shared" si="0"/>
        <v>429.28</v>
      </c>
      <c r="S10" s="948">
        <f t="shared" si="7"/>
        <v>15453.91</v>
      </c>
      <c r="T10" s="948">
        <f t="shared" si="2"/>
        <v>3605.9111999999996</v>
      </c>
      <c r="U10" s="948">
        <f t="shared" ref="U10:U13" si="8">L10*95%</f>
        <v>14273.398499999999</v>
      </c>
      <c r="V10" s="948">
        <f t="shared" si="3"/>
        <v>33333.219700000001</v>
      </c>
      <c r="W10" s="948">
        <f t="shared" si="4"/>
        <v>66666.439400000003</v>
      </c>
      <c r="X10" s="948">
        <f t="shared" si="5"/>
        <v>20133.264698800001</v>
      </c>
      <c r="Y10" s="969"/>
    </row>
    <row r="11" spans="1:25" ht="13.9" customHeight="1" x14ac:dyDescent="0.2">
      <c r="A11" s="1700" t="s">
        <v>824</v>
      </c>
      <c r="B11" s="1700"/>
      <c r="C11" s="975">
        <v>1.25</v>
      </c>
      <c r="D11" s="975">
        <v>12265</v>
      </c>
      <c r="E11" s="978">
        <v>1.45</v>
      </c>
      <c r="F11" s="975"/>
      <c r="G11" s="978"/>
      <c r="H11" s="978"/>
      <c r="I11" s="978"/>
      <c r="J11" s="948">
        <f>ROUND(C11*D11*E11,2)</f>
        <v>22230.31</v>
      </c>
      <c r="K11" s="948"/>
      <c r="L11" s="948">
        <f>J11</f>
        <v>22230.31</v>
      </c>
      <c r="M11" s="948">
        <v>889.21</v>
      </c>
      <c r="N11" s="948"/>
      <c r="O11" s="948"/>
      <c r="P11" s="948"/>
      <c r="Q11" s="948"/>
      <c r="R11" s="948">
        <f t="shared" si="0"/>
        <v>889.21</v>
      </c>
      <c r="S11" s="948">
        <f t="shared" si="7"/>
        <v>23119.52</v>
      </c>
      <c r="T11" s="948">
        <f t="shared" si="2"/>
        <v>5335.2744000000002</v>
      </c>
      <c r="U11" s="948">
        <f t="shared" si="8"/>
        <v>21118.7945</v>
      </c>
      <c r="V11" s="948">
        <f t="shared" si="3"/>
        <v>49573.588900000002</v>
      </c>
      <c r="W11" s="948">
        <f t="shared" si="4"/>
        <v>99147.177800000005</v>
      </c>
      <c r="X11" s="948">
        <f t="shared" si="5"/>
        <v>29942.4476956</v>
      </c>
      <c r="Y11" s="969"/>
    </row>
    <row r="12" spans="1:25" ht="13.9" customHeight="1" x14ac:dyDescent="0.2">
      <c r="A12" s="1700" t="s">
        <v>825</v>
      </c>
      <c r="B12" s="1700"/>
      <c r="C12" s="975">
        <v>0.7</v>
      </c>
      <c r="D12" s="975">
        <v>12265</v>
      </c>
      <c r="E12" s="975"/>
      <c r="F12" s="975">
        <v>1.9</v>
      </c>
      <c r="G12" s="975"/>
      <c r="H12" s="975"/>
      <c r="I12" s="975"/>
      <c r="J12" s="948">
        <f t="shared" si="6"/>
        <v>16312.45</v>
      </c>
      <c r="K12" s="948"/>
      <c r="L12" s="948">
        <f>J12</f>
        <v>16312.45</v>
      </c>
      <c r="M12" s="948">
        <v>2330.35</v>
      </c>
      <c r="N12" s="948"/>
      <c r="O12" s="948"/>
      <c r="P12" s="948"/>
      <c r="Q12" s="948"/>
      <c r="R12" s="948">
        <f t="shared" si="0"/>
        <v>2330.35</v>
      </c>
      <c r="S12" s="948">
        <f t="shared" si="7"/>
        <v>18642.8</v>
      </c>
      <c r="T12" s="948">
        <f t="shared" si="2"/>
        <v>3914.9879999999998</v>
      </c>
      <c r="U12" s="948">
        <f t="shared" si="8"/>
        <v>15496.827499999999</v>
      </c>
      <c r="V12" s="948">
        <f t="shared" si="3"/>
        <v>38054.6155</v>
      </c>
      <c r="W12" s="948">
        <f t="shared" si="4"/>
        <v>76109.231</v>
      </c>
      <c r="X12" s="948">
        <f t="shared" si="5"/>
        <v>22984.987762000001</v>
      </c>
      <c r="Y12" s="969"/>
    </row>
    <row r="13" spans="1:25" ht="13.9" customHeight="1" x14ac:dyDescent="0.2">
      <c r="A13" s="1700" t="s">
        <v>826</v>
      </c>
      <c r="B13" s="1700"/>
      <c r="C13" s="975">
        <v>1.5</v>
      </c>
      <c r="D13" s="975">
        <v>12265</v>
      </c>
      <c r="E13" s="975"/>
      <c r="F13" s="975">
        <v>2</v>
      </c>
      <c r="G13" s="975"/>
      <c r="H13" s="975"/>
      <c r="I13" s="975"/>
      <c r="J13" s="948">
        <f t="shared" si="6"/>
        <v>36795</v>
      </c>
      <c r="K13" s="948"/>
      <c r="L13" s="948">
        <f>J13</f>
        <v>36795</v>
      </c>
      <c r="M13" s="948">
        <v>7359</v>
      </c>
      <c r="N13" s="948"/>
      <c r="O13" s="948"/>
      <c r="P13" s="948"/>
      <c r="Q13" s="948"/>
      <c r="R13" s="948">
        <f t="shared" si="0"/>
        <v>7359</v>
      </c>
      <c r="S13" s="948">
        <f t="shared" si="7"/>
        <v>44154</v>
      </c>
      <c r="T13" s="948">
        <f t="shared" si="2"/>
        <v>8830.7999999999993</v>
      </c>
      <c r="U13" s="948">
        <f t="shared" si="8"/>
        <v>34955.25</v>
      </c>
      <c r="V13" s="948">
        <f t="shared" si="3"/>
        <v>87940.05</v>
      </c>
      <c r="W13" s="948">
        <f t="shared" si="4"/>
        <v>175880.1</v>
      </c>
      <c r="X13" s="948">
        <f t="shared" si="5"/>
        <v>53115.790200000003</v>
      </c>
      <c r="Y13" s="969"/>
    </row>
    <row r="14" spans="1:25" ht="13.9" customHeight="1" x14ac:dyDescent="0.2">
      <c r="A14" s="1700" t="s">
        <v>827</v>
      </c>
      <c r="B14" s="1700"/>
      <c r="C14" s="975">
        <v>1</v>
      </c>
      <c r="D14" s="975">
        <v>12265</v>
      </c>
      <c r="E14" s="975"/>
      <c r="F14" s="975"/>
      <c r="G14" s="975">
        <v>1.95</v>
      </c>
      <c r="H14" s="975"/>
      <c r="I14" s="975"/>
      <c r="J14" s="948">
        <f>ROUND(D14*G14*C14,2)</f>
        <v>23916.75</v>
      </c>
      <c r="K14" s="948"/>
      <c r="L14" s="948">
        <f t="shared" ref="L14:L17" si="9">J14</f>
        <v>23916.75</v>
      </c>
      <c r="M14" s="948"/>
      <c r="N14" s="948"/>
      <c r="O14" s="948"/>
      <c r="P14" s="948"/>
      <c r="Q14" s="948"/>
      <c r="R14" s="948">
        <f t="shared" si="0"/>
        <v>0</v>
      </c>
      <c r="S14" s="948">
        <f t="shared" si="7"/>
        <v>23916.75</v>
      </c>
      <c r="T14" s="948">
        <f t="shared" si="2"/>
        <v>5740.0199999999995</v>
      </c>
      <c r="U14" s="948"/>
      <c r="V14" s="948">
        <f t="shared" si="3"/>
        <v>29656.77</v>
      </c>
      <c r="W14" s="948">
        <f t="shared" si="4"/>
        <v>59313.54</v>
      </c>
      <c r="X14" s="948">
        <f t="shared" si="5"/>
        <v>17912.68908</v>
      </c>
      <c r="Y14" s="969"/>
    </row>
    <row r="15" spans="1:25" ht="13.9" customHeight="1" x14ac:dyDescent="0.2">
      <c r="A15" s="1700" t="s">
        <v>828</v>
      </c>
      <c r="B15" s="1700"/>
      <c r="C15" s="975">
        <v>6.74</v>
      </c>
      <c r="D15" s="975">
        <v>12265</v>
      </c>
      <c r="E15" s="975"/>
      <c r="F15" s="975"/>
      <c r="G15" s="975">
        <v>1.35</v>
      </c>
      <c r="H15" s="975"/>
      <c r="I15" s="975"/>
      <c r="J15" s="948">
        <f>ROUND(D15*G15*C15,2)</f>
        <v>111599.24</v>
      </c>
      <c r="K15" s="948"/>
      <c r="L15" s="948">
        <f t="shared" si="9"/>
        <v>111599.24</v>
      </c>
      <c r="M15" s="948"/>
      <c r="N15" s="948"/>
      <c r="O15" s="948"/>
      <c r="P15" s="948">
        <f>L15*4%</f>
        <v>4463.9696000000004</v>
      </c>
      <c r="Q15" s="948"/>
      <c r="R15" s="948">
        <f t="shared" si="0"/>
        <v>4463.9696000000004</v>
      </c>
      <c r="S15" s="948">
        <f t="shared" si="7"/>
        <v>116063.2096</v>
      </c>
      <c r="T15" s="948">
        <f t="shared" si="2"/>
        <v>26783.817599999998</v>
      </c>
      <c r="U15" s="948"/>
      <c r="V15" s="948">
        <f t="shared" si="3"/>
        <v>142847.02720000001</v>
      </c>
      <c r="W15" s="948">
        <f t="shared" si="4"/>
        <v>285694.05440000002</v>
      </c>
      <c r="X15" s="948">
        <f t="shared" si="5"/>
        <v>86279.604428799998</v>
      </c>
      <c r="Y15" s="969"/>
    </row>
    <row r="16" spans="1:25" ht="13.9" customHeight="1" x14ac:dyDescent="0.2">
      <c r="A16" s="1700" t="s">
        <v>829</v>
      </c>
      <c r="B16" s="1700"/>
      <c r="C16" s="975">
        <v>1.2</v>
      </c>
      <c r="D16" s="975">
        <v>12265</v>
      </c>
      <c r="E16" s="975"/>
      <c r="F16" s="975"/>
      <c r="G16" s="975"/>
      <c r="H16" s="975">
        <v>2</v>
      </c>
      <c r="I16" s="975">
        <v>1.05</v>
      </c>
      <c r="J16" s="948">
        <f>ROUND(D16*I16*C16,2)</f>
        <v>15453.9</v>
      </c>
      <c r="K16" s="948"/>
      <c r="L16" s="948">
        <f t="shared" si="9"/>
        <v>15453.9</v>
      </c>
      <c r="M16" s="948"/>
      <c r="N16" s="948"/>
      <c r="O16" s="948"/>
      <c r="P16" s="948"/>
      <c r="Q16" s="948"/>
      <c r="R16" s="948">
        <f t="shared" si="0"/>
        <v>0</v>
      </c>
      <c r="S16" s="948">
        <f t="shared" si="7"/>
        <v>15453.9</v>
      </c>
      <c r="T16" s="948">
        <f t="shared" si="2"/>
        <v>3708.9359999999997</v>
      </c>
      <c r="U16" s="948"/>
      <c r="V16" s="948">
        <f t="shared" si="3"/>
        <v>19162.835999999999</v>
      </c>
      <c r="W16" s="948">
        <f t="shared" si="4"/>
        <v>38325.671999999999</v>
      </c>
      <c r="X16" s="948">
        <f t="shared" si="5"/>
        <v>11574.352943999998</v>
      </c>
      <c r="Y16" s="969"/>
    </row>
    <row r="17" spans="1:25" ht="13.9" customHeight="1" x14ac:dyDescent="0.2">
      <c r="A17" s="1705" t="s">
        <v>839</v>
      </c>
      <c r="B17" s="1706"/>
      <c r="C17" s="975">
        <v>0.5</v>
      </c>
      <c r="D17" s="975">
        <v>12265</v>
      </c>
      <c r="E17" s="975"/>
      <c r="F17" s="975"/>
      <c r="G17" s="975"/>
      <c r="H17" s="975">
        <v>1</v>
      </c>
      <c r="I17" s="975">
        <v>1.55</v>
      </c>
      <c r="J17" s="948">
        <f>ROUND(D17*I17*C17,2)</f>
        <v>9505.3799999999992</v>
      </c>
      <c r="K17" s="948"/>
      <c r="L17" s="948">
        <f t="shared" si="9"/>
        <v>9505.3799999999992</v>
      </c>
      <c r="M17" s="948"/>
      <c r="N17" s="948"/>
      <c r="O17" s="948"/>
      <c r="P17" s="948"/>
      <c r="Q17" s="948"/>
      <c r="R17" s="948">
        <f t="shared" si="0"/>
        <v>0</v>
      </c>
      <c r="S17" s="948">
        <f t="shared" si="7"/>
        <v>9505.3799999999992</v>
      </c>
      <c r="T17" s="948">
        <f t="shared" si="2"/>
        <v>2281.2911999999997</v>
      </c>
      <c r="U17" s="948"/>
      <c r="V17" s="948">
        <f t="shared" si="3"/>
        <v>11786.671199999999</v>
      </c>
      <c r="W17" s="948">
        <f t="shared" si="4"/>
        <v>23573.342399999998</v>
      </c>
      <c r="X17" s="948">
        <f t="shared" si="5"/>
        <v>7119.1494047999995</v>
      </c>
      <c r="Y17" s="969"/>
    </row>
    <row r="18" spans="1:25" ht="15" x14ac:dyDescent="0.2">
      <c r="A18" s="1700" t="s">
        <v>830</v>
      </c>
      <c r="B18" s="1700"/>
      <c r="C18" s="975">
        <f>2</f>
        <v>2</v>
      </c>
      <c r="D18" s="975">
        <v>12265</v>
      </c>
      <c r="E18" s="975"/>
      <c r="F18" s="975"/>
      <c r="G18" s="975"/>
      <c r="H18" s="975">
        <v>1</v>
      </c>
      <c r="I18" s="975">
        <v>1.05</v>
      </c>
      <c r="J18" s="948">
        <f>ROUND(D18*I18*C18,2)</f>
        <v>25756.5</v>
      </c>
      <c r="K18" s="948"/>
      <c r="L18" s="948">
        <f>J18*1.04</f>
        <v>26786.760000000002</v>
      </c>
      <c r="M18" s="948"/>
      <c r="N18" s="948"/>
      <c r="O18" s="948"/>
      <c r="P18" s="948">
        <f>L18*4%</f>
        <v>1071.4704000000002</v>
      </c>
      <c r="Q18" s="948"/>
      <c r="R18" s="948">
        <f t="shared" si="0"/>
        <v>1071.4704000000002</v>
      </c>
      <c r="S18" s="948">
        <f t="shared" si="7"/>
        <v>27858.2304</v>
      </c>
      <c r="T18" s="948">
        <f>L18*24%+5962.95</f>
        <v>12391.7724</v>
      </c>
      <c r="U18" s="948"/>
      <c r="V18" s="948">
        <f t="shared" si="3"/>
        <v>40250.002800000002</v>
      </c>
      <c r="W18" s="948">
        <f t="shared" si="4"/>
        <v>80500.005600000004</v>
      </c>
      <c r="X18" s="948">
        <f t="shared" si="5"/>
        <v>24311.001691199999</v>
      </c>
      <c r="Y18" s="969"/>
    </row>
    <row r="19" spans="1:25" ht="14.25" x14ac:dyDescent="0.2">
      <c r="A19" s="1713" t="s">
        <v>189</v>
      </c>
      <c r="B19" s="1713"/>
      <c r="C19" s="979">
        <f>SUM(C6:C18)</f>
        <v>25.04</v>
      </c>
      <c r="D19" s="979"/>
      <c r="E19" s="979"/>
      <c r="F19" s="979"/>
      <c r="G19" s="979"/>
      <c r="H19" s="979"/>
      <c r="I19" s="979"/>
      <c r="J19" s="977">
        <f t="shared" ref="J19:V19" si="10">SUM(J6:J18)</f>
        <v>497910.06000000006</v>
      </c>
      <c r="K19" s="977">
        <f t="shared" si="10"/>
        <v>26983</v>
      </c>
      <c r="L19" s="977">
        <f t="shared" si="10"/>
        <v>525984.87</v>
      </c>
      <c r="M19" s="977">
        <f t="shared" si="10"/>
        <v>19249.919999999998</v>
      </c>
      <c r="N19" s="977">
        <f t="shared" si="10"/>
        <v>0</v>
      </c>
      <c r="O19" s="977">
        <f t="shared" si="10"/>
        <v>0</v>
      </c>
      <c r="P19" s="977">
        <f t="shared" si="10"/>
        <v>5535.4400000000005</v>
      </c>
      <c r="Q19" s="977">
        <f t="shared" si="10"/>
        <v>0</v>
      </c>
      <c r="R19" s="977">
        <f t="shared" si="10"/>
        <v>24785.360000000001</v>
      </c>
      <c r="S19" s="977">
        <f t="shared" si="10"/>
        <v>550770.23</v>
      </c>
      <c r="T19" s="977">
        <f t="shared" si="10"/>
        <v>132199.31879999998</v>
      </c>
      <c r="U19" s="977">
        <f t="shared" si="10"/>
        <v>271186.57270000002</v>
      </c>
      <c r="V19" s="977">
        <f t="shared" si="10"/>
        <v>954156.12150000001</v>
      </c>
      <c r="W19" s="977">
        <f>SUM(W6:W18)</f>
        <v>1908312.243</v>
      </c>
      <c r="X19" s="977">
        <f t="shared" ref="X19" si="11">SUM(X6:X18)</f>
        <v>576310.29738599993</v>
      </c>
      <c r="Y19" s="969"/>
    </row>
    <row r="20" spans="1:25" ht="15" x14ac:dyDescent="0.2">
      <c r="A20" s="302"/>
      <c r="B20" s="302"/>
      <c r="C20" s="302"/>
      <c r="D20" s="302"/>
      <c r="E20" s="302"/>
      <c r="F20" s="302"/>
      <c r="G20" s="302"/>
      <c r="H20" s="302"/>
      <c r="I20" s="302"/>
      <c r="J20" s="302"/>
      <c r="K20" s="302"/>
      <c r="L20" s="302"/>
      <c r="M20" s="302"/>
      <c r="N20" s="302"/>
      <c r="O20" s="302"/>
      <c r="P20" s="302"/>
      <c r="Q20" s="302"/>
      <c r="R20" s="302"/>
      <c r="S20" s="302"/>
      <c r="T20" s="302"/>
      <c r="U20" s="302"/>
      <c r="V20" s="302"/>
      <c r="W20" s="302"/>
    </row>
    <row r="21" spans="1:25" ht="30" x14ac:dyDescent="0.2">
      <c r="A21" s="302"/>
      <c r="B21" s="302"/>
      <c r="C21" s="302"/>
      <c r="D21" s="302"/>
      <c r="E21" s="302"/>
      <c r="F21" s="302"/>
      <c r="G21" s="302"/>
      <c r="H21" s="302"/>
      <c r="I21" s="302"/>
      <c r="J21" s="302"/>
      <c r="K21" s="302"/>
      <c r="L21" s="302" t="s">
        <v>1384</v>
      </c>
      <c r="M21" s="858">
        <f>12265*1.6*2.1</f>
        <v>41210.400000000001</v>
      </c>
      <c r="N21" s="858">
        <f>M21*0.2</f>
        <v>8242.08</v>
      </c>
      <c r="O21" s="302"/>
      <c r="P21" s="302"/>
      <c r="Q21" s="302"/>
      <c r="R21" s="302"/>
      <c r="S21" s="302"/>
      <c r="T21" s="302"/>
      <c r="U21" s="302"/>
      <c r="V21" s="302"/>
      <c r="W21" s="302"/>
    </row>
    <row r="22" spans="1:25" ht="30" x14ac:dyDescent="0.2">
      <c r="A22" s="302"/>
      <c r="B22" s="302"/>
      <c r="C22" s="302"/>
      <c r="D22" s="302"/>
      <c r="E22" s="302"/>
      <c r="F22" s="302"/>
      <c r="G22" s="302"/>
      <c r="H22" s="302"/>
      <c r="I22" s="302"/>
      <c r="J22" s="302"/>
      <c r="K22" s="302"/>
      <c r="L22" s="302" t="s">
        <v>1386</v>
      </c>
      <c r="M22" s="858">
        <f>12265*1.75*0.1</f>
        <v>2146.375</v>
      </c>
      <c r="N22" s="858">
        <f>M22*0.2</f>
        <v>429.27500000000003</v>
      </c>
      <c r="O22" s="302"/>
      <c r="P22" s="302"/>
      <c r="Q22" s="302"/>
      <c r="R22" s="302"/>
      <c r="S22" s="302"/>
      <c r="T22" s="302"/>
      <c r="U22" s="302"/>
      <c r="V22" s="302"/>
      <c r="W22" s="302"/>
    </row>
    <row r="23" spans="1:25" ht="30" x14ac:dyDescent="0.2">
      <c r="A23" s="302"/>
      <c r="B23" s="302"/>
      <c r="C23" s="302"/>
      <c r="D23" s="302"/>
      <c r="E23" s="302"/>
      <c r="F23" s="302"/>
      <c r="G23" s="302"/>
      <c r="H23" s="302"/>
      <c r="I23" s="302"/>
      <c r="J23" s="302"/>
      <c r="K23" s="302"/>
      <c r="L23" s="302" t="s">
        <v>1387</v>
      </c>
      <c r="M23" s="858">
        <f>12265*1.45*0.25</f>
        <v>4446.0625</v>
      </c>
      <c r="N23" s="858">
        <f>M23*0.2</f>
        <v>889.21250000000009</v>
      </c>
      <c r="O23" s="302"/>
      <c r="P23" s="302"/>
      <c r="Q23" s="302"/>
      <c r="R23" s="302"/>
      <c r="S23" s="302"/>
      <c r="T23" s="302"/>
      <c r="U23" s="302"/>
      <c r="V23" s="302"/>
      <c r="W23" s="302"/>
    </row>
    <row r="24" spans="1:25" ht="30" x14ac:dyDescent="0.2">
      <c r="A24" s="302"/>
      <c r="B24" s="302"/>
      <c r="C24" s="302"/>
      <c r="D24" s="302"/>
      <c r="E24" s="302"/>
      <c r="F24" s="302"/>
      <c r="G24" s="302"/>
      <c r="H24" s="302"/>
      <c r="I24" s="302"/>
      <c r="J24" s="302"/>
      <c r="K24" s="302"/>
      <c r="L24" s="302" t="s">
        <v>1388</v>
      </c>
      <c r="M24" s="858">
        <f>12265*1.9*0.5</f>
        <v>11651.75</v>
      </c>
      <c r="N24" s="858">
        <f>M24*0.2</f>
        <v>2330.35</v>
      </c>
      <c r="O24" s="302"/>
      <c r="P24" s="302"/>
      <c r="Q24" s="302"/>
      <c r="R24" s="302"/>
      <c r="S24" s="302"/>
      <c r="T24" s="302"/>
      <c r="U24" s="302"/>
      <c r="V24" s="302"/>
      <c r="W24" s="302"/>
    </row>
    <row r="25" spans="1:25" ht="15" x14ac:dyDescent="0.2">
      <c r="A25" s="302"/>
      <c r="B25" s="302"/>
      <c r="C25" s="302"/>
      <c r="D25" s="302"/>
      <c r="E25" s="302"/>
      <c r="F25" s="302"/>
      <c r="G25" s="302"/>
      <c r="H25" s="302"/>
      <c r="I25" s="302"/>
      <c r="J25" s="302"/>
      <c r="K25" s="302"/>
      <c r="L25" s="302"/>
      <c r="M25" s="302"/>
      <c r="N25" s="302"/>
      <c r="O25" s="302"/>
      <c r="P25" s="302"/>
      <c r="Q25" s="302"/>
      <c r="R25" s="302"/>
      <c r="S25" s="302"/>
      <c r="T25" s="302"/>
      <c r="U25" s="302"/>
      <c r="V25" s="302"/>
      <c r="W25" s="302"/>
    </row>
    <row r="26" spans="1:25" ht="15" x14ac:dyDescent="0.2">
      <c r="A26" s="302"/>
      <c r="B26" s="302"/>
      <c r="C26" s="302"/>
      <c r="D26" s="302"/>
      <c r="E26" s="302"/>
      <c r="F26" s="302"/>
      <c r="G26" s="302"/>
      <c r="H26" s="302"/>
      <c r="I26" s="302"/>
      <c r="J26" s="302"/>
      <c r="K26" s="302"/>
      <c r="L26" s="302"/>
      <c r="M26" s="302"/>
      <c r="N26" s="302"/>
      <c r="O26" s="302"/>
      <c r="P26" s="302"/>
      <c r="Q26" s="302"/>
      <c r="R26" s="302"/>
      <c r="S26" s="302"/>
      <c r="T26" s="302"/>
      <c r="U26" s="302"/>
      <c r="V26" s="302"/>
      <c r="W26" s="302"/>
    </row>
    <row r="27" spans="1:25" ht="15" x14ac:dyDescent="0.2">
      <c r="A27" s="302"/>
      <c r="B27" s="302"/>
      <c r="C27" s="302"/>
      <c r="D27" s="302"/>
      <c r="E27" s="302"/>
      <c r="F27" s="302"/>
      <c r="G27" s="302"/>
      <c r="H27" s="302"/>
      <c r="I27" s="302"/>
      <c r="J27" s="302"/>
      <c r="K27" s="302"/>
      <c r="L27" s="302"/>
      <c r="M27" s="302"/>
      <c r="N27" s="302"/>
      <c r="O27" s="302"/>
      <c r="P27" s="302"/>
      <c r="Q27" s="302"/>
      <c r="R27" s="302"/>
      <c r="S27" s="302"/>
      <c r="T27" s="302"/>
      <c r="U27" s="302"/>
      <c r="V27" s="302"/>
      <c r="W27" s="302"/>
    </row>
    <row r="28" spans="1:25" ht="15" x14ac:dyDescent="0.2">
      <c r="A28" s="302"/>
      <c r="B28" s="302"/>
      <c r="C28" s="302"/>
      <c r="D28" s="302"/>
      <c r="E28" s="302"/>
      <c r="F28" s="302"/>
      <c r="G28" s="302"/>
      <c r="H28" s="302"/>
      <c r="I28" s="302"/>
      <c r="J28" s="302"/>
      <c r="K28" s="302"/>
      <c r="L28" s="302"/>
      <c r="M28" s="302"/>
      <c r="N28" s="302"/>
      <c r="O28" s="302"/>
      <c r="P28" s="302"/>
      <c r="Q28" s="302"/>
      <c r="R28" s="302"/>
      <c r="S28" s="302"/>
      <c r="T28" s="302"/>
      <c r="U28" s="302"/>
      <c r="V28" s="302"/>
      <c r="W28" s="302"/>
    </row>
    <row r="29" spans="1:25" ht="15" x14ac:dyDescent="0.2">
      <c r="A29" s="302"/>
      <c r="B29" s="302"/>
      <c r="C29" s="302"/>
      <c r="D29" s="302"/>
      <c r="E29" s="302"/>
      <c r="F29" s="302"/>
      <c r="G29" s="302"/>
      <c r="H29" s="302"/>
      <c r="I29" s="302"/>
      <c r="J29" s="302"/>
      <c r="K29" s="302"/>
      <c r="L29" s="302"/>
      <c r="M29" s="302"/>
      <c r="N29" s="302"/>
      <c r="O29" s="302"/>
      <c r="P29" s="302"/>
      <c r="Q29" s="302"/>
      <c r="R29" s="302"/>
      <c r="S29" s="302"/>
      <c r="T29" s="302"/>
      <c r="U29" s="302"/>
      <c r="V29" s="302"/>
      <c r="W29" s="302"/>
    </row>
    <row r="30" spans="1:25" ht="15" x14ac:dyDescent="0.2">
      <c r="A30" s="302"/>
      <c r="B30" s="302"/>
      <c r="C30" s="302"/>
      <c r="D30" s="302"/>
      <c r="E30" s="302"/>
      <c r="F30" s="302"/>
      <c r="G30" s="302"/>
      <c r="H30" s="302"/>
      <c r="I30" s="302"/>
      <c r="J30" s="302"/>
      <c r="K30" s="302"/>
      <c r="L30" s="302"/>
      <c r="M30" s="302"/>
      <c r="N30" s="302"/>
      <c r="O30" s="302"/>
      <c r="P30" s="302"/>
      <c r="Q30" s="302"/>
      <c r="R30" s="302"/>
      <c r="S30" s="302"/>
      <c r="T30" s="302"/>
      <c r="U30" s="302"/>
      <c r="V30" s="302"/>
      <c r="W30" s="302"/>
    </row>
    <row r="31" spans="1:25" ht="15" x14ac:dyDescent="0.2">
      <c r="A31" s="302"/>
      <c r="B31" s="302"/>
      <c r="C31" s="302"/>
      <c r="D31" s="302"/>
      <c r="E31" s="302"/>
      <c r="F31" s="302"/>
      <c r="G31" s="302"/>
      <c r="H31" s="302"/>
      <c r="I31" s="302"/>
      <c r="J31" s="302"/>
      <c r="K31" s="302"/>
      <c r="L31" s="302"/>
      <c r="M31" s="302"/>
      <c r="N31" s="302"/>
      <c r="O31" s="302"/>
      <c r="P31" s="302"/>
      <c r="Q31" s="302"/>
      <c r="R31" s="302"/>
      <c r="S31" s="302"/>
      <c r="T31" s="302"/>
      <c r="U31" s="302"/>
      <c r="V31" s="302"/>
      <c r="W31" s="302"/>
    </row>
    <row r="32" spans="1:25" ht="15" x14ac:dyDescent="0.2">
      <c r="A32" s="302"/>
      <c r="B32" s="302"/>
      <c r="C32" s="302"/>
      <c r="D32" s="302"/>
      <c r="E32" s="302"/>
      <c r="F32" s="302"/>
      <c r="G32" s="302"/>
      <c r="H32" s="302"/>
      <c r="I32" s="302"/>
      <c r="J32" s="302"/>
      <c r="K32" s="302"/>
      <c r="L32" s="302"/>
      <c r="M32" s="302"/>
      <c r="N32" s="302"/>
      <c r="O32" s="302"/>
      <c r="P32" s="302"/>
      <c r="Q32" s="302"/>
      <c r="R32" s="302"/>
      <c r="S32" s="302"/>
      <c r="T32" s="302"/>
      <c r="U32" s="302"/>
      <c r="V32" s="302"/>
      <c r="W32" s="302"/>
    </row>
    <row r="33" spans="1:23" ht="15" x14ac:dyDescent="0.2">
      <c r="A33" s="302"/>
      <c r="B33" s="302"/>
      <c r="C33" s="302"/>
      <c r="D33" s="302"/>
      <c r="E33" s="302"/>
      <c r="F33" s="302"/>
      <c r="G33" s="302"/>
      <c r="H33" s="302"/>
      <c r="I33" s="302"/>
      <c r="J33" s="302"/>
      <c r="K33" s="302"/>
      <c r="L33" s="302"/>
      <c r="M33" s="302"/>
      <c r="N33" s="302"/>
      <c r="O33" s="302"/>
      <c r="P33" s="302"/>
      <c r="Q33" s="302"/>
      <c r="R33" s="302"/>
      <c r="S33" s="302"/>
      <c r="T33" s="302"/>
      <c r="U33" s="302"/>
      <c r="V33" s="302"/>
      <c r="W33" s="302"/>
    </row>
    <row r="34" spans="1:23" ht="15" x14ac:dyDescent="0.2">
      <c r="A34" s="302"/>
      <c r="B34" s="302"/>
      <c r="C34" s="302"/>
      <c r="D34" s="302"/>
      <c r="E34" s="302"/>
      <c r="F34" s="302"/>
      <c r="G34" s="302"/>
      <c r="H34" s="302"/>
      <c r="I34" s="302"/>
      <c r="J34" s="302"/>
      <c r="K34" s="302"/>
      <c r="L34" s="302"/>
      <c r="M34" s="302"/>
      <c r="N34" s="302"/>
      <c r="O34" s="302"/>
      <c r="P34" s="302"/>
      <c r="Q34" s="302"/>
      <c r="R34" s="302"/>
      <c r="S34" s="302"/>
      <c r="T34" s="302"/>
      <c r="U34" s="302"/>
      <c r="V34" s="302"/>
      <c r="W34" s="302"/>
    </row>
    <row r="35" spans="1:23" ht="15" x14ac:dyDescent="0.2">
      <c r="A35" s="302"/>
      <c r="B35" s="302"/>
      <c r="C35" s="302"/>
      <c r="D35" s="302"/>
      <c r="E35" s="302"/>
      <c r="F35" s="302"/>
      <c r="G35" s="302"/>
      <c r="H35" s="302"/>
      <c r="I35" s="302"/>
      <c r="J35" s="302"/>
      <c r="K35" s="302"/>
      <c r="L35" s="302"/>
      <c r="M35" s="302"/>
      <c r="N35" s="302"/>
      <c r="O35" s="302"/>
      <c r="P35" s="302"/>
      <c r="Q35" s="302"/>
      <c r="R35" s="302"/>
      <c r="S35" s="302"/>
      <c r="T35" s="302"/>
      <c r="U35" s="302"/>
      <c r="V35" s="302"/>
      <c r="W35" s="302"/>
    </row>
    <row r="36" spans="1:23" ht="15" x14ac:dyDescent="0.2">
      <c r="A36" s="302"/>
      <c r="B36" s="302"/>
      <c r="C36" s="302"/>
      <c r="D36" s="302"/>
      <c r="E36" s="302"/>
      <c r="F36" s="302"/>
      <c r="G36" s="302"/>
      <c r="H36" s="302"/>
      <c r="I36" s="302"/>
      <c r="J36" s="302"/>
      <c r="K36" s="302"/>
      <c r="L36" s="302"/>
      <c r="M36" s="302"/>
      <c r="N36" s="302"/>
      <c r="O36" s="302"/>
      <c r="P36" s="302"/>
      <c r="Q36" s="302"/>
      <c r="R36" s="302"/>
      <c r="S36" s="302"/>
      <c r="T36" s="302"/>
      <c r="U36" s="302"/>
      <c r="V36" s="302"/>
      <c r="W36" s="302"/>
    </row>
    <row r="37" spans="1:23" ht="15" x14ac:dyDescent="0.2">
      <c r="A37" s="302"/>
      <c r="B37" s="302"/>
      <c r="C37" s="302"/>
      <c r="D37" s="302"/>
      <c r="E37" s="302"/>
      <c r="F37" s="302"/>
      <c r="G37" s="302"/>
      <c r="H37" s="302"/>
      <c r="I37" s="302"/>
      <c r="J37" s="302"/>
      <c r="K37" s="302"/>
      <c r="L37" s="302"/>
      <c r="M37" s="302"/>
      <c r="N37" s="302"/>
      <c r="O37" s="302"/>
      <c r="P37" s="302"/>
      <c r="Q37" s="302"/>
      <c r="R37" s="302"/>
      <c r="S37" s="302"/>
      <c r="T37" s="302"/>
      <c r="U37" s="302"/>
      <c r="V37" s="302"/>
      <c r="W37" s="302"/>
    </row>
    <row r="38" spans="1:23" ht="15" x14ac:dyDescent="0.2">
      <c r="A38" s="302"/>
      <c r="B38" s="302"/>
      <c r="C38" s="302"/>
      <c r="D38" s="302"/>
      <c r="E38" s="302"/>
      <c r="F38" s="302"/>
      <c r="G38" s="302"/>
      <c r="H38" s="302"/>
      <c r="I38" s="302"/>
      <c r="J38" s="302"/>
      <c r="K38" s="302"/>
      <c r="L38" s="302"/>
      <c r="M38" s="302"/>
      <c r="N38" s="302"/>
      <c r="O38" s="302"/>
      <c r="P38" s="302"/>
      <c r="Q38" s="302"/>
      <c r="R38" s="302"/>
      <c r="S38" s="302"/>
      <c r="T38" s="302"/>
      <c r="U38" s="302"/>
      <c r="V38" s="302"/>
      <c r="W38" s="302"/>
    </row>
    <row r="39" spans="1:23" ht="15" x14ac:dyDescent="0.2">
      <c r="A39" s="302"/>
      <c r="B39" s="302"/>
      <c r="C39" s="302"/>
      <c r="D39" s="302"/>
      <c r="E39" s="302"/>
      <c r="F39" s="302"/>
      <c r="G39" s="302"/>
      <c r="H39" s="302"/>
      <c r="I39" s="302"/>
      <c r="J39" s="302"/>
      <c r="K39" s="302"/>
      <c r="L39" s="302"/>
      <c r="M39" s="302"/>
      <c r="N39" s="302"/>
      <c r="O39" s="302"/>
      <c r="P39" s="302"/>
      <c r="Q39" s="302"/>
      <c r="R39" s="302"/>
      <c r="S39" s="302"/>
      <c r="T39" s="302"/>
      <c r="U39" s="302"/>
      <c r="V39" s="302"/>
      <c r="W39" s="302"/>
    </row>
    <row r="40" spans="1:23" ht="15" x14ac:dyDescent="0.2">
      <c r="A40" s="302"/>
      <c r="B40" s="302"/>
      <c r="C40" s="302"/>
      <c r="D40" s="302"/>
      <c r="E40" s="302"/>
      <c r="F40" s="302"/>
      <c r="G40" s="302"/>
      <c r="H40" s="302"/>
      <c r="I40" s="302"/>
      <c r="J40" s="302"/>
      <c r="K40" s="302"/>
      <c r="L40" s="302"/>
      <c r="M40" s="302"/>
      <c r="N40" s="302"/>
      <c r="O40" s="302"/>
      <c r="P40" s="302"/>
      <c r="Q40" s="302"/>
      <c r="R40" s="302"/>
      <c r="S40" s="302"/>
      <c r="T40" s="302"/>
      <c r="U40" s="302"/>
      <c r="V40" s="302"/>
      <c r="W40" s="302"/>
    </row>
    <row r="41" spans="1:23" ht="15" x14ac:dyDescent="0.2">
      <c r="A41" s="302"/>
      <c r="B41" s="302"/>
      <c r="C41" s="302"/>
      <c r="D41" s="302"/>
      <c r="E41" s="302"/>
      <c r="F41" s="302"/>
      <c r="G41" s="302"/>
      <c r="H41" s="302"/>
      <c r="I41" s="302"/>
      <c r="J41" s="302"/>
      <c r="K41" s="302"/>
      <c r="L41" s="302"/>
      <c r="M41" s="302"/>
      <c r="N41" s="302"/>
      <c r="O41" s="302"/>
      <c r="P41" s="302"/>
      <c r="Q41" s="302"/>
      <c r="R41" s="302"/>
      <c r="S41" s="302"/>
      <c r="T41" s="302"/>
      <c r="U41" s="302"/>
      <c r="V41" s="302"/>
      <c r="W41" s="302"/>
    </row>
    <row r="42" spans="1:23" ht="15" x14ac:dyDescent="0.2">
      <c r="A42" s="302"/>
      <c r="B42" s="302"/>
      <c r="C42" s="302"/>
      <c r="D42" s="302"/>
      <c r="E42" s="302"/>
      <c r="F42" s="302"/>
      <c r="G42" s="302"/>
      <c r="H42" s="302"/>
      <c r="I42" s="302"/>
      <c r="J42" s="302"/>
      <c r="K42" s="302"/>
      <c r="L42" s="302"/>
      <c r="M42" s="302"/>
      <c r="N42" s="302"/>
      <c r="O42" s="302"/>
      <c r="P42" s="302"/>
      <c r="Q42" s="302"/>
      <c r="R42" s="302"/>
      <c r="S42" s="302"/>
      <c r="T42" s="302"/>
      <c r="U42" s="302"/>
      <c r="V42" s="302"/>
      <c r="W42" s="302"/>
    </row>
    <row r="43" spans="1:23" ht="15" x14ac:dyDescent="0.2">
      <c r="A43" s="302"/>
      <c r="B43" s="302"/>
      <c r="C43" s="302"/>
      <c r="D43" s="302"/>
      <c r="E43" s="302"/>
      <c r="F43" s="302"/>
      <c r="G43" s="302"/>
      <c r="H43" s="302"/>
      <c r="I43" s="302"/>
      <c r="J43" s="302"/>
      <c r="K43" s="302"/>
      <c r="L43" s="302"/>
      <c r="M43" s="302"/>
      <c r="N43" s="302"/>
      <c r="O43" s="302"/>
      <c r="P43" s="302"/>
      <c r="Q43" s="302"/>
      <c r="R43" s="302"/>
      <c r="S43" s="302"/>
      <c r="T43" s="302"/>
      <c r="U43" s="302"/>
      <c r="V43" s="302"/>
      <c r="W43" s="302"/>
    </row>
    <row r="44" spans="1:23" ht="15" x14ac:dyDescent="0.2">
      <c r="A44" s="302"/>
      <c r="B44" s="302"/>
      <c r="C44" s="302"/>
      <c r="D44" s="302"/>
      <c r="E44" s="302"/>
      <c r="F44" s="302"/>
      <c r="G44" s="302"/>
      <c r="H44" s="302"/>
      <c r="I44" s="302"/>
      <c r="J44" s="302"/>
      <c r="K44" s="302"/>
      <c r="L44" s="302"/>
      <c r="M44" s="302"/>
      <c r="N44" s="302"/>
      <c r="O44" s="302"/>
      <c r="P44" s="302"/>
      <c r="Q44" s="302"/>
      <c r="R44" s="302"/>
      <c r="S44" s="302"/>
      <c r="T44" s="302"/>
      <c r="U44" s="302"/>
      <c r="V44" s="302"/>
      <c r="W44" s="302"/>
    </row>
    <row r="45" spans="1:23" ht="15" x14ac:dyDescent="0.2">
      <c r="A45" s="302"/>
      <c r="B45" s="302"/>
      <c r="C45" s="302"/>
      <c r="D45" s="302"/>
      <c r="E45" s="302"/>
      <c r="F45" s="302"/>
      <c r="G45" s="302"/>
      <c r="H45" s="302"/>
      <c r="I45" s="302"/>
      <c r="J45" s="302"/>
      <c r="K45" s="302"/>
      <c r="L45" s="302"/>
      <c r="M45" s="302"/>
      <c r="N45" s="302"/>
      <c r="O45" s="302"/>
      <c r="P45" s="302"/>
      <c r="Q45" s="302"/>
      <c r="R45" s="302"/>
      <c r="S45" s="302"/>
      <c r="T45" s="302"/>
      <c r="U45" s="302"/>
      <c r="V45" s="302"/>
      <c r="W45" s="302"/>
    </row>
    <row r="46" spans="1:23" ht="15" x14ac:dyDescent="0.2">
      <c r="A46" s="302"/>
      <c r="B46" s="302"/>
      <c r="C46" s="302"/>
      <c r="D46" s="302"/>
      <c r="E46" s="302"/>
      <c r="F46" s="302"/>
      <c r="G46" s="302"/>
      <c r="H46" s="302"/>
      <c r="I46" s="302"/>
      <c r="J46" s="302"/>
      <c r="K46" s="302"/>
      <c r="L46" s="302"/>
      <c r="M46" s="302"/>
      <c r="N46" s="302"/>
      <c r="O46" s="302"/>
      <c r="P46" s="302"/>
      <c r="Q46" s="302"/>
      <c r="R46" s="302"/>
      <c r="S46" s="302"/>
      <c r="T46" s="302"/>
      <c r="U46" s="302"/>
      <c r="V46" s="302"/>
      <c r="W46" s="302"/>
    </row>
    <row r="47" spans="1:23" ht="15" x14ac:dyDescent="0.2">
      <c r="A47" s="302"/>
      <c r="B47" s="302"/>
      <c r="C47" s="302"/>
      <c r="D47" s="302"/>
      <c r="E47" s="302"/>
      <c r="F47" s="302"/>
      <c r="G47" s="302"/>
      <c r="H47" s="302"/>
      <c r="I47" s="302"/>
      <c r="J47" s="302"/>
      <c r="K47" s="302"/>
      <c r="L47" s="302"/>
      <c r="M47" s="302"/>
      <c r="N47" s="302"/>
      <c r="O47" s="302"/>
      <c r="P47" s="302"/>
      <c r="Q47" s="302"/>
      <c r="R47" s="302"/>
      <c r="S47" s="302"/>
      <c r="T47" s="302"/>
      <c r="U47" s="302"/>
      <c r="V47" s="302"/>
      <c r="W47" s="302"/>
    </row>
    <row r="48" spans="1:23" ht="15" x14ac:dyDescent="0.2">
      <c r="A48" s="302"/>
      <c r="B48" s="302"/>
      <c r="C48" s="302"/>
      <c r="D48" s="302"/>
      <c r="E48" s="302"/>
      <c r="F48" s="302"/>
      <c r="G48" s="302"/>
      <c r="H48" s="302"/>
      <c r="I48" s="302"/>
      <c r="J48" s="302"/>
      <c r="K48" s="302"/>
      <c r="L48" s="302"/>
      <c r="M48" s="302"/>
      <c r="N48" s="302"/>
      <c r="O48" s="302"/>
      <c r="P48" s="302"/>
      <c r="Q48" s="302"/>
      <c r="R48" s="302"/>
      <c r="S48" s="302"/>
      <c r="T48" s="302"/>
      <c r="U48" s="302"/>
      <c r="V48" s="302"/>
      <c r="W48" s="302"/>
    </row>
    <row r="49" spans="1:23" ht="15" x14ac:dyDescent="0.2">
      <c r="A49" s="302"/>
      <c r="B49" s="302"/>
      <c r="C49" s="302"/>
      <c r="D49" s="302"/>
      <c r="E49" s="302"/>
      <c r="F49" s="302"/>
      <c r="G49" s="302"/>
      <c r="H49" s="302"/>
      <c r="I49" s="302"/>
      <c r="J49" s="302"/>
      <c r="K49" s="302"/>
      <c r="L49" s="302"/>
      <c r="M49" s="302"/>
      <c r="N49" s="302"/>
      <c r="O49" s="302"/>
      <c r="P49" s="302"/>
      <c r="Q49" s="302"/>
      <c r="R49" s="302"/>
      <c r="S49" s="302"/>
      <c r="T49" s="302"/>
      <c r="U49" s="302"/>
      <c r="V49" s="302"/>
      <c r="W49" s="302"/>
    </row>
    <row r="50" spans="1:23" ht="15" x14ac:dyDescent="0.2">
      <c r="A50" s="302"/>
      <c r="B50" s="302"/>
      <c r="C50" s="302"/>
      <c r="D50" s="302"/>
      <c r="E50" s="302"/>
      <c r="F50" s="302"/>
      <c r="G50" s="302"/>
      <c r="H50" s="302"/>
      <c r="I50" s="302"/>
      <c r="J50" s="302"/>
      <c r="K50" s="302"/>
      <c r="L50" s="302"/>
      <c r="M50" s="302"/>
      <c r="N50" s="302"/>
      <c r="O50" s="302"/>
      <c r="P50" s="302"/>
      <c r="Q50" s="302"/>
      <c r="R50" s="302"/>
      <c r="S50" s="302"/>
      <c r="T50" s="302"/>
      <c r="U50" s="302"/>
      <c r="V50" s="302"/>
      <c r="W50" s="302"/>
    </row>
    <row r="51" spans="1:23" ht="15" x14ac:dyDescent="0.2">
      <c r="A51" s="302"/>
      <c r="B51" s="302"/>
      <c r="C51" s="302"/>
      <c r="D51" s="302"/>
      <c r="E51" s="302"/>
      <c r="F51" s="302"/>
      <c r="G51" s="302"/>
      <c r="H51" s="302"/>
      <c r="I51" s="302"/>
      <c r="J51" s="302"/>
      <c r="K51" s="302"/>
      <c r="L51" s="302"/>
      <c r="M51" s="302"/>
      <c r="N51" s="302"/>
      <c r="O51" s="302"/>
      <c r="P51" s="302"/>
      <c r="Q51" s="302"/>
      <c r="R51" s="302"/>
      <c r="S51" s="302"/>
      <c r="T51" s="302"/>
      <c r="U51" s="302"/>
      <c r="V51" s="302"/>
      <c r="W51" s="302"/>
    </row>
  </sheetData>
  <mergeCells count="38">
    <mergeCell ref="A15:B15"/>
    <mergeCell ref="A16:B16"/>
    <mergeCell ref="A17:B17"/>
    <mergeCell ref="A18:B18"/>
    <mergeCell ref="A19:B19"/>
    <mergeCell ref="X2:X4"/>
    <mergeCell ref="A9:B9"/>
    <mergeCell ref="A10:B10"/>
    <mergeCell ref="A11:B11"/>
    <mergeCell ref="A12:B12"/>
    <mergeCell ref="T2:T4"/>
    <mergeCell ref="V2:V4"/>
    <mergeCell ref="W2:W4"/>
    <mergeCell ref="A13:B13"/>
    <mergeCell ref="A14:B14"/>
    <mergeCell ref="Q3:Q4"/>
    <mergeCell ref="R3:R4"/>
    <mergeCell ref="A5:B5"/>
    <mergeCell ref="A6:B6"/>
    <mergeCell ref="A7:B7"/>
    <mergeCell ref="A8:B8"/>
    <mergeCell ref="E3:F3"/>
    <mergeCell ref="G3:G4"/>
    <mergeCell ref="H3:I3"/>
    <mergeCell ref="M3:M4"/>
    <mergeCell ref="N3:N4"/>
    <mergeCell ref="O3:O4"/>
    <mergeCell ref="P3:P4"/>
    <mergeCell ref="A1:W1"/>
    <mergeCell ref="A2:B4"/>
    <mergeCell ref="C2:C4"/>
    <mergeCell ref="D2:D4"/>
    <mergeCell ref="E2:I2"/>
    <mergeCell ref="J2:J4"/>
    <mergeCell ref="K2:K4"/>
    <mergeCell ref="L2:L4"/>
    <mergeCell ref="M2:R2"/>
    <mergeCell ref="S2:S4"/>
  </mergeCells>
  <pageMargins left="0.70866141732283472" right="0.70866141732283472" top="0.74803149606299213" bottom="0.74803149606299213" header="0.31496062992125984" footer="0.31496062992125984"/>
  <pageSetup paperSize="9" scale="5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E51"/>
  <sheetViews>
    <sheetView view="pageBreakPreview" zoomScale="55" zoomScaleNormal="100" zoomScaleSheetLayoutView="55" workbookViewId="0">
      <selection activeCell="R29" sqref="R29"/>
    </sheetView>
  </sheetViews>
  <sheetFormatPr defaultRowHeight="12.75" x14ac:dyDescent="0.2"/>
  <cols>
    <col min="10" max="10" width="12.7109375" customWidth="1"/>
    <col min="11" max="11" width="12.140625" customWidth="1"/>
    <col min="12" max="12" width="13" customWidth="1"/>
    <col min="13" max="13" width="12.5703125" customWidth="1"/>
    <col min="16" max="16" width="16.28515625" customWidth="1"/>
    <col min="18" max="18" width="13.7109375" customWidth="1"/>
    <col min="19" max="19" width="14" customWidth="1"/>
    <col min="20" max="20" width="13.42578125" customWidth="1"/>
    <col min="21" max="21" width="12.28515625" customWidth="1"/>
    <col min="22" max="22" width="12.7109375" customWidth="1"/>
    <col min="23" max="23" width="13.42578125" customWidth="1"/>
    <col min="24" max="24" width="15.7109375" customWidth="1"/>
    <col min="25" max="25" width="5.42578125" customWidth="1"/>
    <col min="26" max="26" width="12.140625" customWidth="1"/>
    <col min="27" max="27" width="14.85546875" customWidth="1"/>
    <col min="28" max="28" width="17.140625" customWidth="1"/>
    <col min="29" max="29" width="16.42578125" customWidth="1"/>
    <col min="30" max="30" width="15.42578125" customWidth="1"/>
  </cols>
  <sheetData>
    <row r="1" spans="1:31" ht="21" customHeight="1" thickBot="1" x14ac:dyDescent="0.25">
      <c r="A1" s="1646" t="s">
        <v>1406</v>
      </c>
      <c r="B1" s="1646"/>
      <c r="C1" s="1646"/>
      <c r="D1" s="1646"/>
      <c r="E1" s="1646"/>
      <c r="F1" s="1646"/>
      <c r="G1" s="1646"/>
      <c r="H1" s="1646"/>
      <c r="I1" s="1646"/>
      <c r="J1" s="1646"/>
      <c r="K1" s="1646"/>
      <c r="L1" s="1646"/>
      <c r="M1" s="1647"/>
      <c r="N1" s="1647"/>
      <c r="O1" s="1647"/>
      <c r="P1" s="1647"/>
      <c r="Q1" s="1647"/>
      <c r="R1" s="1647"/>
      <c r="S1" s="1646"/>
      <c r="T1" s="1646"/>
      <c r="U1" s="1646"/>
      <c r="V1" s="1646"/>
      <c r="W1" s="1646"/>
      <c r="X1" s="301"/>
      <c r="Y1" s="302"/>
      <c r="Z1" s="302"/>
      <c r="AA1" s="302"/>
      <c r="AB1" s="302"/>
      <c r="AC1" s="302"/>
      <c r="AD1" s="302"/>
      <c r="AE1" s="302"/>
    </row>
    <row r="2" spans="1:31" ht="13.9" customHeight="1" x14ac:dyDescent="0.2">
      <c r="A2" s="1663" t="s">
        <v>794</v>
      </c>
      <c r="B2" s="1664"/>
      <c r="C2" s="1667" t="s">
        <v>795</v>
      </c>
      <c r="D2" s="1668" t="s">
        <v>796</v>
      </c>
      <c r="E2" s="1669" t="s">
        <v>797</v>
      </c>
      <c r="F2" s="1670"/>
      <c r="G2" s="1670"/>
      <c r="H2" s="1670"/>
      <c r="I2" s="1671"/>
      <c r="J2" s="1651" t="s">
        <v>798</v>
      </c>
      <c r="K2" s="1651" t="s">
        <v>799</v>
      </c>
      <c r="L2" s="1651" t="s">
        <v>800</v>
      </c>
      <c r="M2" s="1674" t="s">
        <v>1367</v>
      </c>
      <c r="N2" s="1674"/>
      <c r="O2" s="1674"/>
      <c r="P2" s="1674"/>
      <c r="Q2" s="1674"/>
      <c r="R2" s="1674"/>
      <c r="S2" s="1675" t="s">
        <v>802</v>
      </c>
      <c r="T2" s="1648" t="s">
        <v>803</v>
      </c>
      <c r="U2" s="940"/>
      <c r="V2" s="1651" t="s">
        <v>804</v>
      </c>
      <c r="W2" s="1651" t="s">
        <v>805</v>
      </c>
      <c r="X2" s="1651" t="s">
        <v>806</v>
      </c>
      <c r="Y2" s="980"/>
      <c r="Z2" s="980"/>
      <c r="AA2" s="302"/>
      <c r="AB2" s="302"/>
      <c r="AC2" s="302"/>
      <c r="AD2" s="302"/>
      <c r="AE2" s="302"/>
    </row>
    <row r="3" spans="1:31" ht="13.9" customHeight="1" x14ac:dyDescent="0.2">
      <c r="A3" s="1665"/>
      <c r="B3" s="1666"/>
      <c r="C3" s="1652"/>
      <c r="D3" s="1649"/>
      <c r="E3" s="1654" t="s">
        <v>807</v>
      </c>
      <c r="F3" s="1655"/>
      <c r="G3" s="1656" t="s">
        <v>808</v>
      </c>
      <c r="H3" s="1654" t="s">
        <v>809</v>
      </c>
      <c r="I3" s="1655"/>
      <c r="J3" s="1652"/>
      <c r="K3" s="1672"/>
      <c r="L3" s="1672"/>
      <c r="M3" s="1658" t="s">
        <v>810</v>
      </c>
      <c r="N3" s="1658" t="s">
        <v>811</v>
      </c>
      <c r="O3" s="1658" t="s">
        <v>812</v>
      </c>
      <c r="P3" s="1659" t="s">
        <v>813</v>
      </c>
      <c r="Q3" s="1659"/>
      <c r="R3" s="1659" t="s">
        <v>189</v>
      </c>
      <c r="S3" s="1676"/>
      <c r="T3" s="1649"/>
      <c r="U3" s="941"/>
      <c r="V3" s="1652"/>
      <c r="W3" s="1652"/>
      <c r="X3" s="1652"/>
      <c r="Y3" s="980"/>
      <c r="Z3" s="980"/>
      <c r="AA3" s="307">
        <f>W19+'расч ФОТ обл с 01.07-31.08'!W19+'расч  ФОТ обл до с 01.01.-30.06'!W19</f>
        <v>11789797.8278</v>
      </c>
      <c r="AB3" s="302"/>
      <c r="AC3" s="302"/>
      <c r="AD3" s="302"/>
      <c r="AE3" s="302"/>
    </row>
    <row r="4" spans="1:31" ht="137.25" x14ac:dyDescent="0.2">
      <c r="A4" s="1665"/>
      <c r="B4" s="1666"/>
      <c r="C4" s="1653"/>
      <c r="D4" s="1650"/>
      <c r="E4" s="942" t="s">
        <v>814</v>
      </c>
      <c r="F4" s="942" t="s">
        <v>815</v>
      </c>
      <c r="G4" s="1657"/>
      <c r="H4" s="942" t="s">
        <v>816</v>
      </c>
      <c r="I4" s="942" t="s">
        <v>817</v>
      </c>
      <c r="J4" s="1653"/>
      <c r="K4" s="1673"/>
      <c r="L4" s="1673"/>
      <c r="M4" s="1658"/>
      <c r="N4" s="1658"/>
      <c r="O4" s="1658"/>
      <c r="P4" s="1660"/>
      <c r="Q4" s="1660"/>
      <c r="R4" s="1660"/>
      <c r="S4" s="1677"/>
      <c r="T4" s="1650"/>
      <c r="U4" s="943" t="s">
        <v>1381</v>
      </c>
      <c r="V4" s="1653"/>
      <c r="W4" s="1653"/>
      <c r="X4" s="1653"/>
      <c r="Y4" s="980"/>
      <c r="Z4" s="980"/>
      <c r="AA4" s="302"/>
      <c r="AB4" s="302"/>
      <c r="AC4" s="302"/>
      <c r="AD4" s="302"/>
      <c r="AE4" s="302"/>
    </row>
    <row r="5" spans="1:31" ht="15" x14ac:dyDescent="0.2">
      <c r="A5" s="1661">
        <v>1</v>
      </c>
      <c r="B5" s="1662"/>
      <c r="C5" s="944">
        <v>2</v>
      </c>
      <c r="D5" s="944">
        <v>3</v>
      </c>
      <c r="E5" s="944">
        <v>4</v>
      </c>
      <c r="F5" s="944">
        <v>5</v>
      </c>
      <c r="G5" s="944">
        <v>6</v>
      </c>
      <c r="H5" s="944">
        <v>7</v>
      </c>
      <c r="I5" s="944">
        <v>8</v>
      </c>
      <c r="J5" s="944">
        <v>9</v>
      </c>
      <c r="K5" s="944">
        <v>10</v>
      </c>
      <c r="L5" s="944">
        <v>11</v>
      </c>
      <c r="M5" s="944">
        <v>12</v>
      </c>
      <c r="N5" s="944">
        <v>13</v>
      </c>
      <c r="O5" s="944">
        <v>14</v>
      </c>
      <c r="P5" s="944">
        <v>14</v>
      </c>
      <c r="Q5" s="944">
        <v>16</v>
      </c>
      <c r="R5" s="944">
        <v>15</v>
      </c>
      <c r="S5" s="944">
        <v>16</v>
      </c>
      <c r="T5" s="944">
        <v>17</v>
      </c>
      <c r="U5" s="944"/>
      <c r="V5" s="944">
        <v>18</v>
      </c>
      <c r="W5" s="944">
        <v>19</v>
      </c>
      <c r="X5" s="944">
        <v>20</v>
      </c>
      <c r="Y5" s="980"/>
      <c r="Z5" s="980"/>
      <c r="AA5" s="302"/>
      <c r="AB5" s="302"/>
      <c r="AC5" s="302"/>
      <c r="AD5" s="302"/>
      <c r="AE5" s="302"/>
    </row>
    <row r="6" spans="1:31" ht="42.75" customHeight="1" x14ac:dyDescent="0.2">
      <c r="A6" s="1645" t="s">
        <v>840</v>
      </c>
      <c r="B6" s="1645"/>
      <c r="C6" s="945">
        <v>1</v>
      </c>
      <c r="D6" s="945">
        <v>12265</v>
      </c>
      <c r="E6" s="945"/>
      <c r="F6" s="945">
        <v>2.9</v>
      </c>
      <c r="G6" s="945"/>
      <c r="H6" s="945"/>
      <c r="I6" s="945"/>
      <c r="J6" s="946">
        <f>ROUND(D6*F6*C6,2)</f>
        <v>35568.5</v>
      </c>
      <c r="K6" s="946"/>
      <c r="L6" s="946">
        <f>J6</f>
        <v>35568.5</v>
      </c>
      <c r="M6" s="946"/>
      <c r="N6" s="946"/>
      <c r="O6" s="946"/>
      <c r="P6" s="946"/>
      <c r="Q6" s="946"/>
      <c r="R6" s="946">
        <f>M6+N6+P6</f>
        <v>0</v>
      </c>
      <c r="S6" s="946">
        <f>L6+R6</f>
        <v>35568.5</v>
      </c>
      <c r="T6" s="946">
        <f>L6*24%</f>
        <v>8536.44</v>
      </c>
      <c r="U6" s="946"/>
      <c r="V6" s="946">
        <f>S6+T6+U6</f>
        <v>44104.94</v>
      </c>
      <c r="W6" s="946">
        <f>V6*4</f>
        <v>176419.76</v>
      </c>
      <c r="X6" s="946">
        <f>W6*30.2%</f>
        <v>53278.767520000001</v>
      </c>
      <c r="Y6" s="980"/>
      <c r="Z6" s="980" t="s">
        <v>818</v>
      </c>
      <c r="AA6" s="307">
        <f>V6</f>
        <v>44104.94</v>
      </c>
      <c r="AB6" s="302"/>
      <c r="AC6" s="302"/>
      <c r="AD6" s="302"/>
      <c r="AE6" s="302"/>
    </row>
    <row r="7" spans="1:31" ht="14.45" customHeight="1" thickBot="1" x14ac:dyDescent="0.25">
      <c r="A7" s="1645" t="s">
        <v>564</v>
      </c>
      <c r="B7" s="1645"/>
      <c r="C7" s="945">
        <v>0.5</v>
      </c>
      <c r="D7" s="945">
        <v>12265</v>
      </c>
      <c r="E7" s="945"/>
      <c r="F7" s="945"/>
      <c r="G7" s="945"/>
      <c r="H7" s="945"/>
      <c r="I7" s="945"/>
      <c r="J7" s="946">
        <f>45736.18*0.5</f>
        <v>22868.09</v>
      </c>
      <c r="K7" s="946"/>
      <c r="L7" s="946">
        <v>22868.09</v>
      </c>
      <c r="M7" s="946"/>
      <c r="N7" s="946"/>
      <c r="O7" s="946"/>
      <c r="P7" s="946"/>
      <c r="Q7" s="946"/>
      <c r="R7" s="946">
        <f t="shared" ref="R7:R18" si="0">M7+N7+P7</f>
        <v>0</v>
      </c>
      <c r="S7" s="946">
        <f t="shared" ref="S7" si="1">L7+R7</f>
        <v>22868.09</v>
      </c>
      <c r="T7" s="946">
        <f t="shared" ref="T7:T17" si="2">L7*24%</f>
        <v>5488.3415999999997</v>
      </c>
      <c r="U7" s="946"/>
      <c r="V7" s="946">
        <f t="shared" ref="V7:V18" si="3">S7+T7+U7</f>
        <v>28356.4316</v>
      </c>
      <c r="W7" s="946">
        <f t="shared" ref="W7:W18" si="4">V7*4</f>
        <v>113425.7264</v>
      </c>
      <c r="X7" s="946">
        <f t="shared" ref="X7:X18" si="5">W7*30.2%</f>
        <v>34254.569372799997</v>
      </c>
      <c r="Y7" s="980"/>
      <c r="Z7" s="980" t="s">
        <v>819</v>
      </c>
      <c r="AA7" s="307" t="e">
        <f>V14+#REF!+V15+V16+V17+V18+#REF!+#REF!</f>
        <v>#REF!</v>
      </c>
      <c r="AB7" s="302" t="s">
        <v>820</v>
      </c>
      <c r="AC7" s="302"/>
      <c r="AD7" s="302"/>
      <c r="AE7" s="302"/>
    </row>
    <row r="8" spans="1:31" ht="25.9" customHeight="1" thickBot="1" x14ac:dyDescent="0.25">
      <c r="A8" s="1643" t="s">
        <v>821</v>
      </c>
      <c r="B8" s="1644"/>
      <c r="C8" s="945">
        <v>5.15</v>
      </c>
      <c r="D8" s="945">
        <v>12265</v>
      </c>
      <c r="E8" s="945">
        <v>1.6</v>
      </c>
      <c r="F8" s="945"/>
      <c r="G8" s="945"/>
      <c r="H8" s="945"/>
      <c r="I8" s="947"/>
      <c r="J8" s="946">
        <f>ROUND(D8*E8*C8,2)</f>
        <v>101063.6</v>
      </c>
      <c r="K8" s="946">
        <f>15699.2</f>
        <v>15699.2</v>
      </c>
      <c r="L8" s="948">
        <f>J8+K8</f>
        <v>116762.8</v>
      </c>
      <c r="M8" s="946">
        <v>8242.08</v>
      </c>
      <c r="N8" s="946"/>
      <c r="O8" s="946"/>
      <c r="P8" s="946"/>
      <c r="Q8" s="946"/>
      <c r="R8" s="946">
        <f t="shared" si="0"/>
        <v>8242.08</v>
      </c>
      <c r="S8" s="946">
        <f>L8+R8</f>
        <v>125004.88</v>
      </c>
      <c r="T8" s="946">
        <f t="shared" si="2"/>
        <v>28023.072</v>
      </c>
      <c r="U8" s="946">
        <f>L8*97.775%</f>
        <v>114164.82770000001</v>
      </c>
      <c r="V8" s="946">
        <f t="shared" si="3"/>
        <v>267192.77970000001</v>
      </c>
      <c r="W8" s="946">
        <f t="shared" si="4"/>
        <v>1068771.1188000001</v>
      </c>
      <c r="X8" s="946">
        <f t="shared" si="5"/>
        <v>322768.87787760003</v>
      </c>
      <c r="Y8" s="980"/>
      <c r="Z8" s="981"/>
      <c r="AA8" s="302"/>
      <c r="AB8" s="310">
        <f>(V8+V9+V10+V11+V12+V13)/13.6</f>
        <v>47503.432301470595</v>
      </c>
      <c r="AC8" s="302"/>
      <c r="AD8" s="302"/>
      <c r="AE8" s="302"/>
    </row>
    <row r="9" spans="1:31" ht="25.9" customHeight="1" x14ac:dyDescent="0.2">
      <c r="A9" s="1643" t="s">
        <v>822</v>
      </c>
      <c r="B9" s="1644"/>
      <c r="C9" s="945">
        <v>3</v>
      </c>
      <c r="D9" s="945">
        <v>12265</v>
      </c>
      <c r="E9" s="945"/>
      <c r="F9" s="945">
        <v>1.9</v>
      </c>
      <c r="G9" s="945"/>
      <c r="H9" s="945"/>
      <c r="I9" s="945"/>
      <c r="J9" s="946">
        <f t="shared" ref="J9:J13" si="6">ROUND(C9*D9*F9,2)</f>
        <v>69910.5</v>
      </c>
      <c r="K9" s="946">
        <f>6991.05</f>
        <v>6991.05</v>
      </c>
      <c r="L9" s="948">
        <f>J9+K9</f>
        <v>76901.55</v>
      </c>
      <c r="M9" s="948"/>
      <c r="N9" s="948"/>
      <c r="O9" s="949"/>
      <c r="P9" s="948"/>
      <c r="Q9" s="946"/>
      <c r="R9" s="946">
        <f t="shared" si="0"/>
        <v>0</v>
      </c>
      <c r="S9" s="946">
        <f t="shared" ref="S9:S18" si="7">L9+R9</f>
        <v>76901.55</v>
      </c>
      <c r="T9" s="946">
        <f t="shared" si="2"/>
        <v>18456.371999999999</v>
      </c>
      <c r="U9" s="946">
        <f>L9*97%</f>
        <v>74594.503500000006</v>
      </c>
      <c r="V9" s="946">
        <f t="shared" si="3"/>
        <v>169952.42550000001</v>
      </c>
      <c r="W9" s="946">
        <f t="shared" si="4"/>
        <v>679809.70200000005</v>
      </c>
      <c r="X9" s="946">
        <f t="shared" si="5"/>
        <v>205302.530004</v>
      </c>
      <c r="Y9" s="980"/>
      <c r="Z9" s="981">
        <f>J8+J9+J10</f>
        <v>181705.98</v>
      </c>
      <c r="AA9" s="302">
        <f>Z9*1%</f>
        <v>1817.0598000000002</v>
      </c>
      <c r="AB9" s="302"/>
      <c r="AC9" s="302"/>
      <c r="AD9" s="302"/>
      <c r="AE9" s="302"/>
    </row>
    <row r="10" spans="1:31" ht="42" customHeight="1" x14ac:dyDescent="0.2">
      <c r="A10" s="1645" t="s">
        <v>1382</v>
      </c>
      <c r="B10" s="1645"/>
      <c r="C10" s="945">
        <v>0.5</v>
      </c>
      <c r="D10" s="945">
        <v>12265</v>
      </c>
      <c r="E10" s="945"/>
      <c r="F10" s="945">
        <v>1.75</v>
      </c>
      <c r="G10" s="945"/>
      <c r="H10" s="945"/>
      <c r="I10" s="945"/>
      <c r="J10" s="946">
        <f>ROUND(C10*D10*F10,2)</f>
        <v>10731.88</v>
      </c>
      <c r="K10" s="946">
        <f>4292.75</f>
        <v>4292.75</v>
      </c>
      <c r="L10" s="948">
        <f>J10+K10</f>
        <v>15024.63</v>
      </c>
      <c r="M10" s="968">
        <v>429.28</v>
      </c>
      <c r="N10" s="948"/>
      <c r="O10" s="949"/>
      <c r="P10" s="949"/>
      <c r="Q10" s="946"/>
      <c r="R10" s="946">
        <f t="shared" si="0"/>
        <v>429.28</v>
      </c>
      <c r="S10" s="946">
        <f t="shared" si="7"/>
        <v>15453.91</v>
      </c>
      <c r="T10" s="946">
        <f t="shared" si="2"/>
        <v>3605.9111999999996</v>
      </c>
      <c r="U10" s="946">
        <f t="shared" ref="U10:U13" si="8">L10*95%</f>
        <v>14273.398499999999</v>
      </c>
      <c r="V10" s="946">
        <f t="shared" si="3"/>
        <v>33333.219700000001</v>
      </c>
      <c r="W10" s="946">
        <f t="shared" si="4"/>
        <v>133332.87880000001</v>
      </c>
      <c r="X10" s="946">
        <f t="shared" si="5"/>
        <v>40266.529397600003</v>
      </c>
      <c r="Y10" s="980"/>
      <c r="Z10" s="981"/>
      <c r="AA10" s="302"/>
      <c r="AB10" s="302"/>
      <c r="AC10" s="302"/>
      <c r="AD10" s="302"/>
      <c r="AE10" s="302"/>
    </row>
    <row r="11" spans="1:31" ht="26.25" customHeight="1" x14ac:dyDescent="0.2">
      <c r="A11" s="1645" t="s">
        <v>824</v>
      </c>
      <c r="B11" s="1645"/>
      <c r="C11" s="945">
        <v>1.25</v>
      </c>
      <c r="D11" s="945">
        <v>12265</v>
      </c>
      <c r="E11" s="950">
        <v>1.45</v>
      </c>
      <c r="F11" s="945"/>
      <c r="G11" s="950"/>
      <c r="H11" s="950"/>
      <c r="I11" s="950"/>
      <c r="J11" s="946">
        <f>ROUND(C11*D11*E11,2)</f>
        <v>22230.31</v>
      </c>
      <c r="K11" s="946"/>
      <c r="L11" s="948">
        <f>J11</f>
        <v>22230.31</v>
      </c>
      <c r="M11" s="968">
        <v>889.21</v>
      </c>
      <c r="N11" s="946"/>
      <c r="O11" s="946"/>
      <c r="P11" s="946"/>
      <c r="Q11" s="946"/>
      <c r="R11" s="946">
        <f t="shared" si="0"/>
        <v>889.21</v>
      </c>
      <c r="S11" s="946">
        <f t="shared" si="7"/>
        <v>23119.52</v>
      </c>
      <c r="T11" s="946">
        <f t="shared" si="2"/>
        <v>5335.2744000000002</v>
      </c>
      <c r="U11" s="946">
        <f t="shared" si="8"/>
        <v>21118.7945</v>
      </c>
      <c r="V11" s="946">
        <f t="shared" si="3"/>
        <v>49573.588900000002</v>
      </c>
      <c r="W11" s="946">
        <f t="shared" si="4"/>
        <v>198294.35560000001</v>
      </c>
      <c r="X11" s="946">
        <f t="shared" si="5"/>
        <v>59884.8953912</v>
      </c>
      <c r="Y11" s="980"/>
      <c r="Z11" s="980"/>
      <c r="AA11" s="302"/>
      <c r="AB11" s="302"/>
      <c r="AC11" s="302"/>
      <c r="AD11" s="302"/>
      <c r="AE11" s="302"/>
    </row>
    <row r="12" spans="1:31" ht="13.9" customHeight="1" x14ac:dyDescent="0.2">
      <c r="A12" s="1645" t="s">
        <v>825</v>
      </c>
      <c r="B12" s="1645"/>
      <c r="C12" s="945">
        <v>0.7</v>
      </c>
      <c r="D12" s="945">
        <v>12265</v>
      </c>
      <c r="E12" s="945"/>
      <c r="F12" s="945">
        <v>1.9</v>
      </c>
      <c r="G12" s="945"/>
      <c r="H12" s="945"/>
      <c r="I12" s="945"/>
      <c r="J12" s="946">
        <f t="shared" si="6"/>
        <v>16312.45</v>
      </c>
      <c r="K12" s="946"/>
      <c r="L12" s="948">
        <f>J12</f>
        <v>16312.45</v>
      </c>
      <c r="M12" s="946">
        <v>2330.35</v>
      </c>
      <c r="N12" s="946"/>
      <c r="O12" s="946"/>
      <c r="P12" s="946"/>
      <c r="Q12" s="946"/>
      <c r="R12" s="946">
        <f t="shared" si="0"/>
        <v>2330.35</v>
      </c>
      <c r="S12" s="946">
        <f t="shared" si="7"/>
        <v>18642.8</v>
      </c>
      <c r="T12" s="946">
        <f t="shared" si="2"/>
        <v>3914.9879999999998</v>
      </c>
      <c r="U12" s="946">
        <f t="shared" si="8"/>
        <v>15496.827499999999</v>
      </c>
      <c r="V12" s="946">
        <f t="shared" si="3"/>
        <v>38054.6155</v>
      </c>
      <c r="W12" s="946">
        <f t="shared" si="4"/>
        <v>152218.462</v>
      </c>
      <c r="X12" s="946">
        <f t="shared" si="5"/>
        <v>45969.975524000001</v>
      </c>
      <c r="Y12" s="982"/>
      <c r="Z12" s="982"/>
      <c r="AA12" s="299"/>
      <c r="AB12" s="299"/>
      <c r="AC12" s="299"/>
      <c r="AD12" s="299"/>
      <c r="AE12" s="299"/>
    </row>
    <row r="13" spans="1:31" ht="13.9" customHeight="1" x14ac:dyDescent="0.2">
      <c r="A13" s="1645" t="s">
        <v>826</v>
      </c>
      <c r="B13" s="1645"/>
      <c r="C13" s="945">
        <v>1.5</v>
      </c>
      <c r="D13" s="945">
        <v>12265</v>
      </c>
      <c r="E13" s="945"/>
      <c r="F13" s="945">
        <v>2</v>
      </c>
      <c r="G13" s="945"/>
      <c r="H13" s="945"/>
      <c r="I13" s="945"/>
      <c r="J13" s="946">
        <f t="shared" si="6"/>
        <v>36795</v>
      </c>
      <c r="K13" s="946"/>
      <c r="L13" s="948">
        <f>J13</f>
        <v>36795</v>
      </c>
      <c r="M13" s="946">
        <v>7359</v>
      </c>
      <c r="N13" s="946"/>
      <c r="O13" s="946"/>
      <c r="P13" s="946"/>
      <c r="Q13" s="946"/>
      <c r="R13" s="946">
        <f t="shared" si="0"/>
        <v>7359</v>
      </c>
      <c r="S13" s="946">
        <f t="shared" si="7"/>
        <v>44154</v>
      </c>
      <c r="T13" s="946">
        <f t="shared" si="2"/>
        <v>8830.7999999999993</v>
      </c>
      <c r="U13" s="946">
        <f t="shared" si="8"/>
        <v>34955.25</v>
      </c>
      <c r="V13" s="946">
        <f t="shared" si="3"/>
        <v>87940.05</v>
      </c>
      <c r="W13" s="946">
        <f t="shared" si="4"/>
        <v>351760.2</v>
      </c>
      <c r="X13" s="946">
        <f t="shared" si="5"/>
        <v>106231.58040000001</v>
      </c>
      <c r="Y13" s="982"/>
      <c r="Z13" s="982"/>
      <c r="AA13" s="299"/>
      <c r="AB13" s="299"/>
      <c r="AC13" s="299"/>
      <c r="AD13" s="299"/>
      <c r="AE13" s="299"/>
    </row>
    <row r="14" spans="1:31" ht="13.9" customHeight="1" x14ac:dyDescent="0.2">
      <c r="A14" s="1645" t="s">
        <v>827</v>
      </c>
      <c r="B14" s="1645"/>
      <c r="C14" s="945">
        <v>1</v>
      </c>
      <c r="D14" s="945">
        <v>12265</v>
      </c>
      <c r="E14" s="945"/>
      <c r="F14" s="945"/>
      <c r="G14" s="945">
        <v>1.95</v>
      </c>
      <c r="H14" s="945"/>
      <c r="I14" s="945"/>
      <c r="J14" s="946">
        <f>ROUND(D14*G14*C14,2)</f>
        <v>23916.75</v>
      </c>
      <c r="K14" s="946"/>
      <c r="L14" s="946">
        <f t="shared" ref="L14:L17" si="9">J14</f>
        <v>23916.75</v>
      </c>
      <c r="M14" s="946"/>
      <c r="N14" s="946"/>
      <c r="O14" s="946"/>
      <c r="P14" s="946"/>
      <c r="Q14" s="946"/>
      <c r="R14" s="946">
        <f t="shared" si="0"/>
        <v>0</v>
      </c>
      <c r="S14" s="946">
        <f t="shared" si="7"/>
        <v>23916.75</v>
      </c>
      <c r="T14" s="946">
        <f t="shared" si="2"/>
        <v>5740.0199999999995</v>
      </c>
      <c r="U14" s="946"/>
      <c r="V14" s="946">
        <f t="shared" si="3"/>
        <v>29656.77</v>
      </c>
      <c r="W14" s="946">
        <f t="shared" si="4"/>
        <v>118627.08</v>
      </c>
      <c r="X14" s="946">
        <f t="shared" si="5"/>
        <v>35825.37816</v>
      </c>
      <c r="Y14" s="982"/>
      <c r="Z14" s="982"/>
      <c r="AA14" s="299"/>
      <c r="AB14" s="299"/>
      <c r="AC14" s="299"/>
      <c r="AD14" s="299"/>
      <c r="AE14" s="299"/>
    </row>
    <row r="15" spans="1:31" ht="27.75" customHeight="1" x14ac:dyDescent="0.2">
      <c r="A15" s="1645" t="s">
        <v>828</v>
      </c>
      <c r="B15" s="1645"/>
      <c r="C15" s="945">
        <v>6.74</v>
      </c>
      <c r="D15" s="945">
        <v>12265</v>
      </c>
      <c r="E15" s="945"/>
      <c r="F15" s="945"/>
      <c r="G15" s="945">
        <v>1.35</v>
      </c>
      <c r="H15" s="945"/>
      <c r="I15" s="945"/>
      <c r="J15" s="946">
        <f>ROUND(D15*G15*C15,2)</f>
        <v>111599.24</v>
      </c>
      <c r="K15" s="946"/>
      <c r="L15" s="946">
        <f t="shared" si="9"/>
        <v>111599.24</v>
      </c>
      <c r="M15" s="946"/>
      <c r="N15" s="946"/>
      <c r="O15" s="946"/>
      <c r="P15" s="946">
        <f>L15*4%</f>
        <v>4463.9696000000004</v>
      </c>
      <c r="Q15" s="946"/>
      <c r="R15" s="946">
        <f t="shared" si="0"/>
        <v>4463.9696000000004</v>
      </c>
      <c r="S15" s="946">
        <f t="shared" si="7"/>
        <v>116063.2096</v>
      </c>
      <c r="T15" s="946">
        <f t="shared" si="2"/>
        <v>26783.817599999998</v>
      </c>
      <c r="U15" s="946"/>
      <c r="V15" s="946">
        <f t="shared" si="3"/>
        <v>142847.02720000001</v>
      </c>
      <c r="W15" s="946">
        <f t="shared" si="4"/>
        <v>571388.10880000005</v>
      </c>
      <c r="X15" s="946">
        <f t="shared" si="5"/>
        <v>172559.2088576</v>
      </c>
      <c r="Y15" s="982"/>
      <c r="Z15" s="982"/>
      <c r="AA15" s="299"/>
      <c r="AB15" s="299"/>
      <c r="AC15" s="299"/>
      <c r="AD15" s="299"/>
      <c r="AE15" s="299"/>
    </row>
    <row r="16" spans="1:31" ht="13.9" customHeight="1" x14ac:dyDescent="0.2">
      <c r="A16" s="1645" t="s">
        <v>829</v>
      </c>
      <c r="B16" s="1645"/>
      <c r="C16" s="945">
        <v>1.2</v>
      </c>
      <c r="D16" s="945">
        <v>12265</v>
      </c>
      <c r="E16" s="945"/>
      <c r="F16" s="945"/>
      <c r="G16" s="945"/>
      <c r="H16" s="945">
        <v>2</v>
      </c>
      <c r="I16" s="945">
        <v>1.05</v>
      </c>
      <c r="J16" s="946">
        <f>ROUND(D16*I16*C16,2)</f>
        <v>15453.9</v>
      </c>
      <c r="K16" s="946"/>
      <c r="L16" s="946">
        <f t="shared" si="9"/>
        <v>15453.9</v>
      </c>
      <c r="M16" s="946"/>
      <c r="N16" s="946"/>
      <c r="O16" s="946"/>
      <c r="P16" s="946"/>
      <c r="Q16" s="946"/>
      <c r="R16" s="946">
        <f t="shared" si="0"/>
        <v>0</v>
      </c>
      <c r="S16" s="946">
        <f t="shared" si="7"/>
        <v>15453.9</v>
      </c>
      <c r="T16" s="946">
        <f t="shared" si="2"/>
        <v>3708.9359999999997</v>
      </c>
      <c r="U16" s="946"/>
      <c r="V16" s="946">
        <f t="shared" si="3"/>
        <v>19162.835999999999</v>
      </c>
      <c r="W16" s="946">
        <f t="shared" si="4"/>
        <v>76651.343999999997</v>
      </c>
      <c r="X16" s="946">
        <f t="shared" si="5"/>
        <v>23148.705887999997</v>
      </c>
      <c r="Y16" s="982"/>
      <c r="Z16" s="982"/>
      <c r="AA16" s="299"/>
      <c r="AB16" s="299"/>
      <c r="AC16" s="299"/>
      <c r="AD16" s="299"/>
      <c r="AE16" s="299"/>
    </row>
    <row r="17" spans="1:31" ht="28.5" customHeight="1" x14ac:dyDescent="0.2">
      <c r="A17" s="1643" t="s">
        <v>839</v>
      </c>
      <c r="B17" s="1644"/>
      <c r="C17" s="945">
        <v>0.5</v>
      </c>
      <c r="D17" s="945">
        <v>12265</v>
      </c>
      <c r="E17" s="945"/>
      <c r="F17" s="945"/>
      <c r="G17" s="945"/>
      <c r="H17" s="945">
        <v>1</v>
      </c>
      <c r="I17" s="945">
        <v>1.55</v>
      </c>
      <c r="J17" s="946">
        <f>ROUND(D17*I17*C17,2)</f>
        <v>9505.3799999999992</v>
      </c>
      <c r="K17" s="946"/>
      <c r="L17" s="946">
        <f t="shared" si="9"/>
        <v>9505.3799999999992</v>
      </c>
      <c r="M17" s="946"/>
      <c r="N17" s="946"/>
      <c r="O17" s="946"/>
      <c r="P17" s="946"/>
      <c r="Q17" s="946"/>
      <c r="R17" s="946">
        <f t="shared" si="0"/>
        <v>0</v>
      </c>
      <c r="S17" s="946">
        <f t="shared" si="7"/>
        <v>9505.3799999999992</v>
      </c>
      <c r="T17" s="946">
        <f t="shared" si="2"/>
        <v>2281.2911999999997</v>
      </c>
      <c r="U17" s="946"/>
      <c r="V17" s="946">
        <f t="shared" si="3"/>
        <v>11786.671199999999</v>
      </c>
      <c r="W17" s="946">
        <f t="shared" si="4"/>
        <v>47146.684799999995</v>
      </c>
      <c r="X17" s="946">
        <f t="shared" si="5"/>
        <v>14238.298809599999</v>
      </c>
      <c r="Y17" s="982"/>
      <c r="Z17" s="982"/>
      <c r="AA17" s="299"/>
      <c r="AB17" s="299"/>
      <c r="AC17" s="299"/>
      <c r="AD17" s="299"/>
      <c r="AE17" s="299"/>
    </row>
    <row r="18" spans="1:31" ht="15" x14ac:dyDescent="0.2">
      <c r="A18" s="1645" t="s">
        <v>830</v>
      </c>
      <c r="B18" s="1645"/>
      <c r="C18" s="945">
        <f>2</f>
        <v>2</v>
      </c>
      <c r="D18" s="945">
        <v>12265</v>
      </c>
      <c r="E18" s="945"/>
      <c r="F18" s="945"/>
      <c r="G18" s="945"/>
      <c r="H18" s="945">
        <v>1</v>
      </c>
      <c r="I18" s="945">
        <v>1.05</v>
      </c>
      <c r="J18" s="946">
        <f>ROUND(D18*I18*C18,2)</f>
        <v>25756.5</v>
      </c>
      <c r="K18" s="946"/>
      <c r="L18" s="946">
        <f>J18*1.04</f>
        <v>26786.760000000002</v>
      </c>
      <c r="M18" s="946"/>
      <c r="N18" s="946"/>
      <c r="O18" s="946"/>
      <c r="P18" s="946">
        <f>L18*4%</f>
        <v>1071.4704000000002</v>
      </c>
      <c r="Q18" s="946"/>
      <c r="R18" s="946">
        <f t="shared" si="0"/>
        <v>1071.4704000000002</v>
      </c>
      <c r="S18" s="946">
        <f t="shared" si="7"/>
        <v>27858.2304</v>
      </c>
      <c r="T18" s="946">
        <f>L18*24%+5962.95</f>
        <v>12391.7724</v>
      </c>
      <c r="U18" s="946"/>
      <c r="V18" s="946">
        <f t="shared" si="3"/>
        <v>40250.002800000002</v>
      </c>
      <c r="W18" s="946">
        <f t="shared" si="4"/>
        <v>161000.01120000001</v>
      </c>
      <c r="X18" s="946">
        <f t="shared" si="5"/>
        <v>48622.003382399998</v>
      </c>
      <c r="Y18" s="982"/>
      <c r="Z18" s="982"/>
      <c r="AA18" s="299"/>
      <c r="AB18" s="299"/>
      <c r="AC18" s="299"/>
      <c r="AD18" s="299"/>
      <c r="AE18" s="299"/>
    </row>
    <row r="19" spans="1:31" ht="23.25" customHeight="1" x14ac:dyDescent="0.2">
      <c r="A19" s="1642" t="s">
        <v>189</v>
      </c>
      <c r="B19" s="1642"/>
      <c r="C19" s="951">
        <f>SUM(C6:C18)</f>
        <v>25.04</v>
      </c>
      <c r="D19" s="951"/>
      <c r="E19" s="951"/>
      <c r="F19" s="951"/>
      <c r="G19" s="951"/>
      <c r="H19" s="951"/>
      <c r="I19" s="951"/>
      <c r="J19" s="952">
        <f t="shared" ref="J19:X19" si="10">SUM(J6:J18)</f>
        <v>501712.10000000003</v>
      </c>
      <c r="K19" s="952">
        <f t="shared" si="10"/>
        <v>26983</v>
      </c>
      <c r="L19" s="952">
        <f t="shared" si="10"/>
        <v>529725.36</v>
      </c>
      <c r="M19" s="952">
        <f t="shared" si="10"/>
        <v>19249.919999999998</v>
      </c>
      <c r="N19" s="952">
        <f t="shared" si="10"/>
        <v>0</v>
      </c>
      <c r="O19" s="952">
        <f t="shared" si="10"/>
        <v>0</v>
      </c>
      <c r="P19" s="952">
        <f t="shared" si="10"/>
        <v>5535.4400000000005</v>
      </c>
      <c r="Q19" s="952">
        <f t="shared" si="10"/>
        <v>0</v>
      </c>
      <c r="R19" s="952">
        <f t="shared" si="10"/>
        <v>24785.360000000001</v>
      </c>
      <c r="S19" s="952">
        <f t="shared" si="10"/>
        <v>554510.72</v>
      </c>
      <c r="T19" s="952">
        <f t="shared" si="10"/>
        <v>133097.03639999998</v>
      </c>
      <c r="U19" s="952">
        <f t="shared" si="10"/>
        <v>274603.6017</v>
      </c>
      <c r="V19" s="952">
        <f t="shared" si="10"/>
        <v>962211.35810000007</v>
      </c>
      <c r="W19" s="952">
        <f>SUM(W6:W18)</f>
        <v>3848845.4324000003</v>
      </c>
      <c r="X19" s="952">
        <f t="shared" si="10"/>
        <v>1162351.3205848001</v>
      </c>
      <c r="Y19" s="983"/>
      <c r="Z19" s="983"/>
      <c r="AA19" s="315"/>
      <c r="AB19" s="315"/>
      <c r="AC19" s="315"/>
      <c r="AD19" s="315"/>
      <c r="AE19" s="315"/>
    </row>
    <row r="20" spans="1:31" ht="15" x14ac:dyDescent="0.2">
      <c r="A20" s="980"/>
      <c r="B20" s="980"/>
      <c r="C20" s="980"/>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302"/>
      <c r="AB20" s="302"/>
      <c r="AC20" s="302"/>
      <c r="AD20" s="302"/>
      <c r="AE20" s="302"/>
    </row>
    <row r="21" spans="1:31" ht="15" x14ac:dyDescent="0.2">
      <c r="A21" s="302"/>
      <c r="B21" s="302"/>
      <c r="C21" s="302"/>
      <c r="D21" s="302"/>
      <c r="E21" s="302"/>
      <c r="F21" s="302"/>
      <c r="G21" s="302"/>
      <c r="H21" s="302"/>
      <c r="I21" s="302"/>
      <c r="J21" s="302"/>
      <c r="K21" s="302"/>
      <c r="L21" s="302" t="s">
        <v>1384</v>
      </c>
      <c r="M21" s="858">
        <f>12265*1.6*2.1</f>
        <v>41210.400000000001</v>
      </c>
      <c r="N21" s="858">
        <f>M21*0.2</f>
        <v>8242.08</v>
      </c>
      <c r="O21" s="302"/>
      <c r="P21" s="302"/>
      <c r="Q21" s="302"/>
      <c r="R21" s="302"/>
      <c r="S21" s="302"/>
      <c r="T21" s="302"/>
      <c r="U21" s="302"/>
      <c r="V21" s="302"/>
      <c r="W21" s="859"/>
      <c r="X21" s="860" t="s">
        <v>1373</v>
      </c>
      <c r="Y21" s="852"/>
      <c r="Z21" s="852"/>
      <c r="AA21" s="852"/>
      <c r="AB21" s="852" t="s">
        <v>1374</v>
      </c>
      <c r="AC21" s="302" t="s">
        <v>1385</v>
      </c>
      <c r="AD21" s="302"/>
      <c r="AE21" s="302"/>
    </row>
    <row r="22" spans="1:31" ht="30" x14ac:dyDescent="0.2">
      <c r="A22" s="302"/>
      <c r="B22" s="302"/>
      <c r="C22" s="302"/>
      <c r="D22" s="302"/>
      <c r="E22" s="302"/>
      <c r="F22" s="302"/>
      <c r="G22" s="302"/>
      <c r="H22" s="302"/>
      <c r="I22" s="302"/>
      <c r="J22" s="302"/>
      <c r="K22" s="302"/>
      <c r="L22" s="302" t="s">
        <v>1386</v>
      </c>
      <c r="M22" s="858">
        <f>12265*1.75*0.1</f>
        <v>2146.375</v>
      </c>
      <c r="N22" s="858">
        <f>M22*0.2</f>
        <v>429.27500000000003</v>
      </c>
      <c r="O22" s="302"/>
      <c r="P22" s="302"/>
      <c r="Q22" s="302"/>
      <c r="R22" s="302"/>
      <c r="S22" s="302"/>
      <c r="T22" s="302"/>
      <c r="U22" s="302"/>
      <c r="V22" s="302"/>
      <c r="W22" s="859" t="s">
        <v>1197</v>
      </c>
      <c r="X22" s="861">
        <v>16891100</v>
      </c>
      <c r="Y22" s="852"/>
      <c r="Z22" s="852"/>
      <c r="AA22" s="852"/>
      <c r="AB22" s="862">
        <f>'[3] Расчёт фот первый план'!W22</f>
        <v>16891100</v>
      </c>
      <c r="AC22" s="302"/>
      <c r="AD22" s="302"/>
      <c r="AE22" s="302"/>
    </row>
    <row r="23" spans="1:31" ht="30" x14ac:dyDescent="0.2">
      <c r="A23" s="302"/>
      <c r="B23" s="302"/>
      <c r="C23" s="302"/>
      <c r="D23" s="302"/>
      <c r="E23" s="302"/>
      <c r="F23" s="302"/>
      <c r="G23" s="302"/>
      <c r="H23" s="302"/>
      <c r="I23" s="302"/>
      <c r="J23" s="302"/>
      <c r="K23" s="302"/>
      <c r="L23" s="302" t="s">
        <v>1387</v>
      </c>
      <c r="M23" s="858">
        <f>12265*1.45*0.25</f>
        <v>4446.0625</v>
      </c>
      <c r="N23" s="858">
        <f>M23*0.2</f>
        <v>889.21250000000009</v>
      </c>
      <c r="O23" s="302"/>
      <c r="P23" s="302"/>
      <c r="Q23" s="302"/>
      <c r="R23" s="302"/>
      <c r="S23" s="302"/>
      <c r="T23" s="302"/>
      <c r="U23" s="302"/>
      <c r="V23" s="302"/>
      <c r="W23" s="859">
        <v>211</v>
      </c>
      <c r="X23" s="861">
        <f>'[3]с 01.01.2024-30.06.2024'!W19+'[3]01.09-31.12.24  (2)'!W19+'[3]01.07-31.08.2024'!W19</f>
        <v>11757879.391800001</v>
      </c>
      <c r="Y23" s="852"/>
      <c r="Z23" s="852"/>
      <c r="AA23" s="852"/>
      <c r="AB23" s="862">
        <f>'[3] Расчёт фот первый план'!V19</f>
        <v>12199601.691600004</v>
      </c>
      <c r="AC23" s="307">
        <f>X23-AB23</f>
        <v>-441722.29980000295</v>
      </c>
      <c r="AD23" s="302"/>
      <c r="AE23" s="302"/>
    </row>
    <row r="24" spans="1:31" ht="30" x14ac:dyDescent="0.2">
      <c r="A24" s="302"/>
      <c r="B24" s="302"/>
      <c r="C24" s="302"/>
      <c r="D24" s="302"/>
      <c r="E24" s="302"/>
      <c r="F24" s="302"/>
      <c r="G24" s="302"/>
      <c r="H24" s="302"/>
      <c r="I24" s="302"/>
      <c r="J24" s="302"/>
      <c r="K24" s="302"/>
      <c r="L24" s="302" t="s">
        <v>1388</v>
      </c>
      <c r="M24" s="858">
        <f>12265*1.9*0.5</f>
        <v>11651.75</v>
      </c>
      <c r="N24" s="858">
        <f>M24*0.2</f>
        <v>2330.35</v>
      </c>
      <c r="O24" s="302"/>
      <c r="P24" s="302"/>
      <c r="Q24" s="302"/>
      <c r="R24" s="302"/>
      <c r="S24" s="302"/>
      <c r="T24" s="302"/>
      <c r="U24" s="302"/>
      <c r="V24" s="302"/>
      <c r="W24" s="859">
        <v>213</v>
      </c>
      <c r="X24" s="861">
        <f>X23*0.302</f>
        <v>3550879.5763236005</v>
      </c>
      <c r="Y24" s="852"/>
      <c r="Z24" s="852"/>
      <c r="AA24" s="852"/>
      <c r="AB24" s="862">
        <f>'[3] Расчёт фот первый план'!W19</f>
        <v>3684279.7108632</v>
      </c>
      <c r="AC24" s="307">
        <f>X24-AB24</f>
        <v>-133400.13453959953</v>
      </c>
      <c r="AD24" s="302"/>
      <c r="AE24" s="302"/>
    </row>
    <row r="25" spans="1:31" ht="15.75" x14ac:dyDescent="0.2">
      <c r="A25" s="302"/>
      <c r="B25" s="302"/>
      <c r="C25" s="302"/>
      <c r="D25" s="302"/>
      <c r="E25" s="302"/>
      <c r="F25" s="302"/>
      <c r="G25" s="302"/>
      <c r="H25" s="302"/>
      <c r="I25" s="302"/>
      <c r="J25" s="302"/>
      <c r="K25" s="302"/>
      <c r="L25" s="302"/>
      <c r="M25" s="302"/>
      <c r="N25" s="302"/>
      <c r="O25" s="302"/>
      <c r="P25" s="302"/>
      <c r="Q25" s="302"/>
      <c r="R25" s="302"/>
      <c r="S25" s="302"/>
      <c r="T25" s="302"/>
      <c r="U25" s="302"/>
      <c r="V25" s="302"/>
      <c r="W25" s="859"/>
      <c r="X25" s="861"/>
      <c r="Y25" s="852"/>
      <c r="Z25" s="852"/>
      <c r="AA25" s="852"/>
      <c r="AB25" s="862"/>
      <c r="AC25" s="302"/>
      <c r="AD25" s="302"/>
      <c r="AE25" s="302"/>
    </row>
    <row r="26" spans="1:31" ht="30" x14ac:dyDescent="0.2">
      <c r="A26" s="302"/>
      <c r="B26" s="302"/>
      <c r="C26" s="302"/>
      <c r="D26" s="302"/>
      <c r="E26" s="302"/>
      <c r="F26" s="302"/>
      <c r="G26" s="302"/>
      <c r="H26" s="302"/>
      <c r="I26" s="302"/>
      <c r="J26" s="302"/>
      <c r="K26" s="302"/>
      <c r="L26" s="302"/>
      <c r="M26" s="302"/>
      <c r="N26" s="302"/>
      <c r="O26" s="302"/>
      <c r="P26" s="302"/>
      <c r="Q26" s="302"/>
      <c r="R26" s="302"/>
      <c r="S26" s="302"/>
      <c r="T26" s="302"/>
      <c r="U26" s="302"/>
      <c r="V26" s="302"/>
      <c r="W26" s="859" t="s">
        <v>1377</v>
      </c>
      <c r="X26" s="861">
        <f>X22-X23-X24</f>
        <v>1582341.0318763983</v>
      </c>
      <c r="Y26" s="855"/>
      <c r="Z26" s="855">
        <f t="shared" ref="Z26:AB26" si="11">Z22-Z23-Z24</f>
        <v>0</v>
      </c>
      <c r="AA26" s="855">
        <f t="shared" si="11"/>
        <v>0</v>
      </c>
      <c r="AB26" s="855">
        <f t="shared" si="11"/>
        <v>1007218.5975367958</v>
      </c>
      <c r="AC26" s="302"/>
      <c r="AD26" s="302"/>
      <c r="AE26" s="302"/>
    </row>
    <row r="27" spans="1:31" ht="15" x14ac:dyDescent="0.2">
      <c r="A27" s="302"/>
      <c r="B27" s="302"/>
      <c r="C27" s="302"/>
      <c r="D27" s="302"/>
      <c r="E27" s="302"/>
      <c r="F27" s="302"/>
      <c r="G27" s="302"/>
      <c r="H27" s="302"/>
      <c r="I27" s="302"/>
      <c r="J27" s="302"/>
      <c r="K27" s="302"/>
      <c r="L27" s="302"/>
      <c r="M27" s="302"/>
      <c r="N27" s="302"/>
      <c r="O27" s="302"/>
      <c r="P27" s="302"/>
      <c r="Q27" s="302"/>
      <c r="R27" s="302"/>
      <c r="S27" s="302"/>
      <c r="T27" s="302"/>
      <c r="U27" s="302"/>
      <c r="V27" s="302"/>
      <c r="W27" s="302"/>
      <c r="X27" s="307"/>
      <c r="Y27" s="302"/>
      <c r="Z27" s="302"/>
      <c r="AA27" s="302"/>
      <c r="AB27" s="302"/>
      <c r="AC27" s="302"/>
      <c r="AD27" s="302"/>
      <c r="AE27" s="302"/>
    </row>
    <row r="28" spans="1:31" ht="30" x14ac:dyDescent="0.2">
      <c r="A28" s="302"/>
      <c r="B28" s="302"/>
      <c r="C28" s="302"/>
      <c r="D28" s="302"/>
      <c r="E28" s="302"/>
      <c r="F28" s="302"/>
      <c r="G28" s="302"/>
      <c r="H28" s="302"/>
      <c r="I28" s="302"/>
      <c r="J28" s="302"/>
      <c r="K28" s="302"/>
      <c r="L28" s="302"/>
      <c r="M28" s="302"/>
      <c r="N28" s="302"/>
      <c r="O28" s="302"/>
      <c r="P28" s="302"/>
      <c r="Q28" s="302"/>
      <c r="R28" s="302"/>
      <c r="S28" s="302"/>
      <c r="T28" s="302"/>
      <c r="U28" s="302"/>
      <c r="V28" s="302"/>
      <c r="W28" s="302" t="s">
        <v>1378</v>
      </c>
      <c r="X28" s="302">
        <v>919000</v>
      </c>
      <c r="Y28" s="302"/>
      <c r="Z28" s="302"/>
      <c r="AA28" s="302"/>
      <c r="AB28" s="302"/>
      <c r="AC28" s="302"/>
      <c r="AD28" s="302"/>
      <c r="AE28" s="302"/>
    </row>
    <row r="29" spans="1:31" ht="15" x14ac:dyDescent="0.2">
      <c r="A29" s="302"/>
      <c r="B29" s="302"/>
      <c r="C29" s="302"/>
      <c r="D29" s="302"/>
      <c r="E29" s="302"/>
      <c r="F29" s="302"/>
      <c r="G29" s="302"/>
      <c r="H29" s="302"/>
      <c r="I29" s="302"/>
      <c r="J29" s="302"/>
      <c r="K29" s="302"/>
      <c r="L29" s="302"/>
      <c r="M29" s="302"/>
      <c r="N29" s="302"/>
      <c r="O29" s="302"/>
      <c r="P29" s="302"/>
      <c r="Q29" s="302"/>
      <c r="R29" s="302"/>
      <c r="S29" s="302"/>
      <c r="T29" s="302"/>
      <c r="U29" s="302"/>
      <c r="V29" s="302"/>
      <c r="W29" s="302"/>
      <c r="X29" s="857">
        <f>X26-X28</f>
        <v>663341.03187639825</v>
      </c>
      <c r="Y29" s="302"/>
      <c r="Z29" s="302"/>
      <c r="AA29" s="302"/>
      <c r="AB29" s="302"/>
      <c r="AC29" s="302"/>
      <c r="AD29" s="302"/>
      <c r="AE29" s="302"/>
    </row>
    <row r="30" spans="1:31" ht="15" x14ac:dyDescent="0.2">
      <c r="A30" s="302"/>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row>
    <row r="31" spans="1:31" ht="15" x14ac:dyDescent="0.2">
      <c r="A31" s="302"/>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row>
    <row r="32" spans="1:31" ht="15" x14ac:dyDescent="0.2">
      <c r="A32" s="302"/>
      <c r="B32" s="302"/>
      <c r="C32" s="302"/>
      <c r="D32" s="302"/>
      <c r="E32" s="302"/>
      <c r="F32" s="302"/>
      <c r="G32" s="302"/>
      <c r="H32" s="302"/>
      <c r="I32" s="302"/>
      <c r="J32" s="302"/>
      <c r="K32" s="302"/>
      <c r="L32" s="302"/>
      <c r="M32" s="302"/>
      <c r="N32" s="302"/>
      <c r="O32" s="302"/>
      <c r="P32" s="302"/>
      <c r="Q32" s="302"/>
      <c r="R32" s="302"/>
      <c r="S32" s="302"/>
      <c r="T32" s="302"/>
      <c r="U32" s="302"/>
      <c r="V32" s="302"/>
      <c r="W32" s="302"/>
    </row>
    <row r="33" spans="1:23" ht="15" x14ac:dyDescent="0.2">
      <c r="A33" s="302"/>
      <c r="B33" s="302"/>
      <c r="C33" s="302"/>
      <c r="D33" s="302"/>
      <c r="E33" s="302"/>
      <c r="F33" s="302"/>
      <c r="G33" s="302"/>
      <c r="H33" s="302"/>
      <c r="I33" s="302"/>
      <c r="J33" s="302"/>
      <c r="K33" s="302"/>
      <c r="L33" s="302"/>
      <c r="M33" s="302"/>
      <c r="N33" s="302"/>
      <c r="O33" s="302"/>
      <c r="P33" s="302"/>
      <c r="Q33" s="302"/>
      <c r="R33" s="302"/>
      <c r="S33" s="302"/>
      <c r="T33" s="302"/>
      <c r="U33" s="302"/>
      <c r="V33" s="302"/>
      <c r="W33" s="302"/>
    </row>
    <row r="34" spans="1:23" ht="15" x14ac:dyDescent="0.2">
      <c r="A34" s="302"/>
      <c r="B34" s="302"/>
      <c r="C34" s="302"/>
      <c r="D34" s="302"/>
      <c r="E34" s="302"/>
      <c r="F34" s="302"/>
      <c r="G34" s="302"/>
      <c r="H34" s="302"/>
      <c r="I34" s="302"/>
      <c r="J34" s="302"/>
      <c r="K34" s="302"/>
      <c r="L34" s="302"/>
      <c r="M34" s="302"/>
      <c r="N34" s="302"/>
      <c r="O34" s="302"/>
      <c r="P34" s="302"/>
      <c r="Q34" s="302"/>
      <c r="R34" s="302"/>
      <c r="S34" s="302"/>
      <c r="T34" s="302"/>
      <c r="U34" s="302"/>
      <c r="V34" s="302"/>
      <c r="W34" s="302"/>
    </row>
    <row r="35" spans="1:23" ht="15" x14ac:dyDescent="0.2">
      <c r="A35" s="302"/>
      <c r="B35" s="302"/>
      <c r="C35" s="302"/>
      <c r="D35" s="302"/>
      <c r="E35" s="302"/>
      <c r="F35" s="302"/>
      <c r="G35" s="302"/>
      <c r="H35" s="302"/>
      <c r="I35" s="302"/>
      <c r="J35" s="302"/>
      <c r="K35" s="302"/>
      <c r="L35" s="302"/>
      <c r="M35" s="302"/>
      <c r="N35" s="302"/>
      <c r="O35" s="302"/>
      <c r="P35" s="302"/>
      <c r="Q35" s="302"/>
      <c r="R35" s="302"/>
      <c r="S35" s="302"/>
      <c r="T35" s="302"/>
      <c r="U35" s="302"/>
      <c r="V35" s="302"/>
      <c r="W35" s="302"/>
    </row>
    <row r="36" spans="1:23" ht="15" x14ac:dyDescent="0.2">
      <c r="A36" s="302"/>
      <c r="B36" s="302"/>
      <c r="C36" s="302"/>
      <c r="D36" s="302"/>
      <c r="E36" s="302"/>
      <c r="F36" s="302"/>
      <c r="G36" s="302"/>
      <c r="H36" s="302"/>
      <c r="I36" s="302"/>
      <c r="J36" s="302"/>
      <c r="K36" s="302"/>
      <c r="L36" s="302"/>
      <c r="M36" s="302"/>
      <c r="N36" s="302"/>
      <c r="O36" s="302"/>
      <c r="P36" s="302"/>
      <c r="Q36" s="302"/>
      <c r="R36" s="302"/>
      <c r="S36" s="302"/>
      <c r="T36" s="302"/>
      <c r="U36" s="302"/>
      <c r="V36" s="302"/>
      <c r="W36" s="302"/>
    </row>
    <row r="37" spans="1:23" ht="15" x14ac:dyDescent="0.2">
      <c r="A37" s="302"/>
      <c r="B37" s="302"/>
      <c r="C37" s="302"/>
      <c r="D37" s="302"/>
      <c r="E37" s="302"/>
      <c r="F37" s="302"/>
      <c r="G37" s="302"/>
      <c r="H37" s="302"/>
      <c r="I37" s="302"/>
      <c r="J37" s="302"/>
      <c r="K37" s="302"/>
      <c r="L37" s="302"/>
      <c r="M37" s="302"/>
      <c r="N37" s="302"/>
      <c r="O37" s="302"/>
      <c r="P37" s="302"/>
      <c r="Q37" s="302"/>
      <c r="R37" s="302"/>
      <c r="S37" s="302"/>
      <c r="T37" s="302"/>
      <c r="U37" s="302"/>
      <c r="V37" s="302"/>
      <c r="W37" s="302"/>
    </row>
    <row r="38" spans="1:23" ht="15" x14ac:dyDescent="0.2">
      <c r="A38" s="302"/>
      <c r="B38" s="302"/>
      <c r="C38" s="302"/>
      <c r="D38" s="302"/>
      <c r="E38" s="302"/>
      <c r="F38" s="302"/>
      <c r="G38" s="302"/>
      <c r="H38" s="302"/>
      <c r="I38" s="302"/>
      <c r="J38" s="302"/>
      <c r="K38" s="302"/>
      <c r="L38" s="302"/>
      <c r="M38" s="302"/>
      <c r="N38" s="302"/>
      <c r="O38" s="302"/>
      <c r="P38" s="302"/>
      <c r="Q38" s="302"/>
      <c r="R38" s="302"/>
      <c r="S38" s="302"/>
      <c r="T38" s="302"/>
      <c r="U38" s="302"/>
      <c r="V38" s="302"/>
      <c r="W38" s="302"/>
    </row>
    <row r="39" spans="1:23" ht="15" x14ac:dyDescent="0.2">
      <c r="A39" s="302"/>
      <c r="B39" s="302"/>
      <c r="C39" s="302"/>
      <c r="D39" s="302"/>
      <c r="E39" s="302"/>
      <c r="F39" s="302"/>
      <c r="G39" s="302"/>
      <c r="H39" s="302"/>
      <c r="I39" s="302"/>
      <c r="J39" s="302"/>
      <c r="K39" s="302"/>
      <c r="L39" s="302"/>
      <c r="M39" s="302"/>
      <c r="N39" s="302"/>
      <c r="O39" s="302"/>
      <c r="P39" s="302"/>
      <c r="Q39" s="302"/>
      <c r="R39" s="302"/>
      <c r="S39" s="302"/>
      <c r="T39" s="302"/>
      <c r="U39" s="302"/>
      <c r="V39" s="302"/>
      <c r="W39" s="302"/>
    </row>
    <row r="40" spans="1:23" ht="15" x14ac:dyDescent="0.2">
      <c r="A40" s="302"/>
      <c r="B40" s="302"/>
      <c r="C40" s="302"/>
      <c r="D40" s="302"/>
      <c r="E40" s="302"/>
      <c r="F40" s="302"/>
      <c r="G40" s="302"/>
      <c r="H40" s="302"/>
      <c r="I40" s="302"/>
      <c r="J40" s="302"/>
      <c r="K40" s="302"/>
      <c r="L40" s="302"/>
      <c r="M40" s="302"/>
      <c r="N40" s="302"/>
      <c r="O40" s="302"/>
      <c r="P40" s="302"/>
      <c r="Q40" s="302"/>
      <c r="R40" s="302"/>
      <c r="S40" s="302"/>
      <c r="T40" s="302"/>
      <c r="U40" s="302"/>
      <c r="V40" s="302"/>
      <c r="W40" s="302"/>
    </row>
    <row r="41" spans="1:23" ht="15" x14ac:dyDescent="0.2">
      <c r="A41" s="302"/>
      <c r="B41" s="302"/>
      <c r="C41" s="302"/>
      <c r="D41" s="302"/>
      <c r="E41" s="302"/>
      <c r="F41" s="302"/>
      <c r="G41" s="302"/>
      <c r="H41" s="302"/>
      <c r="I41" s="302"/>
      <c r="J41" s="302"/>
      <c r="K41" s="302"/>
      <c r="L41" s="302"/>
      <c r="M41" s="302"/>
      <c r="N41" s="302"/>
      <c r="O41" s="302"/>
      <c r="P41" s="302"/>
      <c r="Q41" s="302"/>
      <c r="R41" s="302"/>
      <c r="S41" s="302"/>
      <c r="T41" s="302"/>
      <c r="U41" s="302"/>
      <c r="V41" s="302"/>
      <c r="W41" s="302"/>
    </row>
    <row r="42" spans="1:23" ht="15" x14ac:dyDescent="0.2">
      <c r="A42" s="302"/>
      <c r="B42" s="302"/>
      <c r="C42" s="302"/>
      <c r="D42" s="302"/>
      <c r="E42" s="302"/>
      <c r="F42" s="302"/>
      <c r="G42" s="302"/>
      <c r="H42" s="302"/>
      <c r="I42" s="302"/>
      <c r="J42" s="302"/>
      <c r="K42" s="302"/>
      <c r="L42" s="302"/>
      <c r="M42" s="302"/>
      <c r="N42" s="302"/>
      <c r="O42" s="302"/>
      <c r="P42" s="302"/>
      <c r="Q42" s="302"/>
      <c r="R42" s="302"/>
      <c r="S42" s="302"/>
      <c r="T42" s="302"/>
      <c r="U42" s="302"/>
      <c r="V42" s="302"/>
      <c r="W42" s="302"/>
    </row>
    <row r="43" spans="1:23" ht="15" x14ac:dyDescent="0.2">
      <c r="A43" s="302"/>
      <c r="B43" s="302"/>
      <c r="C43" s="302"/>
      <c r="D43" s="302"/>
      <c r="E43" s="302"/>
      <c r="F43" s="302"/>
      <c r="G43" s="302"/>
      <c r="H43" s="302"/>
      <c r="I43" s="302"/>
      <c r="J43" s="302"/>
      <c r="K43" s="302"/>
      <c r="L43" s="302"/>
      <c r="M43" s="302"/>
      <c r="N43" s="302"/>
      <c r="O43" s="302"/>
      <c r="P43" s="302"/>
      <c r="Q43" s="302"/>
      <c r="R43" s="302"/>
      <c r="S43" s="302"/>
      <c r="T43" s="302"/>
      <c r="U43" s="302"/>
      <c r="V43" s="302"/>
      <c r="W43" s="302"/>
    </row>
    <row r="44" spans="1:23" ht="15" x14ac:dyDescent="0.2">
      <c r="A44" s="302"/>
      <c r="B44" s="302"/>
      <c r="C44" s="302"/>
      <c r="D44" s="302"/>
      <c r="E44" s="302"/>
      <c r="F44" s="302"/>
      <c r="G44" s="302"/>
      <c r="H44" s="302"/>
      <c r="I44" s="302"/>
      <c r="J44" s="302"/>
      <c r="K44" s="302"/>
      <c r="L44" s="302"/>
      <c r="M44" s="302"/>
      <c r="N44" s="302"/>
      <c r="O44" s="302"/>
      <c r="P44" s="302"/>
      <c r="Q44" s="302"/>
      <c r="R44" s="302"/>
      <c r="S44" s="302"/>
      <c r="T44" s="302"/>
      <c r="U44" s="302"/>
      <c r="V44" s="302"/>
      <c r="W44" s="302"/>
    </row>
    <row r="45" spans="1:23" ht="15" x14ac:dyDescent="0.2">
      <c r="A45" s="302"/>
      <c r="B45" s="302"/>
      <c r="C45" s="302"/>
      <c r="D45" s="302"/>
      <c r="E45" s="302"/>
      <c r="F45" s="302"/>
      <c r="G45" s="302"/>
      <c r="H45" s="302"/>
      <c r="I45" s="302"/>
      <c r="J45" s="302"/>
      <c r="K45" s="302"/>
      <c r="L45" s="302"/>
      <c r="M45" s="302"/>
      <c r="N45" s="302"/>
      <c r="O45" s="302"/>
      <c r="P45" s="302"/>
      <c r="Q45" s="302"/>
      <c r="R45" s="302"/>
      <c r="S45" s="302"/>
      <c r="T45" s="302"/>
      <c r="U45" s="302"/>
      <c r="V45" s="302"/>
      <c r="W45" s="302"/>
    </row>
    <row r="46" spans="1:23" ht="15" x14ac:dyDescent="0.2">
      <c r="A46" s="302"/>
      <c r="B46" s="302"/>
      <c r="C46" s="302"/>
      <c r="D46" s="302"/>
      <c r="E46" s="302"/>
      <c r="F46" s="302"/>
      <c r="G46" s="302"/>
      <c r="H46" s="302"/>
      <c r="I46" s="302"/>
      <c r="J46" s="302"/>
      <c r="K46" s="302"/>
      <c r="L46" s="302"/>
      <c r="M46" s="302"/>
      <c r="N46" s="302"/>
      <c r="O46" s="302"/>
      <c r="P46" s="302"/>
      <c r="Q46" s="302"/>
      <c r="R46" s="302"/>
      <c r="S46" s="302"/>
      <c r="T46" s="302"/>
      <c r="U46" s="302"/>
      <c r="V46" s="302"/>
      <c r="W46" s="302"/>
    </row>
    <row r="47" spans="1:23" ht="15" x14ac:dyDescent="0.2">
      <c r="A47" s="302"/>
      <c r="B47" s="302"/>
      <c r="C47" s="302"/>
      <c r="D47" s="302"/>
      <c r="E47" s="302"/>
      <c r="F47" s="302"/>
      <c r="G47" s="302"/>
      <c r="H47" s="302"/>
      <c r="I47" s="302"/>
      <c r="J47" s="302"/>
      <c r="K47" s="302"/>
      <c r="L47" s="302"/>
      <c r="M47" s="302"/>
      <c r="N47" s="302"/>
      <c r="O47" s="302"/>
      <c r="P47" s="302"/>
      <c r="Q47" s="302"/>
      <c r="R47" s="302"/>
      <c r="S47" s="302"/>
      <c r="T47" s="302"/>
      <c r="U47" s="302"/>
      <c r="V47" s="302"/>
      <c r="W47" s="302"/>
    </row>
    <row r="48" spans="1:23" ht="15" x14ac:dyDescent="0.2">
      <c r="A48" s="302"/>
      <c r="B48" s="302"/>
      <c r="C48" s="302"/>
      <c r="D48" s="302"/>
      <c r="E48" s="302"/>
      <c r="F48" s="302"/>
      <c r="G48" s="302"/>
      <c r="H48" s="302"/>
      <c r="I48" s="302"/>
      <c r="J48" s="302"/>
      <c r="K48" s="302"/>
      <c r="L48" s="302"/>
      <c r="M48" s="302"/>
      <c r="N48" s="302"/>
      <c r="O48" s="302"/>
      <c r="P48" s="302"/>
      <c r="Q48" s="302"/>
      <c r="R48" s="302"/>
      <c r="S48" s="302"/>
      <c r="T48" s="302"/>
      <c r="U48" s="302"/>
      <c r="V48" s="302"/>
      <c r="W48" s="302"/>
    </row>
    <row r="49" spans="1:23" ht="15" x14ac:dyDescent="0.2">
      <c r="A49" s="302"/>
      <c r="B49" s="302"/>
      <c r="C49" s="302"/>
      <c r="D49" s="302"/>
      <c r="E49" s="302"/>
      <c r="F49" s="302"/>
      <c r="G49" s="302"/>
      <c r="H49" s="302"/>
      <c r="I49" s="302"/>
      <c r="J49" s="302"/>
      <c r="K49" s="302"/>
      <c r="L49" s="302"/>
      <c r="M49" s="302"/>
      <c r="N49" s="302"/>
      <c r="O49" s="302"/>
      <c r="P49" s="302"/>
      <c r="Q49" s="302"/>
      <c r="R49" s="302"/>
      <c r="S49" s="302"/>
      <c r="T49" s="302"/>
      <c r="U49" s="302"/>
      <c r="V49" s="302"/>
      <c r="W49" s="302"/>
    </row>
    <row r="50" spans="1:23" ht="15" x14ac:dyDescent="0.2">
      <c r="A50" s="302"/>
      <c r="B50" s="302"/>
      <c r="C50" s="302"/>
      <c r="D50" s="302"/>
      <c r="E50" s="302"/>
      <c r="F50" s="302"/>
      <c r="G50" s="302"/>
      <c r="H50" s="302"/>
      <c r="I50" s="302"/>
      <c r="J50" s="302"/>
      <c r="K50" s="302"/>
      <c r="L50" s="302"/>
      <c r="M50" s="302"/>
      <c r="N50" s="302"/>
      <c r="O50" s="302"/>
      <c r="P50" s="302"/>
      <c r="Q50" s="302"/>
      <c r="R50" s="302"/>
      <c r="S50" s="302"/>
      <c r="T50" s="302"/>
      <c r="U50" s="302"/>
      <c r="V50" s="302"/>
      <c r="W50" s="302"/>
    </row>
    <row r="51" spans="1:23" ht="15" x14ac:dyDescent="0.2">
      <c r="A51" s="302"/>
      <c r="B51" s="302"/>
      <c r="C51" s="302"/>
      <c r="D51" s="302"/>
      <c r="E51" s="302"/>
      <c r="F51" s="302"/>
      <c r="G51" s="302"/>
      <c r="H51" s="302"/>
      <c r="I51" s="302"/>
      <c r="J51" s="302"/>
      <c r="K51" s="302"/>
      <c r="L51" s="302"/>
      <c r="M51" s="302"/>
      <c r="N51" s="302"/>
      <c r="O51" s="302"/>
      <c r="P51" s="302"/>
      <c r="Q51" s="302"/>
      <c r="R51" s="302"/>
      <c r="S51" s="302"/>
      <c r="T51" s="302"/>
      <c r="U51" s="302"/>
      <c r="V51" s="302"/>
      <c r="W51" s="302"/>
    </row>
  </sheetData>
  <mergeCells count="38">
    <mergeCell ref="A19:B19"/>
    <mergeCell ref="A8:B8"/>
    <mergeCell ref="A9:B9"/>
    <mergeCell ref="A10:B10"/>
    <mergeCell ref="A11:B11"/>
    <mergeCell ref="A12:B12"/>
    <mergeCell ref="A13:B13"/>
    <mergeCell ref="A14:B14"/>
    <mergeCell ref="A15:B15"/>
    <mergeCell ref="A16:B16"/>
    <mergeCell ref="A17:B17"/>
    <mergeCell ref="A18:B18"/>
    <mergeCell ref="A7:B7"/>
    <mergeCell ref="T2:T4"/>
    <mergeCell ref="V2:V4"/>
    <mergeCell ref="W2:W4"/>
    <mergeCell ref="X2:X4"/>
    <mergeCell ref="E3:F3"/>
    <mergeCell ref="G3:G4"/>
    <mergeCell ref="H3:I3"/>
    <mergeCell ref="M3:M4"/>
    <mergeCell ref="N3:N4"/>
    <mergeCell ref="O3:O4"/>
    <mergeCell ref="P3:P4"/>
    <mergeCell ref="Q3:Q4"/>
    <mergeCell ref="R3:R4"/>
    <mergeCell ref="A5:B5"/>
    <mergeCell ref="A6:B6"/>
    <mergeCell ref="A1:W1"/>
    <mergeCell ref="A2:B4"/>
    <mergeCell ref="C2:C4"/>
    <mergeCell ref="D2:D4"/>
    <mergeCell ref="E2:I2"/>
    <mergeCell ref="J2:J4"/>
    <mergeCell ref="K2:K4"/>
    <mergeCell ref="L2:L4"/>
    <mergeCell ref="M2:R2"/>
    <mergeCell ref="S2:S4"/>
  </mergeCells>
  <pageMargins left="0.70866141732283472" right="0.70866141732283472" top="0.74803149606299213" bottom="0.74803149606299213" header="0.31496062992125984" footer="0.31496062992125984"/>
  <pageSetup paperSize="9" scale="4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A20"/>
  <sheetViews>
    <sheetView view="pageBreakPreview" zoomScale="60" zoomScaleNormal="100" workbookViewId="0">
      <selection activeCell="A42" sqref="A42"/>
    </sheetView>
  </sheetViews>
  <sheetFormatPr defaultRowHeight="12.75" x14ac:dyDescent="0.2"/>
  <cols>
    <col min="10" max="10" width="13" customWidth="1"/>
    <col min="12" max="12" width="16.42578125" customWidth="1"/>
    <col min="13" max="13" width="12.7109375" customWidth="1"/>
    <col min="14" max="14" width="15.140625" customWidth="1"/>
    <col min="16" max="16" width="13.7109375" customWidth="1"/>
    <col min="18" max="18" width="18.140625" customWidth="1"/>
    <col min="19" max="19" width="11.85546875" customWidth="1"/>
    <col min="20" max="20" width="12.28515625" customWidth="1"/>
    <col min="21" max="21" width="12.140625" customWidth="1"/>
    <col min="22" max="22" width="18.28515625" customWidth="1"/>
    <col min="23" max="23" width="12.7109375" customWidth="1"/>
    <col min="25" max="25" width="13.42578125" customWidth="1"/>
    <col min="26" max="26" width="12.5703125" customWidth="1"/>
  </cols>
  <sheetData>
    <row r="1" spans="1:27" ht="21" thickBot="1" x14ac:dyDescent="0.25">
      <c r="A1" s="1646" t="s">
        <v>1417</v>
      </c>
      <c r="B1" s="1646"/>
      <c r="C1" s="1646"/>
      <c r="D1" s="1646"/>
      <c r="E1" s="1646"/>
      <c r="F1" s="1646"/>
      <c r="G1" s="1646"/>
      <c r="H1" s="1646"/>
      <c r="I1" s="1646"/>
      <c r="J1" s="1646"/>
      <c r="K1" s="1646"/>
      <c r="L1" s="1646"/>
      <c r="M1" s="1647"/>
      <c r="N1" s="1647"/>
      <c r="O1" s="1647"/>
      <c r="P1" s="1647"/>
      <c r="Q1" s="1647"/>
      <c r="R1" s="1647"/>
      <c r="S1" s="1646"/>
      <c r="T1" s="1646"/>
      <c r="U1" s="1646"/>
      <c r="V1" s="1646"/>
      <c r="W1" s="301"/>
      <c r="X1" s="302"/>
      <c r="Y1" s="302"/>
      <c r="Z1" s="302"/>
      <c r="AA1" s="302"/>
    </row>
    <row r="2" spans="1:27" ht="15" x14ac:dyDescent="0.2">
      <c r="A2" s="1714" t="s">
        <v>794</v>
      </c>
      <c r="B2" s="1715"/>
      <c r="C2" s="1718" t="s">
        <v>795</v>
      </c>
      <c r="D2" s="1721" t="s">
        <v>796</v>
      </c>
      <c r="E2" s="1724" t="s">
        <v>797</v>
      </c>
      <c r="F2" s="1725"/>
      <c r="G2" s="1725"/>
      <c r="H2" s="1725"/>
      <c r="I2" s="1726"/>
      <c r="J2" s="1727" t="s">
        <v>798</v>
      </c>
      <c r="K2" s="1727" t="s">
        <v>799</v>
      </c>
      <c r="L2" s="1727" t="s">
        <v>800</v>
      </c>
      <c r="M2" s="1730" t="s">
        <v>801</v>
      </c>
      <c r="N2" s="1730"/>
      <c r="O2" s="1730"/>
      <c r="P2" s="1730"/>
      <c r="Q2" s="1730"/>
      <c r="R2" s="1730"/>
      <c r="S2" s="1731" t="s">
        <v>802</v>
      </c>
      <c r="T2" s="1735" t="s">
        <v>803</v>
      </c>
      <c r="U2" s="1727" t="s">
        <v>804</v>
      </c>
      <c r="V2" s="1727" t="s">
        <v>805</v>
      </c>
      <c r="W2" s="1727" t="s">
        <v>806</v>
      </c>
      <c r="X2" s="302"/>
      <c r="Y2" s="302"/>
      <c r="Z2" s="302"/>
      <c r="AA2" s="302"/>
    </row>
    <row r="3" spans="1:27" ht="15" x14ac:dyDescent="0.2">
      <c r="A3" s="1716"/>
      <c r="B3" s="1717"/>
      <c r="C3" s="1719"/>
      <c r="D3" s="1722"/>
      <c r="E3" s="1736" t="s">
        <v>807</v>
      </c>
      <c r="F3" s="1737"/>
      <c r="G3" s="1738" t="s">
        <v>808</v>
      </c>
      <c r="H3" s="1736" t="s">
        <v>809</v>
      </c>
      <c r="I3" s="1737"/>
      <c r="J3" s="1719"/>
      <c r="K3" s="1728"/>
      <c r="L3" s="1728"/>
      <c r="M3" s="1740" t="s">
        <v>1211</v>
      </c>
      <c r="N3" s="1740" t="s">
        <v>1212</v>
      </c>
      <c r="O3" s="1740" t="s">
        <v>812</v>
      </c>
      <c r="P3" s="1741" t="s">
        <v>813</v>
      </c>
      <c r="Q3" s="1741"/>
      <c r="R3" s="1741" t="s">
        <v>189</v>
      </c>
      <c r="S3" s="1732"/>
      <c r="T3" s="1722"/>
      <c r="U3" s="1719"/>
      <c r="V3" s="1719"/>
      <c r="W3" s="1719"/>
      <c r="X3" s="302"/>
      <c r="Y3" s="302"/>
      <c r="Z3" s="302"/>
      <c r="AA3" s="302"/>
    </row>
    <row r="4" spans="1:27" ht="137.25" x14ac:dyDescent="0.2">
      <c r="A4" s="1716"/>
      <c r="B4" s="1717"/>
      <c r="C4" s="1720"/>
      <c r="D4" s="1723"/>
      <c r="E4" s="304" t="s">
        <v>814</v>
      </c>
      <c r="F4" s="304" t="s">
        <v>815</v>
      </c>
      <c r="G4" s="1739"/>
      <c r="H4" s="304" t="s">
        <v>816</v>
      </c>
      <c r="I4" s="304" t="s">
        <v>817</v>
      </c>
      <c r="J4" s="1720"/>
      <c r="K4" s="1729"/>
      <c r="L4" s="1729"/>
      <c r="M4" s="1740"/>
      <c r="N4" s="1740"/>
      <c r="O4" s="1740"/>
      <c r="P4" s="1742"/>
      <c r="Q4" s="1742"/>
      <c r="R4" s="1742"/>
      <c r="S4" s="1733"/>
      <c r="T4" s="1723"/>
      <c r="U4" s="1720"/>
      <c r="V4" s="1720"/>
      <c r="W4" s="1720"/>
      <c r="X4" s="302"/>
      <c r="Y4" s="302"/>
      <c r="Z4" s="302"/>
      <c r="AA4" s="302"/>
    </row>
    <row r="5" spans="1:27" ht="15" x14ac:dyDescent="0.2">
      <c r="A5" s="1743">
        <v>1</v>
      </c>
      <c r="B5" s="1744"/>
      <c r="C5" s="305">
        <v>2</v>
      </c>
      <c r="D5" s="305">
        <v>3</v>
      </c>
      <c r="E5" s="305">
        <v>4</v>
      </c>
      <c r="F5" s="305">
        <v>5</v>
      </c>
      <c r="G5" s="305">
        <v>6</v>
      </c>
      <c r="H5" s="305">
        <v>7</v>
      </c>
      <c r="I5" s="305">
        <v>8</v>
      </c>
      <c r="J5" s="305">
        <v>9</v>
      </c>
      <c r="K5" s="305">
        <v>10</v>
      </c>
      <c r="L5" s="305">
        <v>11</v>
      </c>
      <c r="M5" s="305">
        <v>12</v>
      </c>
      <c r="N5" s="305">
        <v>13</v>
      </c>
      <c r="O5" s="305">
        <v>14</v>
      </c>
      <c r="P5" s="305">
        <v>14</v>
      </c>
      <c r="Q5" s="305">
        <v>16</v>
      </c>
      <c r="R5" s="305">
        <v>15</v>
      </c>
      <c r="S5" s="305">
        <v>16</v>
      </c>
      <c r="T5" s="305">
        <v>17</v>
      </c>
      <c r="U5" s="305">
        <v>18</v>
      </c>
      <c r="V5" s="305">
        <v>19</v>
      </c>
      <c r="W5" s="305">
        <v>20</v>
      </c>
      <c r="X5" s="302"/>
      <c r="Y5" s="302"/>
      <c r="Z5" s="302"/>
      <c r="AA5" s="302"/>
    </row>
    <row r="6" spans="1:27" ht="15" x14ac:dyDescent="0.2">
      <c r="A6" s="1734" t="s">
        <v>1213</v>
      </c>
      <c r="B6" s="1734"/>
      <c r="C6" s="303">
        <v>2</v>
      </c>
      <c r="D6" s="303">
        <v>12265</v>
      </c>
      <c r="E6" s="303"/>
      <c r="F6" s="303"/>
      <c r="G6" s="303"/>
      <c r="H6" s="303"/>
      <c r="I6" s="303">
        <v>1.2</v>
      </c>
      <c r="J6" s="306">
        <f>ROUND(C6*D6*I6,2)</f>
        <v>29436</v>
      </c>
      <c r="K6" s="306"/>
      <c r="L6" s="306">
        <f>J6</f>
        <v>29436</v>
      </c>
      <c r="M6" s="306"/>
      <c r="N6" s="306"/>
      <c r="O6" s="306"/>
      <c r="P6" s="306">
        <f>L6*4%</f>
        <v>1177.44</v>
      </c>
      <c r="Q6" s="306"/>
      <c r="R6" s="306">
        <f>M6+N6+P6</f>
        <v>1177.44</v>
      </c>
      <c r="S6" s="306">
        <f>L6+R6</f>
        <v>30613.439999999999</v>
      </c>
      <c r="T6" s="306">
        <f>L6*27%</f>
        <v>7947.72</v>
      </c>
      <c r="U6" s="306">
        <f>S6+T6</f>
        <v>38561.159999999996</v>
      </c>
      <c r="V6" s="306">
        <f>U6*6</f>
        <v>231366.95999999996</v>
      </c>
      <c r="W6" s="306">
        <f>V6*30.2%</f>
        <v>69872.821919999988</v>
      </c>
      <c r="X6" s="302"/>
      <c r="Y6" s="302" t="s">
        <v>818</v>
      </c>
      <c r="Z6" s="307">
        <f>U6</f>
        <v>38561.159999999996</v>
      </c>
      <c r="AA6" s="302"/>
    </row>
    <row r="7" spans="1:27" ht="32.25" customHeight="1" x14ac:dyDescent="0.2">
      <c r="A7" s="1734" t="s">
        <v>98</v>
      </c>
      <c r="B7" s="1734"/>
      <c r="C7" s="303">
        <v>2</v>
      </c>
      <c r="D7" s="303">
        <v>12265</v>
      </c>
      <c r="E7" s="303"/>
      <c r="F7" s="303"/>
      <c r="G7" s="303"/>
      <c r="H7" s="303"/>
      <c r="I7" s="303">
        <v>1.05</v>
      </c>
      <c r="J7" s="306">
        <f t="shared" ref="J7:J11" si="0">ROUND(C7*D7*I7,2)</f>
        <v>25756.5</v>
      </c>
      <c r="K7" s="306"/>
      <c r="L7" s="306">
        <f>J7</f>
        <v>25756.5</v>
      </c>
      <c r="M7" s="306"/>
      <c r="N7" s="306"/>
      <c r="O7" s="306"/>
      <c r="P7" s="306">
        <f>L7*4%</f>
        <v>1030.26</v>
      </c>
      <c r="Q7" s="306"/>
      <c r="R7" s="306">
        <f t="shared" ref="R7:R11" si="1">M7+N7+P7</f>
        <v>1030.26</v>
      </c>
      <c r="S7" s="306">
        <f t="shared" ref="S7:S12" si="2">L7+R7</f>
        <v>26786.76</v>
      </c>
      <c r="T7" s="306">
        <f t="shared" ref="T7:T11" si="3">L7*27%</f>
        <v>6954.2550000000001</v>
      </c>
      <c r="U7" s="306">
        <f t="shared" ref="U7:U12" si="4">S7+T7</f>
        <v>33741.014999999999</v>
      </c>
      <c r="V7" s="306">
        <f t="shared" ref="V7:V12" si="5">U7*6</f>
        <v>202446.09</v>
      </c>
      <c r="W7" s="306">
        <f t="shared" ref="W7:W12" si="6">V7*30.2%</f>
        <v>61138.71918</v>
      </c>
      <c r="X7" s="302"/>
      <c r="Y7" s="302" t="s">
        <v>819</v>
      </c>
      <c r="Z7" s="307" t="e">
        <f>#REF!+#REF!+#REF!+#REF!+#REF!+#REF!+#REF!+#REF!</f>
        <v>#REF!</v>
      </c>
      <c r="AA7" s="302"/>
    </row>
    <row r="8" spans="1:27" ht="28.5" customHeight="1" x14ac:dyDescent="0.2">
      <c r="A8" s="1746" t="s">
        <v>1210</v>
      </c>
      <c r="B8" s="1747"/>
      <c r="C8" s="303">
        <v>1</v>
      </c>
      <c r="D8" s="303">
        <v>12265</v>
      </c>
      <c r="E8" s="303"/>
      <c r="F8" s="303"/>
      <c r="G8" s="303"/>
      <c r="H8" s="303"/>
      <c r="I8" s="303">
        <v>1.2</v>
      </c>
      <c r="J8" s="306">
        <f t="shared" si="0"/>
        <v>14718</v>
      </c>
      <c r="K8" s="306"/>
      <c r="L8" s="309">
        <f>J8+K8</f>
        <v>14718</v>
      </c>
      <c r="M8" s="309"/>
      <c r="N8" s="309"/>
      <c r="O8" s="311"/>
      <c r="P8" s="309"/>
      <c r="Q8" s="306"/>
      <c r="R8" s="306">
        <f t="shared" si="1"/>
        <v>0</v>
      </c>
      <c r="S8" s="306">
        <f t="shared" si="2"/>
        <v>14718</v>
      </c>
      <c r="T8" s="306">
        <f t="shared" si="3"/>
        <v>3973.86</v>
      </c>
      <c r="U8" s="306">
        <f t="shared" si="4"/>
        <v>18691.86</v>
      </c>
      <c r="V8" s="306">
        <f t="shared" si="5"/>
        <v>112151.16</v>
      </c>
      <c r="W8" s="306">
        <f t="shared" si="6"/>
        <v>33869.650320000001</v>
      </c>
      <c r="X8" s="302"/>
      <c r="Y8" s="307" t="e">
        <f>#REF!+J8+J9</f>
        <v>#REF!</v>
      </c>
      <c r="Z8" s="302" t="e">
        <f>Y8*1%</f>
        <v>#REF!</v>
      </c>
      <c r="AA8" s="302"/>
    </row>
    <row r="9" spans="1:27" ht="15" x14ac:dyDescent="0.2">
      <c r="A9" s="1734" t="s">
        <v>99</v>
      </c>
      <c r="B9" s="1734"/>
      <c r="C9" s="303">
        <v>0.5</v>
      </c>
      <c r="D9" s="303">
        <v>12265</v>
      </c>
      <c r="E9" s="303"/>
      <c r="F9" s="303"/>
      <c r="G9" s="303"/>
      <c r="H9" s="303"/>
      <c r="I9" s="303">
        <v>1.05</v>
      </c>
      <c r="J9" s="306">
        <f t="shared" si="0"/>
        <v>6439.13</v>
      </c>
      <c r="K9" s="306"/>
      <c r="L9" s="309">
        <f>J9</f>
        <v>6439.13</v>
      </c>
      <c r="M9" s="311"/>
      <c r="N9" s="309"/>
      <c r="O9" s="311"/>
      <c r="P9" s="311"/>
      <c r="Q9" s="306"/>
      <c r="R9" s="306">
        <f t="shared" si="1"/>
        <v>0</v>
      </c>
      <c r="S9" s="306">
        <f t="shared" si="2"/>
        <v>6439.13</v>
      </c>
      <c r="T9" s="306">
        <f t="shared" si="3"/>
        <v>1738.5651000000003</v>
      </c>
      <c r="U9" s="306">
        <f t="shared" si="4"/>
        <v>8177.6951000000008</v>
      </c>
      <c r="V9" s="306">
        <f t="shared" si="5"/>
        <v>49066.170600000005</v>
      </c>
      <c r="W9" s="306">
        <f t="shared" si="6"/>
        <v>14817.983521200002</v>
      </c>
      <c r="X9" s="302"/>
      <c r="Y9" s="307"/>
      <c r="Z9" s="302"/>
      <c r="AA9" s="302"/>
    </row>
    <row r="10" spans="1:27" ht="28.5" customHeight="1" x14ac:dyDescent="0.2">
      <c r="A10" s="1734" t="s">
        <v>1209</v>
      </c>
      <c r="B10" s="1734"/>
      <c r="C10" s="303">
        <v>1.5</v>
      </c>
      <c r="D10" s="303">
        <v>12265</v>
      </c>
      <c r="E10" s="312"/>
      <c r="F10" s="303"/>
      <c r="G10" s="312"/>
      <c r="H10" s="312"/>
      <c r="I10" s="303">
        <v>1.05</v>
      </c>
      <c r="J10" s="306">
        <f t="shared" si="0"/>
        <v>19317.38</v>
      </c>
      <c r="K10" s="306"/>
      <c r="L10" s="309">
        <f>J10</f>
        <v>19317.38</v>
      </c>
      <c r="M10" s="313"/>
      <c r="N10" s="306"/>
      <c r="O10" s="306"/>
      <c r="P10" s="306"/>
      <c r="Q10" s="306"/>
      <c r="R10" s="306">
        <f t="shared" si="1"/>
        <v>0</v>
      </c>
      <c r="S10" s="306">
        <f t="shared" si="2"/>
        <v>19317.38</v>
      </c>
      <c r="T10" s="306">
        <f t="shared" si="3"/>
        <v>5215.6926000000003</v>
      </c>
      <c r="U10" s="306">
        <f t="shared" si="4"/>
        <v>24533.0726</v>
      </c>
      <c r="V10" s="306">
        <f t="shared" si="5"/>
        <v>147198.4356</v>
      </c>
      <c r="W10" s="306">
        <f t="shared" si="6"/>
        <v>44453.927551199995</v>
      </c>
      <c r="X10" s="302"/>
      <c r="Y10" s="302"/>
      <c r="Z10" s="302"/>
      <c r="AA10" s="302"/>
    </row>
    <row r="11" spans="1:27" ht="15" x14ac:dyDescent="0.2">
      <c r="A11" s="1734" t="s">
        <v>100</v>
      </c>
      <c r="B11" s="1734"/>
      <c r="C11" s="303">
        <v>1</v>
      </c>
      <c r="D11" s="303">
        <v>12265</v>
      </c>
      <c r="E11" s="303"/>
      <c r="F11" s="303"/>
      <c r="G11" s="303"/>
      <c r="H11" s="303"/>
      <c r="I11" s="303">
        <v>1.05</v>
      </c>
      <c r="J11" s="306">
        <f t="shared" si="0"/>
        <v>12878.25</v>
      </c>
      <c r="K11" s="306"/>
      <c r="L11" s="309">
        <f>J11</f>
        <v>12878.25</v>
      </c>
      <c r="M11" s="313"/>
      <c r="N11" s="306"/>
      <c r="O11" s="306"/>
      <c r="P11" s="306"/>
      <c r="Q11" s="306"/>
      <c r="R11" s="306">
        <f t="shared" si="1"/>
        <v>0</v>
      </c>
      <c r="S11" s="306">
        <f t="shared" si="2"/>
        <v>12878.25</v>
      </c>
      <c r="T11" s="306">
        <f t="shared" si="3"/>
        <v>3477.1275000000001</v>
      </c>
      <c r="U11" s="306">
        <f t="shared" si="4"/>
        <v>16355.377500000001</v>
      </c>
      <c r="V11" s="306">
        <f t="shared" si="5"/>
        <v>98132.264999999999</v>
      </c>
      <c r="W11" s="306">
        <f t="shared" si="6"/>
        <v>29635.944029999999</v>
      </c>
      <c r="X11" s="299"/>
      <c r="Y11" s="299"/>
      <c r="Z11" s="299"/>
      <c r="AA11" s="299"/>
    </row>
    <row r="12" spans="1:27" ht="15" x14ac:dyDescent="0.2">
      <c r="A12" s="1734" t="s">
        <v>101</v>
      </c>
      <c r="B12" s="1734"/>
      <c r="C12" s="303">
        <v>3</v>
      </c>
      <c r="D12" s="303">
        <v>12265</v>
      </c>
      <c r="E12" s="303"/>
      <c r="F12" s="303"/>
      <c r="G12" s="303"/>
      <c r="H12" s="303"/>
      <c r="I12" s="303">
        <v>1.05</v>
      </c>
      <c r="J12" s="306">
        <f>ROUND(C12*D12*I12,2)</f>
        <v>38634.75</v>
      </c>
      <c r="K12" s="306"/>
      <c r="L12" s="309">
        <f>J12</f>
        <v>38634.75</v>
      </c>
      <c r="M12" s="306">
        <v>4024.99</v>
      </c>
      <c r="N12" s="306">
        <v>2314.1999999999998</v>
      </c>
      <c r="O12" s="306"/>
      <c r="P12" s="306"/>
      <c r="Q12" s="306"/>
      <c r="R12" s="306">
        <f>M12+N12+P12</f>
        <v>6339.19</v>
      </c>
      <c r="S12" s="306">
        <f t="shared" si="2"/>
        <v>44973.94</v>
      </c>
      <c r="T12" s="306">
        <v>10160.94</v>
      </c>
      <c r="U12" s="306">
        <f t="shared" si="4"/>
        <v>55134.880000000005</v>
      </c>
      <c r="V12" s="306">
        <f t="shared" si="5"/>
        <v>330809.28000000003</v>
      </c>
      <c r="W12" s="306">
        <f t="shared" si="6"/>
        <v>99904.402560000002</v>
      </c>
      <c r="X12" s="299"/>
      <c r="Y12" s="299"/>
      <c r="Z12" s="299"/>
      <c r="AA12" s="299"/>
    </row>
    <row r="13" spans="1:27" ht="14.25" x14ac:dyDescent="0.2">
      <c r="A13" s="1748" t="s">
        <v>189</v>
      </c>
      <c r="B13" s="1748"/>
      <c r="C13" s="314">
        <f>SUM(C6:C12)</f>
        <v>11</v>
      </c>
      <c r="D13" s="314"/>
      <c r="E13" s="314"/>
      <c r="F13" s="314"/>
      <c r="G13" s="314"/>
      <c r="H13" s="314"/>
      <c r="I13" s="314"/>
      <c r="J13" s="313">
        <f>SUM(J6:J12)</f>
        <v>147180.01</v>
      </c>
      <c r="K13" s="313">
        <f t="shared" ref="K13:W13" si="7">SUM(K6:K12)</f>
        <v>0</v>
      </c>
      <c r="L13" s="313">
        <f t="shared" si="7"/>
        <v>147180.01</v>
      </c>
      <c r="M13" s="313">
        <f t="shared" si="7"/>
        <v>4024.99</v>
      </c>
      <c r="N13" s="313">
        <f t="shared" si="7"/>
        <v>2314.1999999999998</v>
      </c>
      <c r="O13" s="313">
        <f t="shared" si="7"/>
        <v>0</v>
      </c>
      <c r="P13" s="313">
        <f t="shared" si="7"/>
        <v>2207.6999999999998</v>
      </c>
      <c r="Q13" s="313">
        <f t="shared" si="7"/>
        <v>0</v>
      </c>
      <c r="R13" s="313">
        <f t="shared" si="7"/>
        <v>8546.89</v>
      </c>
      <c r="S13" s="313">
        <f t="shared" si="7"/>
        <v>155726.90000000002</v>
      </c>
      <c r="T13" s="313">
        <f t="shared" si="7"/>
        <v>39468.160199999998</v>
      </c>
      <c r="U13" s="313">
        <f t="shared" si="7"/>
        <v>195195.06019999998</v>
      </c>
      <c r="V13" s="313">
        <f>SUM(V6:V12)</f>
        <v>1171170.3611999999</v>
      </c>
      <c r="W13" s="313">
        <f t="shared" si="7"/>
        <v>353693.44908240001</v>
      </c>
      <c r="X13" s="315"/>
      <c r="Y13" s="315"/>
      <c r="Z13" s="315"/>
      <c r="AA13" s="315"/>
    </row>
    <row r="14" spans="1:27" ht="15" x14ac:dyDescent="0.2">
      <c r="A14" s="316"/>
      <c r="B14" s="316"/>
      <c r="C14" s="317"/>
      <c r="D14" s="317"/>
      <c r="E14" s="317"/>
      <c r="F14" s="317"/>
      <c r="G14" s="317"/>
      <c r="H14" s="317"/>
      <c r="I14" s="317"/>
      <c r="J14" s="318"/>
      <c r="K14" s="318"/>
      <c r="L14" s="318"/>
      <c r="M14" s="319"/>
      <c r="N14" s="319"/>
      <c r="O14" s="319"/>
      <c r="P14" s="319"/>
      <c r="Q14" s="319"/>
      <c r="R14" s="319"/>
      <c r="S14" s="319"/>
      <c r="T14" s="320"/>
      <c r="U14" s="319"/>
      <c r="V14" s="319"/>
      <c r="W14" s="319"/>
      <c r="X14" s="302"/>
      <c r="Y14" s="302"/>
      <c r="Z14" s="302"/>
      <c r="AA14" s="302"/>
    </row>
    <row r="15" spans="1:27" ht="15" x14ac:dyDescent="0.2">
      <c r="A15" s="302" t="s">
        <v>1214</v>
      </c>
      <c r="B15" s="1745" t="s">
        <v>1215</v>
      </c>
      <c r="C15" s="1745"/>
      <c r="D15" s="1745"/>
      <c r="E15" s="1745"/>
      <c r="F15" s="1745"/>
      <c r="G15" s="1745"/>
      <c r="H15" s="1745"/>
      <c r="I15" s="302"/>
      <c r="J15" s="302"/>
      <c r="K15" s="302"/>
      <c r="L15" s="302"/>
      <c r="M15" s="302"/>
      <c r="N15" s="302"/>
      <c r="O15" s="302"/>
      <c r="P15" s="302"/>
      <c r="Q15" s="302"/>
      <c r="R15" s="302"/>
      <c r="S15" s="302"/>
      <c r="T15" s="302"/>
      <c r="U15" s="302"/>
      <c r="V15" s="302"/>
      <c r="W15" s="307"/>
      <c r="X15" s="302"/>
      <c r="Y15" s="302"/>
      <c r="Z15" s="302"/>
      <c r="AA15" s="302"/>
    </row>
    <row r="16" spans="1:27" ht="15" x14ac:dyDescent="0.2">
      <c r="A16" s="302"/>
      <c r="B16" s="1745" t="s">
        <v>1216</v>
      </c>
      <c r="C16" s="1745"/>
      <c r="D16" s="1745"/>
      <c r="E16" s="1745"/>
      <c r="F16" s="1745"/>
      <c r="G16" s="1745"/>
      <c r="H16" s="302"/>
      <c r="I16" s="302"/>
      <c r="J16" s="302"/>
      <c r="K16" s="302"/>
      <c r="L16" s="302"/>
      <c r="M16" s="302"/>
      <c r="N16" s="302"/>
      <c r="O16" s="302"/>
      <c r="P16" s="302"/>
      <c r="Q16" s="302"/>
      <c r="R16" s="302"/>
      <c r="S16" s="302"/>
      <c r="T16" s="302"/>
      <c r="U16" s="302"/>
      <c r="V16" s="302"/>
      <c r="W16" s="302"/>
      <c r="X16" s="302"/>
      <c r="Y16" s="302"/>
      <c r="Z16" s="302"/>
      <c r="AA16" s="302"/>
    </row>
    <row r="17" spans="1:27" ht="15" x14ac:dyDescent="0.2">
      <c r="A17" s="302" t="s">
        <v>1217</v>
      </c>
      <c r="B17" s="1745" t="s">
        <v>1218</v>
      </c>
      <c r="C17" s="1745"/>
      <c r="D17" s="1745"/>
      <c r="E17" s="1745"/>
      <c r="F17" s="1745"/>
      <c r="G17" s="1745"/>
      <c r="H17" s="1745"/>
      <c r="I17" s="1745"/>
      <c r="J17" s="1745"/>
      <c r="K17" s="1745"/>
      <c r="L17" s="302"/>
      <c r="M17" s="302"/>
      <c r="N17" s="302"/>
      <c r="O17" s="302"/>
      <c r="P17" s="302"/>
      <c r="Q17" s="302"/>
      <c r="R17" s="302"/>
      <c r="S17" s="302"/>
      <c r="T17" s="302"/>
      <c r="U17" s="302"/>
      <c r="V17" s="302"/>
      <c r="W17" s="302"/>
      <c r="X17" s="302"/>
      <c r="Y17" s="302"/>
      <c r="Z17" s="302"/>
      <c r="AA17" s="302"/>
    </row>
    <row r="18" spans="1:27" ht="15" x14ac:dyDescent="0.2">
      <c r="A18" s="302"/>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row>
    <row r="19" spans="1:27" ht="15" x14ac:dyDescent="0.2">
      <c r="A19" s="302"/>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row>
    <row r="20" spans="1:27" ht="15" x14ac:dyDescent="0.2">
      <c r="A20" s="302"/>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row>
  </sheetData>
  <mergeCells count="35">
    <mergeCell ref="B15:H15"/>
    <mergeCell ref="B16:G16"/>
    <mergeCell ref="B17:K17"/>
    <mergeCell ref="A8:B8"/>
    <mergeCell ref="A9:B9"/>
    <mergeCell ref="A10:B10"/>
    <mergeCell ref="A11:B11"/>
    <mergeCell ref="A12:B12"/>
    <mergeCell ref="A13:B13"/>
    <mergeCell ref="A7:B7"/>
    <mergeCell ref="T2:T4"/>
    <mergeCell ref="U2:U4"/>
    <mergeCell ref="V2:V4"/>
    <mergeCell ref="W2:W4"/>
    <mergeCell ref="E3:F3"/>
    <mergeCell ref="G3:G4"/>
    <mergeCell ref="H3:I3"/>
    <mergeCell ref="M3:M4"/>
    <mergeCell ref="N3:N4"/>
    <mergeCell ref="O3:O4"/>
    <mergeCell ref="P3:P4"/>
    <mergeCell ref="Q3:Q4"/>
    <mergeCell ref="R3:R4"/>
    <mergeCell ref="A5:B5"/>
    <mergeCell ref="A6:B6"/>
    <mergeCell ref="A1:V1"/>
    <mergeCell ref="A2:B4"/>
    <mergeCell ref="C2:C4"/>
    <mergeCell ref="D2:D4"/>
    <mergeCell ref="E2:I2"/>
    <mergeCell ref="J2:J4"/>
    <mergeCell ref="K2:K4"/>
    <mergeCell ref="L2:L4"/>
    <mergeCell ref="M2:R2"/>
    <mergeCell ref="S2:S4"/>
  </mergeCells>
  <pageMargins left="0.70866141732283472" right="0.70866141732283472" top="0.74803149606299213" bottom="0.74803149606299213" header="0.31496062992125984" footer="0.31496062992125984"/>
  <pageSetup paperSize="9" scale="50" orientation="landscape" r:id="rId1"/>
  <colBreaks count="1" manualBreakCount="1">
    <brk id="2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44</vt:i4>
      </vt:variant>
    </vt:vector>
  </HeadingPairs>
  <TitlesOfParts>
    <vt:vector size="105" baseType="lpstr">
      <vt:lpstr>Приложение 1</vt:lpstr>
      <vt:lpstr>раздел 2 прил. 1</vt:lpstr>
      <vt:lpstr>Прил2 Доходы</vt:lpstr>
      <vt:lpstr>Прилож 4 24 (11)</vt:lpstr>
      <vt:lpstr>0701 211, 266</vt:lpstr>
      <vt:lpstr>расч  ФОТ обл до с 01.01.-30.06</vt:lpstr>
      <vt:lpstr>расч ФОТ обл с 01.07-31.08</vt:lpstr>
      <vt:lpstr>рас ФОТ обл до с 01.09-31.12</vt:lpstr>
      <vt:lpstr>расч ФОТмест с 01.01-30.06</vt:lpstr>
      <vt:lpstr>расч ФОТ мест с 01.07-31.12 </vt:lpstr>
      <vt:lpstr>0701 213 нов</vt:lpstr>
      <vt:lpstr>0701 264</vt:lpstr>
      <vt:lpstr>0701 221,223</vt:lpstr>
      <vt:lpstr>0701 225,226,310,341-346</vt:lpstr>
      <vt:lpstr>расчет по питанию 11 месяцев.</vt:lpstr>
      <vt:lpstr>расчет по питанию (3)</vt:lpstr>
      <vt:lpstr>0702 211,266</vt:lpstr>
      <vt:lpstr>0702 213 (2)</vt:lpstr>
      <vt:lpstr>0702 265</vt:lpstr>
      <vt:lpstr>0702 214</vt:lpstr>
      <vt:lpstr>расчет ФОТ обл ш с 01.01-30.06.</vt:lpstr>
      <vt:lpstr>расчет ФОТ обл ш с 01.07-31.08.</vt:lpstr>
      <vt:lpstr>расчет ФОТ обл ш с 01.09-31.12.</vt:lpstr>
      <vt:lpstr>советник</vt:lpstr>
      <vt:lpstr>советник 213 нов</vt:lpstr>
      <vt:lpstr>0702 221, 223</vt:lpstr>
      <vt:lpstr>0702 225,226,227,310,346</vt:lpstr>
      <vt:lpstr>0702 225,226,227,310,346 (25г)</vt:lpstr>
      <vt:lpstr>0707 211</vt:lpstr>
      <vt:lpstr>0707 213 нов</vt:lpstr>
      <vt:lpstr>0707 346</vt:lpstr>
      <vt:lpstr>0709 211 (2)</vt:lpstr>
      <vt:lpstr>0709 213 нов </vt:lpstr>
      <vt:lpstr>0709 222 225 226 227 346 (2)</vt:lpstr>
      <vt:lpstr>Глажевс.шк.  (3)</vt:lpstr>
      <vt:lpstr>0701 225,226,310,341-346 (2 (4)</vt:lpstr>
      <vt:lpstr>расчет ФОТ шк</vt:lpstr>
      <vt:lpstr>0702 213 нов (2)</vt:lpstr>
      <vt:lpstr>0702 213 нов</vt:lpstr>
      <vt:lpstr>0702 211 (3)</vt:lpstr>
      <vt:lpstr>питание </vt:lpstr>
      <vt:lpstr>0702 213 (24,25)</vt:lpstr>
      <vt:lpstr>советник (2)</vt:lpstr>
      <vt:lpstr>советник 213 нов (2)</vt:lpstr>
      <vt:lpstr>Глажевс.шк.  (2)</vt:lpstr>
      <vt:lpstr>Глажевс.шк. </vt:lpstr>
      <vt:lpstr>0709 222 225 226 227 346</vt:lpstr>
      <vt:lpstr>0701 225,226,310,341-346 (2)</vt:lpstr>
      <vt:lpstr>0709 211 (3)</vt:lpstr>
      <vt:lpstr>0701 225,226,310,341-346 (2 (3)</vt:lpstr>
      <vt:lpstr>Прилож 4 24</vt:lpstr>
      <vt:lpstr>Прилож 4 24 (2)</vt:lpstr>
      <vt:lpstr>Прилож 4 24 (3)</vt:lpstr>
      <vt:lpstr>расчет ФОТ шк обл</vt:lpstr>
      <vt:lpstr>Прилож 4 24 (4)</vt:lpstr>
      <vt:lpstr>Прилож 4 24 (5)</vt:lpstr>
      <vt:lpstr>Прилож 4 24 (6)</vt:lpstr>
      <vt:lpstr>Прилож 4 24 (7)</vt:lpstr>
      <vt:lpstr>Прилож 4 24 (8)</vt:lpstr>
      <vt:lpstr>Прилож 4 24 (9)</vt:lpstr>
      <vt:lpstr>Прилож 4 24 (10)</vt:lpstr>
      <vt:lpstr>'0701 211, 266'!Область_печати</vt:lpstr>
      <vt:lpstr>'0701 213 нов'!Область_печати</vt:lpstr>
      <vt:lpstr>'0701 221,223'!Область_печати</vt:lpstr>
      <vt:lpstr>'0701 225,226,310,341-346'!Область_печати</vt:lpstr>
      <vt:lpstr>'0701 225,226,310,341-346 (2 (3)'!Область_печати</vt:lpstr>
      <vt:lpstr>'0701 225,226,310,341-346 (2 (4)'!Область_печати</vt:lpstr>
      <vt:lpstr>'0701 225,226,310,341-346 (2)'!Область_печати</vt:lpstr>
      <vt:lpstr>'0702 211 (3)'!Область_печати</vt:lpstr>
      <vt:lpstr>'0702 211,266'!Область_печати</vt:lpstr>
      <vt:lpstr>'0702 213 (2)'!Область_печати</vt:lpstr>
      <vt:lpstr>'0702 221, 223'!Область_печати</vt:lpstr>
      <vt:lpstr>'0702 225,226,227,310,346'!Область_печати</vt:lpstr>
      <vt:lpstr>'0702 225,226,227,310,346 (25г)'!Область_печати</vt:lpstr>
      <vt:lpstr>'0702 265'!Область_печати</vt:lpstr>
      <vt:lpstr>'0707 346'!Область_печати</vt:lpstr>
      <vt:lpstr>'0709 222 225 226 227 346 (2)'!Область_печати</vt:lpstr>
      <vt:lpstr>'Прил2 Доходы'!Область_печати</vt:lpstr>
      <vt:lpstr>'Прилож 4 24 (10)'!Область_печати</vt:lpstr>
      <vt:lpstr>'Прилож 4 24 (11)'!Область_печати</vt:lpstr>
      <vt:lpstr>'Прилож 4 24 (2)'!Область_печати</vt:lpstr>
      <vt:lpstr>'Прилож 4 24 (3)'!Область_печати</vt:lpstr>
      <vt:lpstr>'Прилож 4 24 (4)'!Область_печати</vt:lpstr>
      <vt:lpstr>'Прилож 4 24 (5)'!Область_печати</vt:lpstr>
      <vt:lpstr>'Прилож 4 24 (6)'!Область_печати</vt:lpstr>
      <vt:lpstr>'Прилож 4 24 (7)'!Область_печати</vt:lpstr>
      <vt:lpstr>'Прилож 4 24 (8)'!Область_печати</vt:lpstr>
      <vt:lpstr>'Прилож 4 24 (9)'!Область_печати</vt:lpstr>
      <vt:lpstr>'Приложение 1'!Область_печати</vt:lpstr>
      <vt:lpstr>'раздел 2 прил. 1'!Область_печати</vt:lpstr>
      <vt:lpstr>'рас ФОТ обл до с 01.09-31.12'!Область_печати</vt:lpstr>
      <vt:lpstr>'расч  ФОТ обл до с 01.01.-30.06'!Область_печати</vt:lpstr>
      <vt:lpstr>'расч ФОТ мест с 01.07-31.12 '!Область_печати</vt:lpstr>
      <vt:lpstr>'расч ФОТ обл с 01.07-31.08'!Область_печати</vt:lpstr>
      <vt:lpstr>'расч ФОТмест с 01.01-30.06'!Область_печати</vt:lpstr>
      <vt:lpstr>'расчет по питанию (3)'!Область_печати</vt:lpstr>
      <vt:lpstr>'расчет по питанию 11 месяцев.'!Область_печати</vt:lpstr>
      <vt:lpstr>'расчет ФОТ обл ш с 01.01-30.06.'!Область_печати</vt:lpstr>
      <vt:lpstr>'расчет ФОТ обл ш с 01.07-31.08.'!Область_печати</vt:lpstr>
      <vt:lpstr>'расчет ФОТ обл ш с 01.09-31.12.'!Область_печати</vt:lpstr>
      <vt:lpstr>'расчет ФОТ шк'!Область_печати</vt:lpstr>
      <vt:lpstr>'расчет ФОТ шк обл'!Область_печати</vt:lpstr>
      <vt:lpstr>советник!Область_печати</vt:lpstr>
      <vt:lpstr>'советник (2)'!Область_печати</vt:lpstr>
      <vt:lpstr>'советник 213 нов'!Область_печати</vt:lpstr>
    </vt:vector>
  </TitlesOfParts>
  <Company>garant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2024-12-16T08:29:25Z</cp:lastPrinted>
  <dcterms:created xsi:type="dcterms:W3CDTF">2004-09-19T06:34:55Z</dcterms:created>
  <dcterms:modified xsi:type="dcterms:W3CDTF">2025-02-19T14:11:15Z</dcterms:modified>
</cp:coreProperties>
</file>